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drou\OneDrive\Documents\Spreadsheets\Update - August 2019\"/>
    </mc:Choice>
  </mc:AlternateContent>
  <xr:revisionPtr revIDLastSave="0" documentId="13_ncr:1_{EC419364-93A7-42CD-BA80-E3664CD008D3}" xr6:coauthVersionLast="43" xr6:coauthVersionMax="43" xr10:uidLastSave="{00000000-0000-0000-0000-000000000000}"/>
  <bookViews>
    <workbookView xWindow="-25320" yWindow="-1455" windowWidth="25440" windowHeight="14775" firstSheet="1" activeTab="8" xr2:uid="{C9B65557-6B9C-4AC8-A0C9-DA00E3B4A84B}"/>
  </bookViews>
  <sheets>
    <sheet name="Book vs Market Values" sheetId="2" r:id="rId1"/>
    <sheet name="Method #1" sheetId="3" r:id="rId2"/>
    <sheet name="Method #2" sheetId="4" r:id="rId3"/>
    <sheet name="Method #3" sheetId="5" r:id="rId4"/>
    <sheet name="Method #4" sheetId="6" r:id="rId5"/>
    <sheet name="Method #5" sheetId="7" r:id="rId6"/>
    <sheet name="Method #6" sheetId="8" r:id="rId7"/>
    <sheet name="Method #7a" sheetId="12" r:id="rId8"/>
    <sheet name="Method #7b" sheetId="9" r:id="rId9"/>
    <sheet name="Summary" sheetId="13" r:id="rId10"/>
  </sheets>
  <externalReferences>
    <externalReference r:id="rId11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" i="7" l="1"/>
  <c r="J1" i="7"/>
  <c r="L1" i="6"/>
  <c r="L2" i="6"/>
  <c r="C25" i="7"/>
  <c r="C24" i="7"/>
  <c r="L1" i="8"/>
  <c r="L2" i="8"/>
  <c r="E43" i="8"/>
  <c r="E42" i="8"/>
  <c r="C23" i="6"/>
  <c r="C22" i="6"/>
  <c r="E24" i="8"/>
  <c r="K37" i="8"/>
  <c r="C19" i="9"/>
  <c r="E7" i="9"/>
  <c r="L17" i="6"/>
  <c r="E13" i="6"/>
  <c r="E11" i="6"/>
  <c r="G9" i="4"/>
  <c r="H20" i="2"/>
  <c r="C9" i="2"/>
  <c r="E16" i="8"/>
  <c r="E20" i="9" s="1"/>
  <c r="E14" i="8"/>
  <c r="E17" i="9" s="1"/>
  <c r="E12" i="8"/>
  <c r="E10" i="8"/>
  <c r="E10" i="9" s="1"/>
  <c r="E8" i="8"/>
  <c r="E8" i="9" s="1"/>
  <c r="G17" i="3"/>
  <c r="E17" i="3"/>
  <c r="J16" i="7" l="1"/>
  <c r="J14" i="7"/>
  <c r="J9" i="7"/>
  <c r="H21" i="7"/>
  <c r="H20" i="7"/>
  <c r="H19" i="7"/>
  <c r="H16" i="7"/>
  <c r="H15" i="7"/>
  <c r="H14" i="7"/>
  <c r="H10" i="7"/>
  <c r="H11" i="7"/>
  <c r="H12" i="7"/>
  <c r="F16" i="7"/>
  <c r="F15" i="7"/>
  <c r="F14" i="7"/>
  <c r="F11" i="7"/>
  <c r="F10" i="7"/>
  <c r="F9" i="7"/>
  <c r="H9" i="7" s="1"/>
  <c r="D8" i="13" l="1"/>
  <c r="D13" i="13" s="1"/>
  <c r="F6" i="13"/>
  <c r="D22" i="12"/>
  <c r="D20" i="12"/>
  <c r="D6" i="13" l="1"/>
  <c r="D12" i="13"/>
  <c r="D10" i="13"/>
  <c r="D11" i="13" s="1"/>
  <c r="D14" i="13"/>
  <c r="D15" i="13" s="1"/>
  <c r="D23" i="12"/>
  <c r="E7" i="12"/>
  <c r="G7" i="12" s="1"/>
  <c r="I8" i="12"/>
  <c r="G13" i="12"/>
  <c r="G14" i="12"/>
  <c r="E26" i="12"/>
  <c r="B27" i="12"/>
  <c r="D27" i="12"/>
  <c r="B33" i="12"/>
  <c r="D33" i="12"/>
  <c r="D17" i="13" l="1"/>
  <c r="E47" i="9" l="1"/>
  <c r="E46" i="9"/>
  <c r="E26" i="9" s="1"/>
  <c r="E12" i="9"/>
  <c r="E14" i="9" s="1"/>
  <c r="E16" i="9" s="1"/>
  <c r="J9" i="9"/>
  <c r="F7" i="9"/>
  <c r="F26" i="12" s="1"/>
  <c r="E21" i="9" l="1"/>
  <c r="E23" i="9" s="1"/>
  <c r="G7" i="9"/>
  <c r="E25" i="9"/>
  <c r="D41" i="9"/>
  <c r="F8" i="9"/>
  <c r="H44" i="8"/>
  <c r="E40" i="8"/>
  <c r="E39" i="8"/>
  <c r="E20" i="8" s="1"/>
  <c r="F20" i="8" s="1"/>
  <c r="G20" i="8" s="1"/>
  <c r="H20" i="8" s="1"/>
  <c r="I20" i="8" s="1"/>
  <c r="J20" i="8" s="1"/>
  <c r="I39" i="8"/>
  <c r="I37" i="8"/>
  <c r="I9" i="8"/>
  <c r="J9" i="8" s="1"/>
  <c r="F8" i="8"/>
  <c r="F10" i="8" s="1"/>
  <c r="F7" i="8"/>
  <c r="G7" i="8" s="1"/>
  <c r="H7" i="8" s="1"/>
  <c r="I7" i="8" s="1"/>
  <c r="J7" i="8" s="1"/>
  <c r="K7" i="8" s="1"/>
  <c r="F21" i="7"/>
  <c r="J21" i="7" s="1"/>
  <c r="F20" i="7"/>
  <c r="J20" i="7" s="1"/>
  <c r="F19" i="7"/>
  <c r="J19" i="7" s="1"/>
  <c r="I18" i="7"/>
  <c r="J18" i="7" s="1"/>
  <c r="I17" i="7"/>
  <c r="J17" i="7" s="1"/>
  <c r="J15" i="7"/>
  <c r="I13" i="7"/>
  <c r="J13" i="7" s="1"/>
  <c r="J12" i="7"/>
  <c r="G10" i="7"/>
  <c r="L19" i="6"/>
  <c r="H17" i="6"/>
  <c r="G17" i="6"/>
  <c r="H43" i="8" s="1"/>
  <c r="D17" i="6"/>
  <c r="F11" i="6"/>
  <c r="F13" i="6"/>
  <c r="F9" i="6"/>
  <c r="F15" i="6"/>
  <c r="F12" i="6"/>
  <c r="I12" i="6" s="1"/>
  <c r="F10" i="6"/>
  <c r="D8" i="6"/>
  <c r="C10" i="4"/>
  <c r="C11" i="4" s="1"/>
  <c r="G8" i="5"/>
  <c r="H17" i="2"/>
  <c r="G10" i="5" s="1"/>
  <c r="E17" i="2"/>
  <c r="A12" i="2"/>
  <c r="A11" i="2"/>
  <c r="A10" i="2"/>
  <c r="H8" i="2"/>
  <c r="A9" i="2"/>
  <c r="A8" i="2"/>
  <c r="A7" i="2"/>
  <c r="A6" i="2"/>
  <c r="A4" i="2"/>
  <c r="A107" i="2"/>
  <c r="A88" i="2"/>
  <c r="I43" i="8" l="1"/>
  <c r="E12" i="13"/>
  <c r="E8" i="13"/>
  <c r="E14" i="13"/>
  <c r="E15" i="13"/>
  <c r="E13" i="13"/>
  <c r="I44" i="8"/>
  <c r="I45" i="8" s="1"/>
  <c r="F17" i="3"/>
  <c r="I17" i="3" s="1"/>
  <c r="C8" i="13" s="1"/>
  <c r="F8" i="13" s="1"/>
  <c r="G15" i="13"/>
  <c r="G13" i="13"/>
  <c r="G14" i="13"/>
  <c r="G12" i="13"/>
  <c r="G8" i="13"/>
  <c r="H7" i="12"/>
  <c r="I7" i="12" s="1"/>
  <c r="K38" i="8"/>
  <c r="J43" i="8" s="1"/>
  <c r="K43" i="8" s="1"/>
  <c r="E17" i="6"/>
  <c r="F17" i="6" s="1"/>
  <c r="I17" i="6" s="1"/>
  <c r="E19" i="8"/>
  <c r="I40" i="8"/>
  <c r="F16" i="12" s="1"/>
  <c r="G16" i="12" s="1"/>
  <c r="I13" i="12"/>
  <c r="I14" i="12"/>
  <c r="E34" i="12" s="1"/>
  <c r="K8" i="12"/>
  <c r="K7" i="12"/>
  <c r="G26" i="12"/>
  <c r="H7" i="9"/>
  <c r="I7" i="9" s="1"/>
  <c r="D40" i="9"/>
  <c r="D37" i="9"/>
  <c r="C36" i="9"/>
  <c r="D39" i="9"/>
  <c r="D38" i="9"/>
  <c r="F11" i="9"/>
  <c r="F10" i="9"/>
  <c r="F17" i="9"/>
  <c r="F20" i="9"/>
  <c r="F19" i="9"/>
  <c r="G8" i="9"/>
  <c r="E11" i="8"/>
  <c r="C14" i="8"/>
  <c r="C17" i="9" s="1"/>
  <c r="C10" i="8"/>
  <c r="C10" i="9" s="1"/>
  <c r="F15" i="8"/>
  <c r="G8" i="8"/>
  <c r="G16" i="8" s="1"/>
  <c r="F11" i="8"/>
  <c r="F12" i="8" s="1"/>
  <c r="F13" i="8" s="1"/>
  <c r="C16" i="8"/>
  <c r="C20" i="9" s="1"/>
  <c r="J44" i="8"/>
  <c r="D33" i="8"/>
  <c r="K20" i="8"/>
  <c r="J26" i="8"/>
  <c r="E17" i="8"/>
  <c r="F14" i="8"/>
  <c r="F16" i="8"/>
  <c r="I10" i="7"/>
  <c r="J10" i="7" s="1"/>
  <c r="C13" i="4"/>
  <c r="G12" i="4" s="1"/>
  <c r="I10" i="6"/>
  <c r="K10" i="6" s="1"/>
  <c r="I15" i="6"/>
  <c r="K15" i="6" s="1"/>
  <c r="I11" i="6"/>
  <c r="K11" i="6" s="1"/>
  <c r="K12" i="6"/>
  <c r="I9" i="6"/>
  <c r="F14" i="6"/>
  <c r="I13" i="6"/>
  <c r="G9" i="5"/>
  <c r="G11" i="5" s="1"/>
  <c r="G8" i="4"/>
  <c r="C8" i="5"/>
  <c r="C7" i="2"/>
  <c r="H7" i="2"/>
  <c r="H18" i="2"/>
  <c r="C11" i="8" l="1"/>
  <c r="C11" i="9" s="1"/>
  <c r="E11" i="9"/>
  <c r="D32" i="8"/>
  <c r="D31" i="8"/>
  <c r="D35" i="8"/>
  <c r="D34" i="8"/>
  <c r="G11" i="8"/>
  <c r="G12" i="8" s="1"/>
  <c r="G14" i="8"/>
  <c r="G10" i="8"/>
  <c r="H8" i="13"/>
  <c r="G15" i="8"/>
  <c r="H8" i="8"/>
  <c r="H11" i="8" s="1"/>
  <c r="K44" i="8"/>
  <c r="K45" i="8" s="1"/>
  <c r="C24" i="8" s="1"/>
  <c r="I9" i="12"/>
  <c r="H18" i="9" s="1"/>
  <c r="E6" i="13"/>
  <c r="C6" i="13" s="1"/>
  <c r="E10" i="13"/>
  <c r="E11" i="13" s="1"/>
  <c r="C30" i="8"/>
  <c r="G10" i="13"/>
  <c r="G11" i="13" s="1"/>
  <c r="G6" i="13"/>
  <c r="H6" i="13" s="1"/>
  <c r="H26" i="12"/>
  <c r="E28" i="12"/>
  <c r="F30" i="12" s="1"/>
  <c r="F31" i="12" s="1"/>
  <c r="I15" i="12"/>
  <c r="F34" i="12"/>
  <c r="F36" i="12"/>
  <c r="F37" i="12" s="1"/>
  <c r="I26" i="12"/>
  <c r="F12" i="9"/>
  <c r="G20" i="9"/>
  <c r="G19" i="9"/>
  <c r="H8" i="9"/>
  <c r="G11" i="9"/>
  <c r="G10" i="9"/>
  <c r="G17" i="9"/>
  <c r="F19" i="8"/>
  <c r="F17" i="8"/>
  <c r="F30" i="8" s="1"/>
  <c r="H10" i="8"/>
  <c r="G13" i="4"/>
  <c r="H10" i="13" s="1"/>
  <c r="C9" i="5"/>
  <c r="C11" i="5" s="1"/>
  <c r="H11" i="13" s="1"/>
  <c r="C8" i="2"/>
  <c r="D8" i="2" s="1"/>
  <c r="H27" i="2" s="1"/>
  <c r="J17" i="6"/>
  <c r="C19" i="6" s="1"/>
  <c r="F23" i="7" s="1"/>
  <c r="K9" i="6"/>
  <c r="I14" i="6"/>
  <c r="K13" i="6"/>
  <c r="H24" i="2"/>
  <c r="H9" i="2"/>
  <c r="H23" i="2" s="1"/>
  <c r="D11" i="2"/>
  <c r="D12" i="2"/>
  <c r="H19" i="2"/>
  <c r="D9" i="2"/>
  <c r="H25" i="2" s="1"/>
  <c r="G10" i="4" s="1"/>
  <c r="D7" i="2"/>
  <c r="H26" i="2" s="1"/>
  <c r="H15" i="8" l="1"/>
  <c r="G19" i="8"/>
  <c r="H14" i="8"/>
  <c r="E31" i="8"/>
  <c r="E17" i="13"/>
  <c r="I8" i="8"/>
  <c r="I10" i="8" s="1"/>
  <c r="H16" i="8"/>
  <c r="H12" i="8"/>
  <c r="H13" i="8" s="1"/>
  <c r="G13" i="8"/>
  <c r="G17" i="8" s="1"/>
  <c r="G30" i="8" s="1"/>
  <c r="E32" i="8" s="1"/>
  <c r="G18" i="9"/>
  <c r="F18" i="9"/>
  <c r="K9" i="12"/>
  <c r="F11" i="13"/>
  <c r="C11" i="13" s="1"/>
  <c r="C13" i="5" s="1"/>
  <c r="I18" i="9"/>
  <c r="I10" i="12"/>
  <c r="F10" i="13"/>
  <c r="F28" i="12"/>
  <c r="G28" i="12" s="1"/>
  <c r="E15" i="12"/>
  <c r="F39" i="12"/>
  <c r="G36" i="12"/>
  <c r="G37" i="12" s="1"/>
  <c r="G34" i="12"/>
  <c r="G30" i="12"/>
  <c r="G31" i="12" s="1"/>
  <c r="G12" i="9"/>
  <c r="G25" i="9" s="1"/>
  <c r="F13" i="9"/>
  <c r="F14" i="9" s="1"/>
  <c r="F15" i="9" s="1"/>
  <c r="F25" i="9"/>
  <c r="J7" i="9"/>
  <c r="J26" i="12" s="1"/>
  <c r="H20" i="9"/>
  <c r="H19" i="9"/>
  <c r="I8" i="9"/>
  <c r="H17" i="9"/>
  <c r="H11" i="9"/>
  <c r="H10" i="9"/>
  <c r="J8" i="8"/>
  <c r="I14" i="8"/>
  <c r="H19" i="8"/>
  <c r="K14" i="6"/>
  <c r="K17" i="6"/>
  <c r="O95" i="2"/>
  <c r="I11" i="8" l="1"/>
  <c r="I15" i="8"/>
  <c r="I16" i="8"/>
  <c r="H17" i="8"/>
  <c r="H30" i="8" s="1"/>
  <c r="E33" i="8" s="1"/>
  <c r="J18" i="9"/>
  <c r="J8" i="12"/>
  <c r="J10" i="12"/>
  <c r="I17" i="12"/>
  <c r="K10" i="12"/>
  <c r="J7" i="12"/>
  <c r="J9" i="12"/>
  <c r="C10" i="13"/>
  <c r="F40" i="12"/>
  <c r="F26" i="9" s="1"/>
  <c r="H28" i="12"/>
  <c r="H30" i="12"/>
  <c r="H31" i="12" s="1"/>
  <c r="H36" i="12"/>
  <c r="H37" i="12" s="1"/>
  <c r="H39" i="12" s="1"/>
  <c r="G40" i="12"/>
  <c r="G26" i="9" s="1"/>
  <c r="G22" i="9" s="1"/>
  <c r="H34" i="12"/>
  <c r="G39" i="12"/>
  <c r="G13" i="9"/>
  <c r="G14" i="9" s="1"/>
  <c r="F16" i="9"/>
  <c r="F21" i="9" s="1"/>
  <c r="F23" i="9" s="1"/>
  <c r="F36" i="9" s="1"/>
  <c r="E37" i="9" s="1"/>
  <c r="H12" i="9"/>
  <c r="K7" i="9"/>
  <c r="K26" i="12" s="1"/>
  <c r="L26" i="12" s="1"/>
  <c r="M26" i="12" s="1"/>
  <c r="I17" i="9"/>
  <c r="I11" i="9"/>
  <c r="I10" i="9"/>
  <c r="I20" i="9"/>
  <c r="I19" i="9"/>
  <c r="J8" i="9"/>
  <c r="I12" i="8"/>
  <c r="I19" i="8" s="1"/>
  <c r="I13" i="8"/>
  <c r="J10" i="8"/>
  <c r="K8" i="8"/>
  <c r="J16" i="8"/>
  <c r="J14" i="8"/>
  <c r="J15" i="8"/>
  <c r="J11" i="8"/>
  <c r="K20" i="6"/>
  <c r="D19" i="6" s="1"/>
  <c r="K19" i="6"/>
  <c r="O94" i="2"/>
  <c r="J12" i="8" l="1"/>
  <c r="I17" i="8"/>
  <c r="I30" i="8" s="1"/>
  <c r="E34" i="8" s="1"/>
  <c r="C29" i="9"/>
  <c r="C23" i="8"/>
  <c r="J17" i="12"/>
  <c r="E17" i="12"/>
  <c r="J14" i="12"/>
  <c r="H14" i="12" s="1"/>
  <c r="J13" i="12"/>
  <c r="H13" i="12" s="1"/>
  <c r="I16" i="12"/>
  <c r="J15" i="12"/>
  <c r="C15" i="4"/>
  <c r="I34" i="12"/>
  <c r="I36" i="12"/>
  <c r="I37" i="12" s="1"/>
  <c r="H40" i="12"/>
  <c r="H26" i="9" s="1"/>
  <c r="H22" i="9" s="1"/>
  <c r="I30" i="12"/>
  <c r="I31" i="12" s="1"/>
  <c r="I28" i="12"/>
  <c r="G15" i="9"/>
  <c r="G16" i="9" s="1"/>
  <c r="G21" i="9" s="1"/>
  <c r="G23" i="9" s="1"/>
  <c r="G36" i="9" s="1"/>
  <c r="E38" i="9" s="1"/>
  <c r="H13" i="9"/>
  <c r="H14" i="9" s="1"/>
  <c r="H25" i="9"/>
  <c r="I12" i="9"/>
  <c r="J11" i="9"/>
  <c r="J10" i="9"/>
  <c r="J20" i="9"/>
  <c r="J19" i="9"/>
  <c r="K8" i="9"/>
  <c r="J17" i="9"/>
  <c r="J19" i="8"/>
  <c r="J13" i="8"/>
  <c r="J17" i="8" s="1"/>
  <c r="K16" i="8"/>
  <c r="K14" i="8"/>
  <c r="K15" i="8"/>
  <c r="K11" i="8"/>
  <c r="K10" i="8"/>
  <c r="C21" i="6"/>
  <c r="O93" i="2"/>
  <c r="C12" i="13" l="1"/>
  <c r="F12" i="13" s="1"/>
  <c r="H12" i="13" s="1"/>
  <c r="C24" i="6"/>
  <c r="C25" i="6" s="1"/>
  <c r="J23" i="8"/>
  <c r="K12" i="8"/>
  <c r="K19" i="8" s="1"/>
  <c r="E16" i="12"/>
  <c r="J16" i="12"/>
  <c r="H16" i="12" s="1"/>
  <c r="H17" i="12" s="1"/>
  <c r="C30" i="9" s="1"/>
  <c r="E30" i="9" s="1"/>
  <c r="I39" i="12"/>
  <c r="J30" i="12"/>
  <c r="J31" i="12" s="1"/>
  <c r="J28" i="12"/>
  <c r="J34" i="12"/>
  <c r="J36" i="12"/>
  <c r="J37" i="12" s="1"/>
  <c r="I40" i="12"/>
  <c r="I26" i="9" s="1"/>
  <c r="I22" i="9" s="1"/>
  <c r="H15" i="9"/>
  <c r="H16" i="9" s="1"/>
  <c r="H21" i="9" s="1"/>
  <c r="H23" i="9" s="1"/>
  <c r="H36" i="9" s="1"/>
  <c r="E39" i="9" s="1"/>
  <c r="I13" i="9"/>
  <c r="I14" i="9" s="1"/>
  <c r="J12" i="9"/>
  <c r="I25" i="9"/>
  <c r="K20" i="9"/>
  <c r="K19" i="9"/>
  <c r="K17" i="9"/>
  <c r="K11" i="9"/>
  <c r="K10" i="9"/>
  <c r="K13" i="8" l="1"/>
  <c r="K17" i="8" s="1"/>
  <c r="J24" i="8" s="1"/>
  <c r="J25" i="8" s="1"/>
  <c r="J28" i="8" s="1"/>
  <c r="J30" i="8" s="1"/>
  <c r="E35" i="8" s="1"/>
  <c r="E36" i="8" s="1"/>
  <c r="E38" i="8" s="1"/>
  <c r="E41" i="8" s="1"/>
  <c r="J40" i="12"/>
  <c r="K34" i="12"/>
  <c r="K36" i="12"/>
  <c r="K37" i="12" s="1"/>
  <c r="K28" i="12"/>
  <c r="K30" i="12"/>
  <c r="K31" i="12" s="1"/>
  <c r="K12" i="9"/>
  <c r="K25" i="9" s="1"/>
  <c r="J39" i="12"/>
  <c r="J13" i="9"/>
  <c r="J14" i="9" s="1"/>
  <c r="J26" i="9"/>
  <c r="J25" i="9"/>
  <c r="J29" i="9" s="1"/>
  <c r="I15" i="9"/>
  <c r="I16" i="9" s="1"/>
  <c r="I21" i="9" s="1"/>
  <c r="I23" i="9" s="1"/>
  <c r="I36" i="9" s="1"/>
  <c r="E40" i="9" s="1"/>
  <c r="O96" i="2"/>
  <c r="C14" i="13" l="1"/>
  <c r="F14" i="13" s="1"/>
  <c r="H14" i="13" s="1"/>
  <c r="E44" i="8"/>
  <c r="E45" i="8" s="1"/>
  <c r="K39" i="12"/>
  <c r="L30" i="12"/>
  <c r="L31" i="12" s="1"/>
  <c r="L28" i="12"/>
  <c r="L34" i="12"/>
  <c r="L36" i="12"/>
  <c r="L37" i="12" s="1"/>
  <c r="K40" i="12"/>
  <c r="K26" i="9" s="1"/>
  <c r="K22" i="9" s="1"/>
  <c r="J15" i="9"/>
  <c r="J16" i="9" s="1"/>
  <c r="J21" i="9" s="1"/>
  <c r="J32" i="9"/>
  <c r="J22" i="9"/>
  <c r="K13" i="9"/>
  <c r="K14" i="9" s="1"/>
  <c r="K15" i="9" s="1"/>
  <c r="J23" i="9" l="1"/>
  <c r="L39" i="12"/>
  <c r="M29" i="12"/>
  <c r="M28" i="12" s="1"/>
  <c r="M30" i="12"/>
  <c r="M34" i="12"/>
  <c r="M36" i="12"/>
  <c r="M37" i="12" s="1"/>
  <c r="L40" i="12"/>
  <c r="K16" i="9"/>
  <c r="K21" i="9" s="1"/>
  <c r="K23" i="9" s="1"/>
  <c r="M31" i="12" l="1"/>
  <c r="M39" i="12"/>
  <c r="M40" i="12"/>
  <c r="J30" i="9"/>
  <c r="J31" i="9" s="1"/>
  <c r="J34" i="9" s="1"/>
  <c r="J36" i="9" s="1"/>
  <c r="E41" i="9" s="1"/>
  <c r="E42" i="9" s="1"/>
  <c r="E45" i="9" s="1"/>
  <c r="O98" i="2" l="1"/>
  <c r="E48" i="9"/>
  <c r="C15" i="13" s="1"/>
  <c r="F15" i="13" s="1"/>
  <c r="H15" i="13" s="1"/>
  <c r="J11" i="7" l="1"/>
  <c r="J22" i="7" s="1"/>
  <c r="J23" i="7" l="1"/>
  <c r="G23" i="7" s="1"/>
  <c r="C23" i="7" s="1"/>
  <c r="C13" i="13" l="1"/>
  <c r="F13" i="13" s="1"/>
  <c r="F17" i="13" s="1"/>
  <c r="C26" i="7"/>
  <c r="C27" i="7" s="1"/>
  <c r="H13" i="13"/>
  <c r="C17" i="13" l="1"/>
  <c r="O97" i="2"/>
  <c r="H17" i="13"/>
</calcChain>
</file>

<file path=xl/sharedStrings.xml><?xml version="1.0" encoding="utf-8"?>
<sst xmlns="http://schemas.openxmlformats.org/spreadsheetml/2006/main" count="396" uniqueCount="278">
  <si>
    <t>EXIT YEAR</t>
  </si>
  <si>
    <t>Revenues</t>
  </si>
  <si>
    <t>EBITDA</t>
  </si>
  <si>
    <t>Less Interest</t>
  </si>
  <si>
    <t>Less Working Capital</t>
  </si>
  <si>
    <t>Less Debt</t>
  </si>
  <si>
    <t>Equity Cash Flows</t>
  </si>
  <si>
    <t>Hyatt Hotels Corporation</t>
  </si>
  <si>
    <t>CORPORATE VALUATIONS</t>
  </si>
  <si>
    <t>BOOK VALUE</t>
  </si>
  <si>
    <t>Per Share</t>
  </si>
  <si>
    <t>Profitability</t>
  </si>
  <si>
    <t>Revenues (LTM)</t>
  </si>
  <si>
    <t>ROE %</t>
  </si>
  <si>
    <t>EBITDA (LTM)</t>
  </si>
  <si>
    <t>ROA%</t>
  </si>
  <si>
    <t>Net Income (LTM)</t>
  </si>
  <si>
    <t>(EPS)</t>
  </si>
  <si>
    <t>Book Value of Equity / Shares</t>
  </si>
  <si>
    <t>Book Value of Assets</t>
  </si>
  <si>
    <t>Book Value of Equity</t>
  </si>
  <si>
    <t>MARKET VALUE METHODS</t>
  </si>
  <si>
    <t>General Information</t>
  </si>
  <si>
    <t>Common Shares Outstanding (000's)</t>
  </si>
  <si>
    <t>Market Capitalization (Equity Value)</t>
  </si>
  <si>
    <t>Dividends/Share</t>
  </si>
  <si>
    <t>Market Value to Book Value Relationship</t>
  </si>
  <si>
    <t>Hyatt</t>
  </si>
  <si>
    <t>Hotel Industry</t>
  </si>
  <si>
    <t>Over/Under %</t>
  </si>
  <si>
    <t>Equity MV / BV</t>
  </si>
  <si>
    <t>Tobin's Q Ratio (EV/ Total Assets)</t>
  </si>
  <si>
    <t xml:space="preserve">Price / Earnings </t>
  </si>
  <si>
    <t>Price / Sales</t>
  </si>
  <si>
    <t>Price / EBITDA</t>
  </si>
  <si>
    <t>ENTERPRISE VALUATION ANALYSIS</t>
  </si>
  <si>
    <t>EV</t>
  </si>
  <si>
    <t>Debt</t>
  </si>
  <si>
    <t>Cash</t>
  </si>
  <si>
    <t>Eq Value</t>
  </si>
  <si>
    <t>Shares Outs</t>
  </si>
  <si>
    <t>Stock Price</t>
  </si>
  <si>
    <t>Book Value Equity</t>
  </si>
  <si>
    <t>METHOD #1 - Market Value / Using the Stock Price</t>
  </si>
  <si>
    <t>METHOD #2- Intrinsic Value</t>
  </si>
  <si>
    <t>METHOD #3- Dividend Discount Model (DDM)</t>
  </si>
  <si>
    <t xml:space="preserve">METHOD #4 -Average  EBITDA  Industry Trading Multiples </t>
  </si>
  <si>
    <t>METHOD #5 - Using Averge EBITDA Transaction Multiples</t>
  </si>
  <si>
    <t>METHOD #6 - Discount Cash Flow Valuation Analysis</t>
  </si>
  <si>
    <t xml:space="preserve">  Average of other methods</t>
  </si>
  <si>
    <t>Calculations</t>
  </si>
  <si>
    <t>SP</t>
  </si>
  <si>
    <t>SO</t>
  </si>
  <si>
    <t>SP * SO = EQ</t>
  </si>
  <si>
    <t>D</t>
  </si>
  <si>
    <t>C</t>
  </si>
  <si>
    <t>EQ + D - C = EV</t>
  </si>
  <si>
    <t>Company</t>
  </si>
  <si>
    <t>Symbol</t>
  </si>
  <si>
    <t>Stocks Outstanding ($000)</t>
  </si>
  <si>
    <t>Equity 
Value
 ($000)</t>
  </si>
  <si>
    <t>Enterprise Value 
($000)</t>
  </si>
  <si>
    <t>Choice Hotels International</t>
  </si>
  <si>
    <t>CHH</t>
  </si>
  <si>
    <t>Fairmont Hotels &amp; Resorts</t>
  </si>
  <si>
    <t>FHR</t>
  </si>
  <si>
    <t>Hilton Hotels</t>
  </si>
  <si>
    <t>HLT</t>
  </si>
  <si>
    <t>John Q. Hammons Hotels</t>
  </si>
  <si>
    <t>JQH</t>
  </si>
  <si>
    <t>La-Quinta Corp</t>
  </si>
  <si>
    <t>LQI</t>
  </si>
  <si>
    <t>Marcus Corporation</t>
  </si>
  <si>
    <t>MCS</t>
  </si>
  <si>
    <t>Marriott International</t>
  </si>
  <si>
    <t>MAR</t>
  </si>
  <si>
    <t>Orient Express Hotels Ltd</t>
  </si>
  <si>
    <t>OEH</t>
  </si>
  <si>
    <t>H</t>
  </si>
  <si>
    <t>Hyatt's Enteprise Value</t>
  </si>
  <si>
    <t>Using CAPM = k = Rf + ( Beta * Premium )</t>
  </si>
  <si>
    <t>Intrinsic Value = V0 = [ E(D1) + E (P1)] / (1+k)</t>
  </si>
  <si>
    <t>Risk Free =</t>
  </si>
  <si>
    <t>D1=</t>
  </si>
  <si>
    <t>Beta =</t>
  </si>
  <si>
    <t xml:space="preserve">Analyst Est. </t>
  </si>
  <si>
    <t xml:space="preserve"> (Average Earnings per share)</t>
  </si>
  <si>
    <t>Premium=</t>
  </si>
  <si>
    <t>PE Multiple</t>
  </si>
  <si>
    <t>Market Return (Rf + Premium)=</t>
  </si>
  <si>
    <t>Exp (P1)=</t>
  </si>
  <si>
    <t>(Avg Target by Analysts for 9/19)</t>
  </si>
  <si>
    <t>k=</t>
  </si>
  <si>
    <t>RoR =</t>
  </si>
  <si>
    <t>V0=</t>
  </si>
  <si>
    <t>Constant-Growth DDM (Gordon Model) V0 = D1 / (k-g)</t>
  </si>
  <si>
    <t>Expected HPR = E 9r) = [E (d1) + (E(p1) - P0) / P0</t>
  </si>
  <si>
    <t>D1 =</t>
  </si>
  <si>
    <t>Dividend (d1)</t>
  </si>
  <si>
    <t>(No growth)</t>
  </si>
  <si>
    <t>Expected Equity Return (k)=</t>
  </si>
  <si>
    <t>P1 = P0+D</t>
  </si>
  <si>
    <t>Expected Growth (g) =</t>
  </si>
  <si>
    <t>P0</t>
  </si>
  <si>
    <t>Exp. HPR=</t>
  </si>
  <si>
    <t>E</t>
  </si>
  <si>
    <t>EV / E</t>
  </si>
  <si>
    <t>Equity Value
 ($000)</t>
  </si>
  <si>
    <t>Debt (ST&amp;LT)
($000)</t>
  </si>
  <si>
    <t>Cash
 ($000)</t>
  </si>
  <si>
    <t>EBITDA 
($mm)</t>
  </si>
  <si>
    <t>EBITDA Multiple</t>
  </si>
  <si>
    <t>Beta</t>
  </si>
  <si>
    <t>Hilton Worldwide Holdings Inc.</t>
  </si>
  <si>
    <t>Intercontinental Hotel</t>
  </si>
  <si>
    <t>IHG</t>
  </si>
  <si>
    <t>Park Hotels &amp; Resorts Inc.</t>
  </si>
  <si>
    <t>PK</t>
  </si>
  <si>
    <t>Wyndham Worldwide</t>
  </si>
  <si>
    <t>HOT</t>
  </si>
  <si>
    <t>EBITDA * Average Multiple</t>
  </si>
  <si>
    <t>Average</t>
  </si>
  <si>
    <t>Outliers</t>
  </si>
  <si>
    <t>METHOD #5 - Using Averge EBITDA Transaction Multiples (M&amp;A Comparable Method)</t>
  </si>
  <si>
    <t>AP</t>
  </si>
  <si>
    <t>AP * SO = EQ</t>
  </si>
  <si>
    <t>ND</t>
  </si>
  <si>
    <t>EQ + ND = EV</t>
  </si>
  <si>
    <t xml:space="preserve">Target </t>
  </si>
  <si>
    <t>Acquirer</t>
  </si>
  <si>
    <t>Acquisition Price /Share</t>
  </si>
  <si>
    <t>Shares Outstanding</t>
  </si>
  <si>
    <t>Equity Value ($mm)</t>
  </si>
  <si>
    <t>Total Net Debt ($mm)</t>
  </si>
  <si>
    <t>Enterprise Value (EV)</t>
  </si>
  <si>
    <t>EBITDA (last reported)</t>
  </si>
  <si>
    <t>Four Seasons*</t>
  </si>
  <si>
    <t>Kingtom Hotels Int'l / 
Gates' Cascade</t>
  </si>
  <si>
    <t>Fairmont/Rafles</t>
  </si>
  <si>
    <t>Kingtom Hotels Int'l</t>
  </si>
  <si>
    <t>Hilton International</t>
  </si>
  <si>
    <t>Hilton Hotels Corp.</t>
  </si>
  <si>
    <t>Starwood Hotels</t>
  </si>
  <si>
    <t>Host Marriott</t>
  </si>
  <si>
    <t>Wynham Int'l</t>
  </si>
  <si>
    <t>Blackstone Group</t>
  </si>
  <si>
    <t>JQH Acquisition LLC</t>
  </si>
  <si>
    <t>Societe du Louvre</t>
  </si>
  <si>
    <t>Starwood Capital</t>
  </si>
  <si>
    <t>Intercontinental Hotels</t>
  </si>
  <si>
    <t>LRG</t>
  </si>
  <si>
    <t>Boca Resorts</t>
  </si>
  <si>
    <t>Prime Hospitality</t>
  </si>
  <si>
    <t>Extended Stay</t>
  </si>
  <si>
    <t>Haytt's Enteprise Value</t>
  </si>
  <si>
    <t>Adjust. Outlier</t>
  </si>
  <si>
    <t xml:space="preserve">  year =</t>
  </si>
  <si>
    <t>Discout Cash Flow Valuation Analysis</t>
  </si>
  <si>
    <t>Historical</t>
  </si>
  <si>
    <t>Projected</t>
  </si>
  <si>
    <t>Input Actual</t>
  </si>
  <si>
    <t>Assumptions</t>
  </si>
  <si>
    <t xml:space="preserve">  Revenue Growth</t>
  </si>
  <si>
    <t>80% of WACC</t>
  </si>
  <si>
    <t>Cost of Revenues (CoGS)</t>
  </si>
  <si>
    <t>Operating Expenses (Excl. Non-rec.)</t>
  </si>
  <si>
    <t xml:space="preserve"> EBIT</t>
  </si>
  <si>
    <t>Less Taxes (tax rate x of EBIT)</t>
  </si>
  <si>
    <t>Plus Depreciation</t>
  </si>
  <si>
    <t xml:space="preserve">Less Capex </t>
  </si>
  <si>
    <t>Cash Flow</t>
  </si>
  <si>
    <t>Debt (assuming 5% reduction of intial principal per year)</t>
  </si>
  <si>
    <t>Terminal Value</t>
  </si>
  <si>
    <t>Growth</t>
  </si>
  <si>
    <t xml:space="preserve">  EBITDA Multiple Method</t>
  </si>
  <si>
    <t>(EBITDA x EBITDA Multiple)</t>
  </si>
  <si>
    <t xml:space="preserve">  Perpetuity Method </t>
  </si>
  <si>
    <t xml:space="preserve"> Next Year's Cash Flow / (Discount Rate - Growth)</t>
  </si>
  <si>
    <t xml:space="preserve"> (80% of WACC)</t>
  </si>
  <si>
    <t>Less Debt Outstanding (at Exit)</t>
  </si>
  <si>
    <t>Plus Cash (at Exit)</t>
  </si>
  <si>
    <t>Equity Value at Terminal</t>
  </si>
  <si>
    <t>PV (for $1)</t>
  </si>
  <si>
    <t>PV (1) =</t>
  </si>
  <si>
    <t>PV (2) =</t>
  </si>
  <si>
    <t>PV (3) =</t>
  </si>
  <si>
    <t>PV (4) =</t>
  </si>
  <si>
    <t>PV (5) =</t>
  </si>
  <si>
    <t>PV=</t>
  </si>
  <si>
    <t>Cost of Equity Calc</t>
  </si>
  <si>
    <t>Risk Free Rate (5 year)</t>
  </si>
  <si>
    <t>Enterprise Value =</t>
  </si>
  <si>
    <t>PV of Equity + PV of Debt</t>
  </si>
  <si>
    <t>Premium based on MC =</t>
  </si>
  <si>
    <t>Rate</t>
  </si>
  <si>
    <t xml:space="preserve">PV of Equity = </t>
  </si>
  <si>
    <t>Hyatt Beta =</t>
  </si>
  <si>
    <t xml:space="preserve">+ PV of Debt = </t>
  </si>
  <si>
    <t>Expected Equity Return =</t>
  </si>
  <si>
    <t xml:space="preserve">+ PV of Cash = </t>
  </si>
  <si>
    <t>Hyatt's Enterprise Value</t>
  </si>
  <si>
    <t>WACC Calc:</t>
  </si>
  <si>
    <t xml:space="preserve">  % Cap</t>
  </si>
  <si>
    <t xml:space="preserve"> AT RoR</t>
  </si>
  <si>
    <t>WACC</t>
  </si>
  <si>
    <t>BV Equity</t>
  </si>
  <si>
    <t>Current Market Price</t>
  </si>
  <si>
    <t>Intrinsic Value Price</t>
  </si>
  <si>
    <t>Dividend Discount Model</t>
  </si>
  <si>
    <t>Comparable Trading Multiples</t>
  </si>
  <si>
    <t>Comparable Acquisition Multiples</t>
  </si>
  <si>
    <t>DCF Analysis</t>
  </si>
  <si>
    <t>METHOD #7 - Leveraged Buyout (LBO) Analysis</t>
  </si>
  <si>
    <t>Transactions Uses</t>
  </si>
  <si>
    <t>Purchase of 100% Shares</t>
  </si>
  <si>
    <t>Premium</t>
  </si>
  <si>
    <t>Transaxtion Fees &amp; Expenses</t>
  </si>
  <si>
    <t>Current 
Stock Price</t>
  </si>
  <si>
    <t>Purchase Stock Price</t>
  </si>
  <si>
    <t>Shares Outstanding
(millions)</t>
  </si>
  <si>
    <t>Refinance Short-Term &amp; Long Term Debt</t>
  </si>
  <si>
    <t>Transactions Sources</t>
  </si>
  <si>
    <t xml:space="preserve"> %  Capital</t>
  </si>
  <si>
    <t>Interest Rate / Expected Return</t>
  </si>
  <si>
    <t>After Tax Interest Rate Adjustments</t>
  </si>
  <si>
    <t>WACC 
Calc</t>
  </si>
  <si>
    <t>Total Amount
($ 000's)</t>
  </si>
  <si>
    <t>Total
Amount
($ 000's)</t>
  </si>
  <si>
    <t>Bank Loan</t>
  </si>
  <si>
    <t>Corporate Bonds</t>
  </si>
  <si>
    <t>Equity</t>
  </si>
  <si>
    <t xml:space="preserve">    Total Cost of Transaction (Uses)</t>
  </si>
  <si>
    <t xml:space="preserve">   Total Sources </t>
  </si>
  <si>
    <t>EBITDA
Multiple
(Capacity)</t>
  </si>
  <si>
    <t xml:space="preserve"> %  Total
Uses</t>
  </si>
  <si>
    <t>EBT</t>
  </si>
  <si>
    <t>Net Income</t>
  </si>
  <si>
    <t>Plus Amortization</t>
  </si>
  <si>
    <t>Cash Flow Before Principal Payment</t>
  </si>
  <si>
    <t>Debt Principal Payment</t>
  </si>
  <si>
    <t>Debt Schedule</t>
  </si>
  <si>
    <t xml:space="preserve">   Outstanding</t>
  </si>
  <si>
    <t xml:space="preserve">   Total Payments (P+I)</t>
  </si>
  <si>
    <t xml:space="preserve">   Scheduled Principal Payments (P)</t>
  </si>
  <si>
    <t xml:space="preserve">   Interest Payments (I)</t>
  </si>
  <si>
    <t>Years</t>
  </si>
  <si>
    <t>Total Debt Payments</t>
  </si>
  <si>
    <t>Total Debt Outstanding</t>
  </si>
  <si>
    <t>7 Years</t>
  </si>
  <si>
    <t>LTM</t>
  </si>
  <si>
    <t xml:space="preserve">   Total Debt</t>
  </si>
  <si>
    <t>EBITDA
Multiple</t>
  </si>
  <si>
    <t xml:space="preserve">Debt </t>
  </si>
  <si>
    <t>METHOD #7 - LBO Analysis</t>
  </si>
  <si>
    <t>Figure 17.8</t>
  </si>
  <si>
    <t>Figure 17.7</t>
  </si>
  <si>
    <t>Figure 17.9</t>
  </si>
  <si>
    <t>Stock Price 
(as of 8/5/2019)</t>
  </si>
  <si>
    <t>Debt (ST&amp;LT)
6/30/2019
($000)</t>
  </si>
  <si>
    <t>Cash
6/30/2019
 ($000)</t>
  </si>
  <si>
    <t>Figure  1</t>
  </si>
  <si>
    <t>Last Reported Performance (6/30/2019 ($ 000's) - LTM</t>
  </si>
  <si>
    <t>6/30/2019</t>
  </si>
  <si>
    <t>Stocks Outstand. ($000)</t>
  </si>
  <si>
    <t>WH</t>
  </si>
  <si>
    <t>Figure 2</t>
  </si>
  <si>
    <t>Figure 3</t>
  </si>
  <si>
    <t>Figure 1</t>
  </si>
  <si>
    <t>Interest 6/19 LTM ($ 000s)</t>
  </si>
  <si>
    <t>Plus Cash</t>
  </si>
  <si>
    <t>Equity Value (Market Cap)</t>
  </si>
  <si>
    <t>Suggested Stock Price</t>
  </si>
  <si>
    <t>Equity Value (MC)</t>
  </si>
  <si>
    <t>Hyatt's Enterprise Value =</t>
  </si>
  <si>
    <t>Less Debt =</t>
  </si>
  <si>
    <t>Plus Cash =</t>
  </si>
  <si>
    <t>Equity Value (Market Cap) =</t>
  </si>
  <si>
    <t>Suggested Stock Price 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</si>
</sst>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\x"/>
    <numFmt numFmtId="166" formatCode="&quot;$&quot;0.00"/>
    <numFmt numFmtId="167" formatCode="0.00\x"/>
    <numFmt numFmtId="168" formatCode="0.0%"/>
    <numFmt numFmtId="169" formatCode="_(* #,##0.000_);_(* \(#,##0.000\);_(* &quot;-&quot;??_);_(@_)"/>
    <numFmt numFmtId="170" formatCode="_(* #,##0.0000000_);_(* \(#,##0.0000000\);_(* &quot;-&quot;??_);_(@_)"/>
    <numFmt numFmtId="171" formatCode="0.000%"/>
    <numFmt numFmtId="174" formatCode="_(&quot;$&quot;* #,##0_);_(&quot;$&quot;* \(#,##0\);_(&quot;$&quot;* &quot;-&quot;??_);_(@_)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name val="Arial"/>
      <family val="2"/>
    </font>
    <font>
      <sz val="1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b/>
      <sz val="8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sz val="10"/>
      <color indexed="12"/>
      <name val="Arial"/>
      <family val="2"/>
    </font>
    <font>
      <b/>
      <sz val="12"/>
      <color theme="0"/>
      <name val="Arial"/>
      <family val="2"/>
    </font>
    <font>
      <sz val="10"/>
      <color theme="0"/>
      <name val="Arial"/>
      <family val="2"/>
    </font>
    <font>
      <sz val="10"/>
      <color rgb="FFFF0000"/>
      <name val="Arial"/>
      <family val="2"/>
    </font>
    <font>
      <b/>
      <sz val="9"/>
      <color indexed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color indexed="12"/>
      <name val="Arial"/>
      <family val="2"/>
    </font>
    <font>
      <b/>
      <sz val="11"/>
      <name val="Times New Roman"/>
      <family val="1"/>
    </font>
    <font>
      <b/>
      <sz val="10"/>
      <color theme="0"/>
      <name val="Arial"/>
      <family val="2"/>
    </font>
    <font>
      <b/>
      <sz val="8"/>
      <color indexed="12"/>
      <name val="Arial"/>
      <family val="2"/>
    </font>
    <font>
      <i/>
      <sz val="8"/>
      <name val="Arial"/>
      <family val="2"/>
    </font>
    <font>
      <b/>
      <sz val="10"/>
      <color indexed="48"/>
      <name val="Arial"/>
      <family val="2"/>
    </font>
    <font>
      <b/>
      <i/>
      <sz val="10"/>
      <name val="Arial"/>
      <family val="2"/>
    </font>
    <font>
      <b/>
      <sz val="10"/>
      <color indexed="12"/>
      <name val="Arial"/>
      <family val="2"/>
    </font>
    <font>
      <b/>
      <sz val="10"/>
      <color rgb="FF00B0F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47">
    <xf numFmtId="0" fontId="0" fillId="0" borderId="0" xfId="0"/>
    <xf numFmtId="0" fontId="3" fillId="0" borderId="1" xfId="0" applyFont="1" applyBorder="1"/>
    <xf numFmtId="0" fontId="0" fillId="0" borderId="2" xfId="0" applyBorder="1"/>
    <xf numFmtId="0" fontId="0" fillId="0" borderId="3" xfId="0" applyBorder="1"/>
    <xf numFmtId="0" fontId="0" fillId="0" borderId="0" xfId="0" applyBorder="1"/>
    <xf numFmtId="0" fontId="0" fillId="0" borderId="5" xfId="0" applyBorder="1"/>
    <xf numFmtId="0" fontId="6" fillId="0" borderId="0" xfId="0" applyFont="1" applyBorder="1"/>
    <xf numFmtId="0" fontId="6" fillId="2" borderId="6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0" fillId="0" borderId="4" xfId="0" applyBorder="1"/>
    <xf numFmtId="164" fontId="0" fillId="0" borderId="0" xfId="1" applyNumberFormat="1" applyFont="1" applyBorder="1"/>
    <xf numFmtId="164" fontId="0" fillId="0" borderId="7" xfId="1" applyNumberFormat="1" applyFont="1" applyBorder="1"/>
    <xf numFmtId="164" fontId="0" fillId="0" borderId="6" xfId="1" applyNumberFormat="1" applyFont="1" applyBorder="1"/>
    <xf numFmtId="164" fontId="0" fillId="0" borderId="8" xfId="1" applyNumberFormat="1" applyFont="1" applyBorder="1"/>
    <xf numFmtId="0" fontId="0" fillId="0" borderId="7" xfId="0" applyBorder="1"/>
    <xf numFmtId="164" fontId="0" fillId="0" borderId="7" xfId="0" applyNumberFormat="1" applyBorder="1"/>
    <xf numFmtId="164" fontId="0" fillId="0" borderId="6" xfId="0" applyNumberFormat="1" applyBorder="1"/>
    <xf numFmtId="164" fontId="0" fillId="0" borderId="8" xfId="0" applyNumberFormat="1" applyBorder="1"/>
    <xf numFmtId="164" fontId="0" fillId="0" borderId="0" xfId="0" applyNumberFormat="1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0" xfId="0" applyAlignment="1">
      <alignment horizontal="center"/>
    </xf>
    <xf numFmtId="0" fontId="3" fillId="0" borderId="0" xfId="0" applyFont="1"/>
    <xf numFmtId="6" fontId="0" fillId="0" borderId="0" xfId="0" applyNumberForma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6" fillId="0" borderId="16" xfId="0" applyFont="1" applyBorder="1" applyAlignment="1">
      <alignment horizontal="center"/>
    </xf>
    <xf numFmtId="164" fontId="9" fillId="0" borderId="0" xfId="0" applyNumberFormat="1" applyFont="1"/>
    <xf numFmtId="166" fontId="9" fillId="0" borderId="0" xfId="2" applyNumberFormat="1" applyFont="1" applyAlignment="1">
      <alignment horizontal="center"/>
    </xf>
    <xf numFmtId="10" fontId="9" fillId="0" borderId="0" xfId="0" applyNumberFormat="1" applyFont="1"/>
    <xf numFmtId="6" fontId="12" fillId="0" borderId="0" xfId="0" applyNumberFormat="1" applyFont="1"/>
    <xf numFmtId="0" fontId="0" fillId="0" borderId="0" xfId="0" quotePrefix="1"/>
    <xf numFmtId="44" fontId="9" fillId="0" borderId="0" xfId="2" applyFont="1"/>
    <xf numFmtId="0" fontId="0" fillId="0" borderId="6" xfId="0" applyBorder="1"/>
    <xf numFmtId="44" fontId="9" fillId="0" borderId="0" xfId="2" applyFont="1" applyAlignment="1">
      <alignment horizontal="right"/>
    </xf>
    <xf numFmtId="6" fontId="9" fillId="0" borderId="0" xfId="0" applyNumberFormat="1" applyFont="1"/>
    <xf numFmtId="8" fontId="12" fillId="0" borderId="0" xfId="0" applyNumberFormat="1" applyFont="1"/>
    <xf numFmtId="15" fontId="0" fillId="0" borderId="0" xfId="0" applyNumberFormat="1" applyAlignment="1">
      <alignment horizontal="left"/>
    </xf>
    <xf numFmtId="167" fontId="0" fillId="0" borderId="0" xfId="0" applyNumberFormat="1" applyAlignment="1">
      <alignment horizontal="center"/>
    </xf>
    <xf numFmtId="168" fontId="0" fillId="0" borderId="0" xfId="3" applyNumberFormat="1" applyFont="1" applyBorder="1" applyAlignment="1">
      <alignment horizontal="center"/>
    </xf>
    <xf numFmtId="0" fontId="13" fillId="3" borderId="0" xfId="0" applyFont="1" applyFill="1" applyBorder="1"/>
    <xf numFmtId="0" fontId="14" fillId="3" borderId="0" xfId="0" applyFont="1" applyFill="1" applyBorder="1"/>
    <xf numFmtId="0" fontId="14" fillId="3" borderId="0" xfId="0" applyFont="1" applyFill="1"/>
    <xf numFmtId="0" fontId="6" fillId="2" borderId="14" xfId="0" applyFont="1" applyFill="1" applyBorder="1" applyAlignment="1">
      <alignment horizontal="center"/>
    </xf>
    <xf numFmtId="0" fontId="6" fillId="2" borderId="17" xfId="0" applyFont="1" applyFill="1" applyBorder="1" applyAlignment="1">
      <alignment horizontal="center"/>
    </xf>
    <xf numFmtId="0" fontId="0" fillId="0" borderId="18" xfId="0" applyBorder="1"/>
    <xf numFmtId="44" fontId="0" fillId="0" borderId="8" xfId="2" applyNumberFormat="1" applyFont="1" applyBorder="1" applyAlignment="1"/>
    <xf numFmtId="0" fontId="15" fillId="0" borderId="18" xfId="0" applyFont="1" applyBorder="1"/>
    <xf numFmtId="164" fontId="15" fillId="0" borderId="6" xfId="0" applyNumberFormat="1" applyFont="1" applyBorder="1"/>
    <xf numFmtId="44" fontId="15" fillId="0" borderId="8" xfId="2" applyNumberFormat="1" applyFont="1" applyBorder="1" applyAlignment="1"/>
    <xf numFmtId="0" fontId="0" fillId="0" borderId="19" xfId="0" applyBorder="1"/>
    <xf numFmtId="164" fontId="0" fillId="0" borderId="9" xfId="0" applyNumberFormat="1" applyBorder="1"/>
    <xf numFmtId="164" fontId="0" fillId="0" borderId="7" xfId="0" applyNumberFormat="1" applyBorder="1" applyAlignment="1"/>
    <xf numFmtId="0" fontId="6" fillId="0" borderId="4" xfId="0" applyFont="1" applyBorder="1"/>
    <xf numFmtId="164" fontId="6" fillId="0" borderId="16" xfId="0" applyNumberFormat="1" applyFont="1" applyBorder="1"/>
    <xf numFmtId="44" fontId="6" fillId="0" borderId="20" xfId="2" applyNumberFormat="1" applyFont="1" applyBorder="1" applyAlignment="1"/>
    <xf numFmtId="0" fontId="13" fillId="3" borderId="0" xfId="0" applyFont="1" applyFill="1" applyAlignment="1">
      <alignment horizontal="left"/>
    </xf>
    <xf numFmtId="6" fontId="14" fillId="3" borderId="0" xfId="0" applyNumberFormat="1" applyFont="1" applyFill="1"/>
    <xf numFmtId="0" fontId="16" fillId="0" borderId="21" xfId="0" applyFont="1" applyBorder="1" applyAlignment="1">
      <alignment horizontal="center" vertical="center"/>
    </xf>
    <xf numFmtId="0" fontId="16" fillId="0" borderId="21" xfId="0" quotePrefix="1" applyFont="1" applyBorder="1" applyAlignment="1">
      <alignment horizontal="center" vertical="center"/>
    </xf>
    <xf numFmtId="0" fontId="0" fillId="0" borderId="0" xfId="0" quotePrefix="1" applyAlignment="1">
      <alignment horizontal="left"/>
    </xf>
    <xf numFmtId="0" fontId="6" fillId="2" borderId="22" xfId="0" applyFont="1" applyFill="1" applyBorder="1"/>
    <xf numFmtId="0" fontId="6" fillId="2" borderId="23" xfId="0" applyFont="1" applyFill="1" applyBorder="1"/>
    <xf numFmtId="0" fontId="6" fillId="2" borderId="23" xfId="0" applyFont="1" applyFill="1" applyBorder="1" applyAlignment="1">
      <alignment horizontal="center" wrapText="1"/>
    </xf>
    <xf numFmtId="0" fontId="6" fillId="2" borderId="24" xfId="0" applyFont="1" applyFill="1" applyBorder="1" applyAlignment="1">
      <alignment horizontal="center" wrapText="1"/>
    </xf>
    <xf numFmtId="0" fontId="6" fillId="2" borderId="25" xfId="0" applyFont="1" applyFill="1" applyBorder="1" applyAlignment="1">
      <alignment horizontal="center" wrapText="1"/>
    </xf>
    <xf numFmtId="0" fontId="6" fillId="5" borderId="17" xfId="0" applyFont="1" applyFill="1" applyBorder="1" applyAlignment="1">
      <alignment horizontal="center" wrapText="1"/>
    </xf>
    <xf numFmtId="0" fontId="7" fillId="0" borderId="26" xfId="0" applyFont="1" applyBorder="1" applyAlignment="1">
      <alignment horizontal="left" vertical="center" wrapText="1"/>
    </xf>
    <xf numFmtId="0" fontId="17" fillId="0" borderId="27" xfId="0" applyFont="1" applyBorder="1"/>
    <xf numFmtId="44" fontId="17" fillId="0" borderId="27" xfId="2" applyFont="1" applyBorder="1"/>
    <xf numFmtId="169" fontId="17" fillId="0" borderId="27" xfId="1" applyNumberFormat="1" applyFont="1" applyBorder="1"/>
    <xf numFmtId="43" fontId="17" fillId="0" borderId="27" xfId="1" applyNumberFormat="1" applyFont="1" applyBorder="1"/>
    <xf numFmtId="43" fontId="17" fillId="0" borderId="28" xfId="1" applyNumberFormat="1" applyFont="1" applyBorder="1"/>
    <xf numFmtId="43" fontId="17" fillId="0" borderId="6" xfId="1" applyNumberFormat="1" applyFont="1" applyBorder="1"/>
    <xf numFmtId="43" fontId="18" fillId="5" borderId="8" xfId="1" applyNumberFormat="1" applyFont="1" applyFill="1" applyBorder="1"/>
    <xf numFmtId="0" fontId="7" fillId="0" borderId="29" xfId="0" applyFont="1" applyBorder="1" applyAlignment="1">
      <alignment horizontal="left" vertical="center" wrapText="1"/>
    </xf>
    <xf numFmtId="0" fontId="17" fillId="0" borderId="21" xfId="0" applyFont="1" applyBorder="1"/>
    <xf numFmtId="44" fontId="17" fillId="0" borderId="21" xfId="2" applyFont="1" applyBorder="1"/>
    <xf numFmtId="169" fontId="17" fillId="0" borderId="21" xfId="1" applyNumberFormat="1" applyFont="1" applyBorder="1"/>
    <xf numFmtId="43" fontId="17" fillId="0" borderId="30" xfId="1" applyNumberFormat="1" applyFont="1" applyBorder="1"/>
    <xf numFmtId="43" fontId="17" fillId="0" borderId="9" xfId="1" applyNumberFormat="1" applyFont="1" applyBorder="1"/>
    <xf numFmtId="43" fontId="18" fillId="5" borderId="10" xfId="1" applyNumberFormat="1" applyFont="1" applyFill="1" applyBorder="1"/>
    <xf numFmtId="44" fontId="17" fillId="0" borderId="21" xfId="2" applyFont="1" applyFill="1" applyBorder="1"/>
    <xf numFmtId="44" fontId="17" fillId="6" borderId="21" xfId="2" applyFont="1" applyFill="1" applyBorder="1" applyAlignment="1">
      <alignment horizontal="center"/>
    </xf>
    <xf numFmtId="164" fontId="17" fillId="6" borderId="21" xfId="1" applyNumberFormat="1" applyFont="1" applyFill="1" applyBorder="1"/>
    <xf numFmtId="164" fontId="17" fillId="0" borderId="27" xfId="1" applyNumberFormat="1" applyFont="1" applyBorder="1"/>
    <xf numFmtId="164" fontId="19" fillId="0" borderId="30" xfId="1" applyNumberFormat="1" applyFont="1" applyFill="1" applyBorder="1"/>
    <xf numFmtId="164" fontId="18" fillId="5" borderId="10" xfId="1" applyNumberFormat="1" applyFont="1" applyFill="1" applyBorder="1"/>
    <xf numFmtId="164" fontId="0" fillId="0" borderId="0" xfId="1" applyNumberFormat="1" applyFont="1"/>
    <xf numFmtId="0" fontId="20" fillId="2" borderId="31" xfId="0" applyFont="1" applyFill="1" applyBorder="1" applyAlignment="1">
      <alignment horizontal="left" vertical="center" wrapText="1"/>
    </xf>
    <xf numFmtId="164" fontId="6" fillId="2" borderId="32" xfId="0" applyNumberFormat="1" applyFont="1" applyFill="1" applyBorder="1"/>
    <xf numFmtId="0" fontId="6" fillId="0" borderId="0" xfId="0" applyFont="1"/>
    <xf numFmtId="0" fontId="21" fillId="3" borderId="0" xfId="0" applyFont="1" applyFill="1" applyBorder="1"/>
    <xf numFmtId="0" fontId="11" fillId="0" borderId="0" xfId="0" applyFont="1" applyFill="1" applyBorder="1"/>
    <xf numFmtId="0" fontId="9" fillId="0" borderId="0" xfId="0" applyFont="1" applyFill="1" applyBorder="1"/>
    <xf numFmtId="167" fontId="0" fillId="0" borderId="0" xfId="0" applyNumberFormat="1"/>
    <xf numFmtId="0" fontId="6" fillId="4" borderId="31" xfId="0" applyFont="1" applyFill="1" applyBorder="1"/>
    <xf numFmtId="168" fontId="6" fillId="4" borderId="32" xfId="3" applyNumberFormat="1" applyFont="1" applyFill="1" applyBorder="1"/>
    <xf numFmtId="0" fontId="0" fillId="7" borderId="33" xfId="0" applyFill="1" applyBorder="1"/>
    <xf numFmtId="44" fontId="6" fillId="4" borderId="32" xfId="2" applyFont="1" applyFill="1" applyBorder="1"/>
    <xf numFmtId="10" fontId="6" fillId="4" borderId="32" xfId="3" applyNumberFormat="1" applyFont="1" applyFill="1" applyBorder="1"/>
    <xf numFmtId="0" fontId="3" fillId="0" borderId="0" xfId="0" applyFont="1" applyAlignment="1">
      <alignment horizontal="left"/>
    </xf>
    <xf numFmtId="0" fontId="6" fillId="2" borderId="23" xfId="0" applyFont="1" applyFill="1" applyBorder="1" applyAlignment="1">
      <alignment horizontal="center"/>
    </xf>
    <xf numFmtId="0" fontId="6" fillId="5" borderId="17" xfId="0" applyFont="1" applyFill="1" applyBorder="1" applyAlignment="1">
      <alignment wrapText="1"/>
    </xf>
    <xf numFmtId="0" fontId="6" fillId="2" borderId="17" xfId="0" applyFont="1" applyFill="1" applyBorder="1" applyAlignment="1">
      <alignment horizontal="center" wrapText="1"/>
    </xf>
    <xf numFmtId="0" fontId="17" fillId="0" borderId="27" xfId="0" applyFont="1" applyBorder="1" applyAlignment="1">
      <alignment horizontal="center"/>
    </xf>
    <xf numFmtId="44" fontId="17" fillId="6" borderId="27" xfId="2" applyFont="1" applyFill="1" applyBorder="1"/>
    <xf numFmtId="164" fontId="19" fillId="0" borderId="27" xfId="1" applyNumberFormat="1" applyFont="1" applyBorder="1"/>
    <xf numFmtId="164" fontId="19" fillId="0" borderId="28" xfId="1" applyNumberFormat="1" applyFont="1" applyBorder="1"/>
    <xf numFmtId="164" fontId="19" fillId="0" borderId="34" xfId="1" applyNumberFormat="1" applyFont="1" applyBorder="1"/>
    <xf numFmtId="164" fontId="18" fillId="5" borderId="8" xfId="1" applyNumberFormat="1" applyFont="1" applyFill="1" applyBorder="1"/>
    <xf numFmtId="167" fontId="18" fillId="5" borderId="8" xfId="1" applyNumberFormat="1" applyFont="1" applyFill="1" applyBorder="1"/>
    <xf numFmtId="0" fontId="17" fillId="0" borderId="21" xfId="0" applyFont="1" applyBorder="1" applyAlignment="1">
      <alignment horizontal="center"/>
    </xf>
    <xf numFmtId="44" fontId="17" fillId="6" borderId="21" xfId="2" applyFont="1" applyFill="1" applyBorder="1"/>
    <xf numFmtId="164" fontId="19" fillId="0" borderId="21" xfId="1" applyNumberFormat="1" applyFont="1" applyBorder="1"/>
    <xf numFmtId="164" fontId="19" fillId="0" borderId="30" xfId="1" applyNumberFormat="1" applyFont="1" applyBorder="1"/>
    <xf numFmtId="164" fontId="19" fillId="0" borderId="35" xfId="1" applyNumberFormat="1" applyFont="1" applyBorder="1"/>
    <xf numFmtId="44" fontId="17" fillId="0" borderId="21" xfId="2" applyFont="1" applyBorder="1" applyAlignment="1">
      <alignment horizontal="center"/>
    </xf>
    <xf numFmtId="44" fontId="17" fillId="0" borderId="21" xfId="2" applyFont="1" applyFill="1" applyBorder="1" applyAlignment="1">
      <alignment horizontal="center"/>
    </xf>
    <xf numFmtId="0" fontId="7" fillId="0" borderId="36" xfId="0" applyFont="1" applyBorder="1" applyAlignment="1">
      <alignment horizontal="left" vertical="center" wrapText="1"/>
    </xf>
    <xf numFmtId="44" fontId="17" fillId="6" borderId="37" xfId="2" applyFont="1" applyFill="1" applyBorder="1"/>
    <xf numFmtId="164" fontId="19" fillId="0" borderId="37" xfId="1" applyNumberFormat="1" applyFont="1" applyBorder="1"/>
    <xf numFmtId="164" fontId="17" fillId="0" borderId="38" xfId="1" applyNumberFormat="1" applyFont="1" applyBorder="1"/>
    <xf numFmtId="164" fontId="19" fillId="0" borderId="39" xfId="1" applyNumberFormat="1" applyFont="1" applyBorder="1"/>
    <xf numFmtId="164" fontId="19" fillId="0" borderId="40" xfId="1" applyNumberFormat="1" applyFont="1" applyBorder="1"/>
    <xf numFmtId="164" fontId="18" fillId="5" borderId="12" xfId="1" applyNumberFormat="1" applyFont="1" applyFill="1" applyBorder="1"/>
    <xf numFmtId="167" fontId="18" fillId="5" borderId="12" xfId="1" applyNumberFormat="1" applyFont="1" applyFill="1" applyBorder="1"/>
    <xf numFmtId="0" fontId="7" fillId="0" borderId="22" xfId="0" applyFont="1" applyBorder="1" applyAlignment="1">
      <alignment horizontal="left" vertical="center" wrapText="1"/>
    </xf>
    <xf numFmtId="44" fontId="17" fillId="0" borderId="23" xfId="2" applyFont="1" applyFill="1" applyBorder="1" applyAlignment="1">
      <alignment horizontal="center"/>
    </xf>
    <xf numFmtId="164" fontId="17" fillId="0" borderId="23" xfId="1" applyNumberFormat="1" applyFont="1" applyBorder="1"/>
    <xf numFmtId="164" fontId="17" fillId="0" borderId="24" xfId="1" applyNumberFormat="1" applyFont="1" applyBorder="1"/>
    <xf numFmtId="164" fontId="17" fillId="0" borderId="25" xfId="1" applyNumberFormat="1" applyFont="1" applyBorder="1"/>
    <xf numFmtId="164" fontId="18" fillId="5" borderId="17" xfId="1" applyNumberFormat="1" applyFont="1" applyFill="1" applyBorder="1"/>
    <xf numFmtId="167" fontId="18" fillId="5" borderId="17" xfId="1" applyNumberFormat="1" applyFont="1" applyFill="1" applyBorder="1"/>
    <xf numFmtId="43" fontId="0" fillId="0" borderId="0" xfId="0" applyNumberFormat="1"/>
    <xf numFmtId="167" fontId="17" fillId="0" borderId="0" xfId="0" applyNumberFormat="1" applyFont="1"/>
    <xf numFmtId="164" fontId="0" fillId="0" borderId="0" xfId="0" applyNumberFormat="1"/>
    <xf numFmtId="167" fontId="18" fillId="0" borderId="0" xfId="0" applyNumberFormat="1" applyFont="1"/>
    <xf numFmtId="0" fontId="17" fillId="0" borderId="0" xfId="0" applyFont="1"/>
    <xf numFmtId="0" fontId="13" fillId="3" borderId="0" xfId="0" applyFont="1" applyFill="1"/>
    <xf numFmtId="0" fontId="0" fillId="3" borderId="0" xfId="0" applyFill="1"/>
    <xf numFmtId="0" fontId="0" fillId="0" borderId="0" xfId="0" applyAlignment="1">
      <alignment horizontal="left"/>
    </xf>
    <xf numFmtId="0" fontId="6" fillId="5" borderId="25" xfId="0" applyFont="1" applyFill="1" applyBorder="1" applyAlignment="1">
      <alignment horizontal="center" wrapText="1"/>
    </xf>
    <xf numFmtId="0" fontId="17" fillId="0" borderId="27" xfId="0" applyFont="1" applyFill="1" applyBorder="1" applyAlignment="1">
      <alignment horizontal="left" vertical="center" wrapText="1"/>
    </xf>
    <xf numFmtId="44" fontId="17" fillId="0" borderId="27" xfId="2" applyFont="1" applyFill="1" applyBorder="1" applyAlignment="1">
      <alignment vertical="center"/>
    </xf>
    <xf numFmtId="164" fontId="17" fillId="0" borderId="27" xfId="1" applyNumberFormat="1" applyFont="1" applyFill="1" applyBorder="1" applyAlignment="1">
      <alignment vertical="center"/>
    </xf>
    <xf numFmtId="167" fontId="17" fillId="0" borderId="34" xfId="0" applyNumberFormat="1" applyFont="1" applyFill="1" applyBorder="1" applyAlignment="1">
      <alignment vertical="center"/>
    </xf>
    <xf numFmtId="0" fontId="17" fillId="0" borderId="0" xfId="0" applyFont="1" applyBorder="1"/>
    <xf numFmtId="167" fontId="17" fillId="0" borderId="34" xfId="0" applyNumberFormat="1" applyFont="1" applyBorder="1"/>
    <xf numFmtId="14" fontId="17" fillId="0" borderId="41" xfId="0" applyNumberFormat="1" applyFont="1" applyBorder="1" applyAlignment="1">
      <alignment horizontal="left"/>
    </xf>
    <xf numFmtId="164" fontId="17" fillId="0" borderId="21" xfId="1" applyNumberFormat="1" applyFont="1" applyBorder="1"/>
    <xf numFmtId="167" fontId="17" fillId="0" borderId="35" xfId="0" applyNumberFormat="1" applyFont="1" applyBorder="1"/>
    <xf numFmtId="0" fontId="17" fillId="0" borderId="37" xfId="0" applyFont="1" applyBorder="1"/>
    <xf numFmtId="44" fontId="17" fillId="0" borderId="37" xfId="2" applyFont="1" applyBorder="1"/>
    <xf numFmtId="164" fontId="17" fillId="0" borderId="37" xfId="1" applyNumberFormat="1" applyFont="1" applyBorder="1"/>
    <xf numFmtId="167" fontId="17" fillId="0" borderId="40" xfId="0" applyNumberFormat="1" applyFont="1" applyBorder="1"/>
    <xf numFmtId="167" fontId="6" fillId="0" borderId="0" xfId="0" applyNumberFormat="1" applyFont="1" applyBorder="1"/>
    <xf numFmtId="0" fontId="6" fillId="0" borderId="0" xfId="0" applyFont="1" applyAlignment="1">
      <alignment horizontal="right"/>
    </xf>
    <xf numFmtId="0" fontId="23" fillId="0" borderId="6" xfId="0" applyFont="1" applyBorder="1" applyAlignment="1">
      <alignment horizontal="right"/>
    </xf>
    <xf numFmtId="0" fontId="23" fillId="0" borderId="6" xfId="0" applyFont="1" applyBorder="1" applyAlignment="1">
      <alignment horizontal="center"/>
    </xf>
    <xf numFmtId="0" fontId="6" fillId="2" borderId="42" xfId="0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6" fillId="2" borderId="38" xfId="0" applyFont="1" applyFill="1" applyBorder="1" applyAlignment="1">
      <alignment horizontal="center"/>
    </xf>
    <xf numFmtId="14" fontId="24" fillId="2" borderId="12" xfId="0" quotePrefix="1" applyNumberFormat="1" applyFont="1" applyFill="1" applyBorder="1" applyAlignment="1">
      <alignment horizontal="center"/>
    </xf>
    <xf numFmtId="14" fontId="6" fillId="2" borderId="14" xfId="0" applyNumberFormat="1" applyFont="1" applyFill="1" applyBorder="1" applyAlignment="1">
      <alignment horizontal="right"/>
    </xf>
    <xf numFmtId="14" fontId="6" fillId="2" borderId="12" xfId="0" applyNumberFormat="1" applyFont="1" applyFill="1" applyBorder="1" applyAlignment="1">
      <alignment horizontal="right"/>
    </xf>
    <xf numFmtId="9" fontId="12" fillId="0" borderId="42" xfId="0" applyNumberFormat="1" applyFont="1" applyBorder="1" applyAlignment="1">
      <alignment horizontal="center"/>
    </xf>
    <xf numFmtId="9" fontId="12" fillId="0" borderId="0" xfId="0" applyNumberFormat="1" applyFont="1" applyAlignment="1">
      <alignment horizontal="center"/>
    </xf>
    <xf numFmtId="164" fontId="12" fillId="0" borderId="7" xfId="1" applyNumberFormat="1" applyFont="1" applyBorder="1"/>
    <xf numFmtId="164" fontId="0" fillId="0" borderId="5" xfId="1" applyNumberFormat="1" applyFont="1" applyBorder="1"/>
    <xf numFmtId="168" fontId="12" fillId="0" borderId="42" xfId="0" applyNumberFormat="1" applyFont="1" applyBorder="1" applyAlignment="1">
      <alignment horizontal="center"/>
    </xf>
    <xf numFmtId="168" fontId="12" fillId="0" borderId="0" xfId="0" applyNumberFormat="1" applyFont="1" applyAlignment="1">
      <alignment horizontal="center"/>
    </xf>
    <xf numFmtId="164" fontId="9" fillId="0" borderId="7" xfId="1" applyNumberFormat="1" applyFont="1" applyBorder="1"/>
    <xf numFmtId="168" fontId="19" fillId="0" borderId="0" xfId="3" applyNumberFormat="1" applyFont="1" applyBorder="1"/>
    <xf numFmtId="168" fontId="19" fillId="0" borderId="7" xfId="3" applyNumberFormat="1" applyFont="1" applyBorder="1"/>
    <xf numFmtId="168" fontId="19" fillId="0" borderId="5" xfId="3" applyNumberFormat="1" applyFont="1" applyBorder="1"/>
    <xf numFmtId="0" fontId="9" fillId="0" borderId="0" xfId="0" quotePrefix="1" applyFont="1" applyAlignment="1">
      <alignment shrinkToFit="1"/>
    </xf>
    <xf numFmtId="164" fontId="12" fillId="0" borderId="8" xfId="1" applyNumberFormat="1" applyFont="1" applyBorder="1"/>
    <xf numFmtId="164" fontId="0" fillId="0" borderId="43" xfId="1" applyNumberFormat="1" applyFont="1" applyBorder="1"/>
    <xf numFmtId="0" fontId="12" fillId="0" borderId="42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0" fillId="0" borderId="42" xfId="0" applyBorder="1"/>
    <xf numFmtId="164" fontId="6" fillId="0" borderId="44" xfId="1" applyNumberFormat="1" applyFont="1" applyFill="1" applyBorder="1"/>
    <xf numFmtId="164" fontId="6" fillId="0" borderId="16" xfId="1" applyNumberFormat="1" applyFont="1" applyBorder="1"/>
    <xf numFmtId="164" fontId="6" fillId="0" borderId="44" xfId="1" applyNumberFormat="1" applyFont="1" applyBorder="1"/>
    <xf numFmtId="164" fontId="6" fillId="0" borderId="45" xfId="1" applyNumberFormat="1" applyFont="1" applyBorder="1"/>
    <xf numFmtId="0" fontId="0" fillId="0" borderId="46" xfId="0" applyBorder="1"/>
    <xf numFmtId="164" fontId="6" fillId="0" borderId="46" xfId="0" applyNumberFormat="1" applyFont="1" applyFill="1" applyBorder="1"/>
    <xf numFmtId="164" fontId="6" fillId="0" borderId="46" xfId="0" applyNumberFormat="1" applyFont="1" applyBorder="1"/>
    <xf numFmtId="164" fontId="6" fillId="0" borderId="47" xfId="0" applyNumberFormat="1" applyFont="1" applyBorder="1"/>
    <xf numFmtId="164" fontId="6" fillId="0" borderId="48" xfId="0" applyNumberFormat="1" applyFont="1" applyBorder="1"/>
    <xf numFmtId="0" fontId="6" fillId="0" borderId="6" xfId="0" applyFont="1" applyBorder="1"/>
    <xf numFmtId="164" fontId="6" fillId="0" borderId="6" xfId="0" applyNumberFormat="1" applyFont="1" applyBorder="1"/>
    <xf numFmtId="164" fontId="6" fillId="0" borderId="8" xfId="1" applyNumberFormat="1" applyFont="1" applyBorder="1"/>
    <xf numFmtId="164" fontId="6" fillId="0" borderId="43" xfId="1" applyNumberFormat="1" applyFont="1" applyBorder="1"/>
    <xf numFmtId="0" fontId="25" fillId="0" borderId="0" xfId="0" applyFont="1"/>
    <xf numFmtId="0" fontId="6" fillId="0" borderId="14" xfId="0" applyFont="1" applyBorder="1" applyAlignment="1">
      <alignment horizontal="right"/>
    </xf>
    <xf numFmtId="0" fontId="6" fillId="0" borderId="14" xfId="0" applyFont="1" applyBorder="1" applyAlignment="1">
      <alignment horizontal="center"/>
    </xf>
    <xf numFmtId="165" fontId="0" fillId="0" borderId="0" xfId="0" applyNumberFormat="1" applyBorder="1"/>
    <xf numFmtId="0" fontId="0" fillId="0" borderId="0" xfId="0" quotePrefix="1" applyBorder="1"/>
    <xf numFmtId="10" fontId="12" fillId="0" borderId="0" xfId="0" applyNumberFormat="1" applyFont="1"/>
    <xf numFmtId="10" fontId="0" fillId="0" borderId="0" xfId="0" applyNumberFormat="1" applyBorder="1"/>
    <xf numFmtId="0" fontId="17" fillId="0" borderId="0" xfId="0" quotePrefix="1" applyFont="1" applyAlignment="1">
      <alignment shrinkToFit="1"/>
    </xf>
    <xf numFmtId="164" fontId="0" fillId="0" borderId="47" xfId="1" applyNumberFormat="1" applyFont="1" applyBorder="1"/>
    <xf numFmtId="0" fontId="18" fillId="0" borderId="42" xfId="0" applyFont="1" applyBorder="1" applyAlignment="1">
      <alignment horizontal="center"/>
    </xf>
    <xf numFmtId="0" fontId="0" fillId="0" borderId="16" xfId="0" applyBorder="1"/>
    <xf numFmtId="168" fontId="6" fillId="0" borderId="16" xfId="0" applyNumberFormat="1" applyFont="1" applyBorder="1"/>
    <xf numFmtId="0" fontId="0" fillId="0" borderId="49" xfId="0" applyBorder="1"/>
    <xf numFmtId="164" fontId="6" fillId="0" borderId="44" xfId="0" applyNumberFormat="1" applyFont="1" applyBorder="1"/>
    <xf numFmtId="170" fontId="6" fillId="0" borderId="42" xfId="1" applyNumberFormat="1" applyFont="1" applyBorder="1"/>
    <xf numFmtId="6" fontId="6" fillId="0" borderId="0" xfId="0" applyNumberFormat="1" applyFont="1"/>
    <xf numFmtId="6" fontId="6" fillId="0" borderId="16" xfId="0" applyNumberFormat="1" applyFont="1" applyBorder="1"/>
    <xf numFmtId="0" fontId="20" fillId="2" borderId="31" xfId="0" applyFont="1" applyFill="1" applyBorder="1" applyAlignment="1">
      <alignment horizontal="left" vertical="center"/>
    </xf>
    <xf numFmtId="0" fontId="20" fillId="2" borderId="33" xfId="0" applyFont="1" applyFill="1" applyBorder="1" applyAlignment="1">
      <alignment horizontal="left" vertical="center"/>
    </xf>
    <xf numFmtId="0" fontId="20" fillId="2" borderId="32" xfId="0" applyFont="1" applyFill="1" applyBorder="1" applyAlignment="1">
      <alignment horizontal="left" vertical="center"/>
    </xf>
    <xf numFmtId="0" fontId="8" fillId="2" borderId="31" xfId="0" applyFont="1" applyFill="1" applyBorder="1" applyAlignment="1">
      <alignment horizontal="left" vertical="center"/>
    </xf>
    <xf numFmtId="0" fontId="20" fillId="2" borderId="17" xfId="0" applyFont="1" applyFill="1" applyBorder="1" applyAlignment="1">
      <alignment horizontal="left" vertical="center"/>
    </xf>
    <xf numFmtId="6" fontId="6" fillId="0" borderId="0" xfId="0" applyNumberFormat="1" applyFont="1" applyBorder="1"/>
    <xf numFmtId="0" fontId="6" fillId="0" borderId="4" xfId="0" applyFont="1" applyFill="1" applyBorder="1"/>
    <xf numFmtId="0" fontId="6" fillId="0" borderId="0" xfId="0" applyFont="1" applyFill="1" applyBorder="1"/>
    <xf numFmtId="10" fontId="6" fillId="0" borderId="5" xfId="0" applyNumberFormat="1" applyFont="1" applyFill="1" applyBorder="1"/>
    <xf numFmtId="164" fontId="9" fillId="0" borderId="4" xfId="1" applyNumberFormat="1" applyFont="1" applyBorder="1"/>
    <xf numFmtId="0" fontId="11" fillId="0" borderId="0" xfId="0" applyFont="1" applyAlignment="1">
      <alignment horizontal="right"/>
    </xf>
    <xf numFmtId="6" fontId="11" fillId="0" borderId="0" xfId="0" applyNumberFormat="1" applyFont="1"/>
    <xf numFmtId="10" fontId="26" fillId="0" borderId="5" xfId="0" applyNumberFormat="1" applyFont="1" applyFill="1" applyBorder="1"/>
    <xf numFmtId="10" fontId="0" fillId="0" borderId="4" xfId="3" applyNumberFormat="1" applyFont="1" applyBorder="1"/>
    <xf numFmtId="0" fontId="9" fillId="0" borderId="5" xfId="0" applyFont="1" applyBorder="1"/>
    <xf numFmtId="0" fontId="0" fillId="0" borderId="0" xfId="0" applyAlignment="1">
      <alignment horizontal="right"/>
    </xf>
    <xf numFmtId="167" fontId="6" fillId="0" borderId="5" xfId="0" applyNumberFormat="1" applyFont="1" applyFill="1" applyBorder="1"/>
    <xf numFmtId="0" fontId="0" fillId="0" borderId="0" xfId="0" quotePrefix="1" applyAlignment="1">
      <alignment horizontal="right"/>
    </xf>
    <xf numFmtId="164" fontId="6" fillId="0" borderId="0" xfId="0" applyNumberFormat="1" applyFont="1"/>
    <xf numFmtId="0" fontId="6" fillId="0" borderId="13" xfId="0" applyFont="1" applyFill="1" applyBorder="1"/>
    <xf numFmtId="0" fontId="6" fillId="0" borderId="14" xfId="0" applyFont="1" applyFill="1" applyBorder="1"/>
    <xf numFmtId="168" fontId="6" fillId="0" borderId="17" xfId="3" applyNumberFormat="1" applyFont="1" applyFill="1" applyBorder="1"/>
    <xf numFmtId="0" fontId="0" fillId="2" borderId="33" xfId="0" applyFill="1" applyBorder="1"/>
    <xf numFmtId="0" fontId="20" fillId="2" borderId="33" xfId="0" applyFont="1" applyFill="1" applyBorder="1" applyAlignment="1">
      <alignment horizontal="right" vertical="center"/>
    </xf>
    <xf numFmtId="0" fontId="20" fillId="2" borderId="32" xfId="0" applyFont="1" applyFill="1" applyBorder="1" applyAlignment="1">
      <alignment horizontal="right" vertical="center"/>
    </xf>
    <xf numFmtId="164" fontId="6" fillId="0" borderId="0" xfId="0" applyNumberFormat="1" applyFont="1" applyFill="1" applyBorder="1"/>
    <xf numFmtId="168" fontId="6" fillId="0" borderId="0" xfId="3" applyNumberFormat="1" applyFont="1" applyFill="1" applyBorder="1"/>
    <xf numFmtId="171" fontId="6" fillId="0" borderId="0" xfId="3" applyNumberFormat="1" applyFont="1" applyFill="1" applyBorder="1"/>
    <xf numFmtId="171" fontId="6" fillId="0" borderId="5" xfId="3" applyNumberFormat="1" applyFont="1" applyFill="1" applyBorder="1"/>
    <xf numFmtId="171" fontId="6" fillId="0" borderId="0" xfId="0" applyNumberFormat="1" applyFont="1" applyFill="1" applyBorder="1"/>
    <xf numFmtId="164" fontId="6" fillId="0" borderId="14" xfId="0" applyNumberFormat="1" applyFont="1" applyFill="1" applyBorder="1"/>
    <xf numFmtId="168" fontId="6" fillId="0" borderId="11" xfId="3" applyNumberFormat="1" applyFont="1" applyFill="1" applyBorder="1"/>
    <xf numFmtId="0" fontId="6" fillId="0" borderId="11" xfId="0" applyFont="1" applyFill="1" applyBorder="1"/>
    <xf numFmtId="171" fontId="6" fillId="0" borderId="50" xfId="0" applyNumberFormat="1" applyFont="1" applyFill="1" applyBorder="1"/>
    <xf numFmtId="44" fontId="0" fillId="0" borderId="0" xfId="0" applyNumberFormat="1"/>
    <xf numFmtId="0" fontId="0" fillId="0" borderId="0" xfId="0" applyBorder="1" applyAlignment="1">
      <alignment horizontal="center"/>
    </xf>
    <xf numFmtId="6" fontId="0" fillId="0" borderId="2" xfId="0" applyNumberFormat="1" applyBorder="1"/>
    <xf numFmtId="0" fontId="7" fillId="0" borderId="4" xfId="0" applyFont="1" applyBorder="1"/>
    <xf numFmtId="6" fontId="0" fillId="0" borderId="0" xfId="0" applyNumberFormat="1" applyBorder="1"/>
    <xf numFmtId="0" fontId="13" fillId="3" borderId="4" xfId="0" applyFont="1" applyFill="1" applyBorder="1" applyAlignment="1">
      <alignment horizontal="left"/>
    </xf>
    <xf numFmtId="0" fontId="21" fillId="3" borderId="5" xfId="0" applyFont="1" applyFill="1" applyBorder="1"/>
    <xf numFmtId="0" fontId="5" fillId="0" borderId="4" xfId="0" applyFont="1" applyBorder="1" applyAlignment="1">
      <alignment horizontal="left"/>
    </xf>
    <xf numFmtId="0" fontId="6" fillId="0" borderId="5" xfId="0" applyFont="1" applyBorder="1"/>
    <xf numFmtId="0" fontId="11" fillId="0" borderId="4" xfId="0" applyFont="1" applyFill="1" applyBorder="1"/>
    <xf numFmtId="0" fontId="9" fillId="0" borderId="0" xfId="0" applyFont="1" applyBorder="1"/>
    <xf numFmtId="0" fontId="9" fillId="0" borderId="4" xfId="0" applyFont="1" applyFill="1" applyBorder="1"/>
    <xf numFmtId="10" fontId="9" fillId="0" borderId="0" xfId="0" applyNumberFormat="1" applyFont="1" applyBorder="1"/>
    <xf numFmtId="8" fontId="9" fillId="0" borderId="0" xfId="0" applyNumberFormat="1" applyFont="1" applyBorder="1"/>
    <xf numFmtId="167" fontId="9" fillId="0" borderId="0" xfId="0" applyNumberFormat="1" applyFont="1" applyBorder="1"/>
    <xf numFmtId="8" fontId="12" fillId="0" borderId="0" xfId="0" applyNumberFormat="1" applyFont="1" applyBorder="1"/>
    <xf numFmtId="0" fontId="17" fillId="0" borderId="0" xfId="0" quotePrefix="1" applyFont="1" applyBorder="1"/>
    <xf numFmtId="167" fontId="0" fillId="0" borderId="0" xfId="0" applyNumberFormat="1" applyBorder="1"/>
    <xf numFmtId="0" fontId="3" fillId="0" borderId="4" xfId="0" applyFont="1" applyBorder="1"/>
    <xf numFmtId="168" fontId="9" fillId="0" borderId="0" xfId="0" applyNumberFormat="1" applyFont="1" applyBorder="1"/>
    <xf numFmtId="167" fontId="22" fillId="5" borderId="8" xfId="1" applyNumberFormat="1" applyFont="1" applyFill="1" applyBorder="1" applyAlignment="1">
      <alignment horizontal="center"/>
    </xf>
    <xf numFmtId="167" fontId="22" fillId="5" borderId="12" xfId="1" applyNumberFormat="1" applyFont="1" applyFill="1" applyBorder="1" applyAlignment="1">
      <alignment horizontal="center"/>
    </xf>
    <xf numFmtId="167" fontId="22" fillId="5" borderId="17" xfId="1" applyNumberFormat="1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5" fillId="0" borderId="0" xfId="0" applyFont="1" applyFill="1"/>
    <xf numFmtId="0" fontId="9" fillId="0" borderId="0" xfId="0" applyFont="1" applyFill="1"/>
    <xf numFmtId="0" fontId="4" fillId="0" borderId="0" xfId="0" applyFont="1" applyFill="1"/>
    <xf numFmtId="0" fontId="6" fillId="2" borderId="38" xfId="0" applyFont="1" applyFill="1" applyBorder="1" applyAlignment="1">
      <alignment horizontal="center" wrapText="1" shrinkToFit="1"/>
    </xf>
    <xf numFmtId="9" fontId="9" fillId="0" borderId="0" xfId="0" applyNumberFormat="1" applyFont="1" applyFill="1" applyAlignment="1">
      <alignment horizontal="center"/>
    </xf>
    <xf numFmtId="44" fontId="9" fillId="0" borderId="0" xfId="0" applyNumberFormat="1" applyFont="1" applyFill="1"/>
    <xf numFmtId="164" fontId="9" fillId="0" borderId="0" xfId="1" applyNumberFormat="1" applyFont="1" applyFill="1"/>
    <xf numFmtId="0" fontId="6" fillId="2" borderId="38" xfId="0" applyFont="1" applyFill="1" applyBorder="1" applyAlignment="1">
      <alignment horizontal="center" wrapText="1"/>
    </xf>
    <xf numFmtId="10" fontId="9" fillId="0" borderId="0" xfId="0" applyNumberFormat="1" applyFont="1" applyFill="1"/>
    <xf numFmtId="10" fontId="9" fillId="0" borderId="0" xfId="3" applyNumberFormat="1" applyFont="1" applyFill="1"/>
    <xf numFmtId="10" fontId="9" fillId="0" borderId="11" xfId="3" applyNumberFormat="1" applyFont="1" applyFill="1" applyBorder="1"/>
    <xf numFmtId="168" fontId="9" fillId="0" borderId="0" xfId="3" applyNumberFormat="1" applyFont="1" applyFill="1" applyAlignment="1">
      <alignment horizontal="center"/>
    </xf>
    <xf numFmtId="10" fontId="9" fillId="0" borderId="0" xfId="3" applyNumberFormat="1" applyFont="1" applyFill="1" applyAlignment="1">
      <alignment horizontal="center"/>
    </xf>
    <xf numFmtId="168" fontId="9" fillId="0" borderId="0" xfId="0" applyNumberFormat="1" applyFont="1" applyFill="1" applyAlignment="1">
      <alignment horizontal="center"/>
    </xf>
    <xf numFmtId="171" fontId="9" fillId="0" borderId="0" xfId="3" applyNumberFormat="1" applyFont="1" applyFill="1" applyAlignment="1">
      <alignment horizontal="center"/>
    </xf>
    <xf numFmtId="171" fontId="9" fillId="0" borderId="11" xfId="0" applyNumberFormat="1" applyFont="1" applyFill="1" applyBorder="1" applyAlignment="1">
      <alignment horizontal="center"/>
    </xf>
    <xf numFmtId="164" fontId="6" fillId="0" borderId="0" xfId="1" applyNumberFormat="1" applyFont="1" applyFill="1"/>
    <xf numFmtId="164" fontId="6" fillId="0" borderId="0" xfId="0" applyNumberFormat="1" applyFont="1" applyFill="1"/>
    <xf numFmtId="164" fontId="6" fillId="0" borderId="11" xfId="0" applyNumberFormat="1" applyFont="1" applyFill="1" applyBorder="1"/>
    <xf numFmtId="0" fontId="0" fillId="0" borderId="0" xfId="0" applyFill="1" applyBorder="1"/>
    <xf numFmtId="164" fontId="9" fillId="0" borderId="8" xfId="1" applyNumberFormat="1" applyFont="1" applyBorder="1"/>
    <xf numFmtId="0" fontId="11" fillId="0" borderId="4" xfId="0" applyFont="1" applyBorder="1"/>
    <xf numFmtId="0" fontId="11" fillId="0" borderId="0" xfId="0" applyFont="1" applyBorder="1"/>
    <xf numFmtId="0" fontId="9" fillId="0" borderId="4" xfId="0" applyFont="1" applyBorder="1"/>
    <xf numFmtId="168" fontId="12" fillId="0" borderId="0" xfId="3" applyNumberFormat="1" applyFont="1" applyBorder="1"/>
    <xf numFmtId="44" fontId="9" fillId="0" borderId="0" xfId="2" applyFont="1" applyBorder="1"/>
    <xf numFmtId="0" fontId="2" fillId="0" borderId="0" xfId="0" applyFont="1"/>
    <xf numFmtId="0" fontId="9" fillId="0" borderId="0" xfId="0" applyFont="1" applyFill="1" applyAlignment="1">
      <alignment horizontal="center"/>
    </xf>
    <xf numFmtId="164" fontId="9" fillId="0" borderId="0" xfId="0" applyNumberFormat="1" applyFont="1" applyFill="1"/>
    <xf numFmtId="164" fontId="4" fillId="0" borderId="11" xfId="0" applyNumberFormat="1" applyFont="1" applyFill="1" applyBorder="1"/>
    <xf numFmtId="164" fontId="9" fillId="0" borderId="11" xfId="1" applyNumberFormat="1" applyFont="1" applyFill="1" applyBorder="1"/>
    <xf numFmtId="14" fontId="24" fillId="2" borderId="38" xfId="0" quotePrefix="1" applyNumberFormat="1" applyFont="1" applyFill="1" applyBorder="1" applyAlignment="1">
      <alignment horizontal="center"/>
    </xf>
    <xf numFmtId="0" fontId="4" fillId="0" borderId="42" xfId="0" applyFont="1" applyFill="1" applyBorder="1"/>
    <xf numFmtId="164" fontId="9" fillId="0" borderId="42" xfId="0" applyNumberFormat="1" applyFont="1" applyFill="1" applyBorder="1"/>
    <xf numFmtId="0" fontId="9" fillId="0" borderId="42" xfId="0" applyFont="1" applyFill="1" applyBorder="1"/>
    <xf numFmtId="164" fontId="17" fillId="0" borderId="42" xfId="1" applyNumberFormat="1" applyFont="1" applyFill="1" applyBorder="1" applyAlignment="1">
      <alignment horizontal="right" vertical="top"/>
    </xf>
    <xf numFmtId="168" fontId="12" fillId="0" borderId="0" xfId="0" quotePrefix="1" applyNumberFormat="1" applyFont="1" applyAlignment="1">
      <alignment horizontal="center"/>
    </xf>
    <xf numFmtId="0" fontId="6" fillId="2" borderId="0" xfId="0" applyFont="1" applyFill="1" applyBorder="1" applyAlignment="1">
      <alignment horizontal="center"/>
    </xf>
    <xf numFmtId="14" fontId="6" fillId="2" borderId="14" xfId="0" applyNumberFormat="1" applyFont="1" applyFill="1" applyBorder="1" applyAlignment="1">
      <alignment horizontal="center"/>
    </xf>
    <xf numFmtId="164" fontId="27" fillId="0" borderId="0" xfId="1" applyNumberFormat="1" applyFont="1" applyFill="1"/>
    <xf numFmtId="0" fontId="6" fillId="2" borderId="51" xfId="0" applyFont="1" applyFill="1" applyBorder="1" applyAlignment="1">
      <alignment horizontal="center" wrapText="1" shrinkToFit="1"/>
    </xf>
    <xf numFmtId="0" fontId="6" fillId="2" borderId="51" xfId="0" applyFont="1" applyFill="1" applyBorder="1" applyAlignment="1">
      <alignment horizontal="center" wrapText="1"/>
    </xf>
    <xf numFmtId="0" fontId="6" fillId="2" borderId="28" xfId="0" applyFont="1" applyFill="1" applyBorder="1" applyAlignment="1">
      <alignment horizontal="center"/>
    </xf>
    <xf numFmtId="164" fontId="6" fillId="0" borderId="6" xfId="0" applyNumberFormat="1" applyFont="1" applyFill="1" applyBorder="1"/>
    <xf numFmtId="10" fontId="9" fillId="0" borderId="6" xfId="3" applyNumberFormat="1" applyFont="1" applyFill="1" applyBorder="1"/>
    <xf numFmtId="167" fontId="12" fillId="0" borderId="42" xfId="0" applyNumberFormat="1" applyFont="1" applyBorder="1" applyAlignment="1">
      <alignment horizontal="center"/>
    </xf>
    <xf numFmtId="167" fontId="12" fillId="0" borderId="27" xfId="0" applyNumberFormat="1" applyFont="1" applyBorder="1" applyAlignment="1">
      <alignment horizontal="center"/>
    </xf>
    <xf numFmtId="167" fontId="12" fillId="0" borderId="0" xfId="0" applyNumberFormat="1" applyFont="1" applyBorder="1" applyAlignment="1">
      <alignment horizontal="center"/>
    </xf>
    <xf numFmtId="167" fontId="9" fillId="0" borderId="0" xfId="0" applyNumberFormat="1" applyFont="1" applyFill="1" applyAlignment="1">
      <alignment horizontal="center"/>
    </xf>
    <xf numFmtId="167" fontId="9" fillId="0" borderId="11" xfId="0" applyNumberFormat="1" applyFont="1" applyFill="1" applyBorder="1" applyAlignment="1">
      <alignment horizontal="center"/>
    </xf>
    <xf numFmtId="167" fontId="9" fillId="0" borderId="0" xfId="0" applyNumberFormat="1" applyFont="1" applyFill="1"/>
    <xf numFmtId="167" fontId="9" fillId="0" borderId="16" xfId="0" applyNumberFormat="1" applyFont="1" applyFill="1" applyBorder="1"/>
    <xf numFmtId="0" fontId="0" fillId="0" borderId="18" xfId="0" applyFill="1" applyBorder="1"/>
    <xf numFmtId="164" fontId="0" fillId="0" borderId="6" xfId="0" applyNumberFormat="1" applyFill="1" applyBorder="1"/>
    <xf numFmtId="44" fontId="0" fillId="0" borderId="8" xfId="2" applyNumberFormat="1" applyFont="1" applyFill="1" applyBorder="1" applyAlignment="1"/>
    <xf numFmtId="174" fontId="17" fillId="0" borderId="27" xfId="0" applyNumberFormat="1" applyFont="1" applyFill="1" applyBorder="1" applyAlignment="1">
      <alignment vertical="center"/>
    </xf>
    <xf numFmtId="174" fontId="17" fillId="0" borderId="27" xfId="0" applyNumberFormat="1" applyFont="1" applyBorder="1"/>
    <xf numFmtId="174" fontId="17" fillId="0" borderId="21" xfId="0" applyNumberFormat="1" applyFont="1" applyBorder="1"/>
    <xf numFmtId="174" fontId="17" fillId="0" borderId="37" xfId="0" applyNumberFormat="1" applyFont="1" applyBorder="1"/>
    <xf numFmtId="174" fontId="17" fillId="0" borderId="27" xfId="2" applyNumberFormat="1" applyFont="1" applyFill="1" applyBorder="1" applyAlignment="1">
      <alignment vertical="center"/>
    </xf>
    <xf numFmtId="174" fontId="17" fillId="0" borderId="27" xfId="2" applyNumberFormat="1" applyFont="1" applyBorder="1"/>
    <xf numFmtId="174" fontId="17" fillId="0" borderId="21" xfId="2" applyNumberFormat="1" applyFont="1" applyBorder="1"/>
    <xf numFmtId="174" fontId="17" fillId="0" borderId="37" xfId="2" applyNumberFormat="1" applyFont="1" applyBorder="1"/>
    <xf numFmtId="174" fontId="17" fillId="0" borderId="21" xfId="0" applyNumberFormat="1" applyFont="1" applyFill="1" applyBorder="1" applyAlignment="1">
      <alignment vertical="center"/>
    </xf>
    <xf numFmtId="44" fontId="17" fillId="0" borderId="27" xfId="2" applyFont="1" applyBorder="1" applyAlignment="1">
      <alignment horizontal="center"/>
    </xf>
    <xf numFmtId="44" fontId="17" fillId="0" borderId="37" xfId="2" applyFont="1" applyBorder="1" applyAlignment="1">
      <alignment horizontal="center"/>
    </xf>
    <xf numFmtId="0" fontId="20" fillId="2" borderId="0" xfId="0" applyFont="1" applyFill="1" applyBorder="1" applyAlignment="1">
      <alignment horizontal="left" vertical="center" wrapText="1"/>
    </xf>
    <xf numFmtId="164" fontId="6" fillId="2" borderId="0" xfId="0" applyNumberFormat="1" applyFont="1" applyFill="1" applyBorder="1"/>
    <xf numFmtId="164" fontId="6" fillId="2" borderId="6" xfId="0" applyNumberFormat="1" applyFont="1" applyFill="1" applyBorder="1"/>
    <xf numFmtId="44" fontId="20" fillId="2" borderId="32" xfId="2" applyFont="1" applyFill="1" applyBorder="1" applyAlignment="1">
      <alignment horizontal="left" vertical="center" wrapText="1"/>
    </xf>
    <xf numFmtId="44" fontId="17" fillId="7" borderId="23" xfId="2" applyFont="1" applyFill="1" applyBorder="1" applyAlignment="1">
      <alignment horizontal="right"/>
    </xf>
    <xf numFmtId="44" fontId="20" fillId="2" borderId="17" xfId="2" applyFont="1" applyFill="1" applyBorder="1" applyAlignment="1">
      <alignment horizontal="left" vertical="center" wrapText="1"/>
    </xf>
    <xf numFmtId="0" fontId="0" fillId="0" borderId="6" xfId="0" applyBorder="1" applyAlignment="1">
      <alignment horizontal="right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Valuation Methods</a:t>
            </a:r>
          </a:p>
        </c:rich>
      </c:tx>
      <c:layout>
        <c:manualLayout>
          <c:xMode val="edge"/>
          <c:yMode val="edge"/>
          <c:x val="0.33173087194042605"/>
          <c:y val="2.00002343457067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067307692307687"/>
          <c:y val="0.10400020312539672"/>
          <c:w val="0.79567307692307709"/>
          <c:h val="0.50800099218943784"/>
        </c:manualLayout>
      </c:layout>
      <c:barChart>
        <c:barDir val="col"/>
        <c:grouping val="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2BD8-4B00-8566-7E5DD0246572}"/>
              </c:ext>
            </c:extLst>
          </c:dPt>
          <c:cat>
            <c:strRef>
              <c:f>[1]Sheet1!$N$174:$N$179</c:f>
              <c:strCache>
                <c:ptCount val="6"/>
                <c:pt idx="0">
                  <c:v>Current Market Price</c:v>
                </c:pt>
                <c:pt idx="1">
                  <c:v>Intrinsic Value Price</c:v>
                </c:pt>
                <c:pt idx="2">
                  <c:v>Dividend Discount Model</c:v>
                </c:pt>
                <c:pt idx="3">
                  <c:v>Comparable Trading Multiples</c:v>
                </c:pt>
                <c:pt idx="4">
                  <c:v>Comparable Acquisition Multiples</c:v>
                </c:pt>
                <c:pt idx="5">
                  <c:v>DCF Analysis</c:v>
                </c:pt>
              </c:strCache>
            </c:strRef>
          </c:cat>
          <c:val>
            <c:numRef>
              <c:f>[1]Sheet1!$O$174:$O$179</c:f>
              <c:numCache>
                <c:formatCode>General</c:formatCode>
                <c:ptCount val="6"/>
                <c:pt idx="0">
                  <c:v>77.929999999999993</c:v>
                </c:pt>
                <c:pt idx="1">
                  <c:v>83.104456454327988</c:v>
                </c:pt>
                <c:pt idx="2">
                  <c:v>68.989547038327586</c:v>
                </c:pt>
                <c:pt idx="3">
                  <c:v>82.883996447350881</c:v>
                </c:pt>
                <c:pt idx="4">
                  <c:v>68.995314460664929</c:v>
                </c:pt>
                <c:pt idx="5">
                  <c:v>85.507134472019729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BD8-4B00-8566-7E5DD02465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48658728"/>
        <c:axId val="1"/>
      </c:barChart>
      <c:catAx>
        <c:axId val="4486587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865872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11" r="0.75000000000000011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198120</xdr:colOff>
      <xdr:row>15</xdr:row>
      <xdr:rowOff>30480</xdr:rowOff>
    </xdr:from>
    <xdr:to>
      <xdr:col>3</xdr:col>
      <xdr:colOff>685800</xdr:colOff>
      <xdr:row>27</xdr:row>
      <xdr:rowOff>76200</xdr:rowOff>
    </xdr:to>
    <xdr:graphicFrame macro="">
      <xdr:nvGraphicFramePr>
        <xdr:cNvPr id="14" name="Chart 20">
          <a:extLst>
            <a:ext uri="{FF2B5EF4-FFF2-40B4-BE49-F238E27FC236}">
              <a16:creationId xmlns:a16="http://schemas.microsoft.com/office/drawing/2014/main" id="{5CC370AC-20BF-4D6C-9D84-27E6C83A6D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784860</xdr:colOff>
      <xdr:row>5</xdr:row>
      <xdr:rowOff>190500</xdr:rowOff>
    </xdr:from>
    <xdr:to>
      <xdr:col>2</xdr:col>
      <xdr:colOff>541020</xdr:colOff>
      <xdr:row>5</xdr:row>
      <xdr:rowOff>190500</xdr:rowOff>
    </xdr:to>
    <xdr:sp macro="" textlink="">
      <xdr:nvSpPr>
        <xdr:cNvPr id="9" name="Line 14">
          <a:extLst>
            <a:ext uri="{FF2B5EF4-FFF2-40B4-BE49-F238E27FC236}">
              <a16:creationId xmlns:a16="http://schemas.microsoft.com/office/drawing/2014/main" id="{E11B8115-0AE4-439E-9138-61B37AD2D415}"/>
            </a:ext>
          </a:extLst>
        </xdr:cNvPr>
        <xdr:cNvSpPr>
          <a:spLocks noChangeShapeType="1"/>
        </xdr:cNvSpPr>
      </xdr:nvSpPr>
      <xdr:spPr bwMode="auto">
        <a:xfrm>
          <a:off x="1108710" y="8923020"/>
          <a:ext cx="30784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411480</xdr:colOff>
      <xdr:row>30</xdr:row>
      <xdr:rowOff>0</xdr:rowOff>
    </xdr:from>
    <xdr:to>
      <xdr:col>6</xdr:col>
      <xdr:colOff>411480</xdr:colOff>
      <xdr:row>31</xdr:row>
      <xdr:rowOff>91440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630A99BB-4140-4B96-805E-92A15FC720F3}"/>
            </a:ext>
          </a:extLst>
        </xdr:cNvPr>
        <xdr:cNvSpPr>
          <a:spLocks noChangeShapeType="1"/>
        </xdr:cNvSpPr>
      </xdr:nvSpPr>
      <xdr:spPr bwMode="auto">
        <a:xfrm>
          <a:off x="7802880" y="13468350"/>
          <a:ext cx="0" cy="2743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361950</xdr:colOff>
      <xdr:row>30</xdr:row>
      <xdr:rowOff>0</xdr:rowOff>
    </xdr:from>
    <xdr:to>
      <xdr:col>7</xdr:col>
      <xdr:colOff>361950</xdr:colOff>
      <xdr:row>32</xdr:row>
      <xdr:rowOff>102870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F6F26CF2-141F-4E26-8919-C6D124288BEC}"/>
            </a:ext>
          </a:extLst>
        </xdr:cNvPr>
        <xdr:cNvSpPr>
          <a:spLocks noChangeShapeType="1"/>
        </xdr:cNvSpPr>
      </xdr:nvSpPr>
      <xdr:spPr bwMode="auto">
        <a:xfrm>
          <a:off x="8633460" y="13468350"/>
          <a:ext cx="0" cy="46863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411480</xdr:colOff>
      <xdr:row>30</xdr:row>
      <xdr:rowOff>0</xdr:rowOff>
    </xdr:from>
    <xdr:to>
      <xdr:col>8</xdr:col>
      <xdr:colOff>411480</xdr:colOff>
      <xdr:row>33</xdr:row>
      <xdr:rowOff>72390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D6B57D85-9055-4C8C-BD94-C8D96580E72A}"/>
            </a:ext>
          </a:extLst>
        </xdr:cNvPr>
        <xdr:cNvSpPr>
          <a:spLocks noChangeShapeType="1"/>
        </xdr:cNvSpPr>
      </xdr:nvSpPr>
      <xdr:spPr bwMode="auto">
        <a:xfrm>
          <a:off x="9475470" y="13468350"/>
          <a:ext cx="0" cy="62103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411480</xdr:colOff>
      <xdr:row>30</xdr:row>
      <xdr:rowOff>0</xdr:rowOff>
    </xdr:from>
    <xdr:to>
      <xdr:col>9</xdr:col>
      <xdr:colOff>411480</xdr:colOff>
      <xdr:row>34</xdr:row>
      <xdr:rowOff>87630</xdr:rowOff>
    </xdr:to>
    <xdr:sp macro="" textlink="">
      <xdr:nvSpPr>
        <xdr:cNvPr id="5" name="Line 4">
          <a:extLst>
            <a:ext uri="{FF2B5EF4-FFF2-40B4-BE49-F238E27FC236}">
              <a16:creationId xmlns:a16="http://schemas.microsoft.com/office/drawing/2014/main" id="{672F681A-7E0C-4BB6-8B7E-481A6AB1EA55}"/>
            </a:ext>
          </a:extLst>
        </xdr:cNvPr>
        <xdr:cNvSpPr>
          <a:spLocks noChangeShapeType="1"/>
        </xdr:cNvSpPr>
      </xdr:nvSpPr>
      <xdr:spPr bwMode="auto">
        <a:xfrm>
          <a:off x="10447020" y="13468350"/>
          <a:ext cx="0" cy="819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30</xdr:row>
      <xdr:rowOff>53340</xdr:rowOff>
    </xdr:from>
    <xdr:to>
      <xdr:col>5</xdr:col>
      <xdr:colOff>491490</xdr:colOff>
      <xdr:row>30</xdr:row>
      <xdr:rowOff>53340</xdr:rowOff>
    </xdr:to>
    <xdr:sp macro="" textlink="">
      <xdr:nvSpPr>
        <xdr:cNvPr id="6" name="Line 6">
          <a:extLst>
            <a:ext uri="{FF2B5EF4-FFF2-40B4-BE49-F238E27FC236}">
              <a16:creationId xmlns:a16="http://schemas.microsoft.com/office/drawing/2014/main" id="{C1F0C7C3-C6D8-46A3-9FBA-96D1DB1E6F40}"/>
            </a:ext>
          </a:extLst>
        </xdr:cNvPr>
        <xdr:cNvSpPr>
          <a:spLocks noChangeShapeType="1"/>
        </xdr:cNvSpPr>
      </xdr:nvSpPr>
      <xdr:spPr bwMode="auto">
        <a:xfrm flipH="1">
          <a:off x="6537960" y="13521690"/>
          <a:ext cx="49149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31</xdr:row>
      <xdr:rowOff>91440</xdr:rowOff>
    </xdr:from>
    <xdr:to>
      <xdr:col>6</xdr:col>
      <xdr:colOff>411480</xdr:colOff>
      <xdr:row>31</xdr:row>
      <xdr:rowOff>91440</xdr:rowOff>
    </xdr:to>
    <xdr:sp macro="" textlink="">
      <xdr:nvSpPr>
        <xdr:cNvPr id="7" name="Line 7">
          <a:extLst>
            <a:ext uri="{FF2B5EF4-FFF2-40B4-BE49-F238E27FC236}">
              <a16:creationId xmlns:a16="http://schemas.microsoft.com/office/drawing/2014/main" id="{58924834-53F2-4D18-A330-B4933B829914}"/>
            </a:ext>
          </a:extLst>
        </xdr:cNvPr>
        <xdr:cNvSpPr>
          <a:spLocks noChangeShapeType="1"/>
        </xdr:cNvSpPr>
      </xdr:nvSpPr>
      <xdr:spPr bwMode="auto">
        <a:xfrm flipH="1">
          <a:off x="6537960" y="13742670"/>
          <a:ext cx="126492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32</xdr:row>
      <xdr:rowOff>91440</xdr:rowOff>
    </xdr:from>
    <xdr:to>
      <xdr:col>7</xdr:col>
      <xdr:colOff>361950</xdr:colOff>
      <xdr:row>32</xdr:row>
      <xdr:rowOff>91440</xdr:rowOff>
    </xdr:to>
    <xdr:sp macro="" textlink="">
      <xdr:nvSpPr>
        <xdr:cNvPr id="8" name="Line 8">
          <a:extLst>
            <a:ext uri="{FF2B5EF4-FFF2-40B4-BE49-F238E27FC236}">
              <a16:creationId xmlns:a16="http://schemas.microsoft.com/office/drawing/2014/main" id="{8CBF91EE-94EB-4D6A-BB1B-054855F1CF3C}"/>
            </a:ext>
          </a:extLst>
        </xdr:cNvPr>
        <xdr:cNvSpPr>
          <a:spLocks noChangeShapeType="1"/>
        </xdr:cNvSpPr>
      </xdr:nvSpPr>
      <xdr:spPr bwMode="auto">
        <a:xfrm flipH="1">
          <a:off x="6537960" y="13925550"/>
          <a:ext cx="2095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33</xdr:row>
      <xdr:rowOff>64770</xdr:rowOff>
    </xdr:from>
    <xdr:to>
      <xdr:col>8</xdr:col>
      <xdr:colOff>411480</xdr:colOff>
      <xdr:row>33</xdr:row>
      <xdr:rowOff>64770</xdr:rowOff>
    </xdr:to>
    <xdr:sp macro="" textlink="">
      <xdr:nvSpPr>
        <xdr:cNvPr id="9" name="Line 9">
          <a:extLst>
            <a:ext uri="{FF2B5EF4-FFF2-40B4-BE49-F238E27FC236}">
              <a16:creationId xmlns:a16="http://schemas.microsoft.com/office/drawing/2014/main" id="{E6CC80C3-8620-4ADB-B0CC-2D59D63ABE32}"/>
            </a:ext>
          </a:extLst>
        </xdr:cNvPr>
        <xdr:cNvSpPr>
          <a:spLocks noChangeShapeType="1"/>
        </xdr:cNvSpPr>
      </xdr:nvSpPr>
      <xdr:spPr bwMode="auto">
        <a:xfrm flipH="1">
          <a:off x="6537960" y="14081760"/>
          <a:ext cx="293751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34</xdr:row>
      <xdr:rowOff>80010</xdr:rowOff>
    </xdr:from>
    <xdr:to>
      <xdr:col>9</xdr:col>
      <xdr:colOff>422910</xdr:colOff>
      <xdr:row>34</xdr:row>
      <xdr:rowOff>80010</xdr:rowOff>
    </xdr:to>
    <xdr:sp macro="" textlink="">
      <xdr:nvSpPr>
        <xdr:cNvPr id="10" name="Line 10">
          <a:extLst>
            <a:ext uri="{FF2B5EF4-FFF2-40B4-BE49-F238E27FC236}">
              <a16:creationId xmlns:a16="http://schemas.microsoft.com/office/drawing/2014/main" id="{720EE816-6854-4622-8295-09A48EC3262A}"/>
            </a:ext>
          </a:extLst>
        </xdr:cNvPr>
        <xdr:cNvSpPr>
          <a:spLocks noChangeShapeType="1"/>
        </xdr:cNvSpPr>
      </xdr:nvSpPr>
      <xdr:spPr bwMode="auto">
        <a:xfrm flipH="1">
          <a:off x="6537960" y="14279880"/>
          <a:ext cx="392049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480060</xdr:colOff>
      <xdr:row>30</xdr:row>
      <xdr:rowOff>0</xdr:rowOff>
    </xdr:from>
    <xdr:to>
      <xdr:col>5</xdr:col>
      <xdr:colOff>480060</xdr:colOff>
      <xdr:row>30</xdr:row>
      <xdr:rowOff>53340</xdr:rowOff>
    </xdr:to>
    <xdr:sp macro="" textlink="">
      <xdr:nvSpPr>
        <xdr:cNvPr id="11" name="Line 12">
          <a:extLst>
            <a:ext uri="{FF2B5EF4-FFF2-40B4-BE49-F238E27FC236}">
              <a16:creationId xmlns:a16="http://schemas.microsoft.com/office/drawing/2014/main" id="{7F0FEF1F-C303-4AD5-BF7E-FF9B48067FAA}"/>
            </a:ext>
          </a:extLst>
        </xdr:cNvPr>
        <xdr:cNvSpPr>
          <a:spLocks noChangeShapeType="1"/>
        </xdr:cNvSpPr>
      </xdr:nvSpPr>
      <xdr:spPr bwMode="auto">
        <a:xfrm>
          <a:off x="7018020" y="13468350"/>
          <a:ext cx="0" cy="533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461010</xdr:colOff>
      <xdr:row>20</xdr:row>
      <xdr:rowOff>83820</xdr:rowOff>
    </xdr:from>
    <xdr:to>
      <xdr:col>10</xdr:col>
      <xdr:colOff>461010</xdr:colOff>
      <xdr:row>23</xdr:row>
      <xdr:rowOff>110490</xdr:rowOff>
    </xdr:to>
    <xdr:sp macro="" textlink="">
      <xdr:nvSpPr>
        <xdr:cNvPr id="12" name="Line 21">
          <a:extLst>
            <a:ext uri="{FF2B5EF4-FFF2-40B4-BE49-F238E27FC236}">
              <a16:creationId xmlns:a16="http://schemas.microsoft.com/office/drawing/2014/main" id="{A8F8CC2C-3642-4CEF-BA4D-90586CFC9705}"/>
            </a:ext>
          </a:extLst>
        </xdr:cNvPr>
        <xdr:cNvSpPr>
          <a:spLocks noChangeShapeType="1"/>
        </xdr:cNvSpPr>
      </xdr:nvSpPr>
      <xdr:spPr bwMode="auto">
        <a:xfrm flipV="1">
          <a:off x="11330940" y="11723370"/>
          <a:ext cx="0" cy="57531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11430</xdr:colOff>
      <xdr:row>23</xdr:row>
      <xdr:rowOff>91440</xdr:rowOff>
    </xdr:from>
    <xdr:to>
      <xdr:col>10</xdr:col>
      <xdr:colOff>472440</xdr:colOff>
      <xdr:row>23</xdr:row>
      <xdr:rowOff>91440</xdr:rowOff>
    </xdr:to>
    <xdr:sp macro="" textlink="">
      <xdr:nvSpPr>
        <xdr:cNvPr id="13" name="Line 22">
          <a:extLst>
            <a:ext uri="{FF2B5EF4-FFF2-40B4-BE49-F238E27FC236}">
              <a16:creationId xmlns:a16="http://schemas.microsoft.com/office/drawing/2014/main" id="{3EECDF27-8026-42C3-BC36-4C193865BDC1}"/>
            </a:ext>
          </a:extLst>
        </xdr:cNvPr>
        <xdr:cNvSpPr>
          <a:spLocks noChangeShapeType="1"/>
        </xdr:cNvSpPr>
      </xdr:nvSpPr>
      <xdr:spPr bwMode="auto">
        <a:xfrm>
          <a:off x="10881360" y="12279630"/>
          <a:ext cx="46101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26670</xdr:colOff>
      <xdr:row>16</xdr:row>
      <xdr:rowOff>41910</xdr:rowOff>
    </xdr:from>
    <xdr:to>
      <xdr:col>6</xdr:col>
      <xdr:colOff>240030</xdr:colOff>
      <xdr:row>22</xdr:row>
      <xdr:rowOff>83820</xdr:rowOff>
    </xdr:to>
    <xdr:cxnSp macro="">
      <xdr:nvCxnSpPr>
        <xdr:cNvPr id="3" name="Straight Arrow Connector 2">
          <a:extLst>
            <a:ext uri="{FF2B5EF4-FFF2-40B4-BE49-F238E27FC236}">
              <a16:creationId xmlns:a16="http://schemas.microsoft.com/office/drawing/2014/main" id="{977926B7-EC91-4FC4-BA16-E20F661CE4DD}"/>
            </a:ext>
          </a:extLst>
        </xdr:cNvPr>
        <xdr:cNvCxnSpPr/>
      </xdr:nvCxnSpPr>
      <xdr:spPr>
        <a:xfrm flipV="1">
          <a:off x="4804410" y="3619500"/>
          <a:ext cx="1893570" cy="1154430"/>
        </a:xfrm>
        <a:prstGeom prst="straightConnector1">
          <a:avLst/>
        </a:prstGeom>
        <a:ln w="254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411480</xdr:colOff>
      <xdr:row>36</xdr:row>
      <xdr:rowOff>0</xdr:rowOff>
    </xdr:from>
    <xdr:to>
      <xdr:col>6</xdr:col>
      <xdr:colOff>411480</xdr:colOff>
      <xdr:row>37</xdr:row>
      <xdr:rowOff>91440</xdr:rowOff>
    </xdr:to>
    <xdr:sp macro="" textlink="">
      <xdr:nvSpPr>
        <xdr:cNvPr id="14" name="Line 1">
          <a:extLst>
            <a:ext uri="{FF2B5EF4-FFF2-40B4-BE49-F238E27FC236}">
              <a16:creationId xmlns:a16="http://schemas.microsoft.com/office/drawing/2014/main" id="{D0392855-FB7A-4ABB-BD62-88B9D2BBB0F1}"/>
            </a:ext>
          </a:extLst>
        </xdr:cNvPr>
        <xdr:cNvSpPr>
          <a:spLocks noChangeShapeType="1"/>
        </xdr:cNvSpPr>
      </xdr:nvSpPr>
      <xdr:spPr bwMode="auto">
        <a:xfrm>
          <a:off x="7250430" y="5292090"/>
          <a:ext cx="0" cy="27813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361950</xdr:colOff>
      <xdr:row>36</xdr:row>
      <xdr:rowOff>0</xdr:rowOff>
    </xdr:from>
    <xdr:to>
      <xdr:col>7</xdr:col>
      <xdr:colOff>361950</xdr:colOff>
      <xdr:row>38</xdr:row>
      <xdr:rowOff>102870</xdr:rowOff>
    </xdr:to>
    <xdr:sp macro="" textlink="">
      <xdr:nvSpPr>
        <xdr:cNvPr id="15" name="Line 2">
          <a:extLst>
            <a:ext uri="{FF2B5EF4-FFF2-40B4-BE49-F238E27FC236}">
              <a16:creationId xmlns:a16="http://schemas.microsoft.com/office/drawing/2014/main" id="{C80F6E81-2A90-40B3-BC94-BE5B2D93330A}"/>
            </a:ext>
          </a:extLst>
        </xdr:cNvPr>
        <xdr:cNvSpPr>
          <a:spLocks noChangeShapeType="1"/>
        </xdr:cNvSpPr>
      </xdr:nvSpPr>
      <xdr:spPr bwMode="auto">
        <a:xfrm>
          <a:off x="8042910" y="5292090"/>
          <a:ext cx="0" cy="4724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411480</xdr:colOff>
      <xdr:row>36</xdr:row>
      <xdr:rowOff>0</xdr:rowOff>
    </xdr:from>
    <xdr:to>
      <xdr:col>8</xdr:col>
      <xdr:colOff>411480</xdr:colOff>
      <xdr:row>39</xdr:row>
      <xdr:rowOff>72390</xdr:rowOff>
    </xdr:to>
    <xdr:sp macro="" textlink="">
      <xdr:nvSpPr>
        <xdr:cNvPr id="16" name="Line 3">
          <a:extLst>
            <a:ext uri="{FF2B5EF4-FFF2-40B4-BE49-F238E27FC236}">
              <a16:creationId xmlns:a16="http://schemas.microsoft.com/office/drawing/2014/main" id="{273534FD-EE68-46C3-9843-421C6611C6B3}"/>
            </a:ext>
          </a:extLst>
        </xdr:cNvPr>
        <xdr:cNvSpPr>
          <a:spLocks noChangeShapeType="1"/>
        </xdr:cNvSpPr>
      </xdr:nvSpPr>
      <xdr:spPr bwMode="auto">
        <a:xfrm>
          <a:off x="8934450" y="5292090"/>
          <a:ext cx="0" cy="6248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411480</xdr:colOff>
      <xdr:row>36</xdr:row>
      <xdr:rowOff>0</xdr:rowOff>
    </xdr:from>
    <xdr:to>
      <xdr:col>9</xdr:col>
      <xdr:colOff>411480</xdr:colOff>
      <xdr:row>40</xdr:row>
      <xdr:rowOff>87630</xdr:rowOff>
    </xdr:to>
    <xdr:sp macro="" textlink="">
      <xdr:nvSpPr>
        <xdr:cNvPr id="17" name="Line 4">
          <a:extLst>
            <a:ext uri="{FF2B5EF4-FFF2-40B4-BE49-F238E27FC236}">
              <a16:creationId xmlns:a16="http://schemas.microsoft.com/office/drawing/2014/main" id="{AC831548-FF1C-4E49-A06D-A25E82AD1A8C}"/>
            </a:ext>
          </a:extLst>
        </xdr:cNvPr>
        <xdr:cNvSpPr>
          <a:spLocks noChangeShapeType="1"/>
        </xdr:cNvSpPr>
      </xdr:nvSpPr>
      <xdr:spPr bwMode="auto">
        <a:xfrm>
          <a:off x="9776460" y="5292090"/>
          <a:ext cx="0" cy="8229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36</xdr:row>
      <xdr:rowOff>53340</xdr:rowOff>
    </xdr:from>
    <xdr:to>
      <xdr:col>5</xdr:col>
      <xdr:colOff>491490</xdr:colOff>
      <xdr:row>36</xdr:row>
      <xdr:rowOff>53340</xdr:rowOff>
    </xdr:to>
    <xdr:sp macro="" textlink="">
      <xdr:nvSpPr>
        <xdr:cNvPr id="18" name="Line 6">
          <a:extLst>
            <a:ext uri="{FF2B5EF4-FFF2-40B4-BE49-F238E27FC236}">
              <a16:creationId xmlns:a16="http://schemas.microsoft.com/office/drawing/2014/main" id="{5EBA0DFC-4961-4C6E-851C-7399ADEB21C4}"/>
            </a:ext>
          </a:extLst>
        </xdr:cNvPr>
        <xdr:cNvSpPr>
          <a:spLocks noChangeShapeType="1"/>
        </xdr:cNvSpPr>
      </xdr:nvSpPr>
      <xdr:spPr bwMode="auto">
        <a:xfrm flipH="1">
          <a:off x="5996940" y="5345430"/>
          <a:ext cx="49149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37</xdr:row>
      <xdr:rowOff>91440</xdr:rowOff>
    </xdr:from>
    <xdr:to>
      <xdr:col>6</xdr:col>
      <xdr:colOff>411480</xdr:colOff>
      <xdr:row>37</xdr:row>
      <xdr:rowOff>91440</xdr:rowOff>
    </xdr:to>
    <xdr:sp macro="" textlink="">
      <xdr:nvSpPr>
        <xdr:cNvPr id="19" name="Line 7">
          <a:extLst>
            <a:ext uri="{FF2B5EF4-FFF2-40B4-BE49-F238E27FC236}">
              <a16:creationId xmlns:a16="http://schemas.microsoft.com/office/drawing/2014/main" id="{690C6DDA-120E-4C35-8128-8861F2170149}"/>
            </a:ext>
          </a:extLst>
        </xdr:cNvPr>
        <xdr:cNvSpPr>
          <a:spLocks noChangeShapeType="1"/>
        </xdr:cNvSpPr>
      </xdr:nvSpPr>
      <xdr:spPr bwMode="auto">
        <a:xfrm flipH="1">
          <a:off x="5996940" y="5570220"/>
          <a:ext cx="125349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38</xdr:row>
      <xdr:rowOff>91440</xdr:rowOff>
    </xdr:from>
    <xdr:to>
      <xdr:col>7</xdr:col>
      <xdr:colOff>361950</xdr:colOff>
      <xdr:row>38</xdr:row>
      <xdr:rowOff>91440</xdr:rowOff>
    </xdr:to>
    <xdr:sp macro="" textlink="">
      <xdr:nvSpPr>
        <xdr:cNvPr id="20" name="Line 8">
          <a:extLst>
            <a:ext uri="{FF2B5EF4-FFF2-40B4-BE49-F238E27FC236}">
              <a16:creationId xmlns:a16="http://schemas.microsoft.com/office/drawing/2014/main" id="{CC86FDC7-CD3D-4E06-BFE8-94FB312040A6}"/>
            </a:ext>
          </a:extLst>
        </xdr:cNvPr>
        <xdr:cNvSpPr>
          <a:spLocks noChangeShapeType="1"/>
        </xdr:cNvSpPr>
      </xdr:nvSpPr>
      <xdr:spPr bwMode="auto">
        <a:xfrm flipH="1">
          <a:off x="5996940" y="5753100"/>
          <a:ext cx="204597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39</xdr:row>
      <xdr:rowOff>64770</xdr:rowOff>
    </xdr:from>
    <xdr:to>
      <xdr:col>8</xdr:col>
      <xdr:colOff>411480</xdr:colOff>
      <xdr:row>39</xdr:row>
      <xdr:rowOff>64770</xdr:rowOff>
    </xdr:to>
    <xdr:sp macro="" textlink="">
      <xdr:nvSpPr>
        <xdr:cNvPr id="21" name="Line 9">
          <a:extLst>
            <a:ext uri="{FF2B5EF4-FFF2-40B4-BE49-F238E27FC236}">
              <a16:creationId xmlns:a16="http://schemas.microsoft.com/office/drawing/2014/main" id="{E5CE25A0-A325-4B86-92EC-110F2EF93D11}"/>
            </a:ext>
          </a:extLst>
        </xdr:cNvPr>
        <xdr:cNvSpPr>
          <a:spLocks noChangeShapeType="1"/>
        </xdr:cNvSpPr>
      </xdr:nvSpPr>
      <xdr:spPr bwMode="auto">
        <a:xfrm flipH="1">
          <a:off x="5996940" y="5909310"/>
          <a:ext cx="293751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40</xdr:row>
      <xdr:rowOff>80010</xdr:rowOff>
    </xdr:from>
    <xdr:to>
      <xdr:col>9</xdr:col>
      <xdr:colOff>422910</xdr:colOff>
      <xdr:row>40</xdr:row>
      <xdr:rowOff>80010</xdr:rowOff>
    </xdr:to>
    <xdr:sp macro="" textlink="">
      <xdr:nvSpPr>
        <xdr:cNvPr id="22" name="Line 10">
          <a:extLst>
            <a:ext uri="{FF2B5EF4-FFF2-40B4-BE49-F238E27FC236}">
              <a16:creationId xmlns:a16="http://schemas.microsoft.com/office/drawing/2014/main" id="{EBC8D8E6-DC14-4DE7-AA49-2351E3D69BA4}"/>
            </a:ext>
          </a:extLst>
        </xdr:cNvPr>
        <xdr:cNvSpPr>
          <a:spLocks noChangeShapeType="1"/>
        </xdr:cNvSpPr>
      </xdr:nvSpPr>
      <xdr:spPr bwMode="auto">
        <a:xfrm flipH="1">
          <a:off x="5996940" y="6107430"/>
          <a:ext cx="3790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480060</xdr:colOff>
      <xdr:row>36</xdr:row>
      <xdr:rowOff>0</xdr:rowOff>
    </xdr:from>
    <xdr:to>
      <xdr:col>5</xdr:col>
      <xdr:colOff>480060</xdr:colOff>
      <xdr:row>36</xdr:row>
      <xdr:rowOff>53340</xdr:rowOff>
    </xdr:to>
    <xdr:sp macro="" textlink="">
      <xdr:nvSpPr>
        <xdr:cNvPr id="23" name="Line 12">
          <a:extLst>
            <a:ext uri="{FF2B5EF4-FFF2-40B4-BE49-F238E27FC236}">
              <a16:creationId xmlns:a16="http://schemas.microsoft.com/office/drawing/2014/main" id="{7887F1C3-55BE-45FD-A1C6-DE2B586D021E}"/>
            </a:ext>
          </a:extLst>
        </xdr:cNvPr>
        <xdr:cNvSpPr>
          <a:spLocks noChangeShapeType="1"/>
        </xdr:cNvSpPr>
      </xdr:nvSpPr>
      <xdr:spPr bwMode="auto">
        <a:xfrm>
          <a:off x="6477000" y="5292090"/>
          <a:ext cx="0" cy="533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461010</xdr:colOff>
      <xdr:row>26</xdr:row>
      <xdr:rowOff>83820</xdr:rowOff>
    </xdr:from>
    <xdr:to>
      <xdr:col>10</xdr:col>
      <xdr:colOff>461010</xdr:colOff>
      <xdr:row>29</xdr:row>
      <xdr:rowOff>110490</xdr:rowOff>
    </xdr:to>
    <xdr:sp macro="" textlink="">
      <xdr:nvSpPr>
        <xdr:cNvPr id="24" name="Line 21">
          <a:extLst>
            <a:ext uri="{FF2B5EF4-FFF2-40B4-BE49-F238E27FC236}">
              <a16:creationId xmlns:a16="http://schemas.microsoft.com/office/drawing/2014/main" id="{1AF9A178-C0BB-4D3B-BBF7-10DCC2A3D16A}"/>
            </a:ext>
          </a:extLst>
        </xdr:cNvPr>
        <xdr:cNvSpPr>
          <a:spLocks noChangeShapeType="1"/>
        </xdr:cNvSpPr>
      </xdr:nvSpPr>
      <xdr:spPr bwMode="auto">
        <a:xfrm flipV="1">
          <a:off x="10668000" y="3627120"/>
          <a:ext cx="0" cy="49149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11430</xdr:colOff>
      <xdr:row>29</xdr:row>
      <xdr:rowOff>91440</xdr:rowOff>
    </xdr:from>
    <xdr:to>
      <xdr:col>10</xdr:col>
      <xdr:colOff>472440</xdr:colOff>
      <xdr:row>29</xdr:row>
      <xdr:rowOff>91440</xdr:rowOff>
    </xdr:to>
    <xdr:sp macro="" textlink="">
      <xdr:nvSpPr>
        <xdr:cNvPr id="25" name="Line 22">
          <a:extLst>
            <a:ext uri="{FF2B5EF4-FFF2-40B4-BE49-F238E27FC236}">
              <a16:creationId xmlns:a16="http://schemas.microsoft.com/office/drawing/2014/main" id="{5947905C-6391-4A28-AB70-96DA06E9BE7D}"/>
            </a:ext>
          </a:extLst>
        </xdr:cNvPr>
        <xdr:cNvSpPr>
          <a:spLocks noChangeShapeType="1"/>
        </xdr:cNvSpPr>
      </xdr:nvSpPr>
      <xdr:spPr bwMode="auto">
        <a:xfrm>
          <a:off x="10218420" y="4099560"/>
          <a:ext cx="46101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cdrou/Documents/Baruch%20offnline/FIN%20Spreadsheets/public_company_hyatt_valuation_v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174">
          <cell r="N174" t="str">
            <v>Current Market Price</v>
          </cell>
          <cell r="O174">
            <v>77.929999999999993</v>
          </cell>
        </row>
        <row r="175">
          <cell r="N175" t="str">
            <v>Intrinsic Value Price</v>
          </cell>
          <cell r="O175">
            <v>83.104456454327988</v>
          </cell>
        </row>
        <row r="176">
          <cell r="N176" t="str">
            <v>Dividend Discount Model</v>
          </cell>
          <cell r="O176">
            <v>68.989547038327586</v>
          </cell>
        </row>
        <row r="177">
          <cell r="N177" t="str">
            <v>Comparable Trading Multiples</v>
          </cell>
          <cell r="O177">
            <v>82.883996447350881</v>
          </cell>
        </row>
        <row r="178">
          <cell r="N178" t="str">
            <v>Comparable Acquisition Multiples</v>
          </cell>
          <cell r="O178">
            <v>68.995314460664929</v>
          </cell>
        </row>
        <row r="179">
          <cell r="N179" t="str">
            <v>DCF Analysis</v>
          </cell>
          <cell r="O179">
            <v>85.507134472019729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83A7BA-7795-4EA8-A9A5-3E7A89BBEA70}">
  <dimension ref="A1:O145"/>
  <sheetViews>
    <sheetView workbookViewId="0">
      <selection activeCell="E31" sqref="E31"/>
    </sheetView>
  </sheetViews>
  <sheetFormatPr defaultRowHeight="14.35" x14ac:dyDescent="0.5"/>
  <cols>
    <col min="1" max="1" width="4.46875" style="22" customWidth="1"/>
    <col min="2" max="2" width="45.87890625" customWidth="1"/>
    <col min="3" max="3" width="15.29296875" customWidth="1"/>
    <col min="4" max="5" width="12.29296875" customWidth="1"/>
    <col min="6" max="6" width="11.76171875" customWidth="1"/>
    <col min="7" max="7" width="12.17578125" customWidth="1"/>
    <col min="8" max="8" width="10.9375" customWidth="1"/>
    <col min="9" max="9" width="13.41015625" customWidth="1"/>
    <col min="10" max="10" width="11.52734375" customWidth="1"/>
    <col min="11" max="11" width="13.703125" customWidth="1"/>
    <col min="12" max="12" width="7.703125" customWidth="1"/>
    <col min="13" max="13" width="8.3515625" customWidth="1"/>
    <col min="14" max="14" width="22.46875" customWidth="1"/>
    <col min="15" max="15" width="9.46875" bestFit="1" customWidth="1"/>
    <col min="16" max="17" width="10.41015625" bestFit="1" customWidth="1"/>
    <col min="18" max="18" width="9.46875" bestFit="1" customWidth="1"/>
    <col min="19" max="19" width="11.76171875" customWidth="1"/>
    <col min="257" max="257" width="4.46875" customWidth="1"/>
    <col min="258" max="258" width="45.87890625" customWidth="1"/>
    <col min="259" max="259" width="15.29296875" customWidth="1"/>
    <col min="260" max="261" width="12.29296875" customWidth="1"/>
    <col min="262" max="262" width="11.76171875" customWidth="1"/>
    <col min="263" max="263" width="12.17578125" customWidth="1"/>
    <col min="264" max="264" width="10.9375" customWidth="1"/>
    <col min="265" max="265" width="13.41015625" customWidth="1"/>
    <col min="266" max="266" width="11.52734375" customWidth="1"/>
    <col min="267" max="267" width="13.703125" customWidth="1"/>
    <col min="268" max="268" width="7.703125" customWidth="1"/>
    <col min="269" max="269" width="8.3515625" customWidth="1"/>
    <col min="270" max="270" width="22.46875" customWidth="1"/>
    <col min="271" max="271" width="9.46875" bestFit="1" customWidth="1"/>
    <col min="272" max="273" width="10.41015625" bestFit="1" customWidth="1"/>
    <col min="274" max="274" width="9.46875" bestFit="1" customWidth="1"/>
    <col min="275" max="275" width="11.76171875" customWidth="1"/>
    <col min="513" max="513" width="4.46875" customWidth="1"/>
    <col min="514" max="514" width="45.87890625" customWidth="1"/>
    <col min="515" max="515" width="15.29296875" customWidth="1"/>
    <col min="516" max="517" width="12.29296875" customWidth="1"/>
    <col min="518" max="518" width="11.76171875" customWidth="1"/>
    <col min="519" max="519" width="12.17578125" customWidth="1"/>
    <col min="520" max="520" width="10.9375" customWidth="1"/>
    <col min="521" max="521" width="13.41015625" customWidth="1"/>
    <col min="522" max="522" width="11.52734375" customWidth="1"/>
    <col min="523" max="523" width="13.703125" customWidth="1"/>
    <col min="524" max="524" width="7.703125" customWidth="1"/>
    <col min="525" max="525" width="8.3515625" customWidth="1"/>
    <col min="526" max="526" width="22.46875" customWidth="1"/>
    <col min="527" max="527" width="9.46875" bestFit="1" customWidth="1"/>
    <col min="528" max="529" width="10.41015625" bestFit="1" customWidth="1"/>
    <col min="530" max="530" width="9.46875" bestFit="1" customWidth="1"/>
    <col min="531" max="531" width="11.76171875" customWidth="1"/>
    <col min="769" max="769" width="4.46875" customWidth="1"/>
    <col min="770" max="770" width="45.87890625" customWidth="1"/>
    <col min="771" max="771" width="15.29296875" customWidth="1"/>
    <col min="772" max="773" width="12.29296875" customWidth="1"/>
    <col min="774" max="774" width="11.76171875" customWidth="1"/>
    <col min="775" max="775" width="12.17578125" customWidth="1"/>
    <col min="776" max="776" width="10.9375" customWidth="1"/>
    <col min="777" max="777" width="13.41015625" customWidth="1"/>
    <col min="778" max="778" width="11.52734375" customWidth="1"/>
    <col min="779" max="779" width="13.703125" customWidth="1"/>
    <col min="780" max="780" width="7.703125" customWidth="1"/>
    <col min="781" max="781" width="8.3515625" customWidth="1"/>
    <col min="782" max="782" width="22.46875" customWidth="1"/>
    <col min="783" max="783" width="9.46875" bestFit="1" customWidth="1"/>
    <col min="784" max="785" width="10.41015625" bestFit="1" customWidth="1"/>
    <col min="786" max="786" width="9.46875" bestFit="1" customWidth="1"/>
    <col min="787" max="787" width="11.76171875" customWidth="1"/>
    <col min="1025" max="1025" width="4.46875" customWidth="1"/>
    <col min="1026" max="1026" width="45.87890625" customWidth="1"/>
    <col min="1027" max="1027" width="15.29296875" customWidth="1"/>
    <col min="1028" max="1029" width="12.29296875" customWidth="1"/>
    <col min="1030" max="1030" width="11.76171875" customWidth="1"/>
    <col min="1031" max="1031" width="12.17578125" customWidth="1"/>
    <col min="1032" max="1032" width="10.9375" customWidth="1"/>
    <col min="1033" max="1033" width="13.41015625" customWidth="1"/>
    <col min="1034" max="1034" width="11.52734375" customWidth="1"/>
    <col min="1035" max="1035" width="13.703125" customWidth="1"/>
    <col min="1036" max="1036" width="7.703125" customWidth="1"/>
    <col min="1037" max="1037" width="8.3515625" customWidth="1"/>
    <col min="1038" max="1038" width="22.46875" customWidth="1"/>
    <col min="1039" max="1039" width="9.46875" bestFit="1" customWidth="1"/>
    <col min="1040" max="1041" width="10.41015625" bestFit="1" customWidth="1"/>
    <col min="1042" max="1042" width="9.46875" bestFit="1" customWidth="1"/>
    <col min="1043" max="1043" width="11.76171875" customWidth="1"/>
    <col min="1281" max="1281" width="4.46875" customWidth="1"/>
    <col min="1282" max="1282" width="45.87890625" customWidth="1"/>
    <col min="1283" max="1283" width="15.29296875" customWidth="1"/>
    <col min="1284" max="1285" width="12.29296875" customWidth="1"/>
    <col min="1286" max="1286" width="11.76171875" customWidth="1"/>
    <col min="1287" max="1287" width="12.17578125" customWidth="1"/>
    <col min="1288" max="1288" width="10.9375" customWidth="1"/>
    <col min="1289" max="1289" width="13.41015625" customWidth="1"/>
    <col min="1290" max="1290" width="11.52734375" customWidth="1"/>
    <col min="1291" max="1291" width="13.703125" customWidth="1"/>
    <col min="1292" max="1292" width="7.703125" customWidth="1"/>
    <col min="1293" max="1293" width="8.3515625" customWidth="1"/>
    <col min="1294" max="1294" width="22.46875" customWidth="1"/>
    <col min="1295" max="1295" width="9.46875" bestFit="1" customWidth="1"/>
    <col min="1296" max="1297" width="10.41015625" bestFit="1" customWidth="1"/>
    <col min="1298" max="1298" width="9.46875" bestFit="1" customWidth="1"/>
    <col min="1299" max="1299" width="11.76171875" customWidth="1"/>
    <col min="1537" max="1537" width="4.46875" customWidth="1"/>
    <col min="1538" max="1538" width="45.87890625" customWidth="1"/>
    <col min="1539" max="1539" width="15.29296875" customWidth="1"/>
    <col min="1540" max="1541" width="12.29296875" customWidth="1"/>
    <col min="1542" max="1542" width="11.76171875" customWidth="1"/>
    <col min="1543" max="1543" width="12.17578125" customWidth="1"/>
    <col min="1544" max="1544" width="10.9375" customWidth="1"/>
    <col min="1545" max="1545" width="13.41015625" customWidth="1"/>
    <col min="1546" max="1546" width="11.52734375" customWidth="1"/>
    <col min="1547" max="1547" width="13.703125" customWidth="1"/>
    <col min="1548" max="1548" width="7.703125" customWidth="1"/>
    <col min="1549" max="1549" width="8.3515625" customWidth="1"/>
    <col min="1550" max="1550" width="22.46875" customWidth="1"/>
    <col min="1551" max="1551" width="9.46875" bestFit="1" customWidth="1"/>
    <col min="1552" max="1553" width="10.41015625" bestFit="1" customWidth="1"/>
    <col min="1554" max="1554" width="9.46875" bestFit="1" customWidth="1"/>
    <col min="1555" max="1555" width="11.76171875" customWidth="1"/>
    <col min="1793" max="1793" width="4.46875" customWidth="1"/>
    <col min="1794" max="1794" width="45.87890625" customWidth="1"/>
    <col min="1795" max="1795" width="15.29296875" customWidth="1"/>
    <col min="1796" max="1797" width="12.29296875" customWidth="1"/>
    <col min="1798" max="1798" width="11.76171875" customWidth="1"/>
    <col min="1799" max="1799" width="12.17578125" customWidth="1"/>
    <col min="1800" max="1800" width="10.9375" customWidth="1"/>
    <col min="1801" max="1801" width="13.41015625" customWidth="1"/>
    <col min="1802" max="1802" width="11.52734375" customWidth="1"/>
    <col min="1803" max="1803" width="13.703125" customWidth="1"/>
    <col min="1804" max="1804" width="7.703125" customWidth="1"/>
    <col min="1805" max="1805" width="8.3515625" customWidth="1"/>
    <col min="1806" max="1806" width="22.46875" customWidth="1"/>
    <col min="1807" max="1807" width="9.46875" bestFit="1" customWidth="1"/>
    <col min="1808" max="1809" width="10.41015625" bestFit="1" customWidth="1"/>
    <col min="1810" max="1810" width="9.46875" bestFit="1" customWidth="1"/>
    <col min="1811" max="1811" width="11.76171875" customWidth="1"/>
    <col min="2049" max="2049" width="4.46875" customWidth="1"/>
    <col min="2050" max="2050" width="45.87890625" customWidth="1"/>
    <col min="2051" max="2051" width="15.29296875" customWidth="1"/>
    <col min="2052" max="2053" width="12.29296875" customWidth="1"/>
    <col min="2054" max="2054" width="11.76171875" customWidth="1"/>
    <col min="2055" max="2055" width="12.17578125" customWidth="1"/>
    <col min="2056" max="2056" width="10.9375" customWidth="1"/>
    <col min="2057" max="2057" width="13.41015625" customWidth="1"/>
    <col min="2058" max="2058" width="11.52734375" customWidth="1"/>
    <col min="2059" max="2059" width="13.703125" customWidth="1"/>
    <col min="2060" max="2060" width="7.703125" customWidth="1"/>
    <col min="2061" max="2061" width="8.3515625" customWidth="1"/>
    <col min="2062" max="2062" width="22.46875" customWidth="1"/>
    <col min="2063" max="2063" width="9.46875" bestFit="1" customWidth="1"/>
    <col min="2064" max="2065" width="10.41015625" bestFit="1" customWidth="1"/>
    <col min="2066" max="2066" width="9.46875" bestFit="1" customWidth="1"/>
    <col min="2067" max="2067" width="11.76171875" customWidth="1"/>
    <col min="2305" max="2305" width="4.46875" customWidth="1"/>
    <col min="2306" max="2306" width="45.87890625" customWidth="1"/>
    <col min="2307" max="2307" width="15.29296875" customWidth="1"/>
    <col min="2308" max="2309" width="12.29296875" customWidth="1"/>
    <col min="2310" max="2310" width="11.76171875" customWidth="1"/>
    <col min="2311" max="2311" width="12.17578125" customWidth="1"/>
    <col min="2312" max="2312" width="10.9375" customWidth="1"/>
    <col min="2313" max="2313" width="13.41015625" customWidth="1"/>
    <col min="2314" max="2314" width="11.52734375" customWidth="1"/>
    <col min="2315" max="2315" width="13.703125" customWidth="1"/>
    <col min="2316" max="2316" width="7.703125" customWidth="1"/>
    <col min="2317" max="2317" width="8.3515625" customWidth="1"/>
    <col min="2318" max="2318" width="22.46875" customWidth="1"/>
    <col min="2319" max="2319" width="9.46875" bestFit="1" customWidth="1"/>
    <col min="2320" max="2321" width="10.41015625" bestFit="1" customWidth="1"/>
    <col min="2322" max="2322" width="9.46875" bestFit="1" customWidth="1"/>
    <col min="2323" max="2323" width="11.76171875" customWidth="1"/>
    <col min="2561" max="2561" width="4.46875" customWidth="1"/>
    <col min="2562" max="2562" width="45.87890625" customWidth="1"/>
    <col min="2563" max="2563" width="15.29296875" customWidth="1"/>
    <col min="2564" max="2565" width="12.29296875" customWidth="1"/>
    <col min="2566" max="2566" width="11.76171875" customWidth="1"/>
    <col min="2567" max="2567" width="12.17578125" customWidth="1"/>
    <col min="2568" max="2568" width="10.9375" customWidth="1"/>
    <col min="2569" max="2569" width="13.41015625" customWidth="1"/>
    <col min="2570" max="2570" width="11.52734375" customWidth="1"/>
    <col min="2571" max="2571" width="13.703125" customWidth="1"/>
    <col min="2572" max="2572" width="7.703125" customWidth="1"/>
    <col min="2573" max="2573" width="8.3515625" customWidth="1"/>
    <col min="2574" max="2574" width="22.46875" customWidth="1"/>
    <col min="2575" max="2575" width="9.46875" bestFit="1" customWidth="1"/>
    <col min="2576" max="2577" width="10.41015625" bestFit="1" customWidth="1"/>
    <col min="2578" max="2578" width="9.46875" bestFit="1" customWidth="1"/>
    <col min="2579" max="2579" width="11.76171875" customWidth="1"/>
    <col min="2817" max="2817" width="4.46875" customWidth="1"/>
    <col min="2818" max="2818" width="45.87890625" customWidth="1"/>
    <col min="2819" max="2819" width="15.29296875" customWidth="1"/>
    <col min="2820" max="2821" width="12.29296875" customWidth="1"/>
    <col min="2822" max="2822" width="11.76171875" customWidth="1"/>
    <col min="2823" max="2823" width="12.17578125" customWidth="1"/>
    <col min="2824" max="2824" width="10.9375" customWidth="1"/>
    <col min="2825" max="2825" width="13.41015625" customWidth="1"/>
    <col min="2826" max="2826" width="11.52734375" customWidth="1"/>
    <col min="2827" max="2827" width="13.703125" customWidth="1"/>
    <col min="2828" max="2828" width="7.703125" customWidth="1"/>
    <col min="2829" max="2829" width="8.3515625" customWidth="1"/>
    <col min="2830" max="2830" width="22.46875" customWidth="1"/>
    <col min="2831" max="2831" width="9.46875" bestFit="1" customWidth="1"/>
    <col min="2832" max="2833" width="10.41015625" bestFit="1" customWidth="1"/>
    <col min="2834" max="2834" width="9.46875" bestFit="1" customWidth="1"/>
    <col min="2835" max="2835" width="11.76171875" customWidth="1"/>
    <col min="3073" max="3073" width="4.46875" customWidth="1"/>
    <col min="3074" max="3074" width="45.87890625" customWidth="1"/>
    <col min="3075" max="3075" width="15.29296875" customWidth="1"/>
    <col min="3076" max="3077" width="12.29296875" customWidth="1"/>
    <col min="3078" max="3078" width="11.76171875" customWidth="1"/>
    <col min="3079" max="3079" width="12.17578125" customWidth="1"/>
    <col min="3080" max="3080" width="10.9375" customWidth="1"/>
    <col min="3081" max="3081" width="13.41015625" customWidth="1"/>
    <col min="3082" max="3082" width="11.52734375" customWidth="1"/>
    <col min="3083" max="3083" width="13.703125" customWidth="1"/>
    <col min="3084" max="3084" width="7.703125" customWidth="1"/>
    <col min="3085" max="3085" width="8.3515625" customWidth="1"/>
    <col min="3086" max="3086" width="22.46875" customWidth="1"/>
    <col min="3087" max="3087" width="9.46875" bestFit="1" customWidth="1"/>
    <col min="3088" max="3089" width="10.41015625" bestFit="1" customWidth="1"/>
    <col min="3090" max="3090" width="9.46875" bestFit="1" customWidth="1"/>
    <col min="3091" max="3091" width="11.76171875" customWidth="1"/>
    <col min="3329" max="3329" width="4.46875" customWidth="1"/>
    <col min="3330" max="3330" width="45.87890625" customWidth="1"/>
    <col min="3331" max="3331" width="15.29296875" customWidth="1"/>
    <col min="3332" max="3333" width="12.29296875" customWidth="1"/>
    <col min="3334" max="3334" width="11.76171875" customWidth="1"/>
    <col min="3335" max="3335" width="12.17578125" customWidth="1"/>
    <col min="3336" max="3336" width="10.9375" customWidth="1"/>
    <col min="3337" max="3337" width="13.41015625" customWidth="1"/>
    <col min="3338" max="3338" width="11.52734375" customWidth="1"/>
    <col min="3339" max="3339" width="13.703125" customWidth="1"/>
    <col min="3340" max="3340" width="7.703125" customWidth="1"/>
    <col min="3341" max="3341" width="8.3515625" customWidth="1"/>
    <col min="3342" max="3342" width="22.46875" customWidth="1"/>
    <col min="3343" max="3343" width="9.46875" bestFit="1" customWidth="1"/>
    <col min="3344" max="3345" width="10.41015625" bestFit="1" customWidth="1"/>
    <col min="3346" max="3346" width="9.46875" bestFit="1" customWidth="1"/>
    <col min="3347" max="3347" width="11.76171875" customWidth="1"/>
    <col min="3585" max="3585" width="4.46875" customWidth="1"/>
    <col min="3586" max="3586" width="45.87890625" customWidth="1"/>
    <col min="3587" max="3587" width="15.29296875" customWidth="1"/>
    <col min="3588" max="3589" width="12.29296875" customWidth="1"/>
    <col min="3590" max="3590" width="11.76171875" customWidth="1"/>
    <col min="3591" max="3591" width="12.17578125" customWidth="1"/>
    <col min="3592" max="3592" width="10.9375" customWidth="1"/>
    <col min="3593" max="3593" width="13.41015625" customWidth="1"/>
    <col min="3594" max="3594" width="11.52734375" customWidth="1"/>
    <col min="3595" max="3595" width="13.703125" customWidth="1"/>
    <col min="3596" max="3596" width="7.703125" customWidth="1"/>
    <col min="3597" max="3597" width="8.3515625" customWidth="1"/>
    <col min="3598" max="3598" width="22.46875" customWidth="1"/>
    <col min="3599" max="3599" width="9.46875" bestFit="1" customWidth="1"/>
    <col min="3600" max="3601" width="10.41015625" bestFit="1" customWidth="1"/>
    <col min="3602" max="3602" width="9.46875" bestFit="1" customWidth="1"/>
    <col min="3603" max="3603" width="11.76171875" customWidth="1"/>
    <col min="3841" max="3841" width="4.46875" customWidth="1"/>
    <col min="3842" max="3842" width="45.87890625" customWidth="1"/>
    <col min="3843" max="3843" width="15.29296875" customWidth="1"/>
    <col min="3844" max="3845" width="12.29296875" customWidth="1"/>
    <col min="3846" max="3846" width="11.76171875" customWidth="1"/>
    <col min="3847" max="3847" width="12.17578125" customWidth="1"/>
    <col min="3848" max="3848" width="10.9375" customWidth="1"/>
    <col min="3849" max="3849" width="13.41015625" customWidth="1"/>
    <col min="3850" max="3850" width="11.52734375" customWidth="1"/>
    <col min="3851" max="3851" width="13.703125" customWidth="1"/>
    <col min="3852" max="3852" width="7.703125" customWidth="1"/>
    <col min="3853" max="3853" width="8.3515625" customWidth="1"/>
    <col min="3854" max="3854" width="22.46875" customWidth="1"/>
    <col min="3855" max="3855" width="9.46875" bestFit="1" customWidth="1"/>
    <col min="3856" max="3857" width="10.41015625" bestFit="1" customWidth="1"/>
    <col min="3858" max="3858" width="9.46875" bestFit="1" customWidth="1"/>
    <col min="3859" max="3859" width="11.76171875" customWidth="1"/>
    <col min="4097" max="4097" width="4.46875" customWidth="1"/>
    <col min="4098" max="4098" width="45.87890625" customWidth="1"/>
    <col min="4099" max="4099" width="15.29296875" customWidth="1"/>
    <col min="4100" max="4101" width="12.29296875" customWidth="1"/>
    <col min="4102" max="4102" width="11.76171875" customWidth="1"/>
    <col min="4103" max="4103" width="12.17578125" customWidth="1"/>
    <col min="4104" max="4104" width="10.9375" customWidth="1"/>
    <col min="4105" max="4105" width="13.41015625" customWidth="1"/>
    <col min="4106" max="4106" width="11.52734375" customWidth="1"/>
    <col min="4107" max="4107" width="13.703125" customWidth="1"/>
    <col min="4108" max="4108" width="7.703125" customWidth="1"/>
    <col min="4109" max="4109" width="8.3515625" customWidth="1"/>
    <col min="4110" max="4110" width="22.46875" customWidth="1"/>
    <col min="4111" max="4111" width="9.46875" bestFit="1" customWidth="1"/>
    <col min="4112" max="4113" width="10.41015625" bestFit="1" customWidth="1"/>
    <col min="4114" max="4114" width="9.46875" bestFit="1" customWidth="1"/>
    <col min="4115" max="4115" width="11.76171875" customWidth="1"/>
    <col min="4353" max="4353" width="4.46875" customWidth="1"/>
    <col min="4354" max="4354" width="45.87890625" customWidth="1"/>
    <col min="4355" max="4355" width="15.29296875" customWidth="1"/>
    <col min="4356" max="4357" width="12.29296875" customWidth="1"/>
    <col min="4358" max="4358" width="11.76171875" customWidth="1"/>
    <col min="4359" max="4359" width="12.17578125" customWidth="1"/>
    <col min="4360" max="4360" width="10.9375" customWidth="1"/>
    <col min="4361" max="4361" width="13.41015625" customWidth="1"/>
    <col min="4362" max="4362" width="11.52734375" customWidth="1"/>
    <col min="4363" max="4363" width="13.703125" customWidth="1"/>
    <col min="4364" max="4364" width="7.703125" customWidth="1"/>
    <col min="4365" max="4365" width="8.3515625" customWidth="1"/>
    <col min="4366" max="4366" width="22.46875" customWidth="1"/>
    <col min="4367" max="4367" width="9.46875" bestFit="1" customWidth="1"/>
    <col min="4368" max="4369" width="10.41015625" bestFit="1" customWidth="1"/>
    <col min="4370" max="4370" width="9.46875" bestFit="1" customWidth="1"/>
    <col min="4371" max="4371" width="11.76171875" customWidth="1"/>
    <col min="4609" max="4609" width="4.46875" customWidth="1"/>
    <col min="4610" max="4610" width="45.87890625" customWidth="1"/>
    <col min="4611" max="4611" width="15.29296875" customWidth="1"/>
    <col min="4612" max="4613" width="12.29296875" customWidth="1"/>
    <col min="4614" max="4614" width="11.76171875" customWidth="1"/>
    <col min="4615" max="4615" width="12.17578125" customWidth="1"/>
    <col min="4616" max="4616" width="10.9375" customWidth="1"/>
    <col min="4617" max="4617" width="13.41015625" customWidth="1"/>
    <col min="4618" max="4618" width="11.52734375" customWidth="1"/>
    <col min="4619" max="4619" width="13.703125" customWidth="1"/>
    <col min="4620" max="4620" width="7.703125" customWidth="1"/>
    <col min="4621" max="4621" width="8.3515625" customWidth="1"/>
    <col min="4622" max="4622" width="22.46875" customWidth="1"/>
    <col min="4623" max="4623" width="9.46875" bestFit="1" customWidth="1"/>
    <col min="4624" max="4625" width="10.41015625" bestFit="1" customWidth="1"/>
    <col min="4626" max="4626" width="9.46875" bestFit="1" customWidth="1"/>
    <col min="4627" max="4627" width="11.76171875" customWidth="1"/>
    <col min="4865" max="4865" width="4.46875" customWidth="1"/>
    <col min="4866" max="4866" width="45.87890625" customWidth="1"/>
    <col min="4867" max="4867" width="15.29296875" customWidth="1"/>
    <col min="4868" max="4869" width="12.29296875" customWidth="1"/>
    <col min="4870" max="4870" width="11.76171875" customWidth="1"/>
    <col min="4871" max="4871" width="12.17578125" customWidth="1"/>
    <col min="4872" max="4872" width="10.9375" customWidth="1"/>
    <col min="4873" max="4873" width="13.41015625" customWidth="1"/>
    <col min="4874" max="4874" width="11.52734375" customWidth="1"/>
    <col min="4875" max="4875" width="13.703125" customWidth="1"/>
    <col min="4876" max="4876" width="7.703125" customWidth="1"/>
    <col min="4877" max="4877" width="8.3515625" customWidth="1"/>
    <col min="4878" max="4878" width="22.46875" customWidth="1"/>
    <col min="4879" max="4879" width="9.46875" bestFit="1" customWidth="1"/>
    <col min="4880" max="4881" width="10.41015625" bestFit="1" customWidth="1"/>
    <col min="4882" max="4882" width="9.46875" bestFit="1" customWidth="1"/>
    <col min="4883" max="4883" width="11.76171875" customWidth="1"/>
    <col min="5121" max="5121" width="4.46875" customWidth="1"/>
    <col min="5122" max="5122" width="45.87890625" customWidth="1"/>
    <col min="5123" max="5123" width="15.29296875" customWidth="1"/>
    <col min="5124" max="5125" width="12.29296875" customWidth="1"/>
    <col min="5126" max="5126" width="11.76171875" customWidth="1"/>
    <col min="5127" max="5127" width="12.17578125" customWidth="1"/>
    <col min="5128" max="5128" width="10.9375" customWidth="1"/>
    <col min="5129" max="5129" width="13.41015625" customWidth="1"/>
    <col min="5130" max="5130" width="11.52734375" customWidth="1"/>
    <col min="5131" max="5131" width="13.703125" customWidth="1"/>
    <col min="5132" max="5132" width="7.703125" customWidth="1"/>
    <col min="5133" max="5133" width="8.3515625" customWidth="1"/>
    <col min="5134" max="5134" width="22.46875" customWidth="1"/>
    <col min="5135" max="5135" width="9.46875" bestFit="1" customWidth="1"/>
    <col min="5136" max="5137" width="10.41015625" bestFit="1" customWidth="1"/>
    <col min="5138" max="5138" width="9.46875" bestFit="1" customWidth="1"/>
    <col min="5139" max="5139" width="11.76171875" customWidth="1"/>
    <col min="5377" max="5377" width="4.46875" customWidth="1"/>
    <col min="5378" max="5378" width="45.87890625" customWidth="1"/>
    <col min="5379" max="5379" width="15.29296875" customWidth="1"/>
    <col min="5380" max="5381" width="12.29296875" customWidth="1"/>
    <col min="5382" max="5382" width="11.76171875" customWidth="1"/>
    <col min="5383" max="5383" width="12.17578125" customWidth="1"/>
    <col min="5384" max="5384" width="10.9375" customWidth="1"/>
    <col min="5385" max="5385" width="13.41015625" customWidth="1"/>
    <col min="5386" max="5386" width="11.52734375" customWidth="1"/>
    <col min="5387" max="5387" width="13.703125" customWidth="1"/>
    <col min="5388" max="5388" width="7.703125" customWidth="1"/>
    <col min="5389" max="5389" width="8.3515625" customWidth="1"/>
    <col min="5390" max="5390" width="22.46875" customWidth="1"/>
    <col min="5391" max="5391" width="9.46875" bestFit="1" customWidth="1"/>
    <col min="5392" max="5393" width="10.41015625" bestFit="1" customWidth="1"/>
    <col min="5394" max="5394" width="9.46875" bestFit="1" customWidth="1"/>
    <col min="5395" max="5395" width="11.76171875" customWidth="1"/>
    <col min="5633" max="5633" width="4.46875" customWidth="1"/>
    <col min="5634" max="5634" width="45.87890625" customWidth="1"/>
    <col min="5635" max="5635" width="15.29296875" customWidth="1"/>
    <col min="5636" max="5637" width="12.29296875" customWidth="1"/>
    <col min="5638" max="5638" width="11.76171875" customWidth="1"/>
    <col min="5639" max="5639" width="12.17578125" customWidth="1"/>
    <col min="5640" max="5640" width="10.9375" customWidth="1"/>
    <col min="5641" max="5641" width="13.41015625" customWidth="1"/>
    <col min="5642" max="5642" width="11.52734375" customWidth="1"/>
    <col min="5643" max="5643" width="13.703125" customWidth="1"/>
    <col min="5644" max="5644" width="7.703125" customWidth="1"/>
    <col min="5645" max="5645" width="8.3515625" customWidth="1"/>
    <col min="5646" max="5646" width="22.46875" customWidth="1"/>
    <col min="5647" max="5647" width="9.46875" bestFit="1" customWidth="1"/>
    <col min="5648" max="5649" width="10.41015625" bestFit="1" customWidth="1"/>
    <col min="5650" max="5650" width="9.46875" bestFit="1" customWidth="1"/>
    <col min="5651" max="5651" width="11.76171875" customWidth="1"/>
    <col min="5889" max="5889" width="4.46875" customWidth="1"/>
    <col min="5890" max="5890" width="45.87890625" customWidth="1"/>
    <col min="5891" max="5891" width="15.29296875" customWidth="1"/>
    <col min="5892" max="5893" width="12.29296875" customWidth="1"/>
    <col min="5894" max="5894" width="11.76171875" customWidth="1"/>
    <col min="5895" max="5895" width="12.17578125" customWidth="1"/>
    <col min="5896" max="5896" width="10.9375" customWidth="1"/>
    <col min="5897" max="5897" width="13.41015625" customWidth="1"/>
    <col min="5898" max="5898" width="11.52734375" customWidth="1"/>
    <col min="5899" max="5899" width="13.703125" customWidth="1"/>
    <col min="5900" max="5900" width="7.703125" customWidth="1"/>
    <col min="5901" max="5901" width="8.3515625" customWidth="1"/>
    <col min="5902" max="5902" width="22.46875" customWidth="1"/>
    <col min="5903" max="5903" width="9.46875" bestFit="1" customWidth="1"/>
    <col min="5904" max="5905" width="10.41015625" bestFit="1" customWidth="1"/>
    <col min="5906" max="5906" width="9.46875" bestFit="1" customWidth="1"/>
    <col min="5907" max="5907" width="11.76171875" customWidth="1"/>
    <col min="6145" max="6145" width="4.46875" customWidth="1"/>
    <col min="6146" max="6146" width="45.87890625" customWidth="1"/>
    <col min="6147" max="6147" width="15.29296875" customWidth="1"/>
    <col min="6148" max="6149" width="12.29296875" customWidth="1"/>
    <col min="6150" max="6150" width="11.76171875" customWidth="1"/>
    <col min="6151" max="6151" width="12.17578125" customWidth="1"/>
    <col min="6152" max="6152" width="10.9375" customWidth="1"/>
    <col min="6153" max="6153" width="13.41015625" customWidth="1"/>
    <col min="6154" max="6154" width="11.52734375" customWidth="1"/>
    <col min="6155" max="6155" width="13.703125" customWidth="1"/>
    <col min="6156" max="6156" width="7.703125" customWidth="1"/>
    <col min="6157" max="6157" width="8.3515625" customWidth="1"/>
    <col min="6158" max="6158" width="22.46875" customWidth="1"/>
    <col min="6159" max="6159" width="9.46875" bestFit="1" customWidth="1"/>
    <col min="6160" max="6161" width="10.41015625" bestFit="1" customWidth="1"/>
    <col min="6162" max="6162" width="9.46875" bestFit="1" customWidth="1"/>
    <col min="6163" max="6163" width="11.76171875" customWidth="1"/>
    <col min="6401" max="6401" width="4.46875" customWidth="1"/>
    <col min="6402" max="6402" width="45.87890625" customWidth="1"/>
    <col min="6403" max="6403" width="15.29296875" customWidth="1"/>
    <col min="6404" max="6405" width="12.29296875" customWidth="1"/>
    <col min="6406" max="6406" width="11.76171875" customWidth="1"/>
    <col min="6407" max="6407" width="12.17578125" customWidth="1"/>
    <col min="6408" max="6408" width="10.9375" customWidth="1"/>
    <col min="6409" max="6409" width="13.41015625" customWidth="1"/>
    <col min="6410" max="6410" width="11.52734375" customWidth="1"/>
    <col min="6411" max="6411" width="13.703125" customWidth="1"/>
    <col min="6412" max="6412" width="7.703125" customWidth="1"/>
    <col min="6413" max="6413" width="8.3515625" customWidth="1"/>
    <col min="6414" max="6414" width="22.46875" customWidth="1"/>
    <col min="6415" max="6415" width="9.46875" bestFit="1" customWidth="1"/>
    <col min="6416" max="6417" width="10.41015625" bestFit="1" customWidth="1"/>
    <col min="6418" max="6418" width="9.46875" bestFit="1" customWidth="1"/>
    <col min="6419" max="6419" width="11.76171875" customWidth="1"/>
    <col min="6657" max="6657" width="4.46875" customWidth="1"/>
    <col min="6658" max="6658" width="45.87890625" customWidth="1"/>
    <col min="6659" max="6659" width="15.29296875" customWidth="1"/>
    <col min="6660" max="6661" width="12.29296875" customWidth="1"/>
    <col min="6662" max="6662" width="11.76171875" customWidth="1"/>
    <col min="6663" max="6663" width="12.17578125" customWidth="1"/>
    <col min="6664" max="6664" width="10.9375" customWidth="1"/>
    <col min="6665" max="6665" width="13.41015625" customWidth="1"/>
    <col min="6666" max="6666" width="11.52734375" customWidth="1"/>
    <col min="6667" max="6667" width="13.703125" customWidth="1"/>
    <col min="6668" max="6668" width="7.703125" customWidth="1"/>
    <col min="6669" max="6669" width="8.3515625" customWidth="1"/>
    <col min="6670" max="6670" width="22.46875" customWidth="1"/>
    <col min="6671" max="6671" width="9.46875" bestFit="1" customWidth="1"/>
    <col min="6672" max="6673" width="10.41015625" bestFit="1" customWidth="1"/>
    <col min="6674" max="6674" width="9.46875" bestFit="1" customWidth="1"/>
    <col min="6675" max="6675" width="11.76171875" customWidth="1"/>
    <col min="6913" max="6913" width="4.46875" customWidth="1"/>
    <col min="6914" max="6914" width="45.87890625" customWidth="1"/>
    <col min="6915" max="6915" width="15.29296875" customWidth="1"/>
    <col min="6916" max="6917" width="12.29296875" customWidth="1"/>
    <col min="6918" max="6918" width="11.76171875" customWidth="1"/>
    <col min="6919" max="6919" width="12.17578125" customWidth="1"/>
    <col min="6920" max="6920" width="10.9375" customWidth="1"/>
    <col min="6921" max="6921" width="13.41015625" customWidth="1"/>
    <col min="6922" max="6922" width="11.52734375" customWidth="1"/>
    <col min="6923" max="6923" width="13.703125" customWidth="1"/>
    <col min="6924" max="6924" width="7.703125" customWidth="1"/>
    <col min="6925" max="6925" width="8.3515625" customWidth="1"/>
    <col min="6926" max="6926" width="22.46875" customWidth="1"/>
    <col min="6927" max="6927" width="9.46875" bestFit="1" customWidth="1"/>
    <col min="6928" max="6929" width="10.41015625" bestFit="1" customWidth="1"/>
    <col min="6930" max="6930" width="9.46875" bestFit="1" customWidth="1"/>
    <col min="6931" max="6931" width="11.76171875" customWidth="1"/>
    <col min="7169" max="7169" width="4.46875" customWidth="1"/>
    <col min="7170" max="7170" width="45.87890625" customWidth="1"/>
    <col min="7171" max="7171" width="15.29296875" customWidth="1"/>
    <col min="7172" max="7173" width="12.29296875" customWidth="1"/>
    <col min="7174" max="7174" width="11.76171875" customWidth="1"/>
    <col min="7175" max="7175" width="12.17578125" customWidth="1"/>
    <col min="7176" max="7176" width="10.9375" customWidth="1"/>
    <col min="7177" max="7177" width="13.41015625" customWidth="1"/>
    <col min="7178" max="7178" width="11.52734375" customWidth="1"/>
    <col min="7179" max="7179" width="13.703125" customWidth="1"/>
    <col min="7180" max="7180" width="7.703125" customWidth="1"/>
    <col min="7181" max="7181" width="8.3515625" customWidth="1"/>
    <col min="7182" max="7182" width="22.46875" customWidth="1"/>
    <col min="7183" max="7183" width="9.46875" bestFit="1" customWidth="1"/>
    <col min="7184" max="7185" width="10.41015625" bestFit="1" customWidth="1"/>
    <col min="7186" max="7186" width="9.46875" bestFit="1" customWidth="1"/>
    <col min="7187" max="7187" width="11.76171875" customWidth="1"/>
    <col min="7425" max="7425" width="4.46875" customWidth="1"/>
    <col min="7426" max="7426" width="45.87890625" customWidth="1"/>
    <col min="7427" max="7427" width="15.29296875" customWidth="1"/>
    <col min="7428" max="7429" width="12.29296875" customWidth="1"/>
    <col min="7430" max="7430" width="11.76171875" customWidth="1"/>
    <col min="7431" max="7431" width="12.17578125" customWidth="1"/>
    <col min="7432" max="7432" width="10.9375" customWidth="1"/>
    <col min="7433" max="7433" width="13.41015625" customWidth="1"/>
    <col min="7434" max="7434" width="11.52734375" customWidth="1"/>
    <col min="7435" max="7435" width="13.703125" customWidth="1"/>
    <col min="7436" max="7436" width="7.703125" customWidth="1"/>
    <col min="7437" max="7437" width="8.3515625" customWidth="1"/>
    <col min="7438" max="7438" width="22.46875" customWidth="1"/>
    <col min="7439" max="7439" width="9.46875" bestFit="1" customWidth="1"/>
    <col min="7440" max="7441" width="10.41015625" bestFit="1" customWidth="1"/>
    <col min="7442" max="7442" width="9.46875" bestFit="1" customWidth="1"/>
    <col min="7443" max="7443" width="11.76171875" customWidth="1"/>
    <col min="7681" max="7681" width="4.46875" customWidth="1"/>
    <col min="7682" max="7682" width="45.87890625" customWidth="1"/>
    <col min="7683" max="7683" width="15.29296875" customWidth="1"/>
    <col min="7684" max="7685" width="12.29296875" customWidth="1"/>
    <col min="7686" max="7686" width="11.76171875" customWidth="1"/>
    <col min="7687" max="7687" width="12.17578125" customWidth="1"/>
    <col min="7688" max="7688" width="10.9375" customWidth="1"/>
    <col min="7689" max="7689" width="13.41015625" customWidth="1"/>
    <col min="7690" max="7690" width="11.52734375" customWidth="1"/>
    <col min="7691" max="7691" width="13.703125" customWidth="1"/>
    <col min="7692" max="7692" width="7.703125" customWidth="1"/>
    <col min="7693" max="7693" width="8.3515625" customWidth="1"/>
    <col min="7694" max="7694" width="22.46875" customWidth="1"/>
    <col min="7695" max="7695" width="9.46875" bestFit="1" customWidth="1"/>
    <col min="7696" max="7697" width="10.41015625" bestFit="1" customWidth="1"/>
    <col min="7698" max="7698" width="9.46875" bestFit="1" customWidth="1"/>
    <col min="7699" max="7699" width="11.76171875" customWidth="1"/>
    <col min="7937" max="7937" width="4.46875" customWidth="1"/>
    <col min="7938" max="7938" width="45.87890625" customWidth="1"/>
    <col min="7939" max="7939" width="15.29296875" customWidth="1"/>
    <col min="7940" max="7941" width="12.29296875" customWidth="1"/>
    <col min="7942" max="7942" width="11.76171875" customWidth="1"/>
    <col min="7943" max="7943" width="12.17578125" customWidth="1"/>
    <col min="7944" max="7944" width="10.9375" customWidth="1"/>
    <col min="7945" max="7945" width="13.41015625" customWidth="1"/>
    <col min="7946" max="7946" width="11.52734375" customWidth="1"/>
    <col min="7947" max="7947" width="13.703125" customWidth="1"/>
    <col min="7948" max="7948" width="7.703125" customWidth="1"/>
    <col min="7949" max="7949" width="8.3515625" customWidth="1"/>
    <col min="7950" max="7950" width="22.46875" customWidth="1"/>
    <col min="7951" max="7951" width="9.46875" bestFit="1" customWidth="1"/>
    <col min="7952" max="7953" width="10.41015625" bestFit="1" customWidth="1"/>
    <col min="7954" max="7954" width="9.46875" bestFit="1" customWidth="1"/>
    <col min="7955" max="7955" width="11.76171875" customWidth="1"/>
    <col min="8193" max="8193" width="4.46875" customWidth="1"/>
    <col min="8194" max="8194" width="45.87890625" customWidth="1"/>
    <col min="8195" max="8195" width="15.29296875" customWidth="1"/>
    <col min="8196" max="8197" width="12.29296875" customWidth="1"/>
    <col min="8198" max="8198" width="11.76171875" customWidth="1"/>
    <col min="8199" max="8199" width="12.17578125" customWidth="1"/>
    <col min="8200" max="8200" width="10.9375" customWidth="1"/>
    <col min="8201" max="8201" width="13.41015625" customWidth="1"/>
    <col min="8202" max="8202" width="11.52734375" customWidth="1"/>
    <col min="8203" max="8203" width="13.703125" customWidth="1"/>
    <col min="8204" max="8204" width="7.703125" customWidth="1"/>
    <col min="8205" max="8205" width="8.3515625" customWidth="1"/>
    <col min="8206" max="8206" width="22.46875" customWidth="1"/>
    <col min="8207" max="8207" width="9.46875" bestFit="1" customWidth="1"/>
    <col min="8208" max="8209" width="10.41015625" bestFit="1" customWidth="1"/>
    <col min="8210" max="8210" width="9.46875" bestFit="1" customWidth="1"/>
    <col min="8211" max="8211" width="11.76171875" customWidth="1"/>
    <col min="8449" max="8449" width="4.46875" customWidth="1"/>
    <col min="8450" max="8450" width="45.87890625" customWidth="1"/>
    <col min="8451" max="8451" width="15.29296875" customWidth="1"/>
    <col min="8452" max="8453" width="12.29296875" customWidth="1"/>
    <col min="8454" max="8454" width="11.76171875" customWidth="1"/>
    <col min="8455" max="8455" width="12.17578125" customWidth="1"/>
    <col min="8456" max="8456" width="10.9375" customWidth="1"/>
    <col min="8457" max="8457" width="13.41015625" customWidth="1"/>
    <col min="8458" max="8458" width="11.52734375" customWidth="1"/>
    <col min="8459" max="8459" width="13.703125" customWidth="1"/>
    <col min="8460" max="8460" width="7.703125" customWidth="1"/>
    <col min="8461" max="8461" width="8.3515625" customWidth="1"/>
    <col min="8462" max="8462" width="22.46875" customWidth="1"/>
    <col min="8463" max="8463" width="9.46875" bestFit="1" customWidth="1"/>
    <col min="8464" max="8465" width="10.41015625" bestFit="1" customWidth="1"/>
    <col min="8466" max="8466" width="9.46875" bestFit="1" customWidth="1"/>
    <col min="8467" max="8467" width="11.76171875" customWidth="1"/>
    <col min="8705" max="8705" width="4.46875" customWidth="1"/>
    <col min="8706" max="8706" width="45.87890625" customWidth="1"/>
    <col min="8707" max="8707" width="15.29296875" customWidth="1"/>
    <col min="8708" max="8709" width="12.29296875" customWidth="1"/>
    <col min="8710" max="8710" width="11.76171875" customWidth="1"/>
    <col min="8711" max="8711" width="12.17578125" customWidth="1"/>
    <col min="8712" max="8712" width="10.9375" customWidth="1"/>
    <col min="8713" max="8713" width="13.41015625" customWidth="1"/>
    <col min="8714" max="8714" width="11.52734375" customWidth="1"/>
    <col min="8715" max="8715" width="13.703125" customWidth="1"/>
    <col min="8716" max="8716" width="7.703125" customWidth="1"/>
    <col min="8717" max="8717" width="8.3515625" customWidth="1"/>
    <col min="8718" max="8718" width="22.46875" customWidth="1"/>
    <col min="8719" max="8719" width="9.46875" bestFit="1" customWidth="1"/>
    <col min="8720" max="8721" width="10.41015625" bestFit="1" customWidth="1"/>
    <col min="8722" max="8722" width="9.46875" bestFit="1" customWidth="1"/>
    <col min="8723" max="8723" width="11.76171875" customWidth="1"/>
    <col min="8961" max="8961" width="4.46875" customWidth="1"/>
    <col min="8962" max="8962" width="45.87890625" customWidth="1"/>
    <col min="8963" max="8963" width="15.29296875" customWidth="1"/>
    <col min="8964" max="8965" width="12.29296875" customWidth="1"/>
    <col min="8966" max="8966" width="11.76171875" customWidth="1"/>
    <col min="8967" max="8967" width="12.17578125" customWidth="1"/>
    <col min="8968" max="8968" width="10.9375" customWidth="1"/>
    <col min="8969" max="8969" width="13.41015625" customWidth="1"/>
    <col min="8970" max="8970" width="11.52734375" customWidth="1"/>
    <col min="8971" max="8971" width="13.703125" customWidth="1"/>
    <col min="8972" max="8972" width="7.703125" customWidth="1"/>
    <col min="8973" max="8973" width="8.3515625" customWidth="1"/>
    <col min="8974" max="8974" width="22.46875" customWidth="1"/>
    <col min="8975" max="8975" width="9.46875" bestFit="1" customWidth="1"/>
    <col min="8976" max="8977" width="10.41015625" bestFit="1" customWidth="1"/>
    <col min="8978" max="8978" width="9.46875" bestFit="1" customWidth="1"/>
    <col min="8979" max="8979" width="11.76171875" customWidth="1"/>
    <col min="9217" max="9217" width="4.46875" customWidth="1"/>
    <col min="9218" max="9218" width="45.87890625" customWidth="1"/>
    <col min="9219" max="9219" width="15.29296875" customWidth="1"/>
    <col min="9220" max="9221" width="12.29296875" customWidth="1"/>
    <col min="9222" max="9222" width="11.76171875" customWidth="1"/>
    <col min="9223" max="9223" width="12.17578125" customWidth="1"/>
    <col min="9224" max="9224" width="10.9375" customWidth="1"/>
    <col min="9225" max="9225" width="13.41015625" customWidth="1"/>
    <col min="9226" max="9226" width="11.52734375" customWidth="1"/>
    <col min="9227" max="9227" width="13.703125" customWidth="1"/>
    <col min="9228" max="9228" width="7.703125" customWidth="1"/>
    <col min="9229" max="9229" width="8.3515625" customWidth="1"/>
    <col min="9230" max="9230" width="22.46875" customWidth="1"/>
    <col min="9231" max="9231" width="9.46875" bestFit="1" customWidth="1"/>
    <col min="9232" max="9233" width="10.41015625" bestFit="1" customWidth="1"/>
    <col min="9234" max="9234" width="9.46875" bestFit="1" customWidth="1"/>
    <col min="9235" max="9235" width="11.76171875" customWidth="1"/>
    <col min="9473" max="9473" width="4.46875" customWidth="1"/>
    <col min="9474" max="9474" width="45.87890625" customWidth="1"/>
    <col min="9475" max="9475" width="15.29296875" customWidth="1"/>
    <col min="9476" max="9477" width="12.29296875" customWidth="1"/>
    <col min="9478" max="9478" width="11.76171875" customWidth="1"/>
    <col min="9479" max="9479" width="12.17578125" customWidth="1"/>
    <col min="9480" max="9480" width="10.9375" customWidth="1"/>
    <col min="9481" max="9481" width="13.41015625" customWidth="1"/>
    <col min="9482" max="9482" width="11.52734375" customWidth="1"/>
    <col min="9483" max="9483" width="13.703125" customWidth="1"/>
    <col min="9484" max="9484" width="7.703125" customWidth="1"/>
    <col min="9485" max="9485" width="8.3515625" customWidth="1"/>
    <col min="9486" max="9486" width="22.46875" customWidth="1"/>
    <col min="9487" max="9487" width="9.46875" bestFit="1" customWidth="1"/>
    <col min="9488" max="9489" width="10.41015625" bestFit="1" customWidth="1"/>
    <col min="9490" max="9490" width="9.46875" bestFit="1" customWidth="1"/>
    <col min="9491" max="9491" width="11.76171875" customWidth="1"/>
    <col min="9729" max="9729" width="4.46875" customWidth="1"/>
    <col min="9730" max="9730" width="45.87890625" customWidth="1"/>
    <col min="9731" max="9731" width="15.29296875" customWidth="1"/>
    <col min="9732" max="9733" width="12.29296875" customWidth="1"/>
    <col min="9734" max="9734" width="11.76171875" customWidth="1"/>
    <col min="9735" max="9735" width="12.17578125" customWidth="1"/>
    <col min="9736" max="9736" width="10.9375" customWidth="1"/>
    <col min="9737" max="9737" width="13.41015625" customWidth="1"/>
    <col min="9738" max="9738" width="11.52734375" customWidth="1"/>
    <col min="9739" max="9739" width="13.703125" customWidth="1"/>
    <col min="9740" max="9740" width="7.703125" customWidth="1"/>
    <col min="9741" max="9741" width="8.3515625" customWidth="1"/>
    <col min="9742" max="9742" width="22.46875" customWidth="1"/>
    <col min="9743" max="9743" width="9.46875" bestFit="1" customWidth="1"/>
    <col min="9744" max="9745" width="10.41015625" bestFit="1" customWidth="1"/>
    <col min="9746" max="9746" width="9.46875" bestFit="1" customWidth="1"/>
    <col min="9747" max="9747" width="11.76171875" customWidth="1"/>
    <col min="9985" max="9985" width="4.46875" customWidth="1"/>
    <col min="9986" max="9986" width="45.87890625" customWidth="1"/>
    <col min="9987" max="9987" width="15.29296875" customWidth="1"/>
    <col min="9988" max="9989" width="12.29296875" customWidth="1"/>
    <col min="9990" max="9990" width="11.76171875" customWidth="1"/>
    <col min="9991" max="9991" width="12.17578125" customWidth="1"/>
    <col min="9992" max="9992" width="10.9375" customWidth="1"/>
    <col min="9993" max="9993" width="13.41015625" customWidth="1"/>
    <col min="9994" max="9994" width="11.52734375" customWidth="1"/>
    <col min="9995" max="9995" width="13.703125" customWidth="1"/>
    <col min="9996" max="9996" width="7.703125" customWidth="1"/>
    <col min="9997" max="9997" width="8.3515625" customWidth="1"/>
    <col min="9998" max="9998" width="22.46875" customWidth="1"/>
    <col min="9999" max="9999" width="9.46875" bestFit="1" customWidth="1"/>
    <col min="10000" max="10001" width="10.41015625" bestFit="1" customWidth="1"/>
    <col min="10002" max="10002" width="9.46875" bestFit="1" customWidth="1"/>
    <col min="10003" max="10003" width="11.76171875" customWidth="1"/>
    <col min="10241" max="10241" width="4.46875" customWidth="1"/>
    <col min="10242" max="10242" width="45.87890625" customWidth="1"/>
    <col min="10243" max="10243" width="15.29296875" customWidth="1"/>
    <col min="10244" max="10245" width="12.29296875" customWidth="1"/>
    <col min="10246" max="10246" width="11.76171875" customWidth="1"/>
    <col min="10247" max="10247" width="12.17578125" customWidth="1"/>
    <col min="10248" max="10248" width="10.9375" customWidth="1"/>
    <col min="10249" max="10249" width="13.41015625" customWidth="1"/>
    <col min="10250" max="10250" width="11.52734375" customWidth="1"/>
    <col min="10251" max="10251" width="13.703125" customWidth="1"/>
    <col min="10252" max="10252" width="7.703125" customWidth="1"/>
    <col min="10253" max="10253" width="8.3515625" customWidth="1"/>
    <col min="10254" max="10254" width="22.46875" customWidth="1"/>
    <col min="10255" max="10255" width="9.46875" bestFit="1" customWidth="1"/>
    <col min="10256" max="10257" width="10.41015625" bestFit="1" customWidth="1"/>
    <col min="10258" max="10258" width="9.46875" bestFit="1" customWidth="1"/>
    <col min="10259" max="10259" width="11.76171875" customWidth="1"/>
    <col min="10497" max="10497" width="4.46875" customWidth="1"/>
    <col min="10498" max="10498" width="45.87890625" customWidth="1"/>
    <col min="10499" max="10499" width="15.29296875" customWidth="1"/>
    <col min="10500" max="10501" width="12.29296875" customWidth="1"/>
    <col min="10502" max="10502" width="11.76171875" customWidth="1"/>
    <col min="10503" max="10503" width="12.17578125" customWidth="1"/>
    <col min="10504" max="10504" width="10.9375" customWidth="1"/>
    <col min="10505" max="10505" width="13.41015625" customWidth="1"/>
    <col min="10506" max="10506" width="11.52734375" customWidth="1"/>
    <col min="10507" max="10507" width="13.703125" customWidth="1"/>
    <col min="10508" max="10508" width="7.703125" customWidth="1"/>
    <col min="10509" max="10509" width="8.3515625" customWidth="1"/>
    <col min="10510" max="10510" width="22.46875" customWidth="1"/>
    <col min="10511" max="10511" width="9.46875" bestFit="1" customWidth="1"/>
    <col min="10512" max="10513" width="10.41015625" bestFit="1" customWidth="1"/>
    <col min="10514" max="10514" width="9.46875" bestFit="1" customWidth="1"/>
    <col min="10515" max="10515" width="11.76171875" customWidth="1"/>
    <col min="10753" max="10753" width="4.46875" customWidth="1"/>
    <col min="10754" max="10754" width="45.87890625" customWidth="1"/>
    <col min="10755" max="10755" width="15.29296875" customWidth="1"/>
    <col min="10756" max="10757" width="12.29296875" customWidth="1"/>
    <col min="10758" max="10758" width="11.76171875" customWidth="1"/>
    <col min="10759" max="10759" width="12.17578125" customWidth="1"/>
    <col min="10760" max="10760" width="10.9375" customWidth="1"/>
    <col min="10761" max="10761" width="13.41015625" customWidth="1"/>
    <col min="10762" max="10762" width="11.52734375" customWidth="1"/>
    <col min="10763" max="10763" width="13.703125" customWidth="1"/>
    <col min="10764" max="10764" width="7.703125" customWidth="1"/>
    <col min="10765" max="10765" width="8.3515625" customWidth="1"/>
    <col min="10766" max="10766" width="22.46875" customWidth="1"/>
    <col min="10767" max="10767" width="9.46875" bestFit="1" customWidth="1"/>
    <col min="10768" max="10769" width="10.41015625" bestFit="1" customWidth="1"/>
    <col min="10770" max="10770" width="9.46875" bestFit="1" customWidth="1"/>
    <col min="10771" max="10771" width="11.76171875" customWidth="1"/>
    <col min="11009" max="11009" width="4.46875" customWidth="1"/>
    <col min="11010" max="11010" width="45.87890625" customWidth="1"/>
    <col min="11011" max="11011" width="15.29296875" customWidth="1"/>
    <col min="11012" max="11013" width="12.29296875" customWidth="1"/>
    <col min="11014" max="11014" width="11.76171875" customWidth="1"/>
    <col min="11015" max="11015" width="12.17578125" customWidth="1"/>
    <col min="11016" max="11016" width="10.9375" customWidth="1"/>
    <col min="11017" max="11017" width="13.41015625" customWidth="1"/>
    <col min="11018" max="11018" width="11.52734375" customWidth="1"/>
    <col min="11019" max="11019" width="13.703125" customWidth="1"/>
    <col min="11020" max="11020" width="7.703125" customWidth="1"/>
    <col min="11021" max="11021" width="8.3515625" customWidth="1"/>
    <col min="11022" max="11022" width="22.46875" customWidth="1"/>
    <col min="11023" max="11023" width="9.46875" bestFit="1" customWidth="1"/>
    <col min="11024" max="11025" width="10.41015625" bestFit="1" customWidth="1"/>
    <col min="11026" max="11026" width="9.46875" bestFit="1" customWidth="1"/>
    <col min="11027" max="11027" width="11.76171875" customWidth="1"/>
    <col min="11265" max="11265" width="4.46875" customWidth="1"/>
    <col min="11266" max="11266" width="45.87890625" customWidth="1"/>
    <col min="11267" max="11267" width="15.29296875" customWidth="1"/>
    <col min="11268" max="11269" width="12.29296875" customWidth="1"/>
    <col min="11270" max="11270" width="11.76171875" customWidth="1"/>
    <col min="11271" max="11271" width="12.17578125" customWidth="1"/>
    <col min="11272" max="11272" width="10.9375" customWidth="1"/>
    <col min="11273" max="11273" width="13.41015625" customWidth="1"/>
    <col min="11274" max="11274" width="11.52734375" customWidth="1"/>
    <col min="11275" max="11275" width="13.703125" customWidth="1"/>
    <col min="11276" max="11276" width="7.703125" customWidth="1"/>
    <col min="11277" max="11277" width="8.3515625" customWidth="1"/>
    <col min="11278" max="11278" width="22.46875" customWidth="1"/>
    <col min="11279" max="11279" width="9.46875" bestFit="1" customWidth="1"/>
    <col min="11280" max="11281" width="10.41015625" bestFit="1" customWidth="1"/>
    <col min="11282" max="11282" width="9.46875" bestFit="1" customWidth="1"/>
    <col min="11283" max="11283" width="11.76171875" customWidth="1"/>
    <col min="11521" max="11521" width="4.46875" customWidth="1"/>
    <col min="11522" max="11522" width="45.87890625" customWidth="1"/>
    <col min="11523" max="11523" width="15.29296875" customWidth="1"/>
    <col min="11524" max="11525" width="12.29296875" customWidth="1"/>
    <col min="11526" max="11526" width="11.76171875" customWidth="1"/>
    <col min="11527" max="11527" width="12.17578125" customWidth="1"/>
    <col min="11528" max="11528" width="10.9375" customWidth="1"/>
    <col min="11529" max="11529" width="13.41015625" customWidth="1"/>
    <col min="11530" max="11530" width="11.52734375" customWidth="1"/>
    <col min="11531" max="11531" width="13.703125" customWidth="1"/>
    <col min="11532" max="11532" width="7.703125" customWidth="1"/>
    <col min="11533" max="11533" width="8.3515625" customWidth="1"/>
    <col min="11534" max="11534" width="22.46875" customWidth="1"/>
    <col min="11535" max="11535" width="9.46875" bestFit="1" customWidth="1"/>
    <col min="11536" max="11537" width="10.41015625" bestFit="1" customWidth="1"/>
    <col min="11538" max="11538" width="9.46875" bestFit="1" customWidth="1"/>
    <col min="11539" max="11539" width="11.76171875" customWidth="1"/>
    <col min="11777" max="11777" width="4.46875" customWidth="1"/>
    <col min="11778" max="11778" width="45.87890625" customWidth="1"/>
    <col min="11779" max="11779" width="15.29296875" customWidth="1"/>
    <col min="11780" max="11781" width="12.29296875" customWidth="1"/>
    <col min="11782" max="11782" width="11.76171875" customWidth="1"/>
    <col min="11783" max="11783" width="12.17578125" customWidth="1"/>
    <col min="11784" max="11784" width="10.9375" customWidth="1"/>
    <col min="11785" max="11785" width="13.41015625" customWidth="1"/>
    <col min="11786" max="11786" width="11.52734375" customWidth="1"/>
    <col min="11787" max="11787" width="13.703125" customWidth="1"/>
    <col min="11788" max="11788" width="7.703125" customWidth="1"/>
    <col min="11789" max="11789" width="8.3515625" customWidth="1"/>
    <col min="11790" max="11790" width="22.46875" customWidth="1"/>
    <col min="11791" max="11791" width="9.46875" bestFit="1" customWidth="1"/>
    <col min="11792" max="11793" width="10.41015625" bestFit="1" customWidth="1"/>
    <col min="11794" max="11794" width="9.46875" bestFit="1" customWidth="1"/>
    <col min="11795" max="11795" width="11.76171875" customWidth="1"/>
    <col min="12033" max="12033" width="4.46875" customWidth="1"/>
    <col min="12034" max="12034" width="45.87890625" customWidth="1"/>
    <col min="12035" max="12035" width="15.29296875" customWidth="1"/>
    <col min="12036" max="12037" width="12.29296875" customWidth="1"/>
    <col min="12038" max="12038" width="11.76171875" customWidth="1"/>
    <col min="12039" max="12039" width="12.17578125" customWidth="1"/>
    <col min="12040" max="12040" width="10.9375" customWidth="1"/>
    <col min="12041" max="12041" width="13.41015625" customWidth="1"/>
    <col min="12042" max="12042" width="11.52734375" customWidth="1"/>
    <col min="12043" max="12043" width="13.703125" customWidth="1"/>
    <col min="12044" max="12044" width="7.703125" customWidth="1"/>
    <col min="12045" max="12045" width="8.3515625" customWidth="1"/>
    <col min="12046" max="12046" width="22.46875" customWidth="1"/>
    <col min="12047" max="12047" width="9.46875" bestFit="1" customWidth="1"/>
    <col min="12048" max="12049" width="10.41015625" bestFit="1" customWidth="1"/>
    <col min="12050" max="12050" width="9.46875" bestFit="1" customWidth="1"/>
    <col min="12051" max="12051" width="11.76171875" customWidth="1"/>
    <col min="12289" max="12289" width="4.46875" customWidth="1"/>
    <col min="12290" max="12290" width="45.87890625" customWidth="1"/>
    <col min="12291" max="12291" width="15.29296875" customWidth="1"/>
    <col min="12292" max="12293" width="12.29296875" customWidth="1"/>
    <col min="12294" max="12294" width="11.76171875" customWidth="1"/>
    <col min="12295" max="12295" width="12.17578125" customWidth="1"/>
    <col min="12296" max="12296" width="10.9375" customWidth="1"/>
    <col min="12297" max="12297" width="13.41015625" customWidth="1"/>
    <col min="12298" max="12298" width="11.52734375" customWidth="1"/>
    <col min="12299" max="12299" width="13.703125" customWidth="1"/>
    <col min="12300" max="12300" width="7.703125" customWidth="1"/>
    <col min="12301" max="12301" width="8.3515625" customWidth="1"/>
    <col min="12302" max="12302" width="22.46875" customWidth="1"/>
    <col min="12303" max="12303" width="9.46875" bestFit="1" customWidth="1"/>
    <col min="12304" max="12305" width="10.41015625" bestFit="1" customWidth="1"/>
    <col min="12306" max="12306" width="9.46875" bestFit="1" customWidth="1"/>
    <col min="12307" max="12307" width="11.76171875" customWidth="1"/>
    <col min="12545" max="12545" width="4.46875" customWidth="1"/>
    <col min="12546" max="12546" width="45.87890625" customWidth="1"/>
    <col min="12547" max="12547" width="15.29296875" customWidth="1"/>
    <col min="12548" max="12549" width="12.29296875" customWidth="1"/>
    <col min="12550" max="12550" width="11.76171875" customWidth="1"/>
    <col min="12551" max="12551" width="12.17578125" customWidth="1"/>
    <col min="12552" max="12552" width="10.9375" customWidth="1"/>
    <col min="12553" max="12553" width="13.41015625" customWidth="1"/>
    <col min="12554" max="12554" width="11.52734375" customWidth="1"/>
    <col min="12555" max="12555" width="13.703125" customWidth="1"/>
    <col min="12556" max="12556" width="7.703125" customWidth="1"/>
    <col min="12557" max="12557" width="8.3515625" customWidth="1"/>
    <col min="12558" max="12558" width="22.46875" customWidth="1"/>
    <col min="12559" max="12559" width="9.46875" bestFit="1" customWidth="1"/>
    <col min="12560" max="12561" width="10.41015625" bestFit="1" customWidth="1"/>
    <col min="12562" max="12562" width="9.46875" bestFit="1" customWidth="1"/>
    <col min="12563" max="12563" width="11.76171875" customWidth="1"/>
    <col min="12801" max="12801" width="4.46875" customWidth="1"/>
    <col min="12802" max="12802" width="45.87890625" customWidth="1"/>
    <col min="12803" max="12803" width="15.29296875" customWidth="1"/>
    <col min="12804" max="12805" width="12.29296875" customWidth="1"/>
    <col min="12806" max="12806" width="11.76171875" customWidth="1"/>
    <col min="12807" max="12807" width="12.17578125" customWidth="1"/>
    <col min="12808" max="12808" width="10.9375" customWidth="1"/>
    <col min="12809" max="12809" width="13.41015625" customWidth="1"/>
    <col min="12810" max="12810" width="11.52734375" customWidth="1"/>
    <col min="12811" max="12811" width="13.703125" customWidth="1"/>
    <col min="12812" max="12812" width="7.703125" customWidth="1"/>
    <col min="12813" max="12813" width="8.3515625" customWidth="1"/>
    <col min="12814" max="12814" width="22.46875" customWidth="1"/>
    <col min="12815" max="12815" width="9.46875" bestFit="1" customWidth="1"/>
    <col min="12816" max="12817" width="10.41015625" bestFit="1" customWidth="1"/>
    <col min="12818" max="12818" width="9.46875" bestFit="1" customWidth="1"/>
    <col min="12819" max="12819" width="11.76171875" customWidth="1"/>
    <col min="13057" max="13057" width="4.46875" customWidth="1"/>
    <col min="13058" max="13058" width="45.87890625" customWidth="1"/>
    <col min="13059" max="13059" width="15.29296875" customWidth="1"/>
    <col min="13060" max="13061" width="12.29296875" customWidth="1"/>
    <col min="13062" max="13062" width="11.76171875" customWidth="1"/>
    <col min="13063" max="13063" width="12.17578125" customWidth="1"/>
    <col min="13064" max="13064" width="10.9375" customWidth="1"/>
    <col min="13065" max="13065" width="13.41015625" customWidth="1"/>
    <col min="13066" max="13066" width="11.52734375" customWidth="1"/>
    <col min="13067" max="13067" width="13.703125" customWidth="1"/>
    <col min="13068" max="13068" width="7.703125" customWidth="1"/>
    <col min="13069" max="13069" width="8.3515625" customWidth="1"/>
    <col min="13070" max="13070" width="22.46875" customWidth="1"/>
    <col min="13071" max="13071" width="9.46875" bestFit="1" customWidth="1"/>
    <col min="13072" max="13073" width="10.41015625" bestFit="1" customWidth="1"/>
    <col min="13074" max="13074" width="9.46875" bestFit="1" customWidth="1"/>
    <col min="13075" max="13075" width="11.76171875" customWidth="1"/>
    <col min="13313" max="13313" width="4.46875" customWidth="1"/>
    <col min="13314" max="13314" width="45.87890625" customWidth="1"/>
    <col min="13315" max="13315" width="15.29296875" customWidth="1"/>
    <col min="13316" max="13317" width="12.29296875" customWidth="1"/>
    <col min="13318" max="13318" width="11.76171875" customWidth="1"/>
    <col min="13319" max="13319" width="12.17578125" customWidth="1"/>
    <col min="13320" max="13320" width="10.9375" customWidth="1"/>
    <col min="13321" max="13321" width="13.41015625" customWidth="1"/>
    <col min="13322" max="13322" width="11.52734375" customWidth="1"/>
    <col min="13323" max="13323" width="13.703125" customWidth="1"/>
    <col min="13324" max="13324" width="7.703125" customWidth="1"/>
    <col min="13325" max="13325" width="8.3515625" customWidth="1"/>
    <col min="13326" max="13326" width="22.46875" customWidth="1"/>
    <col min="13327" max="13327" width="9.46875" bestFit="1" customWidth="1"/>
    <col min="13328" max="13329" width="10.41015625" bestFit="1" customWidth="1"/>
    <col min="13330" max="13330" width="9.46875" bestFit="1" customWidth="1"/>
    <col min="13331" max="13331" width="11.76171875" customWidth="1"/>
    <col min="13569" max="13569" width="4.46875" customWidth="1"/>
    <col min="13570" max="13570" width="45.87890625" customWidth="1"/>
    <col min="13571" max="13571" width="15.29296875" customWidth="1"/>
    <col min="13572" max="13573" width="12.29296875" customWidth="1"/>
    <col min="13574" max="13574" width="11.76171875" customWidth="1"/>
    <col min="13575" max="13575" width="12.17578125" customWidth="1"/>
    <col min="13576" max="13576" width="10.9375" customWidth="1"/>
    <col min="13577" max="13577" width="13.41015625" customWidth="1"/>
    <col min="13578" max="13578" width="11.52734375" customWidth="1"/>
    <col min="13579" max="13579" width="13.703125" customWidth="1"/>
    <col min="13580" max="13580" width="7.703125" customWidth="1"/>
    <col min="13581" max="13581" width="8.3515625" customWidth="1"/>
    <col min="13582" max="13582" width="22.46875" customWidth="1"/>
    <col min="13583" max="13583" width="9.46875" bestFit="1" customWidth="1"/>
    <col min="13584" max="13585" width="10.41015625" bestFit="1" customWidth="1"/>
    <col min="13586" max="13586" width="9.46875" bestFit="1" customWidth="1"/>
    <col min="13587" max="13587" width="11.76171875" customWidth="1"/>
    <col min="13825" max="13825" width="4.46875" customWidth="1"/>
    <col min="13826" max="13826" width="45.87890625" customWidth="1"/>
    <col min="13827" max="13827" width="15.29296875" customWidth="1"/>
    <col min="13828" max="13829" width="12.29296875" customWidth="1"/>
    <col min="13830" max="13830" width="11.76171875" customWidth="1"/>
    <col min="13831" max="13831" width="12.17578125" customWidth="1"/>
    <col min="13832" max="13832" width="10.9375" customWidth="1"/>
    <col min="13833" max="13833" width="13.41015625" customWidth="1"/>
    <col min="13834" max="13834" width="11.52734375" customWidth="1"/>
    <col min="13835" max="13835" width="13.703125" customWidth="1"/>
    <col min="13836" max="13836" width="7.703125" customWidth="1"/>
    <col min="13837" max="13837" width="8.3515625" customWidth="1"/>
    <col min="13838" max="13838" width="22.46875" customWidth="1"/>
    <col min="13839" max="13839" width="9.46875" bestFit="1" customWidth="1"/>
    <col min="13840" max="13841" width="10.41015625" bestFit="1" customWidth="1"/>
    <col min="13842" max="13842" width="9.46875" bestFit="1" customWidth="1"/>
    <col min="13843" max="13843" width="11.76171875" customWidth="1"/>
    <col min="14081" max="14081" width="4.46875" customWidth="1"/>
    <col min="14082" max="14082" width="45.87890625" customWidth="1"/>
    <col min="14083" max="14083" width="15.29296875" customWidth="1"/>
    <col min="14084" max="14085" width="12.29296875" customWidth="1"/>
    <col min="14086" max="14086" width="11.76171875" customWidth="1"/>
    <col min="14087" max="14087" width="12.17578125" customWidth="1"/>
    <col min="14088" max="14088" width="10.9375" customWidth="1"/>
    <col min="14089" max="14089" width="13.41015625" customWidth="1"/>
    <col min="14090" max="14090" width="11.52734375" customWidth="1"/>
    <col min="14091" max="14091" width="13.703125" customWidth="1"/>
    <col min="14092" max="14092" width="7.703125" customWidth="1"/>
    <col min="14093" max="14093" width="8.3515625" customWidth="1"/>
    <col min="14094" max="14094" width="22.46875" customWidth="1"/>
    <col min="14095" max="14095" width="9.46875" bestFit="1" customWidth="1"/>
    <col min="14096" max="14097" width="10.41015625" bestFit="1" customWidth="1"/>
    <col min="14098" max="14098" width="9.46875" bestFit="1" customWidth="1"/>
    <col min="14099" max="14099" width="11.76171875" customWidth="1"/>
    <col min="14337" max="14337" width="4.46875" customWidth="1"/>
    <col min="14338" max="14338" width="45.87890625" customWidth="1"/>
    <col min="14339" max="14339" width="15.29296875" customWidth="1"/>
    <col min="14340" max="14341" width="12.29296875" customWidth="1"/>
    <col min="14342" max="14342" width="11.76171875" customWidth="1"/>
    <col min="14343" max="14343" width="12.17578125" customWidth="1"/>
    <col min="14344" max="14344" width="10.9375" customWidth="1"/>
    <col min="14345" max="14345" width="13.41015625" customWidth="1"/>
    <col min="14346" max="14346" width="11.52734375" customWidth="1"/>
    <col min="14347" max="14347" width="13.703125" customWidth="1"/>
    <col min="14348" max="14348" width="7.703125" customWidth="1"/>
    <col min="14349" max="14349" width="8.3515625" customWidth="1"/>
    <col min="14350" max="14350" width="22.46875" customWidth="1"/>
    <col min="14351" max="14351" width="9.46875" bestFit="1" customWidth="1"/>
    <col min="14352" max="14353" width="10.41015625" bestFit="1" customWidth="1"/>
    <col min="14354" max="14354" width="9.46875" bestFit="1" customWidth="1"/>
    <col min="14355" max="14355" width="11.76171875" customWidth="1"/>
    <col min="14593" max="14593" width="4.46875" customWidth="1"/>
    <col min="14594" max="14594" width="45.87890625" customWidth="1"/>
    <col min="14595" max="14595" width="15.29296875" customWidth="1"/>
    <col min="14596" max="14597" width="12.29296875" customWidth="1"/>
    <col min="14598" max="14598" width="11.76171875" customWidth="1"/>
    <col min="14599" max="14599" width="12.17578125" customWidth="1"/>
    <col min="14600" max="14600" width="10.9375" customWidth="1"/>
    <col min="14601" max="14601" width="13.41015625" customWidth="1"/>
    <col min="14602" max="14602" width="11.52734375" customWidth="1"/>
    <col min="14603" max="14603" width="13.703125" customWidth="1"/>
    <col min="14604" max="14604" width="7.703125" customWidth="1"/>
    <col min="14605" max="14605" width="8.3515625" customWidth="1"/>
    <col min="14606" max="14606" width="22.46875" customWidth="1"/>
    <col min="14607" max="14607" width="9.46875" bestFit="1" customWidth="1"/>
    <col min="14608" max="14609" width="10.41015625" bestFit="1" customWidth="1"/>
    <col min="14610" max="14610" width="9.46875" bestFit="1" customWidth="1"/>
    <col min="14611" max="14611" width="11.76171875" customWidth="1"/>
    <col min="14849" max="14849" width="4.46875" customWidth="1"/>
    <col min="14850" max="14850" width="45.87890625" customWidth="1"/>
    <col min="14851" max="14851" width="15.29296875" customWidth="1"/>
    <col min="14852" max="14853" width="12.29296875" customWidth="1"/>
    <col min="14854" max="14854" width="11.76171875" customWidth="1"/>
    <col min="14855" max="14855" width="12.17578125" customWidth="1"/>
    <col min="14856" max="14856" width="10.9375" customWidth="1"/>
    <col min="14857" max="14857" width="13.41015625" customWidth="1"/>
    <col min="14858" max="14858" width="11.52734375" customWidth="1"/>
    <col min="14859" max="14859" width="13.703125" customWidth="1"/>
    <col min="14860" max="14860" width="7.703125" customWidth="1"/>
    <col min="14861" max="14861" width="8.3515625" customWidth="1"/>
    <col min="14862" max="14862" width="22.46875" customWidth="1"/>
    <col min="14863" max="14863" width="9.46875" bestFit="1" customWidth="1"/>
    <col min="14864" max="14865" width="10.41015625" bestFit="1" customWidth="1"/>
    <col min="14866" max="14866" width="9.46875" bestFit="1" customWidth="1"/>
    <col min="14867" max="14867" width="11.76171875" customWidth="1"/>
    <col min="15105" max="15105" width="4.46875" customWidth="1"/>
    <col min="15106" max="15106" width="45.87890625" customWidth="1"/>
    <col min="15107" max="15107" width="15.29296875" customWidth="1"/>
    <col min="15108" max="15109" width="12.29296875" customWidth="1"/>
    <col min="15110" max="15110" width="11.76171875" customWidth="1"/>
    <col min="15111" max="15111" width="12.17578125" customWidth="1"/>
    <col min="15112" max="15112" width="10.9375" customWidth="1"/>
    <col min="15113" max="15113" width="13.41015625" customWidth="1"/>
    <col min="15114" max="15114" width="11.52734375" customWidth="1"/>
    <col min="15115" max="15115" width="13.703125" customWidth="1"/>
    <col min="15116" max="15116" width="7.703125" customWidth="1"/>
    <col min="15117" max="15117" width="8.3515625" customWidth="1"/>
    <col min="15118" max="15118" width="22.46875" customWidth="1"/>
    <col min="15119" max="15119" width="9.46875" bestFit="1" customWidth="1"/>
    <col min="15120" max="15121" width="10.41015625" bestFit="1" customWidth="1"/>
    <col min="15122" max="15122" width="9.46875" bestFit="1" customWidth="1"/>
    <col min="15123" max="15123" width="11.76171875" customWidth="1"/>
    <col min="15361" max="15361" width="4.46875" customWidth="1"/>
    <col min="15362" max="15362" width="45.87890625" customWidth="1"/>
    <col min="15363" max="15363" width="15.29296875" customWidth="1"/>
    <col min="15364" max="15365" width="12.29296875" customWidth="1"/>
    <col min="15366" max="15366" width="11.76171875" customWidth="1"/>
    <col min="15367" max="15367" width="12.17578125" customWidth="1"/>
    <col min="15368" max="15368" width="10.9375" customWidth="1"/>
    <col min="15369" max="15369" width="13.41015625" customWidth="1"/>
    <col min="15370" max="15370" width="11.52734375" customWidth="1"/>
    <col min="15371" max="15371" width="13.703125" customWidth="1"/>
    <col min="15372" max="15372" width="7.703125" customWidth="1"/>
    <col min="15373" max="15373" width="8.3515625" customWidth="1"/>
    <col min="15374" max="15374" width="22.46875" customWidth="1"/>
    <col min="15375" max="15375" width="9.46875" bestFit="1" customWidth="1"/>
    <col min="15376" max="15377" width="10.41015625" bestFit="1" customWidth="1"/>
    <col min="15378" max="15378" width="9.46875" bestFit="1" customWidth="1"/>
    <col min="15379" max="15379" width="11.76171875" customWidth="1"/>
    <col min="15617" max="15617" width="4.46875" customWidth="1"/>
    <col min="15618" max="15618" width="45.87890625" customWidth="1"/>
    <col min="15619" max="15619" width="15.29296875" customWidth="1"/>
    <col min="15620" max="15621" width="12.29296875" customWidth="1"/>
    <col min="15622" max="15622" width="11.76171875" customWidth="1"/>
    <col min="15623" max="15623" width="12.17578125" customWidth="1"/>
    <col min="15624" max="15624" width="10.9375" customWidth="1"/>
    <col min="15625" max="15625" width="13.41015625" customWidth="1"/>
    <col min="15626" max="15626" width="11.52734375" customWidth="1"/>
    <col min="15627" max="15627" width="13.703125" customWidth="1"/>
    <col min="15628" max="15628" width="7.703125" customWidth="1"/>
    <col min="15629" max="15629" width="8.3515625" customWidth="1"/>
    <col min="15630" max="15630" width="22.46875" customWidth="1"/>
    <col min="15631" max="15631" width="9.46875" bestFit="1" customWidth="1"/>
    <col min="15632" max="15633" width="10.41015625" bestFit="1" customWidth="1"/>
    <col min="15634" max="15634" width="9.46875" bestFit="1" customWidth="1"/>
    <col min="15635" max="15635" width="11.76171875" customWidth="1"/>
    <col min="15873" max="15873" width="4.46875" customWidth="1"/>
    <col min="15874" max="15874" width="45.87890625" customWidth="1"/>
    <col min="15875" max="15875" width="15.29296875" customWidth="1"/>
    <col min="15876" max="15877" width="12.29296875" customWidth="1"/>
    <col min="15878" max="15878" width="11.76171875" customWidth="1"/>
    <col min="15879" max="15879" width="12.17578125" customWidth="1"/>
    <col min="15880" max="15880" width="10.9375" customWidth="1"/>
    <col min="15881" max="15881" width="13.41015625" customWidth="1"/>
    <col min="15882" max="15882" width="11.52734375" customWidth="1"/>
    <col min="15883" max="15883" width="13.703125" customWidth="1"/>
    <col min="15884" max="15884" width="7.703125" customWidth="1"/>
    <col min="15885" max="15885" width="8.3515625" customWidth="1"/>
    <col min="15886" max="15886" width="22.46875" customWidth="1"/>
    <col min="15887" max="15887" width="9.46875" bestFit="1" customWidth="1"/>
    <col min="15888" max="15889" width="10.41015625" bestFit="1" customWidth="1"/>
    <col min="15890" max="15890" width="9.46875" bestFit="1" customWidth="1"/>
    <col min="15891" max="15891" width="11.76171875" customWidth="1"/>
    <col min="16129" max="16129" width="4.46875" customWidth="1"/>
    <col min="16130" max="16130" width="45.87890625" customWidth="1"/>
    <col min="16131" max="16131" width="15.29296875" customWidth="1"/>
    <col min="16132" max="16133" width="12.29296875" customWidth="1"/>
    <col min="16134" max="16134" width="11.76171875" customWidth="1"/>
    <col min="16135" max="16135" width="12.17578125" customWidth="1"/>
    <col min="16136" max="16136" width="10.9375" customWidth="1"/>
    <col min="16137" max="16137" width="13.41015625" customWidth="1"/>
    <col min="16138" max="16138" width="11.52734375" customWidth="1"/>
    <col min="16139" max="16139" width="13.703125" customWidth="1"/>
    <col min="16140" max="16140" width="7.703125" customWidth="1"/>
    <col min="16141" max="16141" width="8.3515625" customWidth="1"/>
    <col min="16142" max="16142" width="22.46875" customWidth="1"/>
    <col min="16143" max="16143" width="9.46875" bestFit="1" customWidth="1"/>
    <col min="16144" max="16145" width="10.41015625" bestFit="1" customWidth="1"/>
    <col min="16146" max="16146" width="9.46875" bestFit="1" customWidth="1"/>
    <col min="16147" max="16147" width="11.76171875" customWidth="1"/>
  </cols>
  <sheetData>
    <row r="1" spans="1:12" ht="20" x14ac:dyDescent="0.6">
      <c r="B1" s="23" t="s">
        <v>7</v>
      </c>
      <c r="C1" s="24"/>
      <c r="J1" s="4"/>
    </row>
    <row r="2" spans="1:12" ht="10.5" customHeight="1" x14ac:dyDescent="0.5">
      <c r="B2" s="25" t="s">
        <v>8</v>
      </c>
      <c r="C2" s="24"/>
      <c r="J2" s="4"/>
    </row>
    <row r="3" spans="1:12" ht="16.5" customHeight="1" x14ac:dyDescent="0.5">
      <c r="B3" s="26"/>
      <c r="D3" s="27"/>
      <c r="E3" s="27"/>
      <c r="F3" s="27"/>
      <c r="G3" s="27"/>
      <c r="H3" s="27"/>
      <c r="I3" s="27"/>
    </row>
    <row r="4" spans="1:12" ht="19" customHeight="1" x14ac:dyDescent="0.55000000000000004">
      <c r="A4" s="22">
        <f>ROW()</f>
        <v>4</v>
      </c>
      <c r="B4" s="28" t="s">
        <v>9</v>
      </c>
      <c r="D4" s="27"/>
      <c r="G4" s="27"/>
    </row>
    <row r="5" spans="1:12" ht="7.5" customHeight="1" x14ac:dyDescent="0.55000000000000004">
      <c r="B5" s="28"/>
      <c r="D5" s="27"/>
      <c r="G5" s="27"/>
    </row>
    <row r="6" spans="1:12" ht="14.25" customHeight="1" thickBot="1" x14ac:dyDescent="0.55000000000000004">
      <c r="A6" s="22">
        <f>ROW()</f>
        <v>6</v>
      </c>
      <c r="B6" s="29" t="s">
        <v>261</v>
      </c>
      <c r="D6" s="30" t="s">
        <v>10</v>
      </c>
      <c r="F6" s="29" t="s">
        <v>11</v>
      </c>
      <c r="G6" s="27"/>
    </row>
    <row r="7" spans="1:12" ht="14.25" customHeight="1" thickTop="1" x14ac:dyDescent="0.5">
      <c r="A7" s="22">
        <f>ROW()</f>
        <v>7</v>
      </c>
      <c r="B7" s="27" t="s">
        <v>12</v>
      </c>
      <c r="C7" s="31">
        <f>+'Method #6'!E8</f>
        <v>2535000</v>
      </c>
      <c r="D7" s="32">
        <f>+C7/$H$18</f>
        <v>24.190025706940872</v>
      </c>
      <c r="F7" s="27" t="s">
        <v>13</v>
      </c>
      <c r="H7" s="33">
        <f>+C9/C12</f>
        <v>0.11806699615595827</v>
      </c>
    </row>
    <row r="8" spans="1:12" ht="14.25" customHeight="1" x14ac:dyDescent="0.5">
      <c r="A8" s="22">
        <f>ROW()</f>
        <v>8</v>
      </c>
      <c r="B8" s="27" t="s">
        <v>14</v>
      </c>
      <c r="C8" s="31">
        <f>+'Method #6'!E19</f>
        <v>633000</v>
      </c>
      <c r="D8" s="32">
        <f>+C8/$H$18</f>
        <v>6.0403496143958861</v>
      </c>
      <c r="F8" s="27" t="s">
        <v>15</v>
      </c>
      <c r="H8" s="33">
        <f>+C9/C11</f>
        <v>5.3204652313783719E-2</v>
      </c>
    </row>
    <row r="9" spans="1:12" ht="14.25" customHeight="1" x14ac:dyDescent="0.5">
      <c r="A9" s="22">
        <f>ROW()</f>
        <v>9</v>
      </c>
      <c r="B9" s="27" t="s">
        <v>16</v>
      </c>
      <c r="C9" s="34">
        <f>+(86+63+44+237)*1000</f>
        <v>430000</v>
      </c>
      <c r="D9" s="32">
        <f>+C9/$H$18</f>
        <v>4.1032390745501282</v>
      </c>
      <c r="E9" s="35" t="s">
        <v>17</v>
      </c>
      <c r="F9" s="27" t="s">
        <v>18</v>
      </c>
      <c r="H9" s="36">
        <f>+C12/H18</f>
        <v>34.753480719794339</v>
      </c>
    </row>
    <row r="10" spans="1:12" ht="16.5" customHeight="1" x14ac:dyDescent="0.5">
      <c r="A10" s="22">
        <f>ROW()</f>
        <v>10</v>
      </c>
    </row>
    <row r="11" spans="1:12" ht="16.5" customHeight="1" x14ac:dyDescent="0.5">
      <c r="A11" s="22">
        <f>ROW()</f>
        <v>11</v>
      </c>
      <c r="B11" s="27" t="s">
        <v>19</v>
      </c>
      <c r="C11" s="34">
        <v>8082000</v>
      </c>
      <c r="D11" s="32">
        <f>+C11/$H$18</f>
        <v>77.121809768637519</v>
      </c>
    </row>
    <row r="12" spans="1:12" ht="16.5" customHeight="1" x14ac:dyDescent="0.5">
      <c r="A12" s="22">
        <f>ROW()</f>
        <v>12</v>
      </c>
      <c r="B12" s="27" t="s">
        <v>20</v>
      </c>
      <c r="C12" s="34">
        <v>3642000</v>
      </c>
      <c r="D12" s="32">
        <f>+C12/$H$18</f>
        <v>34.753480719794339</v>
      </c>
    </row>
    <row r="13" spans="1:12" ht="8.1" customHeight="1" x14ac:dyDescent="0.5">
      <c r="B13" s="37"/>
      <c r="C13" s="37"/>
      <c r="D13" s="37"/>
      <c r="E13" s="37"/>
      <c r="F13" s="37"/>
      <c r="G13" s="37"/>
      <c r="H13" s="37"/>
      <c r="I13" s="37"/>
      <c r="J13" s="37"/>
      <c r="K13" s="37"/>
      <c r="L13" s="37"/>
    </row>
    <row r="14" spans="1:12" ht="16.5" customHeight="1" x14ac:dyDescent="0.5">
      <c r="B14" s="27"/>
      <c r="C14" s="33"/>
      <c r="J14" s="4"/>
    </row>
    <row r="15" spans="1:12" ht="16.5" customHeight="1" x14ac:dyDescent="0.55000000000000004">
      <c r="B15" s="28" t="s">
        <v>21</v>
      </c>
      <c r="C15" s="24"/>
      <c r="J15" s="4"/>
    </row>
    <row r="16" spans="1:12" ht="16.5" customHeight="1" x14ac:dyDescent="0.6">
      <c r="B16" s="23"/>
      <c r="C16" s="24"/>
      <c r="E16" s="29" t="s">
        <v>22</v>
      </c>
      <c r="J16" s="4"/>
    </row>
    <row r="17" spans="2:10" ht="16.5" customHeight="1" x14ac:dyDescent="0.6">
      <c r="B17" s="23"/>
      <c r="C17" s="24"/>
      <c r="E17" s="27" t="str">
        <f>+'Method #1'!D8</f>
        <v>Stock Price 
(as of 8/5/2019)</v>
      </c>
      <c r="H17" s="38">
        <f>+'Method #1'!D17</f>
        <v>74.239999999999995</v>
      </c>
      <c r="J17" s="4"/>
    </row>
    <row r="18" spans="2:10" ht="16.5" customHeight="1" x14ac:dyDescent="0.6">
      <c r="B18" s="23"/>
      <c r="C18" s="24"/>
      <c r="E18" s="27" t="s">
        <v>23</v>
      </c>
      <c r="H18" s="31">
        <f>+'Method #1'!E17</f>
        <v>104795.25862068967</v>
      </c>
      <c r="J18" s="4"/>
    </row>
    <row r="19" spans="2:10" ht="16.5" customHeight="1" x14ac:dyDescent="0.6">
      <c r="B19" s="23"/>
      <c r="C19" s="24"/>
      <c r="E19" s="27" t="s">
        <v>24</v>
      </c>
      <c r="H19" s="39">
        <f>+H18*H17</f>
        <v>7780000</v>
      </c>
      <c r="J19" s="4"/>
    </row>
    <row r="20" spans="2:10" ht="16.5" customHeight="1" x14ac:dyDescent="0.6">
      <c r="B20" s="23"/>
      <c r="C20" s="24"/>
      <c r="E20" s="27" t="s">
        <v>25</v>
      </c>
      <c r="H20" s="40">
        <f>0.01*H17</f>
        <v>0.74239999999999995</v>
      </c>
      <c r="I20" s="41">
        <v>43716</v>
      </c>
      <c r="J20" s="4"/>
    </row>
    <row r="21" spans="2:10" ht="16.5" customHeight="1" x14ac:dyDescent="0.6">
      <c r="B21" s="23"/>
      <c r="C21" s="24"/>
      <c r="J21" s="4"/>
    </row>
    <row r="22" spans="2:10" ht="16.5" customHeight="1" thickBot="1" x14ac:dyDescent="0.65">
      <c r="B22" s="23"/>
      <c r="C22" s="24"/>
      <c r="E22" s="29" t="s">
        <v>26</v>
      </c>
      <c r="H22" s="30" t="s">
        <v>27</v>
      </c>
      <c r="I22" s="30" t="s">
        <v>28</v>
      </c>
      <c r="J22" s="30" t="s">
        <v>29</v>
      </c>
    </row>
    <row r="23" spans="2:10" ht="16.5" customHeight="1" thickTop="1" x14ac:dyDescent="0.6">
      <c r="B23" s="23"/>
      <c r="C23" s="24"/>
      <c r="E23" s="27" t="s">
        <v>30</v>
      </c>
      <c r="H23" s="42">
        <f>+H17/H9</f>
        <v>2.1361889071938496</v>
      </c>
      <c r="I23" s="42"/>
      <c r="J23" s="43"/>
    </row>
    <row r="24" spans="2:10" ht="16.5" customHeight="1" x14ac:dyDescent="0.6">
      <c r="B24" s="23"/>
      <c r="C24" s="24"/>
      <c r="E24" s="27" t="s">
        <v>31</v>
      </c>
      <c r="H24" s="42">
        <f>+'Method #1'!I17/C11</f>
        <v>1.1107399158624103</v>
      </c>
      <c r="I24" s="42"/>
      <c r="J24" s="43"/>
    </row>
    <row r="25" spans="2:10" ht="16.5" customHeight="1" x14ac:dyDescent="0.6">
      <c r="B25" s="23"/>
      <c r="C25" s="24"/>
      <c r="E25" s="27" t="s">
        <v>32</v>
      </c>
      <c r="H25" s="42">
        <f>+H17/D9</f>
        <v>18.093023255813954</v>
      </c>
      <c r="I25" s="42"/>
      <c r="J25" s="43"/>
    </row>
    <row r="26" spans="2:10" ht="16.5" customHeight="1" x14ac:dyDescent="0.6">
      <c r="B26" s="23"/>
      <c r="C26" s="24"/>
      <c r="E26" s="27" t="s">
        <v>33</v>
      </c>
      <c r="H26" s="42">
        <f>+H17/D7</f>
        <v>3.0690335305719922</v>
      </c>
      <c r="I26" s="42"/>
      <c r="J26" s="43"/>
    </row>
    <row r="27" spans="2:10" ht="16.5" customHeight="1" x14ac:dyDescent="0.6">
      <c r="B27" s="23"/>
      <c r="C27" s="24"/>
      <c r="E27" s="27" t="s">
        <v>34</v>
      </c>
      <c r="H27" s="42">
        <f>+H17/D8</f>
        <v>12.290679304897315</v>
      </c>
      <c r="I27" s="42"/>
      <c r="J27" s="43"/>
    </row>
    <row r="28" spans="2:10" ht="16.5" customHeight="1" x14ac:dyDescent="0.6">
      <c r="B28" s="23"/>
      <c r="C28" s="24"/>
      <c r="J28" s="4"/>
    </row>
    <row r="29" spans="2:10" ht="16.5" customHeight="1" x14ac:dyDescent="0.5"/>
    <row r="30" spans="2:10" ht="16.5" customHeight="1" x14ac:dyDescent="0.5"/>
    <row r="31" spans="2:10" ht="16.5" customHeight="1" x14ac:dyDescent="0.5"/>
    <row r="32" spans="2:10" ht="9" customHeight="1" x14ac:dyDescent="0.5"/>
    <row r="33" ht="16.5" customHeight="1" x14ac:dyDescent="0.5"/>
    <row r="34" ht="9.6" customHeight="1" x14ac:dyDescent="0.5"/>
    <row r="35" ht="16.5" customHeight="1" x14ac:dyDescent="0.5"/>
    <row r="36" ht="16.5" customHeight="1" x14ac:dyDescent="0.5"/>
    <row r="37" ht="16.5" customHeight="1" x14ac:dyDescent="0.5"/>
    <row r="38" ht="16.5" customHeight="1" x14ac:dyDescent="0.5"/>
    <row r="39" ht="16.5" customHeight="1" x14ac:dyDescent="0.5"/>
    <row r="40" ht="16.5" customHeight="1" x14ac:dyDescent="0.5"/>
    <row r="41" ht="7.95" customHeight="1" x14ac:dyDescent="0.5"/>
    <row r="42" ht="16.5" customHeight="1" x14ac:dyDescent="0.5"/>
    <row r="43" ht="16.5" customHeight="1" x14ac:dyDescent="0.5"/>
    <row r="88" spans="1:15" x14ac:dyDescent="0.5">
      <c r="A88" s="22">
        <f>ROW()</f>
        <v>88</v>
      </c>
      <c r="B88" s="4"/>
      <c r="C88" s="4"/>
    </row>
    <row r="93" spans="1:15" x14ac:dyDescent="0.5">
      <c r="N93" t="s">
        <v>206</v>
      </c>
      <c r="O93" s="250">
        <f>+Summary!H8</f>
        <v>74.239999999999995</v>
      </c>
    </row>
    <row r="94" spans="1:15" x14ac:dyDescent="0.5">
      <c r="N94" t="s">
        <v>207</v>
      </c>
      <c r="O94" s="250">
        <f>+Summary!H10</f>
        <v>82.365798311700104</v>
      </c>
    </row>
    <row r="95" spans="1:15" x14ac:dyDescent="0.5">
      <c r="N95" t="s">
        <v>208</v>
      </c>
      <c r="O95" s="250">
        <f>+'Method #3'!C11</f>
        <v>480.37647058824115</v>
      </c>
    </row>
    <row r="96" spans="1:15" x14ac:dyDescent="0.5">
      <c r="N96" t="s">
        <v>209</v>
      </c>
      <c r="O96" s="250">
        <f>+Summary!H12</f>
        <v>66.851988836578414</v>
      </c>
    </row>
    <row r="97" spans="1:15" x14ac:dyDescent="0.5">
      <c r="N97" t="s">
        <v>210</v>
      </c>
      <c r="O97" s="250">
        <f>+Summary!H13</f>
        <v>68.273185307460295</v>
      </c>
    </row>
    <row r="98" spans="1:15" x14ac:dyDescent="0.5">
      <c r="N98" t="s">
        <v>211</v>
      </c>
      <c r="O98" s="250">
        <f>+Summary!H14</f>
        <v>67.953794994662516</v>
      </c>
    </row>
    <row r="107" spans="1:15" x14ac:dyDescent="0.5">
      <c r="A107" s="22">
        <f>ROW()</f>
        <v>107</v>
      </c>
    </row>
    <row r="108" spans="1:15" x14ac:dyDescent="0.5">
      <c r="A108" s="251"/>
    </row>
    <row r="110" spans="1:15" x14ac:dyDescent="0.5">
      <c r="D110" s="92"/>
      <c r="F110" s="92"/>
      <c r="G110" s="92"/>
      <c r="H110" s="92"/>
      <c r="I110" s="92"/>
      <c r="J110" s="92"/>
    </row>
    <row r="111" spans="1:15" x14ac:dyDescent="0.5">
      <c r="D111" s="92"/>
      <c r="F111" s="92"/>
      <c r="G111" s="92"/>
      <c r="H111" s="92"/>
      <c r="I111" s="92"/>
      <c r="J111" s="92"/>
    </row>
    <row r="112" spans="1:15" x14ac:dyDescent="0.5">
      <c r="D112" s="92"/>
      <c r="F112" s="92"/>
      <c r="G112" s="92"/>
      <c r="H112" s="92"/>
      <c r="I112" s="92"/>
      <c r="J112" s="92"/>
    </row>
    <row r="113" spans="4:10" x14ac:dyDescent="0.5">
      <c r="D113" s="92"/>
      <c r="F113" s="92"/>
      <c r="G113" s="92"/>
      <c r="H113" s="92"/>
      <c r="I113" s="92"/>
      <c r="J113" s="92"/>
    </row>
    <row r="114" spans="4:10" x14ac:dyDescent="0.5">
      <c r="D114" s="92"/>
      <c r="F114" s="92"/>
      <c r="G114" s="92"/>
      <c r="H114" s="92"/>
      <c r="I114" s="92"/>
      <c r="J114" s="92"/>
    </row>
    <row r="115" spans="4:10" x14ac:dyDescent="0.5">
      <c r="D115" s="92"/>
      <c r="F115" s="92"/>
    </row>
    <row r="116" spans="4:10" x14ac:dyDescent="0.5">
      <c r="D116" s="92"/>
    </row>
    <row r="117" spans="4:10" x14ac:dyDescent="0.5">
      <c r="D117" s="92"/>
    </row>
    <row r="118" spans="4:10" x14ac:dyDescent="0.5">
      <c r="D118" s="92"/>
    </row>
    <row r="119" spans="4:10" x14ac:dyDescent="0.5">
      <c r="D119" s="92"/>
    </row>
    <row r="120" spans="4:10" x14ac:dyDescent="0.5">
      <c r="D120" s="92"/>
    </row>
    <row r="121" spans="4:10" x14ac:dyDescent="0.5">
      <c r="D121" s="92"/>
    </row>
    <row r="122" spans="4:10" x14ac:dyDescent="0.5">
      <c r="D122" s="92"/>
    </row>
    <row r="123" spans="4:10" x14ac:dyDescent="0.5">
      <c r="D123" s="92"/>
    </row>
    <row r="124" spans="4:10" x14ac:dyDescent="0.5">
      <c r="D124" s="92"/>
    </row>
    <row r="125" spans="4:10" x14ac:dyDescent="0.5">
      <c r="D125" s="92"/>
    </row>
    <row r="126" spans="4:10" x14ac:dyDescent="0.5">
      <c r="D126" s="92"/>
    </row>
    <row r="127" spans="4:10" x14ac:dyDescent="0.5">
      <c r="D127" s="92"/>
    </row>
    <row r="128" spans="4:10" x14ac:dyDescent="0.5">
      <c r="D128" s="92"/>
    </row>
    <row r="129" spans="4:4" x14ac:dyDescent="0.5">
      <c r="D129" s="92"/>
    </row>
    <row r="130" spans="4:4" x14ac:dyDescent="0.5">
      <c r="D130" s="92"/>
    </row>
    <row r="131" spans="4:4" x14ac:dyDescent="0.5">
      <c r="D131" s="92"/>
    </row>
    <row r="132" spans="4:4" x14ac:dyDescent="0.5">
      <c r="D132" s="92"/>
    </row>
    <row r="133" spans="4:4" x14ac:dyDescent="0.5">
      <c r="D133" s="92"/>
    </row>
    <row r="134" spans="4:4" x14ac:dyDescent="0.5">
      <c r="D134" s="92"/>
    </row>
    <row r="135" spans="4:4" x14ac:dyDescent="0.5">
      <c r="D135" s="92"/>
    </row>
    <row r="136" spans="4:4" x14ac:dyDescent="0.5">
      <c r="D136" s="92"/>
    </row>
    <row r="137" spans="4:4" x14ac:dyDescent="0.5">
      <c r="D137" s="92"/>
    </row>
    <row r="138" spans="4:4" x14ac:dyDescent="0.5">
      <c r="D138" s="92"/>
    </row>
    <row r="139" spans="4:4" x14ac:dyDescent="0.5">
      <c r="D139" s="92"/>
    </row>
    <row r="140" spans="4:4" x14ac:dyDescent="0.5">
      <c r="D140" s="92"/>
    </row>
    <row r="141" spans="4:4" x14ac:dyDescent="0.5">
      <c r="D141" s="92"/>
    </row>
    <row r="142" spans="4:4" x14ac:dyDescent="0.5">
      <c r="D142" s="92"/>
    </row>
    <row r="143" spans="4:4" x14ac:dyDescent="0.5">
      <c r="D143" s="92"/>
    </row>
    <row r="144" spans="4:4" x14ac:dyDescent="0.5">
      <c r="D144" s="92"/>
    </row>
    <row r="145" spans="4:4" x14ac:dyDescent="0.5">
      <c r="D145" s="92"/>
    </row>
  </sheetData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CA5C64-13F8-4258-BBEA-BDF899984654}">
  <dimension ref="A1:J19"/>
  <sheetViews>
    <sheetView showGridLines="0" workbookViewId="0">
      <selection activeCell="C29" sqref="C29"/>
    </sheetView>
  </sheetViews>
  <sheetFormatPr defaultRowHeight="14.35" x14ac:dyDescent="0.5"/>
  <cols>
    <col min="1" max="1" width="3.8203125" customWidth="1"/>
    <col min="2" max="2" width="50.76171875" customWidth="1"/>
    <col min="3" max="8" width="12.17578125" customWidth="1"/>
    <col min="9" max="9" width="2.3515625" customWidth="1"/>
  </cols>
  <sheetData>
    <row r="1" spans="1:10" ht="20" x14ac:dyDescent="0.6">
      <c r="A1" s="22"/>
      <c r="B1" s="23" t="s">
        <v>7</v>
      </c>
      <c r="C1" s="24"/>
      <c r="J1" s="4"/>
    </row>
    <row r="2" spans="1:10" ht="10.5" customHeight="1" x14ac:dyDescent="0.5">
      <c r="A2" s="22"/>
      <c r="B2" s="25" t="s">
        <v>8</v>
      </c>
      <c r="C2" s="24"/>
      <c r="J2" s="4"/>
    </row>
    <row r="3" spans="1:10" ht="10.5" customHeight="1" x14ac:dyDescent="0.5">
      <c r="A3" s="22"/>
      <c r="B3" s="25"/>
      <c r="C3" s="24"/>
      <c r="J3" s="4"/>
    </row>
    <row r="4" spans="1:10" ht="15.7" thickBot="1" x14ac:dyDescent="0.55000000000000004">
      <c r="B4" s="44" t="s">
        <v>35</v>
      </c>
      <c r="C4" s="45"/>
      <c r="D4" s="46"/>
      <c r="E4" s="46"/>
      <c r="F4" s="46"/>
      <c r="G4" s="46"/>
      <c r="H4" s="46"/>
    </row>
    <row r="5" spans="1:10" ht="14.7" thickBot="1" x14ac:dyDescent="0.55000000000000004">
      <c r="B5" s="9"/>
      <c r="C5" s="47" t="s">
        <v>36</v>
      </c>
      <c r="D5" s="47" t="s">
        <v>37</v>
      </c>
      <c r="E5" s="47" t="s">
        <v>38</v>
      </c>
      <c r="F5" s="47" t="s">
        <v>39</v>
      </c>
      <c r="G5" s="47" t="s">
        <v>40</v>
      </c>
      <c r="H5" s="48" t="s">
        <v>41</v>
      </c>
    </row>
    <row r="6" spans="1:10" x14ac:dyDescent="0.5">
      <c r="B6" s="49" t="s">
        <v>42</v>
      </c>
      <c r="C6" s="16">
        <f>+F6+D6-E6</f>
        <v>4839000</v>
      </c>
      <c r="D6" s="16">
        <f>+D8</f>
        <v>1712000</v>
      </c>
      <c r="E6" s="16">
        <f>+E8</f>
        <v>515000</v>
      </c>
      <c r="F6" s="16">
        <f>+'Book vs Market Values'!C12</f>
        <v>3642000</v>
      </c>
      <c r="G6" s="16">
        <f>+G8</f>
        <v>104795.25862068967</v>
      </c>
      <c r="H6" s="50">
        <f>+F6/G6</f>
        <v>34.753480719794339</v>
      </c>
    </row>
    <row r="7" spans="1:10" x14ac:dyDescent="0.5">
      <c r="B7" s="49"/>
      <c r="C7" s="16"/>
      <c r="D7" s="16"/>
      <c r="E7" s="16"/>
      <c r="F7" s="16"/>
      <c r="G7" s="16"/>
      <c r="H7" s="50"/>
    </row>
    <row r="8" spans="1:10" x14ac:dyDescent="0.5">
      <c r="B8" s="51" t="s">
        <v>43</v>
      </c>
      <c r="C8" s="52">
        <f>+'Method #1'!I17</f>
        <v>8977000</v>
      </c>
      <c r="D8" s="52">
        <f>+'Method #1'!G17</f>
        <v>1712000</v>
      </c>
      <c r="E8" s="52">
        <f>+'Method #4'!$H$17</f>
        <v>515000</v>
      </c>
      <c r="F8" s="52">
        <f>+C8-D8+E8</f>
        <v>7780000</v>
      </c>
      <c r="G8" s="52">
        <f>+'Method #1'!$E$17</f>
        <v>104795.25862068967</v>
      </c>
      <c r="H8" s="53">
        <f>+F8/G8</f>
        <v>74.239999999999995</v>
      </c>
    </row>
    <row r="9" spans="1:10" x14ac:dyDescent="0.5">
      <c r="B9" s="49"/>
      <c r="C9" s="16"/>
      <c r="D9" s="16"/>
      <c r="E9" s="16"/>
      <c r="F9" s="16"/>
      <c r="G9" s="16"/>
      <c r="H9" s="50"/>
    </row>
    <row r="10" spans="1:10" x14ac:dyDescent="0.5">
      <c r="B10" s="49" t="s">
        <v>44</v>
      </c>
      <c r="C10" s="16">
        <f>+F10+D10-E10</f>
        <v>9828545.1355741769</v>
      </c>
      <c r="D10" s="16">
        <f>+D8</f>
        <v>1712000</v>
      </c>
      <c r="E10" s="16">
        <f>+E8</f>
        <v>515000</v>
      </c>
      <c r="F10" s="16">
        <f>+H10*G10</f>
        <v>8631545.1355741769</v>
      </c>
      <c r="G10" s="16">
        <f>+G8</f>
        <v>104795.25862068967</v>
      </c>
      <c r="H10" s="50">
        <f>+'Method #2'!G13</f>
        <v>82.365798311700104</v>
      </c>
    </row>
    <row r="11" spans="1:10" x14ac:dyDescent="0.5">
      <c r="B11" s="49" t="s">
        <v>45</v>
      </c>
      <c r="C11" s="16">
        <f>+F11+D11-E11</f>
        <v>51538176.470588855</v>
      </c>
      <c r="D11" s="16">
        <f>+D10</f>
        <v>1712000</v>
      </c>
      <c r="E11" s="16">
        <f>+E10</f>
        <v>515000</v>
      </c>
      <c r="F11" s="16">
        <f>+G11*H11</f>
        <v>50341176.470588855</v>
      </c>
      <c r="G11" s="16">
        <f>+G10</f>
        <v>104795.25862068967</v>
      </c>
      <c r="H11" s="50">
        <f>+'Method #3'!C11</f>
        <v>480.37647058824115</v>
      </c>
    </row>
    <row r="12" spans="1:10" x14ac:dyDescent="0.5">
      <c r="B12" s="54" t="s">
        <v>46</v>
      </c>
      <c r="C12" s="55">
        <f>+'Method #4'!C21</f>
        <v>8202771.4594366932</v>
      </c>
      <c r="D12" s="16">
        <f>+D8</f>
        <v>1712000</v>
      </c>
      <c r="E12" s="16">
        <f>+'Method #4'!$H$17</f>
        <v>515000</v>
      </c>
      <c r="F12" s="16">
        <f>+C12-D12+E12</f>
        <v>7005771.4594366932</v>
      </c>
      <c r="G12" s="16">
        <f>+'Method #1'!$E$17</f>
        <v>104795.25862068967</v>
      </c>
      <c r="H12" s="50">
        <f>+F12/G12</f>
        <v>66.851988836578414</v>
      </c>
    </row>
    <row r="13" spans="1:10" x14ac:dyDescent="0.5">
      <c r="B13" s="54" t="s">
        <v>47</v>
      </c>
      <c r="C13" s="55">
        <f>+'Method #5'!C23</f>
        <v>8351706.1111535719</v>
      </c>
      <c r="D13" s="16">
        <f>+D8</f>
        <v>1712000</v>
      </c>
      <c r="E13" s="16">
        <f>+'Method #4'!$H$17</f>
        <v>515000</v>
      </c>
      <c r="F13" s="16">
        <f>+C13-D13+E13</f>
        <v>7154706.1111535719</v>
      </c>
      <c r="G13" s="16">
        <f>+'Method #1'!$E$17</f>
        <v>104795.25862068967</v>
      </c>
      <c r="H13" s="50">
        <f>+F13/G13</f>
        <v>68.273185307460295</v>
      </c>
    </row>
    <row r="14" spans="1:10" x14ac:dyDescent="0.5">
      <c r="B14" s="326" t="s">
        <v>48</v>
      </c>
      <c r="C14" s="327">
        <f>+'Method #6'!E41</f>
        <v>8318235.5207229853</v>
      </c>
      <c r="D14" s="327">
        <f>+D8</f>
        <v>1712000</v>
      </c>
      <c r="E14" s="327">
        <f>+'Method #4'!$H$17</f>
        <v>515000</v>
      </c>
      <c r="F14" s="327">
        <f>+C14-D14+E14</f>
        <v>7121235.5207229853</v>
      </c>
      <c r="G14" s="327">
        <f>+'Method #1'!$E$17</f>
        <v>104795.25862068967</v>
      </c>
      <c r="H14" s="328">
        <f>+F14/G14</f>
        <v>67.953794994662516</v>
      </c>
    </row>
    <row r="15" spans="1:10" x14ac:dyDescent="0.5">
      <c r="B15" s="326" t="s">
        <v>253</v>
      </c>
      <c r="C15" s="327">
        <f>+'Method #7b'!E48</f>
        <v>8709341.1664322615</v>
      </c>
      <c r="D15" s="327">
        <f>+D14</f>
        <v>1712000</v>
      </c>
      <c r="E15" s="327">
        <f>+'Method #4'!$H$17</f>
        <v>515000</v>
      </c>
      <c r="F15" s="327">
        <f>+C15-D15+E15</f>
        <v>7512341.1664322615</v>
      </c>
      <c r="G15" s="327">
        <f>+'Method #1'!$E$17</f>
        <v>104795.25862068967</v>
      </c>
      <c r="H15" s="328">
        <f>+F15/G15</f>
        <v>71.685887942921724</v>
      </c>
    </row>
    <row r="16" spans="1:10" x14ac:dyDescent="0.5">
      <c r="B16" s="9"/>
      <c r="C16" s="18"/>
      <c r="D16" s="18"/>
      <c r="E16" s="18"/>
      <c r="F16" s="18"/>
      <c r="G16" s="18"/>
      <c r="H16" s="56"/>
    </row>
    <row r="17" spans="2:8" ht="14.7" thickBot="1" x14ac:dyDescent="0.55000000000000004">
      <c r="B17" s="57" t="s">
        <v>49</v>
      </c>
      <c r="C17" s="58">
        <f>AVERAGE(C8:C14)</f>
        <v>15869405.782912714</v>
      </c>
      <c r="D17" s="58">
        <f>AVERAGE(D8:D14)</f>
        <v>1712000</v>
      </c>
      <c r="E17" s="58">
        <f>AVERAGE(E8:E14)</f>
        <v>515000</v>
      </c>
      <c r="F17" s="58">
        <f>AVERAGE(F8:F14)</f>
        <v>14672405.782912714</v>
      </c>
      <c r="G17" s="58"/>
      <c r="H17" s="59">
        <f>AVERAGE(H5:H15)</f>
        <v>118.3125758376698</v>
      </c>
    </row>
    <row r="18" spans="2:8" ht="15" thickTop="1" thickBot="1" x14ac:dyDescent="0.55000000000000004">
      <c r="B18" s="19"/>
      <c r="C18" s="20"/>
      <c r="D18" s="20"/>
      <c r="E18" s="20"/>
      <c r="F18" s="20"/>
      <c r="G18" s="20"/>
      <c r="H18" s="21"/>
    </row>
    <row r="19" spans="2:8" x14ac:dyDescent="0.5">
      <c r="H19" t="s">
        <v>256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900B79-0A33-4727-B619-14A429A42C84}">
  <dimension ref="A1:J23"/>
  <sheetViews>
    <sheetView showGridLines="0" workbookViewId="0">
      <selection activeCell="H17" sqref="H17"/>
    </sheetView>
  </sheetViews>
  <sheetFormatPr defaultRowHeight="14.35" x14ac:dyDescent="0.5"/>
  <cols>
    <col min="1" max="1" width="4.5859375" customWidth="1"/>
    <col min="2" max="2" width="10.17578125" customWidth="1"/>
    <col min="3" max="3" width="11.3515625" customWidth="1"/>
    <col min="4" max="4" width="9.87890625" customWidth="1"/>
    <col min="5" max="5" width="11.703125" customWidth="1"/>
    <col min="6" max="6" width="11.1171875" customWidth="1"/>
    <col min="7" max="7" width="12.3515625" customWidth="1"/>
    <col min="8" max="8" width="10.8203125" customWidth="1"/>
    <col min="9" max="9" width="16.703125" customWidth="1"/>
  </cols>
  <sheetData>
    <row r="1" spans="1:10" ht="20" x14ac:dyDescent="0.6">
      <c r="A1" s="22"/>
      <c r="B1" s="23" t="s">
        <v>7</v>
      </c>
      <c r="C1" s="24"/>
      <c r="J1" s="4"/>
    </row>
    <row r="2" spans="1:10" ht="10.5" customHeight="1" x14ac:dyDescent="0.5">
      <c r="A2" s="22"/>
      <c r="B2" s="25" t="s">
        <v>8</v>
      </c>
      <c r="C2" s="24"/>
      <c r="J2" s="4"/>
    </row>
    <row r="3" spans="1:10" ht="10.5" customHeight="1" x14ac:dyDescent="0.5"/>
    <row r="4" spans="1:10" ht="15.35" x14ac:dyDescent="0.5">
      <c r="A4" s="22"/>
      <c r="B4" s="60" t="s">
        <v>43</v>
      </c>
      <c r="C4" s="61"/>
      <c r="D4" s="46"/>
      <c r="E4" s="46"/>
      <c r="F4" s="46"/>
      <c r="G4" s="46"/>
      <c r="H4" s="46"/>
      <c r="I4" s="46"/>
    </row>
    <row r="5" spans="1:10" ht="8.25" customHeight="1" x14ac:dyDescent="0.5">
      <c r="A5" s="22"/>
    </row>
    <row r="6" spans="1:10" ht="21" customHeight="1" x14ac:dyDescent="0.5">
      <c r="A6" s="22"/>
      <c r="B6" t="s">
        <v>50</v>
      </c>
      <c r="D6" s="62" t="s">
        <v>51</v>
      </c>
      <c r="E6" s="62" t="s">
        <v>52</v>
      </c>
      <c r="F6" s="62" t="s">
        <v>53</v>
      </c>
      <c r="G6" s="62" t="s">
        <v>54</v>
      </c>
      <c r="H6" s="62" t="s">
        <v>55</v>
      </c>
      <c r="I6" s="63" t="s">
        <v>56</v>
      </c>
    </row>
    <row r="7" spans="1:10" ht="9.75" customHeight="1" thickBot="1" x14ac:dyDescent="0.55000000000000004">
      <c r="A7" s="22"/>
      <c r="D7" s="22"/>
      <c r="E7" s="22"/>
      <c r="F7" s="22"/>
      <c r="G7" s="22"/>
      <c r="H7" s="22"/>
      <c r="I7" s="64"/>
    </row>
    <row r="8" spans="1:10" ht="57" customHeight="1" thickBot="1" x14ac:dyDescent="0.55000000000000004">
      <c r="A8" s="22"/>
      <c r="B8" s="65" t="s">
        <v>57</v>
      </c>
      <c r="C8" s="66" t="s">
        <v>58</v>
      </c>
      <c r="D8" s="67" t="s">
        <v>257</v>
      </c>
      <c r="E8" s="67" t="s">
        <v>59</v>
      </c>
      <c r="F8" s="67" t="s">
        <v>60</v>
      </c>
      <c r="G8" s="68" t="s">
        <v>258</v>
      </c>
      <c r="H8" s="69" t="s">
        <v>259</v>
      </c>
      <c r="I8" s="70" t="s">
        <v>61</v>
      </c>
    </row>
    <row r="9" spans="1:10" ht="15.75" hidden="1" customHeight="1" x14ac:dyDescent="0.5">
      <c r="A9" s="22"/>
      <c r="B9" s="71" t="s">
        <v>62</v>
      </c>
      <c r="C9" s="72" t="s">
        <v>63</v>
      </c>
      <c r="D9" s="73">
        <v>64.37</v>
      </c>
      <c r="E9" s="74">
        <v>32.695999999999998</v>
      </c>
      <c r="F9" s="75">
        <v>2104.6415200000001</v>
      </c>
      <c r="G9" s="76">
        <v>328.71</v>
      </c>
      <c r="H9" s="77"/>
      <c r="I9" s="78">
        <v>2433.3515200000002</v>
      </c>
    </row>
    <row r="10" spans="1:10" ht="15.75" hidden="1" customHeight="1" x14ac:dyDescent="0.5">
      <c r="A10" s="22"/>
      <c r="B10" s="79" t="s">
        <v>64</v>
      </c>
      <c r="C10" s="80" t="s">
        <v>65</v>
      </c>
      <c r="D10" s="81">
        <v>30.76</v>
      </c>
      <c r="E10" s="82">
        <v>74.518000000000001</v>
      </c>
      <c r="F10" s="75">
        <v>2292.1736800000003</v>
      </c>
      <c r="G10" s="83">
        <v>402.1</v>
      </c>
      <c r="H10" s="84"/>
      <c r="I10" s="85">
        <v>2694.2736800000002</v>
      </c>
    </row>
    <row r="11" spans="1:10" ht="15.75" hidden="1" customHeight="1" x14ac:dyDescent="0.5">
      <c r="A11" s="22"/>
      <c r="B11" s="79" t="s">
        <v>66</v>
      </c>
      <c r="C11" s="80" t="s">
        <v>67</v>
      </c>
      <c r="D11" s="81">
        <v>24.35</v>
      </c>
      <c r="E11" s="82">
        <v>380.96499999999997</v>
      </c>
      <c r="F11" s="75">
        <v>9276.4977500000005</v>
      </c>
      <c r="G11" s="83">
        <v>3647</v>
      </c>
      <c r="H11" s="84"/>
      <c r="I11" s="85">
        <v>12923.49775</v>
      </c>
    </row>
    <row r="12" spans="1:10" ht="15.75" hidden="1" customHeight="1" x14ac:dyDescent="0.5">
      <c r="A12" s="22"/>
      <c r="B12" s="79" t="s">
        <v>68</v>
      </c>
      <c r="C12" s="80" t="s">
        <v>69</v>
      </c>
      <c r="D12" s="81">
        <v>23.6</v>
      </c>
      <c r="E12" s="82">
        <v>5.2530000000000001</v>
      </c>
      <c r="F12" s="75">
        <v>123.97080000000001</v>
      </c>
      <c r="G12" s="83">
        <v>765.2</v>
      </c>
      <c r="H12" s="84"/>
      <c r="I12" s="85">
        <v>889.1708000000001</v>
      </c>
    </row>
    <row r="13" spans="1:10" ht="15.75" hidden="1" customHeight="1" x14ac:dyDescent="0.5">
      <c r="A13" s="22"/>
      <c r="B13" s="79" t="s">
        <v>70</v>
      </c>
      <c r="C13" s="80" t="s">
        <v>71</v>
      </c>
      <c r="D13" s="81">
        <v>8.52</v>
      </c>
      <c r="E13" s="82">
        <v>201.8</v>
      </c>
      <c r="F13" s="75">
        <v>1719.336</v>
      </c>
      <c r="G13" s="83">
        <v>925.61</v>
      </c>
      <c r="H13" s="84"/>
      <c r="I13" s="85">
        <v>2644.9459999999999</v>
      </c>
    </row>
    <row r="14" spans="1:10" ht="15.75" hidden="1" customHeight="1" x14ac:dyDescent="0.5">
      <c r="A14" s="22"/>
      <c r="B14" s="79" t="s">
        <v>72</v>
      </c>
      <c r="C14" s="81" t="s">
        <v>73</v>
      </c>
      <c r="D14" s="81">
        <v>19.920000000000002</v>
      </c>
      <c r="E14" s="82">
        <v>21.282</v>
      </c>
      <c r="F14" s="75">
        <v>423.93744000000004</v>
      </c>
      <c r="G14" s="83">
        <v>198.43</v>
      </c>
      <c r="H14" s="84"/>
      <c r="I14" s="85">
        <v>622.36743999999999</v>
      </c>
    </row>
    <row r="15" spans="1:10" ht="15.75" hidden="1" customHeight="1" x14ac:dyDescent="0.5">
      <c r="A15" s="22"/>
      <c r="B15" s="79" t="s">
        <v>74</v>
      </c>
      <c r="C15" s="81" t="s">
        <v>75</v>
      </c>
      <c r="D15" s="81">
        <v>67.510000000000005</v>
      </c>
      <c r="E15" s="82">
        <v>216.71100000000001</v>
      </c>
      <c r="F15" s="75">
        <v>14630.159610000002</v>
      </c>
      <c r="G15" s="83">
        <v>1325</v>
      </c>
      <c r="H15" s="84"/>
      <c r="I15" s="85">
        <v>15955.159610000002</v>
      </c>
    </row>
    <row r="16" spans="1:10" ht="5.35" hidden="1" customHeight="1" x14ac:dyDescent="0.5">
      <c r="A16" s="22"/>
      <c r="B16" s="79" t="s">
        <v>76</v>
      </c>
      <c r="C16" s="86" t="s">
        <v>77</v>
      </c>
      <c r="D16" s="81">
        <v>28.92</v>
      </c>
      <c r="E16" s="82">
        <v>31.791</v>
      </c>
      <c r="F16" s="75">
        <v>919.3957200000001</v>
      </c>
      <c r="G16" s="83">
        <v>626.63</v>
      </c>
      <c r="H16" s="84"/>
      <c r="I16" s="85">
        <v>1546.0257200000001</v>
      </c>
    </row>
    <row r="17" spans="1:9" ht="15.75" customHeight="1" x14ac:dyDescent="0.5">
      <c r="A17" s="22"/>
      <c r="B17" s="79" t="s">
        <v>27</v>
      </c>
      <c r="C17" s="86" t="s">
        <v>78</v>
      </c>
      <c r="D17" s="87">
        <v>74.239999999999995</v>
      </c>
      <c r="E17" s="88">
        <f>7780000/D17</f>
        <v>104795.25862068967</v>
      </c>
      <c r="F17" s="89">
        <f>+E17*D17</f>
        <v>7780000</v>
      </c>
      <c r="G17" s="90">
        <f>91000+1621000</f>
        <v>1712000</v>
      </c>
      <c r="H17" s="90">
        <v>515000</v>
      </c>
      <c r="I17" s="91">
        <f>+F17+G17-H17</f>
        <v>8977000</v>
      </c>
    </row>
    <row r="18" spans="1:9" x14ac:dyDescent="0.5">
      <c r="A18" s="22"/>
    </row>
    <row r="19" spans="1:9" x14ac:dyDescent="0.5">
      <c r="A19" s="22"/>
      <c r="I19" s="231" t="s">
        <v>260</v>
      </c>
    </row>
    <row r="20" spans="1:9" x14ac:dyDescent="0.5">
      <c r="A20" s="22"/>
    </row>
    <row r="21" spans="1:9" x14ac:dyDescent="0.5">
      <c r="A21" s="22"/>
    </row>
    <row r="22" spans="1:9" x14ac:dyDescent="0.5">
      <c r="A22" s="22"/>
    </row>
    <row r="23" spans="1:9" x14ac:dyDescent="0.5">
      <c r="A23" s="22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867D4E-E9A2-4043-823D-1A1D47619B31}">
  <dimension ref="A1:J17"/>
  <sheetViews>
    <sheetView showGridLines="0" workbookViewId="0">
      <selection activeCell="B2" sqref="B2:I4"/>
    </sheetView>
  </sheetViews>
  <sheetFormatPr defaultRowHeight="14.35" x14ac:dyDescent="0.5"/>
  <cols>
    <col min="1" max="1" width="4.17578125" customWidth="1"/>
    <col min="2" max="2" width="26.87890625" customWidth="1"/>
    <col min="3" max="3" width="13.05859375" customWidth="1"/>
  </cols>
  <sheetData>
    <row r="1" spans="1:10" ht="14.7" thickBot="1" x14ac:dyDescent="0.55000000000000004"/>
    <row r="2" spans="1:10" ht="20" x14ac:dyDescent="0.6">
      <c r="A2" s="22"/>
      <c r="B2" s="1" t="s">
        <v>7</v>
      </c>
      <c r="C2" s="252"/>
      <c r="D2" s="2"/>
      <c r="E2" s="2"/>
      <c r="F2" s="2"/>
      <c r="G2" s="2"/>
      <c r="H2" s="2"/>
      <c r="I2" s="2"/>
      <c r="J2" s="3"/>
    </row>
    <row r="3" spans="1:10" ht="10.5" customHeight="1" x14ac:dyDescent="0.5">
      <c r="A3" s="22"/>
      <c r="B3" s="253" t="s">
        <v>8</v>
      </c>
      <c r="C3" s="254"/>
      <c r="D3" s="4"/>
      <c r="E3" s="4"/>
      <c r="F3" s="4"/>
      <c r="G3" s="4"/>
      <c r="H3" s="4"/>
      <c r="I3" s="4"/>
      <c r="J3" s="5"/>
    </row>
    <row r="4" spans="1:10" x14ac:dyDescent="0.5">
      <c r="A4" s="22"/>
      <c r="B4" s="9"/>
      <c r="C4" s="4"/>
      <c r="D4" s="4"/>
      <c r="E4" s="4"/>
      <c r="F4" s="4"/>
      <c r="G4" s="4"/>
      <c r="H4" s="4"/>
      <c r="I4" s="4"/>
      <c r="J4" s="5"/>
    </row>
    <row r="5" spans="1:10" ht="15.35" x14ac:dyDescent="0.5">
      <c r="A5" s="22"/>
      <c r="B5" s="255" t="s">
        <v>44</v>
      </c>
      <c r="C5" s="45"/>
      <c r="D5" s="45"/>
      <c r="E5" s="45"/>
      <c r="F5" s="45"/>
      <c r="G5" s="45"/>
      <c r="H5" s="45"/>
      <c r="I5" s="96"/>
      <c r="J5" s="256"/>
    </row>
    <row r="6" spans="1:10" ht="15.35" x14ac:dyDescent="0.5">
      <c r="A6" s="22"/>
      <c r="B6" s="257"/>
      <c r="C6" s="4"/>
      <c r="D6" s="4"/>
      <c r="E6" s="4"/>
      <c r="F6" s="4"/>
      <c r="G6" s="4"/>
      <c r="H6" s="4"/>
      <c r="I6" s="6"/>
      <c r="J6" s="258"/>
    </row>
    <row r="7" spans="1:10" ht="16.5" customHeight="1" x14ac:dyDescent="0.5">
      <c r="A7" s="22"/>
      <c r="B7" s="259" t="s">
        <v>80</v>
      </c>
      <c r="C7" s="260"/>
      <c r="D7" s="4"/>
      <c r="E7" s="97" t="s">
        <v>81</v>
      </c>
      <c r="F7" s="260"/>
      <c r="G7" s="4"/>
      <c r="H7" s="4"/>
      <c r="I7" s="4"/>
      <c r="J7" s="5"/>
    </row>
    <row r="8" spans="1:10" ht="16.5" customHeight="1" x14ac:dyDescent="0.5">
      <c r="A8" s="22"/>
      <c r="B8" s="261" t="s">
        <v>82</v>
      </c>
      <c r="C8" s="262">
        <v>2.2499999999999999E-2</v>
      </c>
      <c r="D8" s="4"/>
      <c r="E8" s="98" t="s">
        <v>83</v>
      </c>
      <c r="F8" s="4"/>
      <c r="G8" s="263">
        <f>+'Method #3'!G8</f>
        <v>0.74239999999999995</v>
      </c>
      <c r="H8" s="4"/>
      <c r="I8" s="4"/>
      <c r="J8" s="5"/>
    </row>
    <row r="9" spans="1:10" ht="16.5" customHeight="1" x14ac:dyDescent="0.5">
      <c r="A9" s="22"/>
      <c r="B9" s="261" t="s">
        <v>84</v>
      </c>
      <c r="C9" s="264">
        <v>0.88</v>
      </c>
      <c r="D9" s="4"/>
      <c r="E9" s="98" t="s">
        <v>85</v>
      </c>
      <c r="F9" s="4"/>
      <c r="G9" s="265">
        <f>+G8*(1.1)</f>
        <v>0.81664000000000003</v>
      </c>
      <c r="H9" s="266" t="s">
        <v>86</v>
      </c>
      <c r="I9" s="4"/>
      <c r="J9" s="5"/>
    </row>
    <row r="10" spans="1:10" ht="16.5" customHeight="1" x14ac:dyDescent="0.5">
      <c r="A10" s="22"/>
      <c r="B10" s="261" t="s">
        <v>87</v>
      </c>
      <c r="C10" s="262">
        <f>+'Method #6'!I38</f>
        <v>0.09</v>
      </c>
      <c r="D10" s="4"/>
      <c r="E10" s="98" t="s">
        <v>88</v>
      </c>
      <c r="F10" s="4"/>
      <c r="G10" s="267">
        <f>+'Book vs Market Values'!H25</f>
        <v>18.093023255813954</v>
      </c>
      <c r="H10" s="4"/>
      <c r="I10" s="4"/>
      <c r="J10" s="5"/>
    </row>
    <row r="11" spans="1:10" ht="16.5" customHeight="1" x14ac:dyDescent="0.5">
      <c r="A11" s="22"/>
      <c r="B11" s="261" t="s">
        <v>89</v>
      </c>
      <c r="C11" s="205">
        <f>+C10+C8</f>
        <v>0.11249999999999999</v>
      </c>
      <c r="D11" s="4"/>
      <c r="E11" s="98" t="s">
        <v>90</v>
      </c>
      <c r="F11" s="4"/>
      <c r="G11" s="265">
        <v>90</v>
      </c>
      <c r="H11" s="266" t="s">
        <v>91</v>
      </c>
      <c r="I11" s="4"/>
      <c r="J11" s="5"/>
    </row>
    <row r="12" spans="1:10" ht="16.5" customHeight="1" thickBot="1" x14ac:dyDescent="0.65">
      <c r="A12" s="22"/>
      <c r="B12" s="268"/>
      <c r="C12" s="254"/>
      <c r="D12" s="4"/>
      <c r="E12" s="98" t="s">
        <v>92</v>
      </c>
      <c r="F12" s="4"/>
      <c r="G12" s="269">
        <f>+C13</f>
        <v>0.10169999999999998</v>
      </c>
      <c r="H12" s="4"/>
      <c r="I12" s="4"/>
      <c r="J12" s="5"/>
    </row>
    <row r="13" spans="1:10" ht="16.5" customHeight="1" thickBot="1" x14ac:dyDescent="0.55000000000000004">
      <c r="A13" s="22"/>
      <c r="B13" s="100" t="s">
        <v>93</v>
      </c>
      <c r="C13" s="101">
        <f>+C8+(C9*C10)</f>
        <v>0.10169999999999998</v>
      </c>
      <c r="D13" s="4"/>
      <c r="E13" s="100" t="s">
        <v>94</v>
      </c>
      <c r="F13" s="102"/>
      <c r="G13" s="103">
        <f>+(G11+G8)/(1+(G12))</f>
        <v>82.365798311700104</v>
      </c>
      <c r="H13" s="266"/>
      <c r="I13" s="4"/>
      <c r="J13" s="5"/>
    </row>
    <row r="14" spans="1:10" ht="16.5" customHeight="1" thickBot="1" x14ac:dyDescent="0.55000000000000004">
      <c r="A14" s="22"/>
      <c r="B14" s="9"/>
      <c r="C14" s="4"/>
      <c r="D14" s="4"/>
      <c r="E14" s="4"/>
      <c r="F14" s="4"/>
      <c r="G14" s="4"/>
      <c r="H14" s="4"/>
      <c r="I14" s="4"/>
      <c r="J14" s="5"/>
    </row>
    <row r="15" spans="1:10" ht="16.5" customHeight="1" thickBot="1" x14ac:dyDescent="0.55000000000000004">
      <c r="A15" s="22"/>
      <c r="B15" s="93" t="s">
        <v>79</v>
      </c>
      <c r="C15" s="94">
        <f>+Summary!C10</f>
        <v>9828545.1355741769</v>
      </c>
      <c r="D15" s="4"/>
      <c r="E15" s="4"/>
      <c r="F15" s="4"/>
      <c r="G15" s="4"/>
      <c r="H15" s="4"/>
      <c r="I15" s="4"/>
      <c r="J15" s="5"/>
    </row>
    <row r="16" spans="1:10" ht="14.7" thickBot="1" x14ac:dyDescent="0.55000000000000004">
      <c r="A16" s="22"/>
      <c r="B16" s="19"/>
      <c r="C16" s="20"/>
      <c r="D16" s="20"/>
      <c r="E16" s="20"/>
      <c r="F16" s="20"/>
      <c r="G16" s="20"/>
      <c r="H16" s="20"/>
      <c r="I16" s="20"/>
      <c r="J16" s="21"/>
    </row>
    <row r="17" spans="10:10" x14ac:dyDescent="0.5">
      <c r="J17" s="231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E52B35-A374-42CE-A8D3-F0EF87305D53}">
  <dimension ref="A1:J15"/>
  <sheetViews>
    <sheetView showGridLines="0" workbookViewId="0">
      <selection activeCell="I15" sqref="I15"/>
    </sheetView>
  </sheetViews>
  <sheetFormatPr defaultRowHeight="14.35" x14ac:dyDescent="0.5"/>
  <cols>
    <col min="2" max="2" width="23.76171875" customWidth="1"/>
    <col min="3" max="3" width="13.76171875" customWidth="1"/>
  </cols>
  <sheetData>
    <row r="1" spans="1:10" ht="20" x14ac:dyDescent="0.6">
      <c r="A1" s="22"/>
      <c r="B1" s="1" t="s">
        <v>7</v>
      </c>
      <c r="C1" s="252"/>
      <c r="D1" s="2"/>
      <c r="E1" s="2"/>
      <c r="F1" s="2"/>
      <c r="G1" s="2"/>
      <c r="H1" s="2"/>
      <c r="I1" s="3"/>
      <c r="J1" s="4"/>
    </row>
    <row r="2" spans="1:10" ht="10.5" customHeight="1" x14ac:dyDescent="0.5">
      <c r="A2" s="22"/>
      <c r="B2" s="253" t="s">
        <v>8</v>
      </c>
      <c r="C2" s="254"/>
      <c r="D2" s="4"/>
      <c r="E2" s="4"/>
      <c r="F2" s="4"/>
      <c r="G2" s="4"/>
      <c r="H2" s="4"/>
      <c r="I2" s="5"/>
      <c r="J2" s="4"/>
    </row>
    <row r="3" spans="1:10" x14ac:dyDescent="0.5">
      <c r="B3" s="9"/>
      <c r="C3" s="4"/>
      <c r="D3" s="4"/>
      <c r="E3" s="4"/>
      <c r="F3" s="4"/>
      <c r="G3" s="4"/>
      <c r="H3" s="4"/>
      <c r="I3" s="5"/>
      <c r="J3" s="4"/>
    </row>
    <row r="4" spans="1:10" x14ac:dyDescent="0.5">
      <c r="B4" s="9"/>
      <c r="C4" s="4"/>
      <c r="D4" s="4"/>
      <c r="E4" s="4"/>
      <c r="F4" s="4"/>
      <c r="G4" s="4"/>
      <c r="H4" s="4"/>
      <c r="I4" s="5"/>
      <c r="J4" s="4"/>
    </row>
    <row r="5" spans="1:10" ht="15.35" x14ac:dyDescent="0.5">
      <c r="A5" s="22"/>
      <c r="B5" s="255" t="s">
        <v>45</v>
      </c>
      <c r="C5" s="45"/>
      <c r="D5" s="45"/>
      <c r="E5" s="45"/>
      <c r="F5" s="45"/>
      <c r="G5" s="45"/>
      <c r="H5" s="45"/>
      <c r="I5" s="256"/>
      <c r="J5" s="4"/>
    </row>
    <row r="6" spans="1:10" x14ac:dyDescent="0.5">
      <c r="A6" s="22"/>
      <c r="B6" s="9"/>
      <c r="C6" s="4"/>
      <c r="D6" s="4"/>
      <c r="E6" s="4"/>
      <c r="F6" s="4"/>
      <c r="G6" s="4"/>
      <c r="H6" s="4"/>
      <c r="I6" s="5"/>
      <c r="J6" s="4"/>
    </row>
    <row r="7" spans="1:10" x14ac:dyDescent="0.5">
      <c r="A7" s="22"/>
      <c r="B7" s="295" t="s">
        <v>95</v>
      </c>
      <c r="C7" s="260"/>
      <c r="D7" s="4"/>
      <c r="E7" s="296" t="s">
        <v>96</v>
      </c>
      <c r="F7" s="260"/>
      <c r="G7" s="4"/>
      <c r="H7" s="4"/>
      <c r="I7" s="5"/>
      <c r="J7" s="4"/>
    </row>
    <row r="8" spans="1:10" x14ac:dyDescent="0.5">
      <c r="A8" s="22"/>
      <c r="B8" s="297" t="s">
        <v>97</v>
      </c>
      <c r="C8" s="263">
        <f>+G8</f>
        <v>0.74239999999999995</v>
      </c>
      <c r="D8" s="4"/>
      <c r="E8" s="260" t="s">
        <v>98</v>
      </c>
      <c r="F8" s="4"/>
      <c r="G8" s="263">
        <f>+'Book vs Market Values'!H20</f>
        <v>0.74239999999999995</v>
      </c>
      <c r="H8" s="203" t="s">
        <v>99</v>
      </c>
      <c r="I8" s="5"/>
      <c r="J8" s="4"/>
    </row>
    <row r="9" spans="1:10" x14ac:dyDescent="0.5">
      <c r="A9" s="22"/>
      <c r="B9" s="297" t="s">
        <v>100</v>
      </c>
      <c r="C9" s="269">
        <f>+'Method #2'!C13</f>
        <v>0.10169999999999998</v>
      </c>
      <c r="D9" s="4"/>
      <c r="E9" s="260" t="s">
        <v>101</v>
      </c>
      <c r="F9" s="4"/>
      <c r="G9" s="263">
        <f>+'Book vs Market Values'!H17+G8</f>
        <v>74.982399999999998</v>
      </c>
      <c r="H9" s="4"/>
      <c r="I9" s="5"/>
      <c r="J9" s="4"/>
    </row>
    <row r="10" spans="1:10" ht="14.7" thickBot="1" x14ac:dyDescent="0.55000000000000004">
      <c r="A10" s="22"/>
      <c r="B10" s="297" t="s">
        <v>102</v>
      </c>
      <c r="C10" s="298">
        <v>0.1</v>
      </c>
      <c r="D10" s="4"/>
      <c r="E10" s="260" t="s">
        <v>103</v>
      </c>
      <c r="F10" s="4"/>
      <c r="G10" s="299">
        <f>+'Book vs Market Values'!H17</f>
        <v>74.239999999999995</v>
      </c>
      <c r="H10" s="4"/>
      <c r="I10" s="5"/>
      <c r="J10" s="4"/>
    </row>
    <row r="11" spans="1:10" ht="14.7" thickBot="1" x14ac:dyDescent="0.55000000000000004">
      <c r="A11" s="22"/>
      <c r="B11" s="100" t="s">
        <v>94</v>
      </c>
      <c r="C11" s="103">
        <f>+(C8*(1+C10))/(C9-C10)</f>
        <v>480.37647058824115</v>
      </c>
      <c r="D11" s="4"/>
      <c r="E11" s="100" t="s">
        <v>104</v>
      </c>
      <c r="F11" s="102"/>
      <c r="G11" s="104">
        <f>+(G8+(G9-G10))/G10</f>
        <v>2.0000000000000049E-2</v>
      </c>
      <c r="H11" s="4"/>
      <c r="I11" s="5"/>
      <c r="J11" s="4"/>
    </row>
    <row r="12" spans="1:10" ht="14.7" thickBot="1" x14ac:dyDescent="0.55000000000000004">
      <c r="A12" s="22"/>
      <c r="B12" s="9"/>
      <c r="C12" s="4"/>
      <c r="D12" s="4"/>
      <c r="E12" s="4"/>
      <c r="F12" s="4"/>
      <c r="G12" s="4"/>
      <c r="H12" s="4"/>
      <c r="I12" s="5"/>
      <c r="J12" s="4"/>
    </row>
    <row r="13" spans="1:10" ht="17.100000000000001" customHeight="1" thickBot="1" x14ac:dyDescent="0.55000000000000004">
      <c r="A13" s="22"/>
      <c r="B13" s="93" t="s">
        <v>79</v>
      </c>
      <c r="C13" s="94">
        <f>+Summary!C11</f>
        <v>51538176.470588855</v>
      </c>
      <c r="D13" s="4"/>
      <c r="E13" s="4"/>
      <c r="F13" s="4"/>
      <c r="G13" s="4"/>
      <c r="H13" s="4"/>
      <c r="I13" s="5"/>
      <c r="J13" s="4"/>
    </row>
    <row r="14" spans="1:10" ht="14.7" thickBot="1" x14ac:dyDescent="0.55000000000000004">
      <c r="A14" s="22"/>
      <c r="B14" s="19"/>
      <c r="C14" s="20"/>
      <c r="D14" s="20"/>
      <c r="E14" s="20"/>
      <c r="F14" s="20"/>
      <c r="G14" s="20"/>
      <c r="H14" s="20"/>
      <c r="I14" s="21"/>
      <c r="J14" s="4"/>
    </row>
    <row r="15" spans="1:10" x14ac:dyDescent="0.5">
      <c r="I15" s="231"/>
      <c r="J15" s="4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452CEC-E663-4E11-A73C-ACED1439FD8E}">
  <dimension ref="A1:L26"/>
  <sheetViews>
    <sheetView showGridLines="0" workbookViewId="0">
      <selection activeCell="H29" sqref="H29"/>
    </sheetView>
  </sheetViews>
  <sheetFormatPr defaultRowHeight="14.35" x14ac:dyDescent="0.5"/>
  <cols>
    <col min="2" max="2" width="28" customWidth="1"/>
    <col min="3" max="3" width="12.76171875" customWidth="1"/>
    <col min="6" max="6" width="11.17578125" customWidth="1"/>
  </cols>
  <sheetData>
    <row r="1" spans="1:12" ht="20.350000000000001" thickBot="1" x14ac:dyDescent="0.65">
      <c r="A1" s="22"/>
      <c r="B1" s="23" t="s">
        <v>7</v>
      </c>
      <c r="C1" s="24"/>
      <c r="K1" s="4"/>
      <c r="L1" s="346" t="str">
        <f>+'Method #1'!D8</f>
        <v>Stock Price 
(as of 8/5/2019)</v>
      </c>
    </row>
    <row r="2" spans="1:12" ht="15" customHeight="1" thickBot="1" x14ac:dyDescent="0.55000000000000004">
      <c r="A2" s="22"/>
      <c r="B2" s="25" t="s">
        <v>8</v>
      </c>
      <c r="C2" s="24"/>
      <c r="J2" s="4"/>
      <c r="L2" s="345">
        <f>+'Method #1'!D17</f>
        <v>74.239999999999995</v>
      </c>
    </row>
    <row r="3" spans="1:12" ht="10.5" customHeight="1" x14ac:dyDescent="0.5">
      <c r="A3" s="22"/>
      <c r="B3" s="25"/>
      <c r="C3" s="24"/>
      <c r="J3" s="4"/>
    </row>
    <row r="4" spans="1:12" ht="15.35" x14ac:dyDescent="0.5">
      <c r="A4" s="22"/>
      <c r="B4" s="60" t="s">
        <v>46</v>
      </c>
      <c r="C4" s="46"/>
      <c r="D4" s="46"/>
      <c r="E4" s="46"/>
      <c r="F4" s="46"/>
      <c r="G4" s="46"/>
      <c r="H4" s="46"/>
      <c r="I4" s="46"/>
      <c r="J4" s="46"/>
      <c r="K4" s="46"/>
      <c r="L4" s="46"/>
    </row>
    <row r="5" spans="1:12" ht="8.25" customHeight="1" x14ac:dyDescent="0.6">
      <c r="A5" s="22"/>
      <c r="B5" s="105"/>
    </row>
    <row r="6" spans="1:12" ht="11.25" customHeight="1" x14ac:dyDescent="0.5">
      <c r="A6" s="22"/>
      <c r="B6" s="95"/>
      <c r="D6" s="62" t="s">
        <v>51</v>
      </c>
      <c r="E6" s="62" t="s">
        <v>52</v>
      </c>
      <c r="F6" s="62" t="s">
        <v>53</v>
      </c>
      <c r="G6" s="62" t="s">
        <v>54</v>
      </c>
      <c r="H6" s="62" t="s">
        <v>55</v>
      </c>
      <c r="I6" s="63" t="s">
        <v>56</v>
      </c>
      <c r="J6" s="62" t="s">
        <v>105</v>
      </c>
      <c r="K6" s="62" t="s">
        <v>106</v>
      </c>
    </row>
    <row r="7" spans="1:12" ht="7.5" customHeight="1" thickBot="1" x14ac:dyDescent="0.55000000000000004">
      <c r="A7" s="22"/>
      <c r="B7" s="95"/>
      <c r="D7" s="22"/>
      <c r="E7" s="22"/>
      <c r="F7" s="22"/>
      <c r="G7" s="22"/>
      <c r="H7" s="22"/>
    </row>
    <row r="8" spans="1:12" ht="51.7" thickBot="1" x14ac:dyDescent="0.55000000000000004">
      <c r="A8" s="22"/>
      <c r="B8" s="65" t="s">
        <v>57</v>
      </c>
      <c r="C8" s="106" t="s">
        <v>58</v>
      </c>
      <c r="D8" s="67" t="str">
        <f>+'Method #1'!D8</f>
        <v>Stock Price 
(as of 8/5/2019)</v>
      </c>
      <c r="E8" s="67" t="s">
        <v>263</v>
      </c>
      <c r="F8" s="67" t="s">
        <v>107</v>
      </c>
      <c r="G8" s="68" t="s">
        <v>108</v>
      </c>
      <c r="H8" s="69" t="s">
        <v>109</v>
      </c>
      <c r="I8" s="70" t="s">
        <v>61</v>
      </c>
      <c r="J8" s="68" t="s">
        <v>110</v>
      </c>
      <c r="K8" s="107" t="s">
        <v>111</v>
      </c>
      <c r="L8" s="108" t="s">
        <v>112</v>
      </c>
    </row>
    <row r="9" spans="1:12" ht="15.6" customHeight="1" x14ac:dyDescent="0.5">
      <c r="A9" s="22"/>
      <c r="B9" s="71" t="s">
        <v>74</v>
      </c>
      <c r="C9" s="338" t="s">
        <v>75</v>
      </c>
      <c r="D9" s="110">
        <v>133.56</v>
      </c>
      <c r="E9" s="111">
        <v>336690</v>
      </c>
      <c r="F9" s="89">
        <f>+E9*D9</f>
        <v>44968316.399999999</v>
      </c>
      <c r="G9" s="112">
        <v>11280000</v>
      </c>
      <c r="H9" s="113">
        <v>258000</v>
      </c>
      <c r="I9" s="114">
        <f>+F9+G9-H9</f>
        <v>55990316.399999999</v>
      </c>
      <c r="J9" s="112">
        <v>2840000</v>
      </c>
      <c r="K9" s="115">
        <f>+I9/J9</f>
        <v>19.714900140845071</v>
      </c>
      <c r="L9" s="270">
        <v>1.21</v>
      </c>
    </row>
    <row r="10" spans="1:12" ht="15.6" customHeight="1" x14ac:dyDescent="0.5">
      <c r="A10" s="22"/>
      <c r="B10" s="71" t="s">
        <v>113</v>
      </c>
      <c r="C10" s="109" t="s">
        <v>67</v>
      </c>
      <c r="D10" s="110">
        <v>91.92</v>
      </c>
      <c r="E10" s="111">
        <v>316880</v>
      </c>
      <c r="F10" s="89">
        <f>+E10*D10</f>
        <v>29127609.600000001</v>
      </c>
      <c r="G10" s="112">
        <v>9010000</v>
      </c>
      <c r="H10" s="113">
        <v>635000</v>
      </c>
      <c r="I10" s="114">
        <f>+F10+G10-H10</f>
        <v>37502609.600000001</v>
      </c>
      <c r="J10" s="112">
        <v>1820000</v>
      </c>
      <c r="K10" s="115">
        <f>+I10/J10</f>
        <v>20.60582945054945</v>
      </c>
      <c r="L10" s="270">
        <v>0.88</v>
      </c>
    </row>
    <row r="11" spans="1:12" ht="15.6" customHeight="1" x14ac:dyDescent="0.5">
      <c r="A11" s="22"/>
      <c r="B11" s="79" t="s">
        <v>118</v>
      </c>
      <c r="C11" s="122" t="s">
        <v>264</v>
      </c>
      <c r="D11" s="117">
        <v>54.15</v>
      </c>
      <c r="E11" s="118">
        <f>5220000/D11</f>
        <v>96398.891966759009</v>
      </c>
      <c r="F11" s="89">
        <f>+E11*D11</f>
        <v>5220000</v>
      </c>
      <c r="G11" s="119">
        <v>2170000</v>
      </c>
      <c r="H11" s="120">
        <v>107000</v>
      </c>
      <c r="I11" s="114">
        <f>+F11+G11-H11</f>
        <v>7283000</v>
      </c>
      <c r="J11" s="119">
        <v>544000</v>
      </c>
      <c r="K11" s="115">
        <f>+I11/J11</f>
        <v>13.387867647058824</v>
      </c>
      <c r="L11" s="270">
        <v>1.33</v>
      </c>
    </row>
    <row r="12" spans="1:12" ht="15.6" customHeight="1" x14ac:dyDescent="0.5">
      <c r="A12" s="22"/>
      <c r="B12" s="79" t="s">
        <v>114</v>
      </c>
      <c r="C12" s="116" t="s">
        <v>115</v>
      </c>
      <c r="D12" s="117">
        <v>64.73</v>
      </c>
      <c r="E12" s="118">
        <v>182030</v>
      </c>
      <c r="F12" s="89">
        <f>+E12*D12</f>
        <v>11782801.9</v>
      </c>
      <c r="G12" s="119">
        <v>2250000</v>
      </c>
      <c r="H12" s="120">
        <v>705000</v>
      </c>
      <c r="I12" s="114">
        <f>+F12+G12-H12</f>
        <v>13327801.9</v>
      </c>
      <c r="J12" s="119">
        <v>753000</v>
      </c>
      <c r="K12" s="115">
        <f>+I12/J12</f>
        <v>17.699604116865871</v>
      </c>
      <c r="L12" s="270">
        <v>0.86</v>
      </c>
    </row>
    <row r="13" spans="1:12" ht="15.6" customHeight="1" x14ac:dyDescent="0.5">
      <c r="A13" s="22"/>
      <c r="B13" s="79" t="s">
        <v>116</v>
      </c>
      <c r="C13" s="121" t="s">
        <v>117</v>
      </c>
      <c r="D13" s="117">
        <v>24.16</v>
      </c>
      <c r="E13" s="118">
        <f>4950000/D13</f>
        <v>204884.10596026489</v>
      </c>
      <c r="F13" s="89">
        <f>+E13*D13</f>
        <v>4950000</v>
      </c>
      <c r="G13" s="119">
        <v>3280000</v>
      </c>
      <c r="H13" s="120">
        <v>310000</v>
      </c>
      <c r="I13" s="114">
        <f>+F13+G13-H13</f>
        <v>7920000</v>
      </c>
      <c r="J13" s="119">
        <v>666000</v>
      </c>
      <c r="K13" s="115">
        <f>+I13/J13</f>
        <v>11.891891891891891</v>
      </c>
      <c r="L13" s="270">
        <v>1.32</v>
      </c>
    </row>
    <row r="14" spans="1:12" ht="15.6" customHeight="1" x14ac:dyDescent="0.5">
      <c r="A14" s="22"/>
      <c r="B14" s="79" t="s">
        <v>62</v>
      </c>
      <c r="C14" s="116" t="s">
        <v>63</v>
      </c>
      <c r="D14" s="117">
        <v>82.82</v>
      </c>
      <c r="E14" s="118">
        <v>55640</v>
      </c>
      <c r="F14" s="89">
        <f>+E14*D14</f>
        <v>4608104.8</v>
      </c>
      <c r="G14" s="119">
        <v>844270</v>
      </c>
      <c r="H14" s="120">
        <v>31810</v>
      </c>
      <c r="I14" s="114">
        <f>+F14+G14-H14</f>
        <v>5420564.7999999998</v>
      </c>
      <c r="J14" s="119">
        <v>360000</v>
      </c>
      <c r="K14" s="115">
        <f>+I14/J14</f>
        <v>15.057124444444444</v>
      </c>
      <c r="L14" s="270">
        <v>1</v>
      </c>
    </row>
    <row r="15" spans="1:12" ht="15.6" customHeight="1" thickBot="1" x14ac:dyDescent="0.55000000000000004">
      <c r="A15" s="22"/>
      <c r="B15" s="123" t="s">
        <v>72</v>
      </c>
      <c r="C15" s="339" t="s">
        <v>73</v>
      </c>
      <c r="D15" s="124">
        <v>34.1</v>
      </c>
      <c r="E15" s="125">
        <v>19470</v>
      </c>
      <c r="F15" s="126">
        <f>+E15*D15</f>
        <v>663927</v>
      </c>
      <c r="G15" s="127">
        <v>514600</v>
      </c>
      <c r="H15" s="128">
        <v>16480</v>
      </c>
      <c r="I15" s="129">
        <f>+F15+G15-H15</f>
        <v>1162047</v>
      </c>
      <c r="J15" s="127">
        <v>134160</v>
      </c>
      <c r="K15" s="130">
        <f>+I15/J15</f>
        <v>8.6616502683363148</v>
      </c>
      <c r="L15" s="271">
        <v>0.52</v>
      </c>
    </row>
    <row r="16" spans="1:12" ht="15.6" customHeight="1" thickBot="1" x14ac:dyDescent="0.55000000000000004">
      <c r="A16" s="22"/>
      <c r="L16" s="22"/>
    </row>
    <row r="17" spans="1:12" ht="15.6" customHeight="1" thickBot="1" x14ac:dyDescent="0.55000000000000004">
      <c r="A17" s="22"/>
      <c r="B17" s="131" t="s">
        <v>27</v>
      </c>
      <c r="C17" s="132" t="s">
        <v>119</v>
      </c>
      <c r="D17" s="344">
        <f>+'Method #1'!D17</f>
        <v>74.239999999999995</v>
      </c>
      <c r="E17" s="133">
        <f>+'Method #1'!E17</f>
        <v>104795.25862068967</v>
      </c>
      <c r="F17" s="133">
        <f>+E17*D17</f>
        <v>7780000</v>
      </c>
      <c r="G17" s="134">
        <f>+'Method #1'!G17</f>
        <v>1712000</v>
      </c>
      <c r="H17" s="135">
        <f>+'Method #1'!H17</f>
        <v>515000</v>
      </c>
      <c r="I17" s="136">
        <f>+G17+F17-H17</f>
        <v>8977000</v>
      </c>
      <c r="J17" s="134">
        <f>+'Method #6'!E19</f>
        <v>633000</v>
      </c>
      <c r="K17" s="137">
        <f>+I17/J17</f>
        <v>14.181674565560822</v>
      </c>
      <c r="L17" s="272">
        <f>+'Method #2'!C9</f>
        <v>0.88</v>
      </c>
    </row>
    <row r="18" spans="1:12" x14ac:dyDescent="0.5">
      <c r="A18" s="22"/>
      <c r="B18" s="95"/>
      <c r="D18" s="92"/>
      <c r="E18" s="92"/>
      <c r="K18" s="139"/>
    </row>
    <row r="19" spans="1:12" x14ac:dyDescent="0.5">
      <c r="A19" s="22"/>
      <c r="B19" s="95" t="s">
        <v>120</v>
      </c>
      <c r="C19" s="140">
        <f>+J17</f>
        <v>633000</v>
      </c>
      <c r="D19" s="99">
        <f>+K20</f>
        <v>12.958564706851016</v>
      </c>
      <c r="J19" s="95" t="s">
        <v>121</v>
      </c>
      <c r="K19" s="141">
        <f>AVERAGE(K9:K15)</f>
        <v>15.288409708570267</v>
      </c>
      <c r="L19" s="141">
        <f>AVERAGE(L9:L17)</f>
        <v>1.0000000000000002</v>
      </c>
    </row>
    <row r="20" spans="1:12" x14ac:dyDescent="0.5">
      <c r="A20" s="22"/>
      <c r="B20" s="95"/>
      <c r="F20" s="95"/>
      <c r="G20" s="141"/>
      <c r="H20" s="141"/>
      <c r="J20" t="s">
        <v>122</v>
      </c>
      <c r="K20" s="141">
        <f>+(SUM(K9:K15)-MIN(K9:K15)-MAX(K9:K15))/6</f>
        <v>12.958564706851016</v>
      </c>
    </row>
    <row r="21" spans="1:12" x14ac:dyDescent="0.5">
      <c r="A21" s="22"/>
      <c r="B21" s="340" t="s">
        <v>79</v>
      </c>
      <c r="C21" s="341">
        <f>+C19*D19</f>
        <v>8202771.4594366932</v>
      </c>
      <c r="F21" s="95"/>
      <c r="G21" s="141"/>
      <c r="H21" s="141"/>
      <c r="K21" s="142"/>
    </row>
    <row r="22" spans="1:12" x14ac:dyDescent="0.5">
      <c r="B22" s="340" t="s">
        <v>5</v>
      </c>
      <c r="C22" s="341">
        <f>-G17</f>
        <v>-1712000</v>
      </c>
    </row>
    <row r="23" spans="1:12" x14ac:dyDescent="0.5">
      <c r="B23" s="340" t="s">
        <v>269</v>
      </c>
      <c r="C23" s="342">
        <f>+H17</f>
        <v>515000</v>
      </c>
    </row>
    <row r="24" spans="1:12" ht="14.7" thickBot="1" x14ac:dyDescent="0.55000000000000004">
      <c r="B24" s="340" t="s">
        <v>270</v>
      </c>
      <c r="C24" s="341">
        <f>SUM(C21:C23)</f>
        <v>7005771.4594366932</v>
      </c>
    </row>
    <row r="25" spans="1:12" ht="14.7" thickBot="1" x14ac:dyDescent="0.55000000000000004">
      <c r="B25" s="93" t="s">
        <v>271</v>
      </c>
      <c r="C25" s="343">
        <f>+C24/E17</f>
        <v>66.851988836578414</v>
      </c>
    </row>
    <row r="26" spans="1:12" x14ac:dyDescent="0.5">
      <c r="L26" s="231" t="s">
        <v>265</v>
      </c>
    </row>
  </sheetData>
  <sortState xmlns:xlrd2="http://schemas.microsoft.com/office/spreadsheetml/2017/richdata2" ref="B9:L15">
    <sortCondition descending="1" ref="I9:I15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59362-0F51-4F90-92F1-F9C69CCEB04D}">
  <dimension ref="A1:N28"/>
  <sheetViews>
    <sheetView showGridLines="0" workbookViewId="0">
      <selection activeCell="N23" sqref="N23"/>
    </sheetView>
  </sheetViews>
  <sheetFormatPr defaultRowHeight="14.35" x14ac:dyDescent="0.5"/>
  <cols>
    <col min="1" max="1" width="5.52734375" customWidth="1"/>
    <col min="2" max="2" width="22.29296875" customWidth="1"/>
    <col min="3" max="3" width="19.29296875" customWidth="1"/>
    <col min="5" max="5" width="11.703125" customWidth="1"/>
    <col min="6" max="6" width="10.703125" customWidth="1"/>
    <col min="8" max="8" width="10.29296875" customWidth="1"/>
    <col min="11" max="11" width="3.41015625" customWidth="1"/>
  </cols>
  <sheetData>
    <row r="1" spans="1:14" ht="20.350000000000001" thickBot="1" x14ac:dyDescent="0.65">
      <c r="A1" s="22"/>
      <c r="B1" s="23" t="s">
        <v>7</v>
      </c>
      <c r="C1" s="24"/>
      <c r="J1" s="346" t="str">
        <f>+'Method #1'!D8</f>
        <v>Stock Price 
(as of 8/5/2019)</v>
      </c>
    </row>
    <row r="2" spans="1:14" ht="16.45" customHeight="1" thickBot="1" x14ac:dyDescent="0.55000000000000004">
      <c r="A2" s="22"/>
      <c r="B2" s="25" t="s">
        <v>8</v>
      </c>
      <c r="C2" s="24"/>
      <c r="J2" s="345">
        <f>+'Method #1'!D17</f>
        <v>74.239999999999995</v>
      </c>
    </row>
    <row r="4" spans="1:14" ht="15.35" x14ac:dyDescent="0.5">
      <c r="A4" s="22"/>
      <c r="B4" s="143" t="s">
        <v>123</v>
      </c>
      <c r="C4" s="144"/>
      <c r="D4" s="144"/>
      <c r="E4" s="144"/>
      <c r="F4" s="144"/>
      <c r="G4" s="144"/>
      <c r="H4" s="144"/>
      <c r="I4" s="144"/>
      <c r="J4" s="144"/>
    </row>
    <row r="5" spans="1:14" ht="4.5" customHeight="1" x14ac:dyDescent="0.5">
      <c r="A5" s="22"/>
    </row>
    <row r="6" spans="1:14" ht="16.5" customHeight="1" x14ac:dyDescent="0.5">
      <c r="A6" s="22"/>
      <c r="C6" t="s">
        <v>50</v>
      </c>
      <c r="D6" s="62" t="s">
        <v>124</v>
      </c>
      <c r="E6" s="62" t="s">
        <v>52</v>
      </c>
      <c r="F6" s="62" t="s">
        <v>125</v>
      </c>
      <c r="G6" s="62" t="s">
        <v>126</v>
      </c>
      <c r="H6" s="62" t="s">
        <v>127</v>
      </c>
      <c r="I6" s="62" t="s">
        <v>105</v>
      </c>
      <c r="J6" s="62" t="s">
        <v>106</v>
      </c>
      <c r="M6" s="22"/>
      <c r="N6" s="22"/>
    </row>
    <row r="7" spans="1:14" ht="11.25" customHeight="1" thickBot="1" x14ac:dyDescent="0.55000000000000004">
      <c r="A7" s="22"/>
      <c r="D7" s="22"/>
      <c r="E7" s="22"/>
      <c r="F7" s="22"/>
      <c r="G7" s="22"/>
      <c r="H7" s="22"/>
      <c r="I7" s="145"/>
      <c r="J7" s="22"/>
      <c r="M7" s="22"/>
      <c r="N7" s="22"/>
    </row>
    <row r="8" spans="1:14" ht="45" customHeight="1" thickBot="1" x14ac:dyDescent="0.55000000000000004">
      <c r="A8" s="22"/>
      <c r="B8" s="67" t="s">
        <v>128</v>
      </c>
      <c r="C8" s="67" t="s">
        <v>129</v>
      </c>
      <c r="D8" s="67" t="s">
        <v>130</v>
      </c>
      <c r="E8" s="67" t="s">
        <v>131</v>
      </c>
      <c r="F8" s="67" t="s">
        <v>132</v>
      </c>
      <c r="G8" s="67" t="s">
        <v>133</v>
      </c>
      <c r="H8" s="67" t="s">
        <v>134</v>
      </c>
      <c r="I8" s="67" t="s">
        <v>135</v>
      </c>
      <c r="J8" s="146" t="s">
        <v>111</v>
      </c>
    </row>
    <row r="9" spans="1:14" s="142" customFormat="1" ht="15.75" customHeight="1" x14ac:dyDescent="0.5">
      <c r="A9" s="22"/>
      <c r="B9" s="147" t="s">
        <v>66</v>
      </c>
      <c r="C9" s="147" t="s">
        <v>145</v>
      </c>
      <c r="D9" s="148">
        <v>47.5</v>
      </c>
      <c r="E9" s="149">
        <v>390400000</v>
      </c>
      <c r="F9" s="329">
        <f>+E9*D9/1000000</f>
        <v>18544</v>
      </c>
      <c r="G9" s="333">
        <v>6180</v>
      </c>
      <c r="H9" s="329">
        <f>+F9+G9</f>
        <v>24724</v>
      </c>
      <c r="I9" s="329">
        <v>1680</v>
      </c>
      <c r="J9" s="150">
        <f t="shared" ref="J9:J21" si="0">+H9/I9</f>
        <v>14.716666666666667</v>
      </c>
      <c r="K9" s="151"/>
      <c r="L9" s="151"/>
    </row>
    <row r="10" spans="1:14" s="142" customFormat="1" ht="26.25" customHeight="1" x14ac:dyDescent="0.5">
      <c r="A10" s="22"/>
      <c r="B10" s="147" t="s">
        <v>136</v>
      </c>
      <c r="C10" s="147" t="s">
        <v>137</v>
      </c>
      <c r="D10" s="148">
        <v>82</v>
      </c>
      <c r="E10" s="149">
        <v>33078000</v>
      </c>
      <c r="F10" s="329">
        <f>+E10*D10/1000000</f>
        <v>2712.3960000000002</v>
      </c>
      <c r="G10" s="333">
        <f>273.825+4.853</f>
        <v>278.678</v>
      </c>
      <c r="H10" s="329">
        <f t="shared" ref="H10:H16" si="1">+F10+G10</f>
        <v>2991.0740000000001</v>
      </c>
      <c r="I10" s="329">
        <f>+H10/31.9</f>
        <v>93.764075235109729</v>
      </c>
      <c r="J10" s="150">
        <f t="shared" si="0"/>
        <v>31.9</v>
      </c>
      <c r="K10" s="151"/>
      <c r="L10" s="151"/>
    </row>
    <row r="11" spans="1:14" s="142" customFormat="1" ht="12" customHeight="1" x14ac:dyDescent="0.5">
      <c r="A11" s="22"/>
      <c r="B11" s="72" t="s">
        <v>138</v>
      </c>
      <c r="C11" s="72" t="s">
        <v>139</v>
      </c>
      <c r="D11" s="73">
        <v>45</v>
      </c>
      <c r="E11" s="89">
        <v>73335000</v>
      </c>
      <c r="F11" s="329">
        <f>+E11*D11/1000000</f>
        <v>3300.0749999999998</v>
      </c>
      <c r="G11" s="334">
        <v>123.5</v>
      </c>
      <c r="H11" s="329">
        <f t="shared" si="1"/>
        <v>3423.5749999999998</v>
      </c>
      <c r="I11" s="330">
        <v>187.2</v>
      </c>
      <c r="J11" s="152">
        <f t="shared" si="0"/>
        <v>18.288327991452991</v>
      </c>
      <c r="K11" s="151"/>
      <c r="L11" s="151"/>
    </row>
    <row r="12" spans="1:14" s="142" customFormat="1" ht="12" customHeight="1" x14ac:dyDescent="0.5">
      <c r="A12" s="22"/>
      <c r="B12" s="72" t="s">
        <v>140</v>
      </c>
      <c r="C12" s="72" t="s">
        <v>141</v>
      </c>
      <c r="D12" s="73"/>
      <c r="E12" s="89"/>
      <c r="F12" s="330">
        <v>5578</v>
      </c>
      <c r="G12" s="334">
        <v>0</v>
      </c>
      <c r="H12" s="329">
        <f t="shared" si="1"/>
        <v>5578</v>
      </c>
      <c r="I12" s="330">
        <v>504</v>
      </c>
      <c r="J12" s="152">
        <f t="shared" si="0"/>
        <v>11.067460317460318</v>
      </c>
      <c r="K12" s="151"/>
      <c r="L12" s="151"/>
    </row>
    <row r="13" spans="1:14" s="142" customFormat="1" ht="12" customHeight="1" x14ac:dyDescent="0.5">
      <c r="A13" s="22"/>
      <c r="B13" s="153" t="s">
        <v>142</v>
      </c>
      <c r="C13" s="72" t="s">
        <v>143</v>
      </c>
      <c r="D13" s="73"/>
      <c r="E13" s="89"/>
      <c r="F13" s="330"/>
      <c r="G13" s="334"/>
      <c r="H13" s="330">
        <v>4096</v>
      </c>
      <c r="I13" s="330">
        <f>+H13/13</f>
        <v>315.07692307692309</v>
      </c>
      <c r="J13" s="152">
        <f t="shared" si="0"/>
        <v>13</v>
      </c>
      <c r="K13" s="151"/>
      <c r="L13" s="151"/>
    </row>
    <row r="14" spans="1:14" s="142" customFormat="1" ht="12" customHeight="1" x14ac:dyDescent="0.5">
      <c r="A14" s="22"/>
      <c r="B14" s="153" t="s">
        <v>70</v>
      </c>
      <c r="C14" s="147" t="s">
        <v>145</v>
      </c>
      <c r="D14" s="73">
        <v>12.22</v>
      </c>
      <c r="E14" s="89">
        <v>203000000</v>
      </c>
      <c r="F14" s="329">
        <f t="shared" ref="F14:F16" si="2">+E14*D14/1000000</f>
        <v>2480.66</v>
      </c>
      <c r="G14" s="334">
        <v>925.71</v>
      </c>
      <c r="H14" s="329">
        <f t="shared" si="1"/>
        <v>3406.37</v>
      </c>
      <c r="I14" s="330">
        <v>229.7</v>
      </c>
      <c r="J14" s="152">
        <f t="shared" si="0"/>
        <v>14.829647366129734</v>
      </c>
      <c r="K14" s="151"/>
      <c r="L14" s="151"/>
    </row>
    <row r="15" spans="1:14" s="142" customFormat="1" ht="12" customHeight="1" x14ac:dyDescent="0.5">
      <c r="A15" s="22"/>
      <c r="B15" s="72" t="s">
        <v>144</v>
      </c>
      <c r="C15" s="72" t="s">
        <v>145</v>
      </c>
      <c r="D15" s="73">
        <v>1.1499999999999999</v>
      </c>
      <c r="E15" s="89">
        <v>172053000</v>
      </c>
      <c r="F15" s="329">
        <f t="shared" si="2"/>
        <v>197.86094999999997</v>
      </c>
      <c r="G15" s="334">
        <v>2681.96</v>
      </c>
      <c r="H15" s="329">
        <f t="shared" si="1"/>
        <v>2879.8209499999998</v>
      </c>
      <c r="I15" s="330">
        <v>275.18</v>
      </c>
      <c r="J15" s="152">
        <f t="shared" si="0"/>
        <v>10.465226215567991</v>
      </c>
      <c r="K15" s="151"/>
      <c r="L15" s="151"/>
    </row>
    <row r="16" spans="1:14" s="142" customFormat="1" ht="12" customHeight="1" x14ac:dyDescent="0.5">
      <c r="A16" s="22"/>
      <c r="B16" s="72" t="s">
        <v>68</v>
      </c>
      <c r="C16" s="72" t="s">
        <v>146</v>
      </c>
      <c r="D16" s="73">
        <v>24</v>
      </c>
      <c r="E16" s="89">
        <v>19583000</v>
      </c>
      <c r="F16" s="329">
        <f t="shared" si="2"/>
        <v>469.99200000000002</v>
      </c>
      <c r="G16" s="334">
        <v>765.2</v>
      </c>
      <c r="H16" s="329">
        <f t="shared" si="1"/>
        <v>1235.192</v>
      </c>
      <c r="I16" s="330">
        <v>123.07</v>
      </c>
      <c r="J16" s="152">
        <f t="shared" si="0"/>
        <v>10.036499553099862</v>
      </c>
      <c r="K16" s="151"/>
      <c r="L16" s="151"/>
    </row>
    <row r="17" spans="1:14" s="142" customFormat="1" ht="12" customHeight="1" x14ac:dyDescent="0.5">
      <c r="A17" s="22"/>
      <c r="B17" s="72" t="s">
        <v>147</v>
      </c>
      <c r="C17" s="72" t="s">
        <v>148</v>
      </c>
      <c r="D17" s="73"/>
      <c r="E17" s="89"/>
      <c r="F17" s="330"/>
      <c r="G17" s="334"/>
      <c r="H17" s="330">
        <v>1028.9000000000001</v>
      </c>
      <c r="I17" s="330">
        <f>+H17/11.3</f>
        <v>91.053097345132741</v>
      </c>
      <c r="J17" s="152">
        <f t="shared" si="0"/>
        <v>11.3</v>
      </c>
      <c r="K17" s="151"/>
      <c r="L17" s="151"/>
    </row>
    <row r="18" spans="1:14" s="142" customFormat="1" ht="12" customHeight="1" x14ac:dyDescent="0.5">
      <c r="A18" s="22"/>
      <c r="B18" s="72" t="s">
        <v>149</v>
      </c>
      <c r="C18" s="72" t="s">
        <v>150</v>
      </c>
      <c r="D18" s="73"/>
      <c r="E18" s="89"/>
      <c r="F18" s="330"/>
      <c r="G18" s="334"/>
      <c r="H18" s="330">
        <v>981</v>
      </c>
      <c r="I18" s="330">
        <f>+H18/9.2</f>
        <v>106.6304347826087</v>
      </c>
      <c r="J18" s="152">
        <f t="shared" si="0"/>
        <v>9.1999999999999993</v>
      </c>
      <c r="K18" s="151"/>
      <c r="L18" s="151"/>
    </row>
    <row r="19" spans="1:14" s="142" customFormat="1" ht="12" customHeight="1" x14ac:dyDescent="0.5">
      <c r="A19" s="22"/>
      <c r="B19" s="72" t="s">
        <v>151</v>
      </c>
      <c r="C19" s="72" t="s">
        <v>145</v>
      </c>
      <c r="D19" s="73">
        <v>24</v>
      </c>
      <c r="E19" s="89">
        <v>40284000</v>
      </c>
      <c r="F19" s="330">
        <f>+E19*D19/1000000</f>
        <v>966.81600000000003</v>
      </c>
      <c r="G19" s="334">
        <v>217.29</v>
      </c>
      <c r="H19" s="329">
        <f t="shared" ref="H19:H21" si="3">+F19+G19</f>
        <v>1184.106</v>
      </c>
      <c r="I19" s="330">
        <v>90.07</v>
      </c>
      <c r="J19" s="152">
        <f t="shared" si="0"/>
        <v>13.14650827134451</v>
      </c>
      <c r="K19" s="151"/>
      <c r="L19" s="151"/>
    </row>
    <row r="20" spans="1:14" s="142" customFormat="1" ht="12" customHeight="1" x14ac:dyDescent="0.5">
      <c r="A20" s="22"/>
      <c r="B20" s="80" t="s">
        <v>152</v>
      </c>
      <c r="C20" s="80" t="s">
        <v>145</v>
      </c>
      <c r="D20" s="81">
        <v>12.25</v>
      </c>
      <c r="E20" s="154">
        <v>44808000</v>
      </c>
      <c r="F20" s="331">
        <f>+E20*D20/1000000</f>
        <v>548.89800000000002</v>
      </c>
      <c r="G20" s="335">
        <v>243.6</v>
      </c>
      <c r="H20" s="329">
        <f t="shared" si="3"/>
        <v>792.49800000000005</v>
      </c>
      <c r="I20" s="331">
        <v>55.12</v>
      </c>
      <c r="J20" s="155">
        <f t="shared" si="0"/>
        <v>14.377685050798259</v>
      </c>
      <c r="K20" s="151"/>
      <c r="L20" s="151"/>
    </row>
    <row r="21" spans="1:14" s="142" customFormat="1" ht="12" customHeight="1" thickBot="1" x14ac:dyDescent="0.55000000000000004">
      <c r="A21" s="22"/>
      <c r="B21" s="156" t="s">
        <v>153</v>
      </c>
      <c r="C21" s="156" t="s">
        <v>145</v>
      </c>
      <c r="D21" s="157">
        <v>19.93</v>
      </c>
      <c r="E21" s="158">
        <v>95077000</v>
      </c>
      <c r="F21" s="332">
        <f>+E21*D21/1000000</f>
        <v>1894.8846100000001</v>
      </c>
      <c r="G21" s="336">
        <v>1231.5</v>
      </c>
      <c r="H21" s="337">
        <f t="shared" si="3"/>
        <v>3126.3846100000001</v>
      </c>
      <c r="I21" s="332">
        <v>224.85</v>
      </c>
      <c r="J21" s="159">
        <f t="shared" si="0"/>
        <v>13.904312252612854</v>
      </c>
      <c r="K21" s="151"/>
      <c r="L21" s="151"/>
    </row>
    <row r="22" spans="1:14" x14ac:dyDescent="0.5">
      <c r="A22" s="22"/>
      <c r="B22" s="4"/>
      <c r="C22" s="4"/>
      <c r="D22" s="4"/>
      <c r="E22" s="4"/>
      <c r="F22" s="4"/>
      <c r="G22" s="4"/>
      <c r="H22" s="4"/>
      <c r="I22" s="95" t="s">
        <v>121</v>
      </c>
      <c r="J22" s="141">
        <f>AVERAGE(J9:J21)</f>
        <v>14.325564129625631</v>
      </c>
      <c r="K22" s="160"/>
      <c r="L22" s="4"/>
      <c r="M22" s="4"/>
      <c r="N22" s="4"/>
    </row>
    <row r="23" spans="1:14" ht="13.2" customHeight="1" x14ac:dyDescent="0.5">
      <c r="A23" s="22"/>
      <c r="B23" s="340" t="s">
        <v>154</v>
      </c>
      <c r="C23" s="341">
        <f>+F23*G23</f>
        <v>8351706.1111535719</v>
      </c>
      <c r="E23" s="161"/>
      <c r="F23" s="140">
        <f>+'Method #4'!C19</f>
        <v>633000</v>
      </c>
      <c r="G23" s="99">
        <f>+J23</f>
        <v>13.193848516830288</v>
      </c>
      <c r="I23" t="s">
        <v>155</v>
      </c>
      <c r="J23" s="141">
        <f>+(J9+SUM(J11:J17)+SUM(J19:J21))/11</f>
        <v>13.193848516830288</v>
      </c>
    </row>
    <row r="24" spans="1:14" x14ac:dyDescent="0.5">
      <c r="B24" s="340" t="s">
        <v>5</v>
      </c>
      <c r="C24" s="341">
        <f>-'Method #1'!G17</f>
        <v>-1712000</v>
      </c>
    </row>
    <row r="25" spans="1:14" x14ac:dyDescent="0.5">
      <c r="B25" s="340" t="s">
        <v>269</v>
      </c>
      <c r="C25" s="342">
        <f>+'Method #1'!H17</f>
        <v>515000</v>
      </c>
    </row>
    <row r="26" spans="1:14" ht="14.7" thickBot="1" x14ac:dyDescent="0.55000000000000004">
      <c r="B26" s="340" t="s">
        <v>272</v>
      </c>
      <c r="C26" s="341">
        <f>SUM(C23:C25)</f>
        <v>7154706.1111535719</v>
      </c>
    </row>
    <row r="27" spans="1:14" ht="14.7" thickBot="1" x14ac:dyDescent="0.55000000000000004">
      <c r="B27" s="93" t="s">
        <v>271</v>
      </c>
      <c r="C27" s="343">
        <f>+C26/'Method #1'!E17</f>
        <v>68.273185307460295</v>
      </c>
    </row>
    <row r="28" spans="1:14" x14ac:dyDescent="0.5">
      <c r="J28" s="231" t="s">
        <v>266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9C42C0-7730-4A4A-AE0D-C0EC57F181EF}">
  <dimension ref="A1:M47"/>
  <sheetViews>
    <sheetView showGridLines="0" workbookViewId="0">
      <selection activeCell="O29" sqref="O29"/>
    </sheetView>
  </sheetViews>
  <sheetFormatPr defaultRowHeight="14.35" x14ac:dyDescent="0.5"/>
  <cols>
    <col min="2" max="2" width="37.05859375" customWidth="1"/>
    <col min="3" max="3" width="12.64453125" customWidth="1"/>
    <col min="4" max="4" width="12.703125" customWidth="1"/>
    <col min="5" max="5" width="11.5859375" customWidth="1"/>
    <col min="6" max="11" width="11.64453125" customWidth="1"/>
    <col min="13" max="13" width="2.5859375" customWidth="1"/>
  </cols>
  <sheetData>
    <row r="1" spans="1:13" ht="20.350000000000001" thickBot="1" x14ac:dyDescent="0.65">
      <c r="A1" s="22"/>
      <c r="B1" s="23" t="s">
        <v>7</v>
      </c>
      <c r="C1" s="24"/>
      <c r="K1" s="4"/>
      <c r="L1" s="346" t="str">
        <f>+'Method #1'!D8</f>
        <v>Stock Price 
(as of 8/5/2019)</v>
      </c>
    </row>
    <row r="2" spans="1:13" ht="13.45" customHeight="1" thickBot="1" x14ac:dyDescent="0.55000000000000004">
      <c r="A2" s="22"/>
      <c r="B2" s="25" t="s">
        <v>8</v>
      </c>
      <c r="C2" s="24"/>
      <c r="J2" s="4"/>
      <c r="L2" s="345">
        <f>+'Method #1'!D17</f>
        <v>74.239999999999995</v>
      </c>
    </row>
    <row r="4" spans="1:13" ht="15.35" x14ac:dyDescent="0.5">
      <c r="A4" s="22"/>
      <c r="B4" s="143" t="s">
        <v>48</v>
      </c>
      <c r="C4" s="46"/>
      <c r="D4" s="46"/>
      <c r="E4" s="46"/>
      <c r="F4" s="46"/>
      <c r="G4" s="46"/>
      <c r="H4" s="46"/>
      <c r="I4" s="46"/>
      <c r="J4" s="46"/>
      <c r="K4" s="46"/>
      <c r="L4" s="46"/>
    </row>
    <row r="5" spans="1:13" ht="11.5" customHeight="1" x14ac:dyDescent="0.6">
      <c r="A5" s="22"/>
      <c r="B5" s="23"/>
      <c r="C5" s="37"/>
      <c r="D5" s="37"/>
      <c r="E5" s="162" t="s">
        <v>156</v>
      </c>
      <c r="F5" s="163">
        <v>1</v>
      </c>
      <c r="G5" s="163">
        <v>2</v>
      </c>
      <c r="H5" s="163">
        <v>3</v>
      </c>
      <c r="I5" s="163">
        <v>4</v>
      </c>
      <c r="J5" s="163">
        <v>5</v>
      </c>
      <c r="K5" s="163">
        <v>6</v>
      </c>
    </row>
    <row r="6" spans="1:13" x14ac:dyDescent="0.5">
      <c r="A6" s="22"/>
      <c r="B6" t="s">
        <v>157</v>
      </c>
      <c r="C6" s="164" t="s">
        <v>158</v>
      </c>
      <c r="D6" s="165" t="s">
        <v>159</v>
      </c>
      <c r="E6" s="8" t="s">
        <v>160</v>
      </c>
      <c r="J6" s="8" t="s">
        <v>0</v>
      </c>
    </row>
    <row r="7" spans="1:13" ht="14.7" thickBot="1" x14ac:dyDescent="0.55000000000000004">
      <c r="A7" s="22"/>
      <c r="C7" s="166" t="s">
        <v>161</v>
      </c>
      <c r="D7" s="47" t="s">
        <v>161</v>
      </c>
      <c r="E7" s="167" t="s">
        <v>262</v>
      </c>
      <c r="F7" s="168">
        <f>+E7+184</f>
        <v>43830</v>
      </c>
      <c r="G7" s="168">
        <f>+F7+365</f>
        <v>44195</v>
      </c>
      <c r="H7" s="168">
        <f>+G7+365</f>
        <v>44560</v>
      </c>
      <c r="I7" s="168">
        <f>+H7+366</f>
        <v>44926</v>
      </c>
      <c r="J7" s="169">
        <f>+I7+365</f>
        <v>45291</v>
      </c>
      <c r="K7" s="168">
        <f>+J7+365</f>
        <v>45656</v>
      </c>
    </row>
    <row r="8" spans="1:13" x14ac:dyDescent="0.5">
      <c r="A8" s="22"/>
      <c r="B8" t="s">
        <v>1</v>
      </c>
      <c r="C8" s="170"/>
      <c r="D8" s="171"/>
      <c r="E8" s="172">
        <f>+(670+651+629+585)*1000</f>
        <v>2535000</v>
      </c>
      <c r="F8" s="10">
        <f t="shared" ref="F8:K8" si="0">+E8*(1+F9)</f>
        <v>2661750</v>
      </c>
      <c r="G8" s="10">
        <f t="shared" si="0"/>
        <v>2794837.5</v>
      </c>
      <c r="H8" s="10">
        <f t="shared" si="0"/>
        <v>2934579.375</v>
      </c>
      <c r="I8" s="10">
        <f t="shared" si="0"/>
        <v>3081308.34375</v>
      </c>
      <c r="J8" s="11">
        <f t="shared" si="0"/>
        <v>3235373.7609375003</v>
      </c>
      <c r="K8" s="173">
        <f t="shared" si="0"/>
        <v>3397142.4489843752</v>
      </c>
    </row>
    <row r="9" spans="1:13" x14ac:dyDescent="0.5">
      <c r="A9" s="22"/>
      <c r="B9" t="s">
        <v>162</v>
      </c>
      <c r="C9" s="174"/>
      <c r="D9" s="175"/>
      <c r="E9" s="176"/>
      <c r="F9" s="177">
        <v>0.05</v>
      </c>
      <c r="G9" s="177">
        <v>0.05</v>
      </c>
      <c r="H9" s="177">
        <v>0.05</v>
      </c>
      <c r="I9" s="177">
        <f>+H9</f>
        <v>0.05</v>
      </c>
      <c r="J9" s="178">
        <f>+I9</f>
        <v>0.05</v>
      </c>
      <c r="K9" s="179">
        <v>0.05</v>
      </c>
      <c r="L9" s="180"/>
    </row>
    <row r="10" spans="1:13" x14ac:dyDescent="0.5">
      <c r="A10" s="22"/>
      <c r="B10" t="s">
        <v>164</v>
      </c>
      <c r="C10" s="174">
        <f>-E10/E8</f>
        <v>0.60631163708086788</v>
      </c>
      <c r="D10" s="175">
        <v>0.6</v>
      </c>
      <c r="E10" s="172">
        <f>-(397+402+376+362)*1000</f>
        <v>-1537000</v>
      </c>
      <c r="F10" s="10">
        <f t="shared" ref="F10:K10" si="1">-$D$10*F8</f>
        <v>-1597050</v>
      </c>
      <c r="G10" s="10">
        <f t="shared" si="1"/>
        <v>-1676902.5</v>
      </c>
      <c r="H10" s="10">
        <f t="shared" si="1"/>
        <v>-1760747.625</v>
      </c>
      <c r="I10" s="10">
        <f t="shared" si="1"/>
        <v>-1848785.0062499999</v>
      </c>
      <c r="J10" s="11">
        <f t="shared" si="1"/>
        <v>-1941224.2565625</v>
      </c>
      <c r="K10" s="173">
        <f t="shared" si="1"/>
        <v>-2038285.4693906251</v>
      </c>
    </row>
    <row r="11" spans="1:13" x14ac:dyDescent="0.5">
      <c r="A11" s="22"/>
      <c r="B11" t="s">
        <v>165</v>
      </c>
      <c r="C11" s="174">
        <f>-E11/E8</f>
        <v>0.28678500986193295</v>
      </c>
      <c r="D11" s="175">
        <v>0.26</v>
      </c>
      <c r="E11" s="181">
        <f>+E12-E8-E10</f>
        <v>-727000</v>
      </c>
      <c r="F11" s="12">
        <f t="shared" ref="F11:K11" si="2">-$D$11*F8</f>
        <v>-692055</v>
      </c>
      <c r="G11" s="12">
        <f t="shared" si="2"/>
        <v>-726657.75</v>
      </c>
      <c r="H11" s="12">
        <f t="shared" si="2"/>
        <v>-762990.63750000007</v>
      </c>
      <c r="I11" s="12">
        <f t="shared" si="2"/>
        <v>-801140.16937500006</v>
      </c>
      <c r="J11" s="13">
        <f t="shared" si="2"/>
        <v>-841197.17784375011</v>
      </c>
      <c r="K11" s="182">
        <f t="shared" si="2"/>
        <v>-883257.03673593758</v>
      </c>
    </row>
    <row r="12" spans="1:13" x14ac:dyDescent="0.5">
      <c r="A12" s="22"/>
      <c r="B12" t="s">
        <v>166</v>
      </c>
      <c r="C12" s="183"/>
      <c r="D12" s="184"/>
      <c r="E12" s="176">
        <f>+(90+35+84+62)*1000</f>
        <v>271000</v>
      </c>
      <c r="F12" s="10">
        <f t="shared" ref="F12:K12" si="3">+F8+F10+F11</f>
        <v>372645</v>
      </c>
      <c r="G12" s="10">
        <f t="shared" si="3"/>
        <v>391277.25</v>
      </c>
      <c r="H12" s="10">
        <f t="shared" si="3"/>
        <v>410841.11249999993</v>
      </c>
      <c r="I12" s="10">
        <f t="shared" si="3"/>
        <v>431383.16812500008</v>
      </c>
      <c r="J12" s="11">
        <f t="shared" si="3"/>
        <v>452952.32653125015</v>
      </c>
      <c r="K12" s="173">
        <f t="shared" si="3"/>
        <v>475599.94285781251</v>
      </c>
      <c r="M12" s="140"/>
    </row>
    <row r="13" spans="1:13" x14ac:dyDescent="0.5">
      <c r="A13" s="22"/>
      <c r="B13" t="s">
        <v>167</v>
      </c>
      <c r="C13" s="174"/>
      <c r="D13" s="175">
        <v>0.36</v>
      </c>
      <c r="E13" s="176">
        <v>0</v>
      </c>
      <c r="F13" s="10">
        <f t="shared" ref="F13:K13" si="4">-$D$13*F12</f>
        <v>-134152.19999999998</v>
      </c>
      <c r="G13" s="10">
        <f t="shared" si="4"/>
        <v>-140859.81</v>
      </c>
      <c r="H13" s="10">
        <f t="shared" si="4"/>
        <v>-147902.80049999998</v>
      </c>
      <c r="I13" s="10">
        <f t="shared" si="4"/>
        <v>-155297.94052500001</v>
      </c>
      <c r="J13" s="11">
        <f t="shared" si="4"/>
        <v>-163062.83755125004</v>
      </c>
      <c r="K13" s="173">
        <f t="shared" si="4"/>
        <v>-171215.97942881248</v>
      </c>
    </row>
    <row r="14" spans="1:13" x14ac:dyDescent="0.5">
      <c r="A14" s="22"/>
      <c r="B14" t="s">
        <v>168</v>
      </c>
      <c r="C14" s="174">
        <f>+E14/E8</f>
        <v>0.14280078895463511</v>
      </c>
      <c r="D14" s="175">
        <v>0.1</v>
      </c>
      <c r="E14" s="172">
        <f>+(89+85+89+99)*1000</f>
        <v>362000</v>
      </c>
      <c r="F14" s="10">
        <f t="shared" ref="F14:K14" si="5">+$D$14*F8</f>
        <v>266175</v>
      </c>
      <c r="G14" s="10">
        <f t="shared" si="5"/>
        <v>279483.75</v>
      </c>
      <c r="H14" s="10">
        <f t="shared" si="5"/>
        <v>293457.9375</v>
      </c>
      <c r="I14" s="10">
        <f t="shared" si="5"/>
        <v>308130.83437500003</v>
      </c>
      <c r="J14" s="11">
        <f t="shared" si="5"/>
        <v>323537.37609375006</v>
      </c>
      <c r="K14" s="173">
        <f t="shared" si="5"/>
        <v>339714.24489843752</v>
      </c>
    </row>
    <row r="15" spans="1:13" x14ac:dyDescent="0.5">
      <c r="A15" s="22"/>
      <c r="B15" s="27" t="s">
        <v>4</v>
      </c>
      <c r="C15" s="174">
        <v>0</v>
      </c>
      <c r="D15" s="175">
        <v>0</v>
      </c>
      <c r="E15" s="172"/>
      <c r="F15" s="10">
        <f t="shared" ref="F15:K15" si="6">-$D$15*F8</f>
        <v>0</v>
      </c>
      <c r="G15" s="10">
        <f t="shared" si="6"/>
        <v>0</v>
      </c>
      <c r="H15" s="10">
        <f t="shared" si="6"/>
        <v>0</v>
      </c>
      <c r="I15" s="10">
        <f t="shared" si="6"/>
        <v>0</v>
      </c>
      <c r="J15" s="11">
        <f t="shared" si="6"/>
        <v>0</v>
      </c>
      <c r="K15" s="173">
        <f t="shared" si="6"/>
        <v>0</v>
      </c>
    </row>
    <row r="16" spans="1:13" x14ac:dyDescent="0.5">
      <c r="A16" s="22"/>
      <c r="B16" t="s">
        <v>169</v>
      </c>
      <c r="C16" s="174">
        <f>-E16/E8</f>
        <v>0.12702169625246548</v>
      </c>
      <c r="D16" s="175">
        <v>0.1</v>
      </c>
      <c r="E16" s="172">
        <f>-(80+66+102+74)*1000</f>
        <v>-322000</v>
      </c>
      <c r="F16" s="10">
        <f t="shared" ref="F16:K16" si="7">-$D$16*F8</f>
        <v>-266175</v>
      </c>
      <c r="G16" s="10">
        <f t="shared" si="7"/>
        <v>-279483.75</v>
      </c>
      <c r="H16" s="10">
        <f t="shared" si="7"/>
        <v>-293457.9375</v>
      </c>
      <c r="I16" s="10">
        <f t="shared" si="7"/>
        <v>-308130.83437500003</v>
      </c>
      <c r="J16" s="11">
        <f t="shared" si="7"/>
        <v>-323537.37609375006</v>
      </c>
      <c r="K16" s="173">
        <f t="shared" si="7"/>
        <v>-339714.24489843752</v>
      </c>
    </row>
    <row r="17" spans="1:11" ht="14.7" thickBot="1" x14ac:dyDescent="0.55000000000000004">
      <c r="A17" s="22"/>
      <c r="B17" t="s">
        <v>170</v>
      </c>
      <c r="C17" s="185"/>
      <c r="E17" s="186">
        <f t="shared" ref="E17:K17" si="8">SUM(E12:E16)</f>
        <v>311000</v>
      </c>
      <c r="F17" s="187">
        <f t="shared" si="8"/>
        <v>238492.80000000005</v>
      </c>
      <c r="G17" s="187">
        <f t="shared" si="8"/>
        <v>250417.43999999994</v>
      </c>
      <c r="H17" s="187">
        <f t="shared" si="8"/>
        <v>262938.31199999992</v>
      </c>
      <c r="I17" s="187">
        <f t="shared" si="8"/>
        <v>276085.22760000016</v>
      </c>
      <c r="J17" s="188">
        <f t="shared" si="8"/>
        <v>289889.4889800002</v>
      </c>
      <c r="K17" s="189">
        <f t="shared" si="8"/>
        <v>304383.963429</v>
      </c>
    </row>
    <row r="18" spans="1:11" ht="7.5" customHeight="1" thickTop="1" x14ac:dyDescent="0.5">
      <c r="A18" s="22"/>
      <c r="B18" s="37"/>
      <c r="C18" s="37"/>
      <c r="D18" s="37"/>
      <c r="E18" s="12"/>
      <c r="F18" s="12"/>
      <c r="G18" s="12"/>
      <c r="H18" s="12"/>
      <c r="I18" s="12"/>
      <c r="J18" s="13"/>
      <c r="K18" s="182"/>
    </row>
    <row r="19" spans="1:11" x14ac:dyDescent="0.5">
      <c r="A19" s="22"/>
      <c r="B19" s="190" t="s">
        <v>2</v>
      </c>
      <c r="C19" s="190"/>
      <c r="D19" s="190"/>
      <c r="E19" s="191">
        <f t="shared" ref="E19:K19" si="9">+E12+E14</f>
        <v>633000</v>
      </c>
      <c r="F19" s="192">
        <f t="shared" si="9"/>
        <v>638820</v>
      </c>
      <c r="G19" s="192">
        <f t="shared" si="9"/>
        <v>670761</v>
      </c>
      <c r="H19" s="192">
        <f t="shared" si="9"/>
        <v>704299.04999999993</v>
      </c>
      <c r="I19" s="192">
        <f t="shared" si="9"/>
        <v>739514.00250000018</v>
      </c>
      <c r="J19" s="193">
        <f t="shared" si="9"/>
        <v>776489.70262500015</v>
      </c>
      <c r="K19" s="194">
        <f t="shared" si="9"/>
        <v>815314.18775625003</v>
      </c>
    </row>
    <row r="20" spans="1:11" ht="12" customHeight="1" x14ac:dyDescent="0.5">
      <c r="A20" s="22"/>
      <c r="B20" s="195" t="s">
        <v>171</v>
      </c>
      <c r="C20" s="195"/>
      <c r="D20" s="195"/>
      <c r="E20" s="196">
        <f>+E39</f>
        <v>1712000</v>
      </c>
      <c r="F20" s="196">
        <f t="shared" ref="F20:K20" si="10">+E20-(0.05*$E$20)</f>
        <v>1626400</v>
      </c>
      <c r="G20" s="196">
        <f t="shared" si="10"/>
        <v>1540800</v>
      </c>
      <c r="H20" s="196">
        <f t="shared" si="10"/>
        <v>1455200</v>
      </c>
      <c r="I20" s="196">
        <f t="shared" si="10"/>
        <v>1369600</v>
      </c>
      <c r="J20" s="197">
        <f t="shared" si="10"/>
        <v>1284000</v>
      </c>
      <c r="K20" s="198">
        <f t="shared" si="10"/>
        <v>1198400</v>
      </c>
    </row>
    <row r="21" spans="1:11" ht="7.5" customHeight="1" x14ac:dyDescent="0.5">
      <c r="A21" s="22"/>
      <c r="E21" s="4"/>
      <c r="F21" s="4"/>
      <c r="G21" s="4"/>
      <c r="H21" s="4"/>
      <c r="I21" s="4"/>
      <c r="J21" s="14"/>
    </row>
    <row r="22" spans="1:11" ht="14.7" thickBot="1" x14ac:dyDescent="0.55000000000000004">
      <c r="A22" s="22"/>
      <c r="B22" s="199" t="s">
        <v>172</v>
      </c>
      <c r="C22" s="200" t="s">
        <v>161</v>
      </c>
      <c r="E22" s="201" t="s">
        <v>173</v>
      </c>
      <c r="F22" s="4"/>
      <c r="G22" s="4"/>
      <c r="H22" s="4"/>
      <c r="I22" s="4"/>
      <c r="J22" s="14"/>
    </row>
    <row r="23" spans="1:11" x14ac:dyDescent="0.5">
      <c r="A23" s="22"/>
      <c r="B23" t="s">
        <v>174</v>
      </c>
      <c r="C23" s="99">
        <f>+'Method #4'!D19</f>
        <v>12.958564706851016</v>
      </c>
      <c r="E23" s="202"/>
      <c r="F23" s="203" t="s">
        <v>175</v>
      </c>
      <c r="G23" s="4"/>
      <c r="H23" s="4"/>
      <c r="I23" s="4"/>
      <c r="J23" s="15">
        <f>+$C$23*J19</f>
        <v>10062192.055669568</v>
      </c>
    </row>
    <row r="24" spans="1:11" x14ac:dyDescent="0.5">
      <c r="A24" s="22"/>
      <c r="B24" t="s">
        <v>176</v>
      </c>
      <c r="C24" s="204">
        <f>+K45</f>
        <v>7.4502689577885681E-2</v>
      </c>
      <c r="E24" s="205">
        <f>+K9</f>
        <v>0.05</v>
      </c>
      <c r="F24" s="203" t="s">
        <v>177</v>
      </c>
      <c r="G24" s="4"/>
      <c r="H24" s="4"/>
      <c r="I24" s="4"/>
      <c r="J24" s="11">
        <f>+K17/(C24-E24)</f>
        <v>12422471.51935984</v>
      </c>
    </row>
    <row r="25" spans="1:11" x14ac:dyDescent="0.5">
      <c r="A25" s="22"/>
      <c r="B25" t="s">
        <v>121</v>
      </c>
      <c r="E25" s="206"/>
      <c r="F25" s="4"/>
      <c r="G25" s="4"/>
      <c r="H25" s="4"/>
      <c r="I25" s="4"/>
      <c r="J25" s="207">
        <f>+(J23+J24)/2</f>
        <v>11242331.787514705</v>
      </c>
    </row>
    <row r="26" spans="1:11" x14ac:dyDescent="0.5">
      <c r="A26" s="22"/>
      <c r="B26" t="s">
        <v>179</v>
      </c>
      <c r="E26" s="18"/>
      <c r="F26" s="4"/>
      <c r="G26" s="4"/>
      <c r="H26" s="4"/>
      <c r="I26" s="4"/>
      <c r="J26" s="15">
        <f>-J20</f>
        <v>-1284000</v>
      </c>
    </row>
    <row r="27" spans="1:11" x14ac:dyDescent="0.5">
      <c r="A27" s="22"/>
      <c r="B27" t="s">
        <v>180</v>
      </c>
      <c r="E27" s="18"/>
      <c r="F27" s="4"/>
      <c r="G27" s="4"/>
      <c r="H27" s="4"/>
      <c r="I27" s="4"/>
      <c r="J27" s="17">
        <v>0</v>
      </c>
    </row>
    <row r="28" spans="1:11" x14ac:dyDescent="0.5">
      <c r="A28" s="22"/>
      <c r="B28" t="s">
        <v>181</v>
      </c>
      <c r="E28" s="4"/>
      <c r="F28" s="4"/>
      <c r="G28" s="4"/>
      <c r="H28" s="4"/>
      <c r="I28" s="4"/>
      <c r="J28" s="15">
        <f>+J26+J25</f>
        <v>9958331.7875147052</v>
      </c>
    </row>
    <row r="29" spans="1:11" x14ac:dyDescent="0.5">
      <c r="A29" s="22"/>
      <c r="D29" s="208" t="s">
        <v>182</v>
      </c>
      <c r="E29" s="4"/>
      <c r="F29" s="4"/>
      <c r="G29" s="4"/>
      <c r="H29" s="4"/>
      <c r="I29" s="4"/>
      <c r="J29" s="14"/>
    </row>
    <row r="30" spans="1:11" ht="14.7" thickBot="1" x14ac:dyDescent="0.55000000000000004">
      <c r="A30" s="22"/>
      <c r="B30" s="209" t="s">
        <v>6</v>
      </c>
      <c r="C30" s="210">
        <f>+I40</f>
        <v>0.10169999999999998</v>
      </c>
      <c r="D30" s="211"/>
      <c r="E30" s="58"/>
      <c r="F30" s="58">
        <f>+F17</f>
        <v>238492.80000000005</v>
      </c>
      <c r="G30" s="58">
        <f>+G17</f>
        <v>250417.43999999994</v>
      </c>
      <c r="H30" s="58">
        <f>+H17</f>
        <v>262938.31199999992</v>
      </c>
      <c r="I30" s="58">
        <f>+I17</f>
        <v>276085.22760000016</v>
      </c>
      <c r="J30" s="212">
        <f>+J28+J17</f>
        <v>10248221.276494706</v>
      </c>
    </row>
    <row r="31" spans="1:11" ht="14.7" thickTop="1" x14ac:dyDescent="0.5">
      <c r="A31" s="22"/>
      <c r="C31" s="161" t="s">
        <v>183</v>
      </c>
      <c r="D31" s="213">
        <f>1/((1+$I$40)^F5)</f>
        <v>0.90768811836253072</v>
      </c>
      <c r="E31" s="214">
        <f>+D31*F30</f>
        <v>216477.08087501139</v>
      </c>
      <c r="F31" s="138"/>
    </row>
    <row r="32" spans="1:11" x14ac:dyDescent="0.5">
      <c r="A32" s="22"/>
      <c r="C32" s="161" t="s">
        <v>184</v>
      </c>
      <c r="D32" s="213">
        <f>1/((1+$I$40)^G5)</f>
        <v>0.82389772021651153</v>
      </c>
      <c r="E32" s="214">
        <f>+D32*G30</f>
        <v>206318.357918455</v>
      </c>
    </row>
    <row r="33" spans="1:12" x14ac:dyDescent="0.5">
      <c r="A33" s="22"/>
      <c r="C33" s="161" t="s">
        <v>185</v>
      </c>
      <c r="D33" s="213">
        <f>1/((1+$I$40)^H5)</f>
        <v>0.74784217138650422</v>
      </c>
      <c r="E33" s="214">
        <f>+D33*H30</f>
        <v>196636.35818678205</v>
      </c>
    </row>
    <row r="34" spans="1:12" x14ac:dyDescent="0.5">
      <c r="A34" s="22"/>
      <c r="C34" s="161" t="s">
        <v>186</v>
      </c>
      <c r="D34" s="213">
        <f>1/((1+$I$40)^I5)</f>
        <v>0.67880745337796511</v>
      </c>
      <c r="E34" s="214">
        <f>+D34*I30</f>
        <v>187408.710262432</v>
      </c>
    </row>
    <row r="35" spans="1:12" ht="14.7" thickBot="1" x14ac:dyDescent="0.55000000000000004">
      <c r="A35" s="22"/>
      <c r="C35" s="161" t="s">
        <v>187</v>
      </c>
      <c r="D35" s="213">
        <f>1/((1+$I$40)^J5)</f>
        <v>0.61614546008710647</v>
      </c>
      <c r="E35" s="214">
        <f>+D35*J30</f>
        <v>6314395.0134803038</v>
      </c>
    </row>
    <row r="36" spans="1:12" ht="14.7" thickBot="1" x14ac:dyDescent="0.55000000000000004">
      <c r="A36" s="22"/>
      <c r="C36" s="161" t="s">
        <v>188</v>
      </c>
      <c r="D36" s="185"/>
      <c r="E36" s="215">
        <f>SUM(E31:E35)</f>
        <v>7121235.5207229843</v>
      </c>
      <c r="F36" s="35"/>
      <c r="G36" s="216" t="s">
        <v>189</v>
      </c>
      <c r="H36" s="217"/>
      <c r="I36" s="218"/>
      <c r="K36" s="219" t="s">
        <v>268</v>
      </c>
      <c r="L36" s="220"/>
    </row>
    <row r="37" spans="1:12" ht="14.7" thickTop="1" x14ac:dyDescent="0.5">
      <c r="A37" s="22"/>
      <c r="C37" s="161"/>
      <c r="E37" s="221"/>
      <c r="F37" s="35"/>
      <c r="G37" s="222" t="s">
        <v>190</v>
      </c>
      <c r="H37" s="223"/>
      <c r="I37" s="224">
        <f>+'Method #2'!C8</f>
        <v>2.2499999999999999E-2</v>
      </c>
      <c r="K37" s="225">
        <f>+(13079+12100+9176+10170)</f>
        <v>44525</v>
      </c>
      <c r="L37" s="5"/>
    </row>
    <row r="38" spans="1:12" x14ac:dyDescent="0.5">
      <c r="A38" s="22"/>
      <c r="C38" s="231" t="s">
        <v>195</v>
      </c>
      <c r="E38" s="214">
        <f>+E36</f>
        <v>7121235.5207229843</v>
      </c>
      <c r="F38" s="29"/>
      <c r="G38" s="222" t="s">
        <v>193</v>
      </c>
      <c r="H38" s="223"/>
      <c r="I38" s="228">
        <v>0.09</v>
      </c>
      <c r="K38" s="229">
        <f>+K37/'Method #4'!G17</f>
        <v>2.6007593457943925E-2</v>
      </c>
      <c r="L38" s="230" t="s">
        <v>194</v>
      </c>
    </row>
    <row r="39" spans="1:12" ht="14.7" thickBot="1" x14ac:dyDescent="0.55000000000000004">
      <c r="A39" s="22"/>
      <c r="C39" s="233" t="s">
        <v>197</v>
      </c>
      <c r="E39" s="234">
        <f>+'Method #1'!G17</f>
        <v>1712000</v>
      </c>
      <c r="G39" s="222" t="s">
        <v>196</v>
      </c>
      <c r="H39" s="223"/>
      <c r="I39" s="232">
        <f>+'Method #4'!L17</f>
        <v>0.88</v>
      </c>
      <c r="K39" s="19"/>
      <c r="L39" s="21"/>
    </row>
    <row r="40" spans="1:12" ht="14.7" thickBot="1" x14ac:dyDescent="0.55000000000000004">
      <c r="A40" s="22"/>
      <c r="C40" s="233" t="s">
        <v>199</v>
      </c>
      <c r="E40" s="234">
        <f>-'Method #1'!H17</f>
        <v>-515000</v>
      </c>
      <c r="G40" s="235" t="s">
        <v>198</v>
      </c>
      <c r="H40" s="236"/>
      <c r="I40" s="237">
        <f>+I37+(I38*I39)</f>
        <v>0.10169999999999998</v>
      </c>
    </row>
    <row r="41" spans="1:12" ht="14.7" thickBot="1" x14ac:dyDescent="0.55000000000000004">
      <c r="A41" s="22"/>
      <c r="C41" s="231" t="s">
        <v>273</v>
      </c>
      <c r="E41" s="234">
        <f>+E39+E38+E40</f>
        <v>8318235.5207229853</v>
      </c>
    </row>
    <row r="42" spans="1:12" ht="17" customHeight="1" thickBot="1" x14ac:dyDescent="0.55000000000000004">
      <c r="A42" s="22"/>
      <c r="C42" s="231" t="s">
        <v>274</v>
      </c>
      <c r="E42" s="234">
        <f>-'Method #1'!G17</f>
        <v>-1712000</v>
      </c>
      <c r="G42" s="216" t="s">
        <v>201</v>
      </c>
      <c r="H42" s="217"/>
      <c r="I42" s="239" t="s">
        <v>202</v>
      </c>
      <c r="J42" s="239" t="s">
        <v>203</v>
      </c>
      <c r="K42" s="240" t="s">
        <v>204</v>
      </c>
    </row>
    <row r="43" spans="1:12" ht="17" customHeight="1" x14ac:dyDescent="0.5">
      <c r="A43" s="22"/>
      <c r="C43" s="231" t="s">
        <v>275</v>
      </c>
      <c r="E43" s="234">
        <f>+'Method #1'!H17</f>
        <v>515000</v>
      </c>
      <c r="G43" s="222" t="s">
        <v>37</v>
      </c>
      <c r="H43" s="241">
        <f>+'Method #4'!G17</f>
        <v>1712000</v>
      </c>
      <c r="I43" s="242">
        <f>+H43/SUM($H$43:$H$44)</f>
        <v>0.31976092641016063</v>
      </c>
      <c r="J43" s="243">
        <f>+K38*(1-D13)</f>
        <v>1.6644859813084112E-2</v>
      </c>
      <c r="K43" s="244">
        <f>+J43*I43</f>
        <v>5.322375793799029E-3</v>
      </c>
    </row>
    <row r="44" spans="1:12" ht="17" customHeight="1" thickBot="1" x14ac:dyDescent="0.55000000000000004">
      <c r="A44" s="22"/>
      <c r="C44" s="231" t="s">
        <v>276</v>
      </c>
      <c r="E44" s="234">
        <f>SUM(E41:E43)</f>
        <v>7121235.5207229853</v>
      </c>
      <c r="G44" s="222" t="s">
        <v>205</v>
      </c>
      <c r="H44" s="241">
        <f>+'Book vs Market Values'!C12</f>
        <v>3642000</v>
      </c>
      <c r="I44" s="242">
        <f>+H44/SUM($H$43:$H$44)</f>
        <v>0.68023907358983937</v>
      </c>
      <c r="J44" s="245">
        <f>+I40</f>
        <v>0.10169999999999998</v>
      </c>
      <c r="K44" s="244">
        <f>+J44*I44</f>
        <v>6.918031378408665E-2</v>
      </c>
    </row>
    <row r="45" spans="1:12" ht="17" customHeight="1" thickBot="1" x14ac:dyDescent="0.55000000000000004">
      <c r="A45" s="22"/>
      <c r="C45" s="231" t="s">
        <v>277</v>
      </c>
      <c r="E45" s="345">
        <f>+E44/'Method #1'!E17</f>
        <v>67.953794994662516</v>
      </c>
      <c r="G45" s="235"/>
      <c r="H45" s="246"/>
      <c r="I45" s="247">
        <f>SUM(I43:I44)</f>
        <v>1</v>
      </c>
      <c r="J45" s="248"/>
      <c r="K45" s="249">
        <f>SUM(K43:K44)</f>
        <v>7.4502689577885681E-2</v>
      </c>
    </row>
    <row r="46" spans="1:12" ht="17" customHeight="1" x14ac:dyDescent="0.5"/>
    <row r="47" spans="1:12" x14ac:dyDescent="0.5">
      <c r="L47" s="231" t="s">
        <v>267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772B7B-C494-41F4-97BA-AB310CB90784}">
  <dimension ref="A1:M42"/>
  <sheetViews>
    <sheetView showGridLines="0" topLeftCell="A13" zoomScaleNormal="100" workbookViewId="0">
      <selection activeCell="E26" sqref="E26"/>
    </sheetView>
  </sheetViews>
  <sheetFormatPr defaultRowHeight="14.35" x14ac:dyDescent="0.5"/>
  <cols>
    <col min="1" max="1" width="3.5859375" customWidth="1"/>
    <col min="2" max="2" width="37.05859375" customWidth="1"/>
    <col min="3" max="3" width="12.64453125" customWidth="1"/>
    <col min="4" max="4" width="12.703125" customWidth="1"/>
    <col min="5" max="5" width="11.5859375" customWidth="1"/>
    <col min="6" max="11" width="11.64453125" customWidth="1"/>
    <col min="12" max="12" width="11.5859375" customWidth="1"/>
    <col min="13" max="13" width="11.05859375" customWidth="1"/>
    <col min="14" max="14" width="2.29296875" customWidth="1"/>
  </cols>
  <sheetData>
    <row r="1" spans="1:12" ht="20" x14ac:dyDescent="0.6">
      <c r="A1" s="22"/>
      <c r="B1" s="23" t="s">
        <v>7</v>
      </c>
      <c r="C1" s="24"/>
      <c r="J1" s="4"/>
    </row>
    <row r="2" spans="1:12" ht="10.5" customHeight="1" x14ac:dyDescent="0.5">
      <c r="A2" s="22"/>
      <c r="B2" s="25" t="s">
        <v>8</v>
      </c>
      <c r="C2" s="24"/>
      <c r="J2" s="4"/>
    </row>
    <row r="4" spans="1:12" ht="15.35" x14ac:dyDescent="0.5">
      <c r="A4" s="22"/>
      <c r="B4" s="143" t="s">
        <v>212</v>
      </c>
      <c r="C4" s="46"/>
      <c r="D4" s="46"/>
      <c r="E4" s="46"/>
      <c r="F4" s="46"/>
      <c r="G4" s="46"/>
      <c r="H4" s="46"/>
      <c r="I4" s="46"/>
      <c r="J4" s="46"/>
      <c r="K4" s="46"/>
      <c r="L4" s="46"/>
    </row>
    <row r="5" spans="1:12" s="276" customFormat="1" ht="15.35" x14ac:dyDescent="0.5">
      <c r="A5" s="273"/>
      <c r="B5" s="274"/>
      <c r="C5" s="275"/>
      <c r="D5" s="275"/>
      <c r="E5" s="275"/>
      <c r="F5" s="275"/>
      <c r="G5" s="275"/>
      <c r="H5" s="275"/>
      <c r="I5" s="275"/>
      <c r="J5" s="275"/>
      <c r="K5" s="275"/>
      <c r="L5" s="275"/>
    </row>
    <row r="6" spans="1:12" s="276" customFormat="1" ht="39" thickBot="1" x14ac:dyDescent="0.55000000000000004">
      <c r="A6" s="273"/>
      <c r="B6" s="316" t="s">
        <v>213</v>
      </c>
      <c r="C6" s="7"/>
      <c r="D6" s="7"/>
      <c r="E6" s="314" t="s">
        <v>217</v>
      </c>
      <c r="F6" s="166" t="s">
        <v>215</v>
      </c>
      <c r="G6" s="277" t="s">
        <v>218</v>
      </c>
      <c r="H6" s="277" t="s">
        <v>219</v>
      </c>
      <c r="I6" s="281" t="s">
        <v>227</v>
      </c>
      <c r="J6" s="281" t="s">
        <v>234</v>
      </c>
      <c r="K6" s="315" t="s">
        <v>251</v>
      </c>
      <c r="L6" s="275"/>
    </row>
    <row r="7" spans="1:12" s="276" customFormat="1" x14ac:dyDescent="0.5">
      <c r="A7" s="273"/>
      <c r="B7" t="s">
        <v>214</v>
      </c>
      <c r="E7" s="279">
        <f>+'Method #1'!D17</f>
        <v>74.239999999999995</v>
      </c>
      <c r="F7" s="278">
        <v>0</v>
      </c>
      <c r="G7" s="279">
        <f>+E7*(1+F7)</f>
        <v>74.239999999999995</v>
      </c>
      <c r="H7" s="280">
        <f>+'Method #1'!E17</f>
        <v>104795.25862068967</v>
      </c>
      <c r="I7" s="290">
        <f>+H7*G7</f>
        <v>7780000</v>
      </c>
      <c r="J7" s="283">
        <f>+I7/$I$10</f>
        <v>0.79192037355462186</v>
      </c>
      <c r="K7" s="324">
        <f>+I7/'Method #7b'!$E$25</f>
        <v>11.508875739644971</v>
      </c>
      <c r="L7" s="275"/>
    </row>
    <row r="8" spans="1:12" s="276" customFormat="1" x14ac:dyDescent="0.5">
      <c r="A8" s="273"/>
      <c r="B8" t="s">
        <v>220</v>
      </c>
      <c r="E8" s="275"/>
      <c r="F8" s="275"/>
      <c r="G8" s="275"/>
      <c r="H8" s="275"/>
      <c r="I8" s="290">
        <f>+'Method #1'!G17</f>
        <v>1712000</v>
      </c>
      <c r="J8" s="283">
        <f>+I8/$I$10</f>
        <v>0.17426319788245662</v>
      </c>
      <c r="K8" s="324">
        <f>+I8/'Method #7b'!$E$25</f>
        <v>2.5325443786982249</v>
      </c>
      <c r="L8" s="275"/>
    </row>
    <row r="9" spans="1:12" s="276" customFormat="1" x14ac:dyDescent="0.5">
      <c r="A9" s="273"/>
      <c r="B9" t="s">
        <v>216</v>
      </c>
      <c r="E9" s="282">
        <v>3.5000000000000003E-2</v>
      </c>
      <c r="F9" s="275"/>
      <c r="G9" s="275"/>
      <c r="H9" s="275"/>
      <c r="I9" s="291">
        <f>+E9*(1+I7+I8)</f>
        <v>332220.03500000003</v>
      </c>
      <c r="J9" s="283">
        <f>+I9/$I$10</f>
        <v>3.3816428562921538E-2</v>
      </c>
      <c r="K9" s="324">
        <f>+I9/'Method #7b'!$E$25</f>
        <v>0.49144975591715984</v>
      </c>
      <c r="L9" s="275"/>
    </row>
    <row r="10" spans="1:12" s="276" customFormat="1" ht="14.7" thickBot="1" x14ac:dyDescent="0.55000000000000004">
      <c r="A10" s="273"/>
      <c r="B10" t="s">
        <v>231</v>
      </c>
      <c r="E10" s="275"/>
      <c r="F10" s="275"/>
      <c r="G10" s="275"/>
      <c r="H10" s="275"/>
      <c r="I10" s="292">
        <f>SUM(I7:I9)</f>
        <v>9824220.0350000001</v>
      </c>
      <c r="J10" s="284">
        <f>+I10/$I$10</f>
        <v>1</v>
      </c>
      <c r="K10" s="325">
        <f>+I10/'Method #7b'!$E$25</f>
        <v>14.532869874260355</v>
      </c>
      <c r="L10" s="275"/>
    </row>
    <row r="11" spans="1:12" s="276" customFormat="1" x14ac:dyDescent="0.5">
      <c r="A11" s="273"/>
      <c r="B11"/>
      <c r="E11" s="275"/>
      <c r="F11" s="275"/>
      <c r="G11" s="275"/>
      <c r="H11" s="275"/>
      <c r="I11" s="275"/>
      <c r="J11" s="275"/>
      <c r="K11" s="275"/>
      <c r="L11" s="275"/>
    </row>
    <row r="12" spans="1:12" s="276" customFormat="1" ht="39" thickBot="1" x14ac:dyDescent="0.55000000000000004">
      <c r="A12" s="273"/>
      <c r="B12" s="316" t="s">
        <v>221</v>
      </c>
      <c r="C12" s="7"/>
      <c r="D12" s="7"/>
      <c r="E12" s="315" t="s">
        <v>233</v>
      </c>
      <c r="F12" s="277" t="s">
        <v>223</v>
      </c>
      <c r="G12" s="277" t="s">
        <v>224</v>
      </c>
      <c r="H12" s="281" t="s">
        <v>225</v>
      </c>
      <c r="I12" s="281" t="s">
        <v>226</v>
      </c>
      <c r="J12" s="166" t="s">
        <v>222</v>
      </c>
      <c r="K12" s="275"/>
      <c r="L12" s="275"/>
    </row>
    <row r="13" spans="1:12" s="276" customFormat="1" x14ac:dyDescent="0.5">
      <c r="A13" s="273"/>
      <c r="B13" t="s">
        <v>228</v>
      </c>
      <c r="E13" s="319">
        <v>3.5</v>
      </c>
      <c r="F13" s="175">
        <v>0.05</v>
      </c>
      <c r="G13" s="286">
        <f>+F13*(1-'Method #6'!$D$13)</f>
        <v>3.2000000000000001E-2</v>
      </c>
      <c r="H13" s="288">
        <f>+J13*G13</f>
        <v>7.7066677792503252E-3</v>
      </c>
      <c r="I13" s="291">
        <f>ROUND(+E13*'Method #7b'!E25,0)</f>
        <v>2366000</v>
      </c>
      <c r="J13" s="283">
        <f>+I13/$I$17</f>
        <v>0.24083336810157266</v>
      </c>
      <c r="K13" s="275"/>
      <c r="L13" s="275"/>
    </row>
    <row r="14" spans="1:12" s="276" customFormat="1" x14ac:dyDescent="0.5">
      <c r="A14" s="273"/>
      <c r="B14" t="s">
        <v>229</v>
      </c>
      <c r="E14" s="320">
        <v>2.5</v>
      </c>
      <c r="F14" s="175">
        <v>0.08</v>
      </c>
      <c r="G14" s="286">
        <f>+F14*(1-'Method #6'!$D$13)</f>
        <v>5.1200000000000002E-2</v>
      </c>
      <c r="H14" s="288">
        <f>+J14*G14</f>
        <v>8.8076203191432296E-3</v>
      </c>
      <c r="I14" s="317">
        <f>+E14*'Method #7b'!E25</f>
        <v>1690000</v>
      </c>
      <c r="J14" s="318">
        <f>+I14/$I$17</f>
        <v>0.17202383435826618</v>
      </c>
      <c r="K14" s="275"/>
      <c r="L14" s="275"/>
    </row>
    <row r="15" spans="1:12" s="276" customFormat="1" x14ac:dyDescent="0.5">
      <c r="A15" s="273"/>
      <c r="B15" t="s">
        <v>250</v>
      </c>
      <c r="E15" s="321">
        <f>+I15/'Method #7b'!E25</f>
        <v>6</v>
      </c>
      <c r="F15" s="175"/>
      <c r="G15" s="286"/>
      <c r="H15" s="288"/>
      <c r="I15" s="291">
        <f>+I14+I13</f>
        <v>4056000</v>
      </c>
      <c r="J15" s="318">
        <f>+I15/$I$17</f>
        <v>0.41285720245983881</v>
      </c>
      <c r="K15" s="275"/>
      <c r="L15" s="275"/>
    </row>
    <row r="16" spans="1:12" s="276" customFormat="1" x14ac:dyDescent="0.5">
      <c r="A16" s="273"/>
      <c r="B16" t="s">
        <v>230</v>
      </c>
      <c r="E16" s="322">
        <f>+I16/'Method #7b'!E25</f>
        <v>8.5328698742603546</v>
      </c>
      <c r="F16" s="285">
        <f>+'Method #6'!I40</f>
        <v>0.10169999999999998</v>
      </c>
      <c r="G16" s="287">
        <f>+F16</f>
        <v>0.10169999999999998</v>
      </c>
      <c r="H16" s="288">
        <f>+J16*G16</f>
        <v>5.9712422509834384E-2</v>
      </c>
      <c r="I16" s="291">
        <f>+I17-I14-I13</f>
        <v>5768220.0350000001</v>
      </c>
      <c r="J16" s="283">
        <f>+I16/$I$17</f>
        <v>0.58714279754016119</v>
      </c>
      <c r="K16" s="275"/>
      <c r="L16" s="275"/>
    </row>
    <row r="17" spans="1:13" s="276" customFormat="1" ht="14.7" thickBot="1" x14ac:dyDescent="0.55000000000000004">
      <c r="A17" s="273"/>
      <c r="B17" t="s">
        <v>232</v>
      </c>
      <c r="E17" s="323">
        <f>+I17/'Method #7b'!E25</f>
        <v>14.532869874260355</v>
      </c>
      <c r="F17" s="275"/>
      <c r="G17" s="275"/>
      <c r="H17" s="289">
        <f>SUM(H13:H16)</f>
        <v>7.6226710608227943E-2</v>
      </c>
      <c r="I17" s="292">
        <f>+I10</f>
        <v>9824220.0350000001</v>
      </c>
      <c r="J17" s="284">
        <f>+I17/$I$17</f>
        <v>1</v>
      </c>
      <c r="K17" s="275"/>
      <c r="L17" s="275"/>
    </row>
    <row r="18" spans="1:13" s="276" customFormat="1" ht="14.7" thickBot="1" x14ac:dyDescent="0.55000000000000004">
      <c r="A18" s="273"/>
      <c r="B18"/>
      <c r="C18" s="275"/>
      <c r="D18" s="275"/>
      <c r="E18" s="275"/>
      <c r="F18" s="275"/>
      <c r="G18" s="275"/>
      <c r="H18" s="275"/>
      <c r="I18" s="275"/>
      <c r="J18" s="275"/>
      <c r="K18" s="275"/>
      <c r="L18" s="275"/>
    </row>
    <row r="19" spans="1:13" s="276" customFormat="1" ht="14.7" thickBot="1" x14ac:dyDescent="0.55000000000000004">
      <c r="B19" s="216" t="s">
        <v>189</v>
      </c>
      <c r="C19" s="217"/>
      <c r="D19" s="218"/>
      <c r="E19"/>
      <c r="H19" s="275"/>
      <c r="I19" s="275"/>
      <c r="J19" s="275"/>
      <c r="K19" s="275"/>
      <c r="L19" s="275"/>
    </row>
    <row r="20" spans="1:13" s="276" customFormat="1" x14ac:dyDescent="0.5">
      <c r="B20" s="222" t="s">
        <v>190</v>
      </c>
      <c r="C20" s="223"/>
      <c r="D20" s="224">
        <f>+'Method #2'!C8</f>
        <v>2.2499999999999999E-2</v>
      </c>
      <c r="E20"/>
    </row>
    <row r="21" spans="1:13" s="276" customFormat="1" x14ac:dyDescent="0.5">
      <c r="B21" s="222" t="s">
        <v>193</v>
      </c>
      <c r="C21" s="223"/>
      <c r="D21" s="228">
        <v>0.09</v>
      </c>
      <c r="E21"/>
    </row>
    <row r="22" spans="1:13" s="276" customFormat="1" ht="14.7" thickBot="1" x14ac:dyDescent="0.55000000000000004">
      <c r="B22" s="222" t="s">
        <v>196</v>
      </c>
      <c r="C22" s="223"/>
      <c r="D22" s="232">
        <f>+'Method #4'!L17</f>
        <v>0.88</v>
      </c>
      <c r="E22"/>
    </row>
    <row r="23" spans="1:13" s="276" customFormat="1" ht="14.7" thickBot="1" x14ac:dyDescent="0.55000000000000004">
      <c r="B23" s="235" t="s">
        <v>198</v>
      </c>
      <c r="C23" s="236"/>
      <c r="D23" s="237">
        <f>+D20+(D21*D22)</f>
        <v>0.10169999999999998</v>
      </c>
      <c r="E23"/>
      <c r="F23"/>
      <c r="G23"/>
    </row>
    <row r="24" spans="1:13" s="276" customFormat="1" x14ac:dyDescent="0.5">
      <c r="B24"/>
      <c r="C24"/>
      <c r="D24"/>
      <c r="E24"/>
      <c r="F24"/>
      <c r="G24"/>
    </row>
    <row r="25" spans="1:13" s="276" customFormat="1" ht="14.7" thickBot="1" x14ac:dyDescent="0.55000000000000004">
      <c r="A25" s="273"/>
      <c r="B25"/>
      <c r="C25" s="275"/>
      <c r="D25" s="275"/>
      <c r="E25" s="275"/>
      <c r="F25" s="312" t="s">
        <v>249</v>
      </c>
    </row>
    <row r="26" spans="1:13" s="276" customFormat="1" ht="14.7" thickBot="1" x14ac:dyDescent="0.55000000000000004">
      <c r="A26" s="273"/>
      <c r="B26" s="166" t="s">
        <v>240</v>
      </c>
      <c r="C26" s="166" t="s">
        <v>245</v>
      </c>
      <c r="D26" s="47" t="s">
        <v>194</v>
      </c>
      <c r="E26" s="305" t="str">
        <f>+'Method #7b'!E7</f>
        <v>6/30/2019</v>
      </c>
      <c r="F26" s="168">
        <f>+'Method #7b'!F7</f>
        <v>43830</v>
      </c>
      <c r="G26" s="168">
        <f>+'Method #7b'!G7</f>
        <v>44195</v>
      </c>
      <c r="H26" s="168">
        <f>+'Method #7b'!H7</f>
        <v>44561</v>
      </c>
      <c r="I26" s="168">
        <f>+'Method #7b'!I7</f>
        <v>44926</v>
      </c>
      <c r="J26" s="168">
        <f>+'Method #7b'!J7</f>
        <v>45291</v>
      </c>
      <c r="K26" s="168">
        <f>+'Method #7b'!K7</f>
        <v>45656</v>
      </c>
      <c r="L26" s="168">
        <f>+K26+366</f>
        <v>46022</v>
      </c>
      <c r="M26" s="168">
        <f>+L26+365</f>
        <v>46387</v>
      </c>
    </row>
    <row r="27" spans="1:13" s="276" customFormat="1" x14ac:dyDescent="0.5">
      <c r="A27" s="273"/>
      <c r="B27" s="300" t="str">
        <f>+B13</f>
        <v>Bank Loan</v>
      </c>
      <c r="C27" s="301">
        <v>7</v>
      </c>
      <c r="D27" s="287">
        <f>+F13</f>
        <v>0.05</v>
      </c>
      <c r="E27" s="306"/>
    </row>
    <row r="28" spans="1:13" s="276" customFormat="1" x14ac:dyDescent="0.5">
      <c r="A28" s="273"/>
      <c r="B28" t="s">
        <v>241</v>
      </c>
      <c r="C28" s="301"/>
      <c r="D28" s="301"/>
      <c r="E28" s="307">
        <f>+I13</f>
        <v>2366000</v>
      </c>
      <c r="F28" s="280">
        <f t="shared" ref="F28:M28" si="0">+E28-F29</f>
        <v>2366000</v>
      </c>
      <c r="G28" s="280">
        <f t="shared" si="0"/>
        <v>2266000</v>
      </c>
      <c r="H28" s="280">
        <f t="shared" si="0"/>
        <v>2141000</v>
      </c>
      <c r="I28" s="280">
        <f t="shared" si="0"/>
        <v>1991000</v>
      </c>
      <c r="J28" s="280">
        <f t="shared" si="0"/>
        <v>1791000</v>
      </c>
      <c r="K28" s="280">
        <f t="shared" si="0"/>
        <v>1541000</v>
      </c>
      <c r="L28" s="280">
        <f t="shared" si="0"/>
        <v>1191000</v>
      </c>
      <c r="M28" s="280">
        <f t="shared" si="0"/>
        <v>0</v>
      </c>
    </row>
    <row r="29" spans="1:13" s="276" customFormat="1" x14ac:dyDescent="0.5">
      <c r="A29" s="273"/>
      <c r="B29" t="s">
        <v>243</v>
      </c>
      <c r="C29" s="301"/>
      <c r="D29" s="301"/>
      <c r="E29" s="308"/>
      <c r="F29" s="313">
        <v>0</v>
      </c>
      <c r="G29" s="313">
        <v>100000</v>
      </c>
      <c r="H29" s="313">
        <v>125000</v>
      </c>
      <c r="I29" s="313">
        <v>150000</v>
      </c>
      <c r="J29" s="313">
        <v>200000</v>
      </c>
      <c r="K29" s="313">
        <v>250000</v>
      </c>
      <c r="L29" s="313">
        <v>350000</v>
      </c>
      <c r="M29" s="313">
        <f>+L28</f>
        <v>1191000</v>
      </c>
    </row>
    <row r="30" spans="1:13" s="276" customFormat="1" x14ac:dyDescent="0.5">
      <c r="A30" s="273"/>
      <c r="B30" t="s">
        <v>244</v>
      </c>
      <c r="C30" s="301"/>
      <c r="D30" s="301"/>
      <c r="E30" s="309"/>
      <c r="F30" s="280">
        <f>+E28*($D$27)</f>
        <v>118300</v>
      </c>
      <c r="G30" s="280">
        <f t="shared" ref="G30:M30" si="1">+F28*$D$27</f>
        <v>118300</v>
      </c>
      <c r="H30" s="280">
        <f t="shared" si="1"/>
        <v>113300</v>
      </c>
      <c r="I30" s="280">
        <f t="shared" si="1"/>
        <v>107050</v>
      </c>
      <c r="J30" s="280">
        <f t="shared" si="1"/>
        <v>99550</v>
      </c>
      <c r="K30" s="280">
        <f t="shared" si="1"/>
        <v>89550</v>
      </c>
      <c r="L30" s="280">
        <f t="shared" si="1"/>
        <v>77050</v>
      </c>
      <c r="M30" s="280">
        <f t="shared" si="1"/>
        <v>59550</v>
      </c>
    </row>
    <row r="31" spans="1:13" ht="14.7" thickBot="1" x14ac:dyDescent="0.55000000000000004">
      <c r="A31" s="273"/>
      <c r="B31" t="s">
        <v>242</v>
      </c>
      <c r="C31" s="301"/>
      <c r="D31" s="301"/>
      <c r="E31" s="308"/>
      <c r="F31" s="303">
        <f t="shared" ref="F31:M31" si="2">+F30+F29</f>
        <v>118300</v>
      </c>
      <c r="G31" s="303">
        <f t="shared" si="2"/>
        <v>218300</v>
      </c>
      <c r="H31" s="303">
        <f t="shared" si="2"/>
        <v>238300</v>
      </c>
      <c r="I31" s="303">
        <f t="shared" si="2"/>
        <v>257050</v>
      </c>
      <c r="J31" s="303">
        <f t="shared" si="2"/>
        <v>299550</v>
      </c>
      <c r="K31" s="303">
        <f t="shared" si="2"/>
        <v>339550</v>
      </c>
      <c r="L31" s="303">
        <f t="shared" si="2"/>
        <v>427050</v>
      </c>
      <c r="M31" s="303">
        <f t="shared" si="2"/>
        <v>1250550</v>
      </c>
    </row>
    <row r="32" spans="1:13" x14ac:dyDescent="0.5">
      <c r="A32" s="273"/>
      <c r="C32" s="301"/>
      <c r="D32" s="301"/>
      <c r="E32" s="308"/>
      <c r="F32" s="280"/>
      <c r="G32" s="280"/>
      <c r="H32" s="280"/>
      <c r="I32" s="280"/>
      <c r="J32" s="280"/>
      <c r="K32" s="280"/>
      <c r="L32" s="280"/>
      <c r="M32" s="280"/>
    </row>
    <row r="33" spans="1:13" x14ac:dyDescent="0.5">
      <c r="A33" s="273"/>
      <c r="B33" s="300" t="str">
        <f>+B14</f>
        <v>Corporate Bonds</v>
      </c>
      <c r="C33" s="301">
        <v>10</v>
      </c>
      <c r="D33" s="287">
        <f>+F14</f>
        <v>0.08</v>
      </c>
      <c r="E33" s="306"/>
      <c r="F33" s="276"/>
      <c r="G33" s="276"/>
      <c r="H33" s="276"/>
      <c r="I33" s="276"/>
      <c r="J33" s="276"/>
      <c r="K33" s="276"/>
      <c r="L33" s="276"/>
      <c r="M33" s="276"/>
    </row>
    <row r="34" spans="1:13" x14ac:dyDescent="0.5">
      <c r="A34" s="273"/>
      <c r="B34" t="s">
        <v>241</v>
      </c>
      <c r="C34" s="301"/>
      <c r="D34" s="301"/>
      <c r="E34" s="307">
        <f>+I14</f>
        <v>1690000</v>
      </c>
      <c r="F34" s="280">
        <f t="shared" ref="F34:M34" si="3">+E34-F35</f>
        <v>1690000</v>
      </c>
      <c r="G34" s="280">
        <f t="shared" si="3"/>
        <v>1690000</v>
      </c>
      <c r="H34" s="280">
        <f t="shared" si="3"/>
        <v>1690000</v>
      </c>
      <c r="I34" s="280">
        <f t="shared" si="3"/>
        <v>1690000</v>
      </c>
      <c r="J34" s="280">
        <f t="shared" si="3"/>
        <v>1690000</v>
      </c>
      <c r="K34" s="280">
        <f t="shared" si="3"/>
        <v>1690000</v>
      </c>
      <c r="L34" s="280">
        <f t="shared" si="3"/>
        <v>1690000</v>
      </c>
      <c r="M34" s="280">
        <f t="shared" si="3"/>
        <v>1690000</v>
      </c>
    </row>
    <row r="35" spans="1:13" x14ac:dyDescent="0.5">
      <c r="A35" s="273"/>
      <c r="B35" t="s">
        <v>243</v>
      </c>
      <c r="C35" s="301"/>
      <c r="D35" s="301"/>
      <c r="E35" s="308"/>
      <c r="F35" s="280">
        <v>0</v>
      </c>
      <c r="G35" s="280">
        <v>0</v>
      </c>
      <c r="H35" s="280">
        <v>0</v>
      </c>
      <c r="I35" s="280">
        <v>0</v>
      </c>
      <c r="J35" s="280">
        <v>0</v>
      </c>
      <c r="K35" s="280">
        <v>0</v>
      </c>
      <c r="L35" s="280">
        <v>0</v>
      </c>
      <c r="M35" s="280">
        <v>0</v>
      </c>
    </row>
    <row r="36" spans="1:13" x14ac:dyDescent="0.5">
      <c r="A36" s="273"/>
      <c r="B36" t="s">
        <v>244</v>
      </c>
      <c r="C36" s="301"/>
      <c r="D36" s="301"/>
      <c r="E36" s="309"/>
      <c r="F36" s="280">
        <f>+E34*D33</f>
        <v>135200</v>
      </c>
      <c r="G36" s="280">
        <f t="shared" ref="G36:M36" si="4">+F34*$D$33</f>
        <v>135200</v>
      </c>
      <c r="H36" s="280">
        <f t="shared" si="4"/>
        <v>135200</v>
      </c>
      <c r="I36" s="280">
        <f t="shared" si="4"/>
        <v>135200</v>
      </c>
      <c r="J36" s="280">
        <f t="shared" si="4"/>
        <v>135200</v>
      </c>
      <c r="K36" s="280">
        <f t="shared" si="4"/>
        <v>135200</v>
      </c>
      <c r="L36" s="280">
        <f t="shared" si="4"/>
        <v>135200</v>
      </c>
      <c r="M36" s="280">
        <f t="shared" si="4"/>
        <v>135200</v>
      </c>
    </row>
    <row r="37" spans="1:13" ht="14.7" thickBot="1" x14ac:dyDescent="0.55000000000000004">
      <c r="A37" s="273"/>
      <c r="B37" t="s">
        <v>242</v>
      </c>
      <c r="C37" s="301"/>
      <c r="D37" s="301"/>
      <c r="E37" s="308"/>
      <c r="F37" s="304">
        <f t="shared" ref="F37:M37" si="5">+F36+F35</f>
        <v>135200</v>
      </c>
      <c r="G37" s="304">
        <f t="shared" si="5"/>
        <v>135200</v>
      </c>
      <c r="H37" s="304">
        <f t="shared" si="5"/>
        <v>135200</v>
      </c>
      <c r="I37" s="304">
        <f t="shared" si="5"/>
        <v>135200</v>
      </c>
      <c r="J37" s="304">
        <f t="shared" si="5"/>
        <v>135200</v>
      </c>
      <c r="K37" s="304">
        <f t="shared" si="5"/>
        <v>135200</v>
      </c>
      <c r="L37" s="304">
        <f t="shared" si="5"/>
        <v>135200</v>
      </c>
      <c r="M37" s="304">
        <f t="shared" si="5"/>
        <v>135200</v>
      </c>
    </row>
    <row r="38" spans="1:13" x14ac:dyDescent="0.5">
      <c r="A38" s="273"/>
      <c r="C38" s="275"/>
      <c r="D38" s="275"/>
      <c r="E38" s="275"/>
      <c r="F38" s="275"/>
      <c r="G38" s="275"/>
      <c r="H38" s="275"/>
      <c r="I38" s="275"/>
      <c r="J38" s="275"/>
      <c r="K38" s="275"/>
      <c r="L38" s="275"/>
      <c r="M38" s="275"/>
    </row>
    <row r="39" spans="1:13" x14ac:dyDescent="0.5">
      <c r="A39" s="273"/>
      <c r="B39" t="s">
        <v>246</v>
      </c>
      <c r="C39" s="275"/>
      <c r="D39" s="275"/>
      <c r="E39" s="275"/>
      <c r="F39" s="302">
        <f t="shared" ref="F39" si="6">+F37+F31</f>
        <v>253500</v>
      </c>
      <c r="G39" s="302">
        <f t="shared" ref="G39:M39" si="7">+G37+G31</f>
        <v>353500</v>
      </c>
      <c r="H39" s="302">
        <f t="shared" si="7"/>
        <v>373500</v>
      </c>
      <c r="I39" s="302">
        <f t="shared" si="7"/>
        <v>392250</v>
      </c>
      <c r="J39" s="302">
        <f t="shared" si="7"/>
        <v>434750</v>
      </c>
      <c r="K39" s="302">
        <f t="shared" si="7"/>
        <v>474750</v>
      </c>
      <c r="L39" s="302">
        <f t="shared" si="7"/>
        <v>562250</v>
      </c>
      <c r="M39" s="302">
        <f t="shared" si="7"/>
        <v>1385750</v>
      </c>
    </row>
    <row r="40" spans="1:13" x14ac:dyDescent="0.5">
      <c r="A40" s="273"/>
      <c r="B40" t="s">
        <v>247</v>
      </c>
      <c r="C40" s="275"/>
      <c r="D40" s="275"/>
      <c r="E40" s="275"/>
      <c r="F40" s="302">
        <f t="shared" ref="F40" si="8">+F34+F28</f>
        <v>4056000</v>
      </c>
      <c r="G40" s="302">
        <f t="shared" ref="G40:M40" si="9">+G34+G28</f>
        <v>3956000</v>
      </c>
      <c r="H40" s="302">
        <f t="shared" si="9"/>
        <v>3831000</v>
      </c>
      <c r="I40" s="302">
        <f t="shared" si="9"/>
        <v>3681000</v>
      </c>
      <c r="J40" s="302">
        <f t="shared" si="9"/>
        <v>3481000</v>
      </c>
      <c r="K40" s="302">
        <f t="shared" si="9"/>
        <v>3231000</v>
      </c>
      <c r="L40" s="302">
        <f t="shared" si="9"/>
        <v>2881000</v>
      </c>
      <c r="M40" s="302">
        <f t="shared" si="9"/>
        <v>1690000</v>
      </c>
    </row>
    <row r="42" spans="1:13" x14ac:dyDescent="0.5">
      <c r="L42" s="231"/>
      <c r="M42" s="231" t="s">
        <v>255</v>
      </c>
    </row>
  </sheetData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CF2D64-880B-4E8D-AC5E-4A6177DF0CD7}">
  <dimension ref="A1:M53"/>
  <sheetViews>
    <sheetView showGridLines="0" tabSelected="1" workbookViewId="0">
      <selection activeCell="N22" sqref="N22"/>
    </sheetView>
  </sheetViews>
  <sheetFormatPr defaultRowHeight="14.35" x14ac:dyDescent="0.5"/>
  <cols>
    <col min="1" max="1" width="8.8203125" customWidth="1"/>
    <col min="2" max="2" width="37.05859375" customWidth="1"/>
    <col min="3" max="3" width="12.64453125" customWidth="1"/>
    <col min="4" max="4" width="12.703125" customWidth="1"/>
    <col min="5" max="5" width="11.5859375" customWidth="1"/>
    <col min="6" max="10" width="11.64453125" customWidth="1"/>
    <col min="11" max="11" width="1.9375" customWidth="1"/>
  </cols>
  <sheetData>
    <row r="1" spans="1:13" ht="20" x14ac:dyDescent="0.6">
      <c r="A1" s="22"/>
      <c r="B1" s="23" t="s">
        <v>7</v>
      </c>
      <c r="C1" s="24"/>
      <c r="J1" s="4"/>
    </row>
    <row r="2" spans="1:13" ht="10.5" customHeight="1" x14ac:dyDescent="0.5">
      <c r="A2" s="22"/>
      <c r="B2" s="25" t="s">
        <v>8</v>
      </c>
      <c r="C2" s="24"/>
      <c r="J2" s="4"/>
    </row>
    <row r="3" spans="1:13" s="276" customFormat="1" x14ac:dyDescent="0.5">
      <c r="A3" s="273"/>
      <c r="B3"/>
      <c r="C3" s="275"/>
      <c r="D3" s="275"/>
      <c r="E3" s="275"/>
      <c r="F3" s="275"/>
      <c r="G3" s="275"/>
      <c r="H3" s="275"/>
      <c r="I3" s="275"/>
      <c r="J3" s="275"/>
      <c r="K3" s="275"/>
      <c r="L3" s="275"/>
    </row>
    <row r="4" spans="1:13" ht="15.35" x14ac:dyDescent="0.5">
      <c r="A4" s="22"/>
      <c r="B4" s="143" t="s">
        <v>212</v>
      </c>
      <c r="C4" s="46"/>
      <c r="D4" s="46"/>
      <c r="E4" s="46"/>
      <c r="F4" s="46"/>
      <c r="G4" s="46"/>
      <c r="H4" s="46"/>
      <c r="I4" s="46"/>
      <c r="J4" s="46"/>
      <c r="K4" s="46"/>
      <c r="L4" s="46"/>
    </row>
    <row r="5" spans="1:13" ht="11.5" customHeight="1" x14ac:dyDescent="0.6">
      <c r="A5" s="22"/>
      <c r="B5" s="23"/>
      <c r="C5" s="37"/>
      <c r="D5" s="37"/>
      <c r="E5" s="162" t="s">
        <v>156</v>
      </c>
      <c r="F5" s="163">
        <v>1</v>
      </c>
      <c r="G5" s="163">
        <v>2</v>
      </c>
      <c r="H5" s="163">
        <v>3</v>
      </c>
      <c r="I5" s="163">
        <v>4</v>
      </c>
      <c r="J5" s="163">
        <v>5</v>
      </c>
      <c r="K5" s="163">
        <v>6</v>
      </c>
    </row>
    <row r="6" spans="1:13" x14ac:dyDescent="0.5">
      <c r="A6" s="22"/>
      <c r="B6" t="s">
        <v>157</v>
      </c>
      <c r="C6" s="164" t="s">
        <v>158</v>
      </c>
      <c r="D6" s="165" t="s">
        <v>159</v>
      </c>
      <c r="E6" s="8" t="s">
        <v>160</v>
      </c>
      <c r="F6" s="311" t="s">
        <v>249</v>
      </c>
      <c r="J6" s="8" t="s">
        <v>0</v>
      </c>
    </row>
    <row r="7" spans="1:13" ht="14.7" thickBot="1" x14ac:dyDescent="0.55000000000000004">
      <c r="A7" s="22"/>
      <c r="C7" s="166" t="s">
        <v>161</v>
      </c>
      <c r="D7" s="47" t="s">
        <v>161</v>
      </c>
      <c r="E7" s="167" t="str">
        <f>+'Method #6'!E7</f>
        <v>6/30/2019</v>
      </c>
      <c r="F7" s="168">
        <f>+E7+184</f>
        <v>43830</v>
      </c>
      <c r="G7" s="168">
        <f>+F7+365</f>
        <v>44195</v>
      </c>
      <c r="H7" s="168">
        <f>+G7+366</f>
        <v>44561</v>
      </c>
      <c r="I7" s="168">
        <f>+H7+365</f>
        <v>44926</v>
      </c>
      <c r="J7" s="169">
        <f>+I7+365</f>
        <v>45291</v>
      </c>
      <c r="K7" s="168">
        <f>+J7+365</f>
        <v>45656</v>
      </c>
    </row>
    <row r="8" spans="1:13" x14ac:dyDescent="0.5">
      <c r="A8" s="22"/>
      <c r="B8" t="s">
        <v>1</v>
      </c>
      <c r="C8" s="170"/>
      <c r="D8" s="171"/>
      <c r="E8" s="172">
        <f>+'Method #6'!E8</f>
        <v>2535000</v>
      </c>
      <c r="F8" s="10">
        <f t="shared" ref="F8:K8" si="0">+E8*(1+F9)</f>
        <v>2788500</v>
      </c>
      <c r="G8" s="10">
        <f t="shared" si="0"/>
        <v>3067350.0000000005</v>
      </c>
      <c r="H8" s="10">
        <f t="shared" si="0"/>
        <v>3220717.5000000005</v>
      </c>
      <c r="I8" s="10">
        <f t="shared" si="0"/>
        <v>3381753.3750000005</v>
      </c>
      <c r="J8" s="11">
        <f t="shared" si="0"/>
        <v>3550841.0437500007</v>
      </c>
      <c r="K8" s="173">
        <f t="shared" si="0"/>
        <v>3728383.0959375007</v>
      </c>
    </row>
    <row r="9" spans="1:13" x14ac:dyDescent="0.5">
      <c r="A9" s="22"/>
      <c r="B9" t="s">
        <v>162</v>
      </c>
      <c r="C9" s="174"/>
      <c r="D9" s="175"/>
      <c r="E9" s="176"/>
      <c r="F9" s="177">
        <v>0.1</v>
      </c>
      <c r="G9" s="177">
        <v>0.1</v>
      </c>
      <c r="H9" s="177">
        <v>0.05</v>
      </c>
      <c r="I9" s="177">
        <v>0.05</v>
      </c>
      <c r="J9" s="178">
        <f>+I9</f>
        <v>0.05</v>
      </c>
      <c r="K9" s="179">
        <v>0.05</v>
      </c>
      <c r="L9" s="180" t="s">
        <v>163</v>
      </c>
    </row>
    <row r="10" spans="1:13" x14ac:dyDescent="0.5">
      <c r="A10" s="22"/>
      <c r="B10" t="s">
        <v>164</v>
      </c>
      <c r="C10" s="174">
        <f>+'Method #6'!C10</f>
        <v>0.60631163708086788</v>
      </c>
      <c r="D10" s="175">
        <v>0.57999999999999996</v>
      </c>
      <c r="E10" s="172">
        <f>+'Method #6'!E10</f>
        <v>-1537000</v>
      </c>
      <c r="F10" s="10">
        <f t="shared" ref="F10:K10" si="1">-$D$10*F8</f>
        <v>-1617330</v>
      </c>
      <c r="G10" s="10">
        <f t="shared" si="1"/>
        <v>-1779063.0000000002</v>
      </c>
      <c r="H10" s="10">
        <f t="shared" si="1"/>
        <v>-1868016.1500000001</v>
      </c>
      <c r="I10" s="10">
        <f t="shared" si="1"/>
        <v>-1961416.9575</v>
      </c>
      <c r="J10" s="11">
        <f t="shared" si="1"/>
        <v>-2059487.8053750002</v>
      </c>
      <c r="K10" s="173">
        <f t="shared" si="1"/>
        <v>-2162462.1956437505</v>
      </c>
    </row>
    <row r="11" spans="1:13" x14ac:dyDescent="0.5">
      <c r="A11" s="22"/>
      <c r="B11" t="s">
        <v>165</v>
      </c>
      <c r="C11" s="174">
        <f>+'Method #6'!C11</f>
        <v>0.28678500986193295</v>
      </c>
      <c r="D11" s="175">
        <v>0.25</v>
      </c>
      <c r="E11" s="181">
        <f>+'Method #6'!E11</f>
        <v>-727000</v>
      </c>
      <c r="F11" s="12">
        <f t="shared" ref="F11:K11" si="2">-$D$11*F8</f>
        <v>-697125</v>
      </c>
      <c r="G11" s="12">
        <f t="shared" si="2"/>
        <v>-766837.50000000012</v>
      </c>
      <c r="H11" s="12">
        <f t="shared" si="2"/>
        <v>-805179.37500000012</v>
      </c>
      <c r="I11" s="12">
        <f t="shared" si="2"/>
        <v>-845438.34375000012</v>
      </c>
      <c r="J11" s="13">
        <f t="shared" si="2"/>
        <v>-887710.26093750016</v>
      </c>
      <c r="K11" s="182">
        <f t="shared" si="2"/>
        <v>-932095.77398437518</v>
      </c>
    </row>
    <row r="12" spans="1:13" x14ac:dyDescent="0.5">
      <c r="A12" s="22"/>
      <c r="B12" t="s">
        <v>166</v>
      </c>
      <c r="C12" s="183"/>
      <c r="D12" s="184"/>
      <c r="E12" s="176">
        <f>+(112+78+67+57)*1000</f>
        <v>314000</v>
      </c>
      <c r="F12" s="10">
        <f t="shared" ref="F12:K12" si="3">+F8+F10+F11</f>
        <v>474045</v>
      </c>
      <c r="G12" s="10">
        <f t="shared" si="3"/>
        <v>521449.50000000012</v>
      </c>
      <c r="H12" s="10">
        <f t="shared" si="3"/>
        <v>547521.97500000021</v>
      </c>
      <c r="I12" s="10">
        <f t="shared" si="3"/>
        <v>574898.07375000033</v>
      </c>
      <c r="J12" s="11">
        <f t="shared" si="3"/>
        <v>603642.97743750026</v>
      </c>
      <c r="K12" s="173">
        <f t="shared" si="3"/>
        <v>633825.12630937505</v>
      </c>
      <c r="M12" s="140"/>
    </row>
    <row r="13" spans="1:13" x14ac:dyDescent="0.5">
      <c r="A13" s="22"/>
      <c r="B13" t="s">
        <v>3</v>
      </c>
      <c r="C13" s="183"/>
      <c r="D13" s="184"/>
      <c r="E13" s="294"/>
      <c r="F13" s="12">
        <f>-'Method #7a'!F30-'Method #7a'!F36</f>
        <v>-253500</v>
      </c>
      <c r="G13" s="12">
        <f>-'Method #7a'!G30-'Method #7a'!G36</f>
        <v>-253500</v>
      </c>
      <c r="H13" s="12">
        <f>-'Method #7a'!H30-'Method #7a'!H36</f>
        <v>-248500</v>
      </c>
      <c r="I13" s="12">
        <f>-'Method #7a'!I30-'Method #7a'!I36</f>
        <v>-242250</v>
      </c>
      <c r="J13" s="13">
        <f>-'Method #7a'!J30-'Method #7a'!J36</f>
        <v>-234750</v>
      </c>
      <c r="K13" s="182">
        <f>-'Method #7a'!K30-'Method #7a'!K36</f>
        <v>-224750</v>
      </c>
      <c r="M13" s="140"/>
    </row>
    <row r="14" spans="1:13" x14ac:dyDescent="0.5">
      <c r="A14" s="22"/>
      <c r="B14" t="s">
        <v>235</v>
      </c>
      <c r="C14" s="183"/>
      <c r="D14" s="184"/>
      <c r="E14" s="176">
        <f t="shared" ref="E14:K14" si="4">+E12+E13</f>
        <v>314000</v>
      </c>
      <c r="F14" s="10">
        <f t="shared" si="4"/>
        <v>220545</v>
      </c>
      <c r="G14" s="10">
        <f t="shared" si="4"/>
        <v>267949.50000000012</v>
      </c>
      <c r="H14" s="10">
        <f t="shared" si="4"/>
        <v>299021.97500000021</v>
      </c>
      <c r="I14" s="10">
        <f t="shared" si="4"/>
        <v>332648.07375000033</v>
      </c>
      <c r="J14" s="11">
        <f t="shared" si="4"/>
        <v>368892.97743750026</v>
      </c>
      <c r="K14" s="173">
        <f t="shared" si="4"/>
        <v>409075.12630937505</v>
      </c>
      <c r="M14" s="140"/>
    </row>
    <row r="15" spans="1:13" x14ac:dyDescent="0.5">
      <c r="A15" s="22"/>
      <c r="B15" t="s">
        <v>167</v>
      </c>
      <c r="C15" s="174"/>
      <c r="D15" s="175">
        <v>0.36</v>
      </c>
      <c r="E15" s="294">
        <v>0</v>
      </c>
      <c r="F15" s="12">
        <f t="shared" ref="F15:K15" si="5">-$D$15*F14</f>
        <v>-79396.2</v>
      </c>
      <c r="G15" s="12">
        <f t="shared" si="5"/>
        <v>-96461.820000000036</v>
      </c>
      <c r="H15" s="12">
        <f t="shared" si="5"/>
        <v>-107647.91100000007</v>
      </c>
      <c r="I15" s="12">
        <f t="shared" si="5"/>
        <v>-119753.30655000011</v>
      </c>
      <c r="J15" s="13">
        <f t="shared" si="5"/>
        <v>-132801.47187750009</v>
      </c>
      <c r="K15" s="182">
        <f t="shared" si="5"/>
        <v>-147267.04547137502</v>
      </c>
    </row>
    <row r="16" spans="1:13" x14ac:dyDescent="0.5">
      <c r="A16" s="22"/>
      <c r="B16" t="s">
        <v>236</v>
      </c>
      <c r="C16" s="174"/>
      <c r="D16" s="175"/>
      <c r="E16" s="176">
        <f t="shared" ref="E16:K16" si="6">+E14+E15</f>
        <v>314000</v>
      </c>
      <c r="F16" s="10">
        <f t="shared" si="6"/>
        <v>141148.79999999999</v>
      </c>
      <c r="G16" s="10">
        <f t="shared" si="6"/>
        <v>171487.68000000008</v>
      </c>
      <c r="H16" s="10">
        <f t="shared" si="6"/>
        <v>191374.06400000013</v>
      </c>
      <c r="I16" s="10">
        <f t="shared" si="6"/>
        <v>212894.76720000023</v>
      </c>
      <c r="J16" s="11">
        <f t="shared" si="6"/>
        <v>236091.50556000017</v>
      </c>
      <c r="K16" s="173">
        <f t="shared" si="6"/>
        <v>261808.08083800002</v>
      </c>
    </row>
    <row r="17" spans="1:11" x14ac:dyDescent="0.5">
      <c r="A17" s="22"/>
      <c r="B17" t="s">
        <v>168</v>
      </c>
      <c r="C17" s="174">
        <f>+'Method #6'!C14</f>
        <v>0.14280078895463511</v>
      </c>
      <c r="D17" s="175">
        <v>0.1</v>
      </c>
      <c r="E17" s="172">
        <f>+'Method #6'!E14</f>
        <v>362000</v>
      </c>
      <c r="F17" s="10">
        <f t="shared" ref="F17:K17" si="7">+$D$17*F8</f>
        <v>278850</v>
      </c>
      <c r="G17" s="10">
        <f t="shared" si="7"/>
        <v>306735.00000000006</v>
      </c>
      <c r="H17" s="10">
        <f t="shared" si="7"/>
        <v>322071.75000000006</v>
      </c>
      <c r="I17" s="10">
        <f t="shared" si="7"/>
        <v>338175.33750000008</v>
      </c>
      <c r="J17" s="11">
        <f t="shared" si="7"/>
        <v>355084.10437500011</v>
      </c>
      <c r="K17" s="173">
        <f t="shared" si="7"/>
        <v>372838.30959375011</v>
      </c>
    </row>
    <row r="18" spans="1:11" x14ac:dyDescent="0.5">
      <c r="A18" s="22"/>
      <c r="B18" t="s">
        <v>237</v>
      </c>
      <c r="C18" s="174"/>
      <c r="D18" s="310" t="s">
        <v>248</v>
      </c>
      <c r="E18" s="172"/>
      <c r="F18" s="10">
        <f>+'Method #7a'!$I$9/7</f>
        <v>47460.005000000005</v>
      </c>
      <c r="G18" s="10">
        <f>+'Method #7a'!$I$9/7</f>
        <v>47460.005000000005</v>
      </c>
      <c r="H18" s="10">
        <f>+'Method #7a'!$I$9/7</f>
        <v>47460.005000000005</v>
      </c>
      <c r="I18" s="10">
        <f>+'Method #7a'!$I$9/7</f>
        <v>47460.005000000005</v>
      </c>
      <c r="J18" s="11">
        <f>+'Method #7a'!I9-SUM(F18:I18)</f>
        <v>142380.01500000001</v>
      </c>
      <c r="K18" s="173"/>
    </row>
    <row r="19" spans="1:11" x14ac:dyDescent="0.5">
      <c r="A19" s="22"/>
      <c r="B19" s="27" t="s">
        <v>4</v>
      </c>
      <c r="C19" s="174">
        <f>+'Method #6'!C15</f>
        <v>0</v>
      </c>
      <c r="D19" s="175">
        <v>0</v>
      </c>
      <c r="E19" s="172"/>
      <c r="F19" s="10">
        <f t="shared" ref="F19:K19" si="8">-$D$19*F8</f>
        <v>0</v>
      </c>
      <c r="G19" s="10">
        <f t="shared" si="8"/>
        <v>0</v>
      </c>
      <c r="H19" s="10">
        <f t="shared" si="8"/>
        <v>0</v>
      </c>
      <c r="I19" s="10">
        <f t="shared" si="8"/>
        <v>0</v>
      </c>
      <c r="J19" s="11">
        <f t="shared" si="8"/>
        <v>0</v>
      </c>
      <c r="K19" s="173">
        <f t="shared" si="8"/>
        <v>0</v>
      </c>
    </row>
    <row r="20" spans="1:11" x14ac:dyDescent="0.5">
      <c r="A20" s="22"/>
      <c r="B20" t="s">
        <v>169</v>
      </c>
      <c r="C20" s="174">
        <f>+'Method #6'!C16</f>
        <v>0.12702169625246548</v>
      </c>
      <c r="D20" s="175">
        <v>0.1</v>
      </c>
      <c r="E20" s="172">
        <f>+'Method #6'!E16</f>
        <v>-322000</v>
      </c>
      <c r="F20" s="10">
        <f t="shared" ref="F20:K20" si="9">-$D$20*F8</f>
        <v>-278850</v>
      </c>
      <c r="G20" s="10">
        <f t="shared" si="9"/>
        <v>-306735.00000000006</v>
      </c>
      <c r="H20" s="10">
        <f t="shared" si="9"/>
        <v>-322071.75000000006</v>
      </c>
      <c r="I20" s="10">
        <f t="shared" si="9"/>
        <v>-338175.33750000008</v>
      </c>
      <c r="J20" s="11">
        <f t="shared" si="9"/>
        <v>-355084.10437500011</v>
      </c>
      <c r="K20" s="173">
        <f t="shared" si="9"/>
        <v>-372838.30959375011</v>
      </c>
    </row>
    <row r="21" spans="1:11" ht="15" customHeight="1" thickBot="1" x14ac:dyDescent="0.55000000000000004">
      <c r="A21" s="22"/>
      <c r="B21" t="s">
        <v>238</v>
      </c>
      <c r="C21" s="185"/>
      <c r="E21" s="186">
        <f t="shared" ref="E21:K21" si="10">SUM(E16:E20)</f>
        <v>354000</v>
      </c>
      <c r="F21" s="187">
        <f t="shared" si="10"/>
        <v>188608.80499999999</v>
      </c>
      <c r="G21" s="187">
        <f t="shared" si="10"/>
        <v>218947.68500000011</v>
      </c>
      <c r="H21" s="187">
        <f t="shared" si="10"/>
        <v>238834.06900000008</v>
      </c>
      <c r="I21" s="187">
        <f t="shared" si="10"/>
        <v>260354.77220000018</v>
      </c>
      <c r="J21" s="188">
        <f t="shared" si="10"/>
        <v>378471.52056000021</v>
      </c>
      <c r="K21" s="189">
        <f t="shared" si="10"/>
        <v>261808.08083799999</v>
      </c>
    </row>
    <row r="22" spans="1:11" ht="15" customHeight="1" thickTop="1" x14ac:dyDescent="0.5">
      <c r="A22" s="22"/>
      <c r="B22" s="37" t="s">
        <v>239</v>
      </c>
      <c r="C22" s="37"/>
      <c r="D22" s="37"/>
      <c r="E22" s="12"/>
      <c r="F22" s="12">
        <v>0</v>
      </c>
      <c r="G22" s="12">
        <f>+G26-F26</f>
        <v>-100000</v>
      </c>
      <c r="H22" s="12">
        <f>+H26-G26</f>
        <v>-125000</v>
      </c>
      <c r="I22" s="12">
        <f>+I26-H26</f>
        <v>-150000</v>
      </c>
      <c r="J22" s="13">
        <f>+J26-I26</f>
        <v>-200000</v>
      </c>
      <c r="K22" s="182">
        <f>+K26-J26</f>
        <v>-250000</v>
      </c>
    </row>
    <row r="23" spans="1:11" ht="15" customHeight="1" x14ac:dyDescent="0.5">
      <c r="A23" s="22"/>
      <c r="B23" s="293" t="s">
        <v>6</v>
      </c>
      <c r="C23" s="4"/>
      <c r="D23" s="4"/>
      <c r="E23" s="10">
        <f t="shared" ref="E23:K23" si="11">+E21+E22</f>
        <v>354000</v>
      </c>
      <c r="F23" s="10">
        <f t="shared" si="11"/>
        <v>188608.80499999999</v>
      </c>
      <c r="G23" s="10">
        <f t="shared" si="11"/>
        <v>118947.68500000011</v>
      </c>
      <c r="H23" s="10">
        <f t="shared" si="11"/>
        <v>113834.06900000008</v>
      </c>
      <c r="I23" s="10">
        <f t="shared" si="11"/>
        <v>110354.77220000018</v>
      </c>
      <c r="J23" s="11">
        <f t="shared" si="11"/>
        <v>178471.52056000021</v>
      </c>
      <c r="K23" s="173">
        <f t="shared" si="11"/>
        <v>11808.080837999994</v>
      </c>
    </row>
    <row r="24" spans="1:11" ht="15" customHeight="1" x14ac:dyDescent="0.5">
      <c r="A24" s="22"/>
      <c r="B24" s="293"/>
      <c r="C24" s="4"/>
      <c r="D24" s="4"/>
      <c r="E24" s="10"/>
      <c r="F24" s="10"/>
      <c r="G24" s="10"/>
      <c r="H24" s="10"/>
      <c r="I24" s="10"/>
      <c r="J24" s="11"/>
      <c r="K24" s="173"/>
    </row>
    <row r="25" spans="1:11" ht="15" customHeight="1" x14ac:dyDescent="0.5">
      <c r="A25" s="22"/>
      <c r="B25" s="190" t="s">
        <v>2</v>
      </c>
      <c r="C25" s="190"/>
      <c r="D25" s="190"/>
      <c r="E25" s="191">
        <f t="shared" ref="E25:K25" si="12">+E12+E17</f>
        <v>676000</v>
      </c>
      <c r="F25" s="192">
        <f t="shared" si="12"/>
        <v>752895</v>
      </c>
      <c r="G25" s="192">
        <f t="shared" si="12"/>
        <v>828184.50000000023</v>
      </c>
      <c r="H25" s="192">
        <f t="shared" si="12"/>
        <v>869593.72500000033</v>
      </c>
      <c r="I25" s="192">
        <f t="shared" si="12"/>
        <v>913073.41125000035</v>
      </c>
      <c r="J25" s="193">
        <f t="shared" si="12"/>
        <v>958727.08181250037</v>
      </c>
      <c r="K25" s="194">
        <f t="shared" si="12"/>
        <v>1006663.4359031252</v>
      </c>
    </row>
    <row r="26" spans="1:11" ht="12" customHeight="1" x14ac:dyDescent="0.5">
      <c r="A26" s="22"/>
      <c r="B26" s="195" t="s">
        <v>252</v>
      </c>
      <c r="C26" s="195"/>
      <c r="D26" s="195"/>
      <c r="E26" s="196">
        <f>+E46</f>
        <v>1712000</v>
      </c>
      <c r="F26" s="196">
        <f>+'Method #7a'!F40</f>
        <v>4056000</v>
      </c>
      <c r="G26" s="196">
        <f>+'Method #7a'!G40</f>
        <v>3956000</v>
      </c>
      <c r="H26" s="196">
        <f>+'Method #7a'!H40</f>
        <v>3831000</v>
      </c>
      <c r="I26" s="196">
        <f>+'Method #7a'!I40</f>
        <v>3681000</v>
      </c>
      <c r="J26" s="197">
        <f>+'Method #7a'!J40</f>
        <v>3481000</v>
      </c>
      <c r="K26" s="198">
        <f>+'Method #7a'!K40</f>
        <v>3231000</v>
      </c>
    </row>
    <row r="27" spans="1:11" ht="7.5" customHeight="1" x14ac:dyDescent="0.5">
      <c r="A27" s="22"/>
      <c r="E27" s="4"/>
      <c r="F27" s="4"/>
      <c r="G27" s="4"/>
      <c r="H27" s="4"/>
      <c r="I27" s="4"/>
      <c r="J27" s="14"/>
    </row>
    <row r="28" spans="1:11" ht="14.7" thickBot="1" x14ac:dyDescent="0.55000000000000004">
      <c r="A28" s="22"/>
      <c r="B28" s="199" t="s">
        <v>172</v>
      </c>
      <c r="C28" s="200" t="s">
        <v>161</v>
      </c>
      <c r="E28" s="201" t="s">
        <v>173</v>
      </c>
      <c r="F28" s="4"/>
      <c r="G28" s="4"/>
      <c r="H28" s="4"/>
      <c r="I28" s="4"/>
      <c r="J28" s="14"/>
    </row>
    <row r="29" spans="1:11" x14ac:dyDescent="0.5">
      <c r="A29" s="22"/>
      <c r="B29" t="s">
        <v>174</v>
      </c>
      <c r="C29" s="99">
        <f>+'Method #4'!D19</f>
        <v>12.958564706851016</v>
      </c>
      <c r="E29" s="202"/>
      <c r="F29" s="203" t="s">
        <v>175</v>
      </c>
      <c r="G29" s="4"/>
      <c r="H29" s="4"/>
      <c r="I29" s="4"/>
      <c r="J29" s="15">
        <f>+$C$29*J25</f>
        <v>12423726.925877733</v>
      </c>
    </row>
    <row r="30" spans="1:11" x14ac:dyDescent="0.5">
      <c r="A30" s="22"/>
      <c r="B30" t="s">
        <v>176</v>
      </c>
      <c r="C30" s="204">
        <f>+'Method #7a'!H17</f>
        <v>7.6226710608227943E-2</v>
      </c>
      <c r="E30" s="205">
        <f>+C30*0.8</f>
        <v>6.0981368486582359E-2</v>
      </c>
      <c r="F30" s="203" t="s">
        <v>177</v>
      </c>
      <c r="G30" s="4"/>
      <c r="H30" s="4"/>
      <c r="I30" s="4"/>
      <c r="J30" s="11">
        <f>+K21/(C30-E30)</f>
        <v>17172988.231354982</v>
      </c>
    </row>
    <row r="31" spans="1:11" x14ac:dyDescent="0.5">
      <c r="A31" s="22"/>
      <c r="B31" t="s">
        <v>121</v>
      </c>
      <c r="E31" s="206" t="s">
        <v>178</v>
      </c>
      <c r="F31" s="4"/>
      <c r="G31" s="4"/>
      <c r="H31" s="4"/>
      <c r="I31" s="4"/>
      <c r="J31" s="207">
        <f>+(J29+J30)/2</f>
        <v>14798357.578616358</v>
      </c>
    </row>
    <row r="32" spans="1:11" x14ac:dyDescent="0.5">
      <c r="A32" s="22"/>
      <c r="B32" t="s">
        <v>179</v>
      </c>
      <c r="E32" s="18"/>
      <c r="F32" s="4"/>
      <c r="G32" s="4"/>
      <c r="H32" s="4"/>
      <c r="I32" s="4"/>
      <c r="J32" s="15">
        <f>-J26</f>
        <v>-3481000</v>
      </c>
    </row>
    <row r="33" spans="1:10" x14ac:dyDescent="0.5">
      <c r="A33" s="22"/>
      <c r="B33" t="s">
        <v>180</v>
      </c>
      <c r="E33" s="18"/>
      <c r="F33" s="4"/>
      <c r="G33" s="4"/>
      <c r="H33" s="4"/>
      <c r="I33" s="4"/>
      <c r="J33" s="17">
        <v>0</v>
      </c>
    </row>
    <row r="34" spans="1:10" x14ac:dyDescent="0.5">
      <c r="A34" s="22"/>
      <c r="B34" t="s">
        <v>181</v>
      </c>
      <c r="E34" s="4"/>
      <c r="F34" s="4"/>
      <c r="G34" s="4"/>
      <c r="H34" s="4"/>
      <c r="I34" s="4"/>
      <c r="J34" s="15">
        <f>+J32+J31</f>
        <v>11317357.578616358</v>
      </c>
    </row>
    <row r="35" spans="1:10" x14ac:dyDescent="0.5">
      <c r="A35" s="22"/>
      <c r="D35" s="208" t="s">
        <v>182</v>
      </c>
      <c r="E35" s="4"/>
      <c r="F35" s="4"/>
      <c r="G35" s="4"/>
      <c r="H35" s="4"/>
      <c r="I35" s="4"/>
      <c r="J35" s="14"/>
    </row>
    <row r="36" spans="1:10" ht="14.7" thickBot="1" x14ac:dyDescent="0.55000000000000004">
      <c r="A36" s="22"/>
      <c r="B36" s="209" t="s">
        <v>6</v>
      </c>
      <c r="C36" s="210">
        <f>+'Method #7a'!D23</f>
        <v>0.10169999999999998</v>
      </c>
      <c r="D36" s="211"/>
      <c r="E36" s="58"/>
      <c r="F36" s="58">
        <f>+F23</f>
        <v>188608.80499999999</v>
      </c>
      <c r="G36" s="58">
        <f>+G23</f>
        <v>118947.68500000011</v>
      </c>
      <c r="H36" s="58">
        <f>+H23</f>
        <v>113834.06900000008</v>
      </c>
      <c r="I36" s="58">
        <f>+I23</f>
        <v>110354.77220000018</v>
      </c>
      <c r="J36" s="212">
        <f>+J23+J34</f>
        <v>11495829.099176358</v>
      </c>
    </row>
    <row r="37" spans="1:10" ht="14.7" thickTop="1" x14ac:dyDescent="0.5">
      <c r="A37" s="22"/>
      <c r="C37" s="161" t="s">
        <v>183</v>
      </c>
      <c r="D37" s="213">
        <f>1/((1+'Method #7a'!$D$23)^F5)</f>
        <v>0.90768811836253072</v>
      </c>
      <c r="E37" s="214">
        <f>+D37*F36</f>
        <v>171197.97131705546</v>
      </c>
      <c r="F37" s="138"/>
    </row>
    <row r="38" spans="1:10" x14ac:dyDescent="0.5">
      <c r="A38" s="22"/>
      <c r="C38" s="161" t="s">
        <v>184</v>
      </c>
      <c r="D38" s="213">
        <f>1/((1+'Method #7a'!$D$23)^G5)</f>
        <v>0.82389772021651153</v>
      </c>
      <c r="E38" s="214">
        <f>+D38*G36</f>
        <v>98000.726496531846</v>
      </c>
    </row>
    <row r="39" spans="1:10" x14ac:dyDescent="0.5">
      <c r="A39" s="22"/>
      <c r="C39" s="161" t="s">
        <v>185</v>
      </c>
      <c r="D39" s="213">
        <f>1/((1+'Method #7a'!$D$23)^H5)</f>
        <v>0.74784217138650422</v>
      </c>
      <c r="E39" s="214">
        <f>+D39*H36</f>
        <v>85129.917338721207</v>
      </c>
    </row>
    <row r="40" spans="1:10" x14ac:dyDescent="0.5">
      <c r="A40" s="22"/>
      <c r="C40" s="161" t="s">
        <v>186</v>
      </c>
      <c r="D40" s="213">
        <f>1/((1+'Method #7a'!$D$23)^I5)</f>
        <v>0.67880745337796511</v>
      </c>
      <c r="E40" s="214">
        <f>+D40*I36</f>
        <v>74909.641885187579</v>
      </c>
    </row>
    <row r="41" spans="1:10" x14ac:dyDescent="0.5">
      <c r="A41" s="22"/>
      <c r="C41" s="161" t="s">
        <v>187</v>
      </c>
      <c r="D41" s="213">
        <f>1/((1+'Method #7a'!$D$23)^J5)</f>
        <v>0.61614546008710647</v>
      </c>
      <c r="E41" s="214">
        <f>+D41*J36</f>
        <v>7083102.9093947643</v>
      </c>
    </row>
    <row r="42" spans="1:10" ht="14.7" thickBot="1" x14ac:dyDescent="0.55000000000000004">
      <c r="A42" s="22"/>
      <c r="C42" s="161" t="s">
        <v>188</v>
      </c>
      <c r="D42" s="185"/>
      <c r="E42" s="215">
        <f>SUM(E37:E41)</f>
        <v>7512341.1664322605</v>
      </c>
      <c r="F42" s="35"/>
    </row>
    <row r="43" spans="1:10" ht="14.7" thickTop="1" x14ac:dyDescent="0.5">
      <c r="A43" s="22"/>
      <c r="C43" s="161"/>
      <c r="E43" s="221"/>
      <c r="F43" s="35"/>
    </row>
    <row r="44" spans="1:10" x14ac:dyDescent="0.5">
      <c r="A44" s="22"/>
      <c r="C44" s="226" t="s">
        <v>191</v>
      </c>
      <c r="E44" s="227" t="s">
        <v>192</v>
      </c>
      <c r="F44" s="29"/>
    </row>
    <row r="45" spans="1:10" x14ac:dyDescent="0.5">
      <c r="A45" s="22"/>
      <c r="C45" s="231" t="s">
        <v>195</v>
      </c>
      <c r="E45" s="214">
        <f>+E42</f>
        <v>7512341.1664322605</v>
      </c>
    </row>
    <row r="46" spans="1:10" x14ac:dyDescent="0.5">
      <c r="A46" s="22"/>
      <c r="C46" s="233" t="s">
        <v>197</v>
      </c>
      <c r="E46" s="234">
        <f>+'Method #1'!G17</f>
        <v>1712000</v>
      </c>
    </row>
    <row r="47" spans="1:10" ht="14.7" thickBot="1" x14ac:dyDescent="0.55000000000000004">
      <c r="A47" s="22"/>
      <c r="C47" s="233" t="s">
        <v>199</v>
      </c>
      <c r="E47" s="234">
        <f>-'Method #1'!H17</f>
        <v>-515000</v>
      </c>
    </row>
    <row r="48" spans="1:10" ht="12.6" customHeight="1" thickBot="1" x14ac:dyDescent="0.55000000000000004">
      <c r="A48" s="22"/>
      <c r="B48" s="93" t="s">
        <v>200</v>
      </c>
      <c r="C48" s="238"/>
      <c r="D48" s="238"/>
      <c r="E48" s="94">
        <f>+E46+E45+E47</f>
        <v>8709341.1664322615</v>
      </c>
    </row>
    <row r="49" spans="1:12" x14ac:dyDescent="0.5">
      <c r="A49" s="22"/>
      <c r="J49" t="s">
        <v>254</v>
      </c>
    </row>
    <row r="50" spans="1:12" x14ac:dyDescent="0.5">
      <c r="A50" s="22"/>
    </row>
    <row r="51" spans="1:12" x14ac:dyDescent="0.5">
      <c r="A51" s="22"/>
      <c r="C51" s="4"/>
    </row>
    <row r="53" spans="1:12" x14ac:dyDescent="0.5">
      <c r="L53" s="231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Book vs Market Values</vt:lpstr>
      <vt:lpstr>Method #1</vt:lpstr>
      <vt:lpstr>Method #2</vt:lpstr>
      <vt:lpstr>Method #3</vt:lpstr>
      <vt:lpstr>Method #4</vt:lpstr>
      <vt:lpstr>Method #5</vt:lpstr>
      <vt:lpstr>Method #6</vt:lpstr>
      <vt:lpstr>Method #7a</vt:lpstr>
      <vt:lpstr>Method #7b</vt:lpstr>
      <vt:lpstr>Summary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Droussiotis</dc:creator>
  <cp:lastModifiedBy>Chris Droussiotis</cp:lastModifiedBy>
  <dcterms:created xsi:type="dcterms:W3CDTF">2018-09-23T13:46:11Z</dcterms:created>
  <dcterms:modified xsi:type="dcterms:W3CDTF">2019-08-05T17:55:10Z</dcterms:modified>
</cp:coreProperties>
</file>