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Onedrive\Documents\Text Book project\Figures\"/>
    </mc:Choice>
  </mc:AlternateContent>
  <xr:revisionPtr revIDLastSave="19" documentId="114_{B369BD3D-0D3F-4EAA-AC04-8E9ED48FF878}" xr6:coauthVersionLast="44" xr6:coauthVersionMax="44" xr10:uidLastSave="{148C3F61-4FF7-4E65-A24E-F5454898EBED}"/>
  <bookViews>
    <workbookView xWindow="-25320" yWindow="-1455" windowWidth="25440" windowHeight="14775" activeTab="1" xr2:uid="{FFB8DFC7-67D3-4506-827F-EF747A509431}"/>
  </bookViews>
  <sheets>
    <sheet name="Fig. 1.1" sheetId="2" r:id="rId1"/>
    <sheet name="Fig. 1.2" sheetId="1" r:id="rId2"/>
    <sheet name="Fig. 1.3" sheetId="4" r:id="rId3"/>
    <sheet name="Fig. 1.4" sheetId="5" r:id="rId4"/>
    <sheet name="Fig. 1.5" sheetId="6" r:id="rId5"/>
    <sheet name="Fig. 1.6" sheetId="7" r:id="rId6"/>
    <sheet name="Fig. 1.7" sheetId="9" r:id="rId7"/>
    <sheet name="Fig. 1.8" sheetId="16" r:id="rId8"/>
    <sheet name="Fig. 1.9" sheetId="8" r:id="rId9"/>
    <sheet name="Fig. 1.10" sheetId="14" r:id="rId10"/>
    <sheet name="Fig 1.11" sheetId="10" r:id="rId11"/>
    <sheet name="Fig. 1.12" sheetId="11" r:id="rId12"/>
    <sheet name="Fig. 1.13" sheetId="12" r:id="rId13"/>
    <sheet name="Fig. 1.14" sheetId="13" r:id="rId14"/>
    <sheet name="backup info 1" sheetId="15" r:id="rId15"/>
    <sheet name="Backup info 2" sheetId="17" r:id="rId16"/>
    <sheet name="Spreadsheet" sheetId="3" r:id="rId17"/>
  </sheets>
  <externalReferences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B19" i="1"/>
  <c r="H6" i="1"/>
  <c r="H7" i="1"/>
  <c r="H8" i="1"/>
  <c r="H9" i="1"/>
  <c r="H10" i="1"/>
  <c r="H11" i="1"/>
  <c r="H12" i="1"/>
  <c r="H13" i="1"/>
  <c r="H14" i="1"/>
  <c r="H5" i="1"/>
  <c r="D8" i="2" l="1"/>
  <c r="E8" i="2"/>
  <c r="F8" i="2"/>
  <c r="G8" i="2"/>
  <c r="C8" i="2"/>
  <c r="G10" i="2"/>
  <c r="B10" i="2"/>
  <c r="D10" i="2"/>
  <c r="E10" i="2"/>
  <c r="F10" i="2"/>
  <c r="C10" i="2"/>
  <c r="I8" i="5" l="1"/>
  <c r="I9" i="5"/>
  <c r="I7" i="5"/>
  <c r="F8" i="5"/>
  <c r="F9" i="5"/>
  <c r="F7" i="5"/>
  <c r="A32" i="16" l="1"/>
  <c r="C34" i="16"/>
  <c r="D33" i="16"/>
  <c r="E33" i="16"/>
  <c r="F33" i="16"/>
  <c r="G33" i="16"/>
  <c r="H33" i="16"/>
  <c r="I33" i="16"/>
  <c r="G5" i="17"/>
  <c r="C6" i="17"/>
  <c r="G6" i="17"/>
  <c r="G7" i="17"/>
  <c r="B9" i="17"/>
  <c r="C5" i="17" s="1"/>
  <c r="C9" i="17" s="1"/>
  <c r="I23" i="16"/>
  <c r="H23" i="16"/>
  <c r="G23" i="16"/>
  <c r="F23" i="16"/>
  <c r="E23" i="16"/>
  <c r="D23" i="16"/>
  <c r="J17" i="16"/>
  <c r="J34" i="16" s="1"/>
  <c r="I17" i="16"/>
  <c r="I34" i="16" s="1"/>
  <c r="H17" i="16"/>
  <c r="H34" i="16" s="1"/>
  <c r="G17" i="16"/>
  <c r="G34" i="16" s="1"/>
  <c r="F17" i="16"/>
  <c r="F34" i="16" s="1"/>
  <c r="E17" i="16"/>
  <c r="E34" i="16" s="1"/>
  <c r="D17" i="16"/>
  <c r="D34" i="16" s="1"/>
  <c r="J16" i="16"/>
  <c r="J33" i="16" s="1"/>
  <c r="C16" i="16"/>
  <c r="C33" i="16" s="1"/>
  <c r="J14" i="16"/>
  <c r="I14" i="16"/>
  <c r="H14" i="16"/>
  <c r="G14" i="16"/>
  <c r="F14" i="16"/>
  <c r="E14" i="16"/>
  <c r="D14" i="16"/>
  <c r="C14" i="16"/>
  <c r="J13" i="16"/>
  <c r="I13" i="16"/>
  <c r="H13" i="16"/>
  <c r="G13" i="16"/>
  <c r="F13" i="16"/>
  <c r="E13" i="16"/>
  <c r="D13" i="16"/>
  <c r="C13" i="16"/>
  <c r="J12" i="16"/>
  <c r="I12" i="16"/>
  <c r="H12" i="16"/>
  <c r="G12" i="16"/>
  <c r="F12" i="16"/>
  <c r="E12" i="16"/>
  <c r="D12" i="16"/>
  <c r="J11" i="16"/>
  <c r="I11" i="16"/>
  <c r="H11" i="16"/>
  <c r="G11" i="16"/>
  <c r="F11" i="16"/>
  <c r="E11" i="16"/>
  <c r="D11" i="16"/>
  <c r="C11" i="16"/>
  <c r="J10" i="16"/>
  <c r="I10" i="16"/>
  <c r="H10" i="16"/>
  <c r="G10" i="16"/>
  <c r="F10" i="16"/>
  <c r="E10" i="16"/>
  <c r="D10" i="16"/>
  <c r="C10" i="16"/>
  <c r="C8" i="16"/>
  <c r="L62" i="15"/>
  <c r="F59" i="15"/>
  <c r="E59" i="15"/>
  <c r="E58" i="15"/>
  <c r="E57" i="15"/>
  <c r="E56" i="15"/>
  <c r="E55" i="15"/>
  <c r="E54" i="15"/>
  <c r="E50" i="15"/>
  <c r="K49" i="15"/>
  <c r="J49" i="15"/>
  <c r="I49" i="15"/>
  <c r="H49" i="15"/>
  <c r="G49" i="15"/>
  <c r="F49" i="15"/>
  <c r="A49" i="15"/>
  <c r="A59" i="15" s="1"/>
  <c r="K48" i="15"/>
  <c r="J48" i="15"/>
  <c r="I48" i="15"/>
  <c r="H48" i="15"/>
  <c r="G48" i="15"/>
  <c r="F48" i="15"/>
  <c r="C48" i="15"/>
  <c r="C58" i="15" s="1"/>
  <c r="K47" i="15"/>
  <c r="J47" i="15"/>
  <c r="I47" i="15"/>
  <c r="H47" i="15"/>
  <c r="G47" i="15"/>
  <c r="F47" i="15"/>
  <c r="K46" i="15"/>
  <c r="J46" i="15"/>
  <c r="I46" i="15"/>
  <c r="H46" i="15"/>
  <c r="G46" i="15"/>
  <c r="F46" i="15"/>
  <c r="K45" i="15"/>
  <c r="K50" i="15" s="1"/>
  <c r="J45" i="15"/>
  <c r="I45" i="15"/>
  <c r="H45" i="15"/>
  <c r="G45" i="15"/>
  <c r="G50" i="15" s="1"/>
  <c r="F45" i="15"/>
  <c r="K44" i="15"/>
  <c r="J44" i="15"/>
  <c r="I44" i="15"/>
  <c r="H44" i="15"/>
  <c r="H50" i="15" s="1"/>
  <c r="G44" i="15"/>
  <c r="F44" i="15"/>
  <c r="B44" i="15"/>
  <c r="B54" i="15" s="1"/>
  <c r="E40" i="15"/>
  <c r="E39" i="15"/>
  <c r="E38" i="15"/>
  <c r="A38" i="15"/>
  <c r="A47" i="15" s="1"/>
  <c r="A57" i="15" s="1"/>
  <c r="A69" i="15" s="1"/>
  <c r="E37" i="15"/>
  <c r="E36" i="15"/>
  <c r="E35" i="15"/>
  <c r="A35" i="15"/>
  <c r="A44" i="15" s="1"/>
  <c r="A54" i="15" s="1"/>
  <c r="A66" i="15" s="1"/>
  <c r="H31" i="15"/>
  <c r="H59" i="15" s="1"/>
  <c r="F31" i="15"/>
  <c r="G31" i="15" s="1"/>
  <c r="G59" i="15" s="1"/>
  <c r="B31" i="15"/>
  <c r="B40" i="15" s="1"/>
  <c r="B49" i="15" s="1"/>
  <c r="B59" i="15" s="1"/>
  <c r="H30" i="15"/>
  <c r="G30" i="15"/>
  <c r="G58" i="15" s="1"/>
  <c r="F30" i="15"/>
  <c r="F58" i="15" s="1"/>
  <c r="B30" i="15"/>
  <c r="B39" i="15" s="1"/>
  <c r="B48" i="15" s="1"/>
  <c r="B58" i="15" s="1"/>
  <c r="A30" i="15"/>
  <c r="A39" i="15" s="1"/>
  <c r="A48" i="15" s="1"/>
  <c r="A58" i="15" s="1"/>
  <c r="A70" i="15" s="1"/>
  <c r="F29" i="15"/>
  <c r="B29" i="15"/>
  <c r="B38" i="15" s="1"/>
  <c r="B47" i="15" s="1"/>
  <c r="B57" i="15" s="1"/>
  <c r="F28" i="15"/>
  <c r="A28" i="15"/>
  <c r="A37" i="15" s="1"/>
  <c r="A46" i="15" s="1"/>
  <c r="A56" i="15" s="1"/>
  <c r="F27" i="15"/>
  <c r="F26" i="15"/>
  <c r="B26" i="15"/>
  <c r="B35" i="15" s="1"/>
  <c r="A26" i="15"/>
  <c r="I21" i="15"/>
  <c r="L20" i="15"/>
  <c r="L21" i="15" s="1"/>
  <c r="K20" i="15"/>
  <c r="K21" i="15" s="1"/>
  <c r="J20" i="15"/>
  <c r="I20" i="15"/>
  <c r="H20" i="15"/>
  <c r="H21" i="15" s="1"/>
  <c r="G20" i="15"/>
  <c r="G21" i="15" s="1"/>
  <c r="F20" i="15"/>
  <c r="F21" i="15" s="1"/>
  <c r="E20" i="15"/>
  <c r="E21" i="15" s="1"/>
  <c r="C19" i="15"/>
  <c r="C31" i="15" s="1"/>
  <c r="C40" i="15" s="1"/>
  <c r="C49" i="15" s="1"/>
  <c r="C59" i="15" s="1"/>
  <c r="B19" i="15"/>
  <c r="A19" i="15"/>
  <c r="A31" i="15" s="1"/>
  <c r="A40" i="15" s="1"/>
  <c r="C18" i="15"/>
  <c r="C30" i="15" s="1"/>
  <c r="C39" i="15" s="1"/>
  <c r="B18" i="15"/>
  <c r="A18" i="15"/>
  <c r="C17" i="15"/>
  <c r="C29" i="15" s="1"/>
  <c r="C38" i="15" s="1"/>
  <c r="C47" i="15" s="1"/>
  <c r="C57" i="15" s="1"/>
  <c r="B17" i="15"/>
  <c r="A17" i="15"/>
  <c r="A29" i="15" s="1"/>
  <c r="C16" i="15"/>
  <c r="C28" i="15" s="1"/>
  <c r="C37" i="15" s="1"/>
  <c r="C46" i="15" s="1"/>
  <c r="C56" i="15" s="1"/>
  <c r="B16" i="15"/>
  <c r="B28" i="15" s="1"/>
  <c r="B37" i="15" s="1"/>
  <c r="B46" i="15" s="1"/>
  <c r="B56" i="15" s="1"/>
  <c r="A16" i="15"/>
  <c r="C15" i="15"/>
  <c r="C27" i="15" s="1"/>
  <c r="C36" i="15" s="1"/>
  <c r="C45" i="15" s="1"/>
  <c r="C55" i="15" s="1"/>
  <c r="B15" i="15"/>
  <c r="B27" i="15" s="1"/>
  <c r="B36" i="15" s="1"/>
  <c r="B45" i="15" s="1"/>
  <c r="B55" i="15" s="1"/>
  <c r="A15" i="15"/>
  <c r="A27" i="15" s="1"/>
  <c r="A36" i="15" s="1"/>
  <c r="A45" i="15" s="1"/>
  <c r="A55" i="15" s="1"/>
  <c r="C14" i="15"/>
  <c r="C26" i="15" s="1"/>
  <c r="C35" i="15" s="1"/>
  <c r="C44" i="15" s="1"/>
  <c r="C54" i="15" s="1"/>
  <c r="B14" i="15"/>
  <c r="A14" i="15"/>
  <c r="L13" i="15"/>
  <c r="L25" i="15" s="1"/>
  <c r="L34" i="15" s="1"/>
  <c r="L43" i="15" s="1"/>
  <c r="K13" i="15"/>
  <c r="K25" i="15" s="1"/>
  <c r="K34" i="15" s="1"/>
  <c r="K43" i="15" s="1"/>
  <c r="K53" i="15" s="1"/>
  <c r="K65" i="15" s="1"/>
  <c r="J13" i="15"/>
  <c r="J25" i="15" s="1"/>
  <c r="J34" i="15" s="1"/>
  <c r="I26" i="13" s="1"/>
  <c r="I13" i="15"/>
  <c r="I25" i="15" s="1"/>
  <c r="I34" i="15" s="1"/>
  <c r="I43" i="15" s="1"/>
  <c r="I53" i="15" s="1"/>
  <c r="I65" i="15" s="1"/>
  <c r="H13" i="15"/>
  <c r="H25" i="15" s="1"/>
  <c r="H34" i="15" s="1"/>
  <c r="H43" i="15" s="1"/>
  <c r="H53" i="15" s="1"/>
  <c r="H65" i="15" s="1"/>
  <c r="G13" i="15"/>
  <c r="G25" i="15" s="1"/>
  <c r="G34" i="15" s="1"/>
  <c r="G43" i="15" s="1"/>
  <c r="G53" i="15" s="1"/>
  <c r="G65" i="15" s="1"/>
  <c r="F13" i="15"/>
  <c r="F25" i="15" s="1"/>
  <c r="F34" i="15" s="1"/>
  <c r="E13" i="15"/>
  <c r="E25" i="15" s="1"/>
  <c r="E34" i="15" s="1"/>
  <c r="E43" i="15" s="1"/>
  <c r="E53" i="15" s="1"/>
  <c r="E65" i="15" s="1"/>
  <c r="D10" i="15"/>
  <c r="D20" i="15" s="1"/>
  <c r="J21" i="15" s="1"/>
  <c r="K9" i="15"/>
  <c r="K8" i="15"/>
  <c r="K7" i="15"/>
  <c r="K6" i="15"/>
  <c r="K5" i="15"/>
  <c r="K10" i="15" s="1"/>
  <c r="H10" i="15" s="1"/>
  <c r="K4" i="15"/>
  <c r="D25" i="10"/>
  <c r="D26" i="10"/>
  <c r="D27" i="10"/>
  <c r="D28" i="10"/>
  <c r="D46" i="10" s="1"/>
  <c r="D64" i="10" s="1"/>
  <c r="D83" i="10" s="1"/>
  <c r="D10" i="11" s="1"/>
  <c r="D28" i="11" s="1"/>
  <c r="D29" i="10"/>
  <c r="D30" i="10"/>
  <c r="D31" i="10"/>
  <c r="D32" i="10"/>
  <c r="D50" i="10" s="1"/>
  <c r="D68" i="10" s="1"/>
  <c r="D87" i="10" s="1"/>
  <c r="D14" i="11" s="1"/>
  <c r="D32" i="11" s="1"/>
  <c r="D33" i="10"/>
  <c r="D34" i="10"/>
  <c r="D35" i="10"/>
  <c r="D36" i="10"/>
  <c r="D54" i="10" s="1"/>
  <c r="D72" i="10" s="1"/>
  <c r="D91" i="10" s="1"/>
  <c r="D18" i="11" s="1"/>
  <c r="D36" i="11" s="1"/>
  <c r="D37" i="10"/>
  <c r="D38" i="10"/>
  <c r="D39" i="10"/>
  <c r="D43" i="10"/>
  <c r="D61" i="10" s="1"/>
  <c r="D80" i="10" s="1"/>
  <c r="D7" i="11" s="1"/>
  <c r="D25" i="11" s="1"/>
  <c r="D44" i="10"/>
  <c r="D45" i="10"/>
  <c r="D47" i="10"/>
  <c r="D65" i="10" s="1"/>
  <c r="D84" i="10" s="1"/>
  <c r="D11" i="11" s="1"/>
  <c r="D29" i="11" s="1"/>
  <c r="D48" i="10"/>
  <c r="D49" i="10"/>
  <c r="D51" i="10"/>
  <c r="D69" i="10" s="1"/>
  <c r="D88" i="10" s="1"/>
  <c r="D15" i="11" s="1"/>
  <c r="D33" i="11" s="1"/>
  <c r="D52" i="10"/>
  <c r="D53" i="10"/>
  <c r="D55" i="10"/>
  <c r="D73" i="10" s="1"/>
  <c r="D92" i="10" s="1"/>
  <c r="D19" i="11" s="1"/>
  <c r="D37" i="11" s="1"/>
  <c r="D56" i="10"/>
  <c r="D57" i="10"/>
  <c r="D75" i="10" s="1"/>
  <c r="D94" i="10" s="1"/>
  <c r="D21" i="11" s="1"/>
  <c r="D39" i="11" s="1"/>
  <c r="D62" i="10"/>
  <c r="D81" i="10" s="1"/>
  <c r="D8" i="11" s="1"/>
  <c r="D26" i="11" s="1"/>
  <c r="D63" i="10"/>
  <c r="D66" i="10"/>
  <c r="D85" i="10" s="1"/>
  <c r="D12" i="11" s="1"/>
  <c r="D30" i="11" s="1"/>
  <c r="D67" i="10"/>
  <c r="D70" i="10"/>
  <c r="D89" i="10" s="1"/>
  <c r="D16" i="11" s="1"/>
  <c r="D34" i="11" s="1"/>
  <c r="D71" i="10"/>
  <c r="D74" i="10"/>
  <c r="D93" i="10" s="1"/>
  <c r="D20" i="11" s="1"/>
  <c r="D38" i="11" s="1"/>
  <c r="D82" i="10"/>
  <c r="D9" i="11" s="1"/>
  <c r="D27" i="11" s="1"/>
  <c r="D86" i="10"/>
  <c r="D13" i="11" s="1"/>
  <c r="D31" i="11" s="1"/>
  <c r="D90" i="10"/>
  <c r="D17" i="11" s="1"/>
  <c r="D35" i="11" s="1"/>
  <c r="K12" i="14"/>
  <c r="K11" i="14"/>
  <c r="K10" i="14"/>
  <c r="K9" i="14"/>
  <c r="K8" i="14"/>
  <c r="K7" i="14"/>
  <c r="B69" i="13"/>
  <c r="B68" i="13"/>
  <c r="B67" i="13"/>
  <c r="B66" i="13"/>
  <c r="B75" i="13" s="1"/>
  <c r="B65" i="13"/>
  <c r="B64" i="13"/>
  <c r="B60" i="13"/>
  <c r="H60" i="13" s="1"/>
  <c r="B59" i="13"/>
  <c r="J59" i="13" s="1"/>
  <c r="B58" i="13"/>
  <c r="K58" i="13" s="1"/>
  <c r="B57" i="13"/>
  <c r="B56" i="13"/>
  <c r="D56" i="13" s="1"/>
  <c r="B55" i="13"/>
  <c r="J55" i="13" s="1"/>
  <c r="G41" i="13"/>
  <c r="G50" i="13" s="1"/>
  <c r="H40" i="13"/>
  <c r="H49" i="13" s="1"/>
  <c r="F39" i="13"/>
  <c r="F48" i="13" s="1"/>
  <c r="H38" i="13"/>
  <c r="H47" i="13" s="1"/>
  <c r="K37" i="13"/>
  <c r="E37" i="13"/>
  <c r="E46" i="13" s="1"/>
  <c r="G36" i="13"/>
  <c r="G45" i="13" s="1"/>
  <c r="H32" i="13"/>
  <c r="D32" i="13"/>
  <c r="I31" i="13"/>
  <c r="D31" i="13"/>
  <c r="E31" i="13" s="1"/>
  <c r="G30" i="13"/>
  <c r="G39" i="13" s="1"/>
  <c r="G48" i="13" s="1"/>
  <c r="D30" i="13"/>
  <c r="I29" i="13"/>
  <c r="D29" i="13"/>
  <c r="D38" i="13" s="1"/>
  <c r="F28" i="13"/>
  <c r="F37" i="13" s="1"/>
  <c r="F46" i="13" s="1"/>
  <c r="D28" i="13"/>
  <c r="D37" i="13" s="1"/>
  <c r="H27" i="13"/>
  <c r="H36" i="13" s="1"/>
  <c r="H45" i="13" s="1"/>
  <c r="D27" i="13"/>
  <c r="E27" i="13" s="1"/>
  <c r="F27" i="13" s="1"/>
  <c r="F36" i="13" s="1"/>
  <c r="F45" i="13" s="1"/>
  <c r="E21" i="13"/>
  <c r="K13" i="13"/>
  <c r="J13" i="13"/>
  <c r="I13" i="13"/>
  <c r="E13" i="13"/>
  <c r="D13" i="13"/>
  <c r="G12" i="13"/>
  <c r="C12" i="13"/>
  <c r="C22" i="13" s="1"/>
  <c r="C41" i="13" s="1"/>
  <c r="C50" i="13" s="1"/>
  <c r="B12" i="13"/>
  <c r="B22" i="13" s="1"/>
  <c r="B41" i="13" s="1"/>
  <c r="B50" i="13" s="1"/>
  <c r="H11" i="13"/>
  <c r="C11" i="13"/>
  <c r="C21" i="13" s="1"/>
  <c r="C40" i="13" s="1"/>
  <c r="C49" i="13" s="1"/>
  <c r="B11" i="13"/>
  <c r="F10" i="13"/>
  <c r="C10" i="13"/>
  <c r="C30" i="13" s="1"/>
  <c r="B10" i="13"/>
  <c r="B30" i="13" s="1"/>
  <c r="H9" i="13"/>
  <c r="C9" i="13"/>
  <c r="C19" i="13" s="1"/>
  <c r="C38" i="13" s="1"/>
  <c r="C47" i="13" s="1"/>
  <c r="B9" i="13"/>
  <c r="B29" i="13" s="1"/>
  <c r="F8" i="13"/>
  <c r="C8" i="13"/>
  <c r="C28" i="13" s="1"/>
  <c r="B8" i="13"/>
  <c r="B28" i="13" s="1"/>
  <c r="G7" i="13"/>
  <c r="C7" i="13"/>
  <c r="B7" i="13"/>
  <c r="F26" i="13"/>
  <c r="A17" i="12"/>
  <c r="A26" i="12" s="1"/>
  <c r="A35" i="12" s="1"/>
  <c r="A46" i="12" s="1"/>
  <c r="D51" i="12"/>
  <c r="D50" i="12"/>
  <c r="D49" i="12"/>
  <c r="D48" i="12"/>
  <c r="D47" i="12"/>
  <c r="D46" i="12"/>
  <c r="D41" i="12"/>
  <c r="J40" i="12"/>
  <c r="I40" i="12"/>
  <c r="H40" i="12"/>
  <c r="G40" i="12"/>
  <c r="F40" i="12"/>
  <c r="E40" i="12"/>
  <c r="J39" i="12"/>
  <c r="I39" i="12"/>
  <c r="H39" i="12"/>
  <c r="G39" i="12"/>
  <c r="F39" i="12"/>
  <c r="E39" i="12"/>
  <c r="J38" i="12"/>
  <c r="I38" i="12"/>
  <c r="H38" i="12"/>
  <c r="G38" i="12"/>
  <c r="F38" i="12"/>
  <c r="E38" i="12"/>
  <c r="J37" i="12"/>
  <c r="I37" i="12"/>
  <c r="H37" i="12"/>
  <c r="G37" i="12"/>
  <c r="F37" i="12"/>
  <c r="E37" i="12"/>
  <c r="J36" i="12"/>
  <c r="I36" i="12"/>
  <c r="H36" i="12"/>
  <c r="G36" i="12"/>
  <c r="F36" i="12"/>
  <c r="E36" i="12"/>
  <c r="J35" i="12"/>
  <c r="I35" i="12"/>
  <c r="H35" i="12"/>
  <c r="G35" i="12"/>
  <c r="F35" i="12"/>
  <c r="E35" i="12"/>
  <c r="D31" i="12"/>
  <c r="D30" i="12"/>
  <c r="D29" i="12"/>
  <c r="D28" i="12"/>
  <c r="D27" i="12"/>
  <c r="D26" i="12"/>
  <c r="E22" i="12"/>
  <c r="E51" i="12" s="1"/>
  <c r="E21" i="12"/>
  <c r="E20" i="12"/>
  <c r="E19" i="12"/>
  <c r="E18" i="12"/>
  <c r="F18" i="12" s="1"/>
  <c r="G18" i="12" s="1"/>
  <c r="E17" i="12"/>
  <c r="K13" i="12"/>
  <c r="J13" i="12"/>
  <c r="I13" i="12"/>
  <c r="H13" i="12"/>
  <c r="G13" i="12"/>
  <c r="F13" i="12"/>
  <c r="E13" i="12"/>
  <c r="D13" i="12"/>
  <c r="C22" i="12"/>
  <c r="C31" i="12" s="1"/>
  <c r="C40" i="12" s="1"/>
  <c r="C51" i="12" s="1"/>
  <c r="B22" i="12"/>
  <c r="B31" i="12" s="1"/>
  <c r="B40" i="12" s="1"/>
  <c r="B51" i="12" s="1"/>
  <c r="A22" i="12"/>
  <c r="A31" i="12" s="1"/>
  <c r="A40" i="12" s="1"/>
  <c r="A51" i="12" s="1"/>
  <c r="C21" i="12"/>
  <c r="C30" i="12" s="1"/>
  <c r="C39" i="12" s="1"/>
  <c r="C50" i="12" s="1"/>
  <c r="B21" i="12"/>
  <c r="B30" i="12" s="1"/>
  <c r="B39" i="12" s="1"/>
  <c r="B50" i="12" s="1"/>
  <c r="A21" i="12"/>
  <c r="A30" i="12" s="1"/>
  <c r="A39" i="12" s="1"/>
  <c r="A50" i="12" s="1"/>
  <c r="C20" i="12"/>
  <c r="C29" i="12" s="1"/>
  <c r="C38" i="12" s="1"/>
  <c r="C49" i="12" s="1"/>
  <c r="B20" i="12"/>
  <c r="B29" i="12" s="1"/>
  <c r="B38" i="12" s="1"/>
  <c r="B49" i="12" s="1"/>
  <c r="A20" i="12"/>
  <c r="A29" i="12" s="1"/>
  <c r="A38" i="12" s="1"/>
  <c r="A49" i="12" s="1"/>
  <c r="C19" i="12"/>
  <c r="C28" i="12" s="1"/>
  <c r="C37" i="12" s="1"/>
  <c r="C48" i="12" s="1"/>
  <c r="B19" i="12"/>
  <c r="B28" i="12" s="1"/>
  <c r="B37" i="12" s="1"/>
  <c r="B48" i="12" s="1"/>
  <c r="A19" i="12"/>
  <c r="A28" i="12" s="1"/>
  <c r="A37" i="12" s="1"/>
  <c r="A48" i="12" s="1"/>
  <c r="C18" i="12"/>
  <c r="C27" i="12" s="1"/>
  <c r="C36" i="12" s="1"/>
  <c r="C47" i="12" s="1"/>
  <c r="B18" i="12"/>
  <c r="B27" i="12" s="1"/>
  <c r="B36" i="12" s="1"/>
  <c r="B47" i="12" s="1"/>
  <c r="A18" i="12"/>
  <c r="A27" i="12" s="1"/>
  <c r="A36" i="12" s="1"/>
  <c r="A47" i="12" s="1"/>
  <c r="C17" i="12"/>
  <c r="C26" i="12" s="1"/>
  <c r="C35" i="12" s="1"/>
  <c r="C46" i="12" s="1"/>
  <c r="B17" i="12"/>
  <c r="B26" i="12" s="1"/>
  <c r="B35" i="12" s="1"/>
  <c r="B46" i="12" s="1"/>
  <c r="K16" i="12"/>
  <c r="K25" i="12" s="1"/>
  <c r="J16" i="12"/>
  <c r="J25" i="12" s="1"/>
  <c r="I16" i="12"/>
  <c r="I25" i="12" s="1"/>
  <c r="H16" i="12"/>
  <c r="H25" i="12" s="1"/>
  <c r="G16" i="12"/>
  <c r="G25" i="12" s="1"/>
  <c r="F16" i="12"/>
  <c r="F25" i="12" s="1"/>
  <c r="E16" i="12"/>
  <c r="E25" i="12" s="1"/>
  <c r="D16" i="12"/>
  <c r="D25" i="12" s="1"/>
  <c r="F39" i="11"/>
  <c r="F34" i="11"/>
  <c r="F27" i="11"/>
  <c r="B19" i="11"/>
  <c r="B37" i="11" s="1"/>
  <c r="B15" i="11"/>
  <c r="B33" i="11" s="1"/>
  <c r="C8" i="11"/>
  <c r="C26" i="11" s="1"/>
  <c r="L6" i="11"/>
  <c r="L24" i="11" s="1"/>
  <c r="J35" i="8"/>
  <c r="J34" i="8"/>
  <c r="J33" i="8"/>
  <c r="J32" i="8"/>
  <c r="H19" i="8"/>
  <c r="H32" i="8" s="1"/>
  <c r="I19" i="8"/>
  <c r="I32" i="8" s="1"/>
  <c r="H20" i="8"/>
  <c r="H33" i="8" s="1"/>
  <c r="I20" i="8"/>
  <c r="I33" i="8" s="1"/>
  <c r="H21" i="8"/>
  <c r="H34" i="8" s="1"/>
  <c r="I21" i="8"/>
  <c r="I34" i="8" s="1"/>
  <c r="H22" i="8"/>
  <c r="H35" i="8" s="1"/>
  <c r="I22" i="8"/>
  <c r="I35" i="8" s="1"/>
  <c r="G20" i="8"/>
  <c r="G33" i="8" s="1"/>
  <c r="G21" i="8"/>
  <c r="G34" i="8" s="1"/>
  <c r="G22" i="8"/>
  <c r="G35" i="8" s="1"/>
  <c r="G19" i="8"/>
  <c r="G32" i="8" s="1"/>
  <c r="J5" i="8"/>
  <c r="J18" i="8" s="1"/>
  <c r="J31" i="8" s="1"/>
  <c r="E33" i="8"/>
  <c r="E34" i="8"/>
  <c r="E35" i="8"/>
  <c r="E36" i="8"/>
  <c r="E37" i="8"/>
  <c r="E38" i="8"/>
  <c r="E39" i="8"/>
  <c r="E40" i="8"/>
  <c r="E41" i="8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K75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K73" i="10"/>
  <c r="J73" i="10"/>
  <c r="I73" i="10"/>
  <c r="H73" i="10"/>
  <c r="G73" i="10"/>
  <c r="F73" i="10"/>
  <c r="E73" i="10"/>
  <c r="K72" i="10"/>
  <c r="J72" i="10"/>
  <c r="I72" i="10"/>
  <c r="H72" i="10"/>
  <c r="G72" i="10"/>
  <c r="F72" i="10"/>
  <c r="E72" i="10"/>
  <c r="K71" i="10"/>
  <c r="J71" i="10"/>
  <c r="I71" i="10"/>
  <c r="H71" i="10"/>
  <c r="G71" i="10"/>
  <c r="F71" i="10"/>
  <c r="E71" i="10"/>
  <c r="K70" i="10"/>
  <c r="J70" i="10"/>
  <c r="I70" i="10"/>
  <c r="H70" i="10"/>
  <c r="G70" i="10"/>
  <c r="F70" i="10"/>
  <c r="E70" i="10"/>
  <c r="K69" i="10"/>
  <c r="J69" i="10"/>
  <c r="I69" i="10"/>
  <c r="H69" i="10"/>
  <c r="G69" i="10"/>
  <c r="F69" i="10"/>
  <c r="E69" i="10"/>
  <c r="K68" i="10"/>
  <c r="J68" i="10"/>
  <c r="I68" i="10"/>
  <c r="H68" i="10"/>
  <c r="G68" i="10"/>
  <c r="F68" i="10"/>
  <c r="E68" i="10"/>
  <c r="K67" i="10"/>
  <c r="J67" i="10"/>
  <c r="I67" i="10"/>
  <c r="H67" i="10"/>
  <c r="G67" i="10"/>
  <c r="F67" i="10"/>
  <c r="E67" i="10"/>
  <c r="K66" i="10"/>
  <c r="J66" i="10"/>
  <c r="I66" i="10"/>
  <c r="H66" i="10"/>
  <c r="G66" i="10"/>
  <c r="F66" i="10"/>
  <c r="E66" i="10"/>
  <c r="K65" i="10"/>
  <c r="J65" i="10"/>
  <c r="I65" i="10"/>
  <c r="H65" i="10"/>
  <c r="G65" i="10"/>
  <c r="F65" i="10"/>
  <c r="E65" i="10"/>
  <c r="K64" i="10"/>
  <c r="J64" i="10"/>
  <c r="I64" i="10"/>
  <c r="H64" i="10"/>
  <c r="G64" i="10"/>
  <c r="F64" i="10"/>
  <c r="E64" i="10"/>
  <c r="K63" i="10"/>
  <c r="J63" i="10"/>
  <c r="I63" i="10"/>
  <c r="H63" i="10"/>
  <c r="G63" i="10"/>
  <c r="F63" i="10"/>
  <c r="E63" i="10"/>
  <c r="K62" i="10"/>
  <c r="J62" i="10"/>
  <c r="I62" i="10"/>
  <c r="H62" i="10"/>
  <c r="G62" i="10"/>
  <c r="F62" i="10"/>
  <c r="E62" i="10"/>
  <c r="K61" i="10"/>
  <c r="J61" i="10"/>
  <c r="I61" i="10"/>
  <c r="H61" i="10"/>
  <c r="G61" i="10"/>
  <c r="F61" i="10"/>
  <c r="E61" i="10"/>
  <c r="B43" i="10"/>
  <c r="B61" i="10" s="1"/>
  <c r="B80" i="10" s="1"/>
  <c r="B7" i="11" s="1"/>
  <c r="B25" i="11" s="1"/>
  <c r="F39" i="10"/>
  <c r="C39" i="10"/>
  <c r="C57" i="10" s="1"/>
  <c r="C75" i="10" s="1"/>
  <c r="C94" i="10" s="1"/>
  <c r="C21" i="11" s="1"/>
  <c r="C39" i="11" s="1"/>
  <c r="B39" i="10"/>
  <c r="B57" i="10" s="1"/>
  <c r="B75" i="10" s="1"/>
  <c r="B94" i="10" s="1"/>
  <c r="B21" i="11" s="1"/>
  <c r="B39" i="11" s="1"/>
  <c r="F38" i="10"/>
  <c r="F38" i="11" s="1"/>
  <c r="C38" i="10"/>
  <c r="C56" i="10" s="1"/>
  <c r="C74" i="10" s="1"/>
  <c r="C93" i="10" s="1"/>
  <c r="C20" i="11" s="1"/>
  <c r="C38" i="11" s="1"/>
  <c r="B38" i="10"/>
  <c r="B56" i="10" s="1"/>
  <c r="B74" i="10" s="1"/>
  <c r="B93" i="10" s="1"/>
  <c r="B20" i="11" s="1"/>
  <c r="B38" i="11" s="1"/>
  <c r="F37" i="10"/>
  <c r="F37" i="11" s="1"/>
  <c r="C37" i="10"/>
  <c r="C55" i="10" s="1"/>
  <c r="C73" i="10" s="1"/>
  <c r="C92" i="10" s="1"/>
  <c r="C19" i="11" s="1"/>
  <c r="C37" i="11" s="1"/>
  <c r="B37" i="10"/>
  <c r="B55" i="10" s="1"/>
  <c r="B73" i="10" s="1"/>
  <c r="B92" i="10" s="1"/>
  <c r="F36" i="10"/>
  <c r="F36" i="11" s="1"/>
  <c r="C36" i="10"/>
  <c r="C54" i="10" s="1"/>
  <c r="C72" i="10" s="1"/>
  <c r="C91" i="10" s="1"/>
  <c r="C18" i="11" s="1"/>
  <c r="C36" i="11" s="1"/>
  <c r="B36" i="10"/>
  <c r="B54" i="10" s="1"/>
  <c r="B72" i="10" s="1"/>
  <c r="B91" i="10" s="1"/>
  <c r="B18" i="11" s="1"/>
  <c r="B36" i="11" s="1"/>
  <c r="F35" i="10"/>
  <c r="G35" i="10" s="1"/>
  <c r="G35" i="11" s="1"/>
  <c r="C35" i="10"/>
  <c r="C53" i="10" s="1"/>
  <c r="C71" i="10" s="1"/>
  <c r="C90" i="10" s="1"/>
  <c r="C17" i="11" s="1"/>
  <c r="C35" i="11" s="1"/>
  <c r="B35" i="10"/>
  <c r="B53" i="10" s="1"/>
  <c r="B71" i="10" s="1"/>
  <c r="B90" i="10" s="1"/>
  <c r="B17" i="11" s="1"/>
  <c r="B35" i="11" s="1"/>
  <c r="F34" i="10"/>
  <c r="G34" i="10" s="1"/>
  <c r="G89" i="10" s="1"/>
  <c r="C34" i="10"/>
  <c r="C52" i="10" s="1"/>
  <c r="C70" i="10" s="1"/>
  <c r="C89" i="10" s="1"/>
  <c r="C16" i="11" s="1"/>
  <c r="C34" i="11" s="1"/>
  <c r="B34" i="10"/>
  <c r="B52" i="10" s="1"/>
  <c r="B70" i="10" s="1"/>
  <c r="B89" i="10" s="1"/>
  <c r="B16" i="11" s="1"/>
  <c r="B34" i="11" s="1"/>
  <c r="F33" i="10"/>
  <c r="F33" i="11" s="1"/>
  <c r="C33" i="10"/>
  <c r="C51" i="10" s="1"/>
  <c r="C69" i="10" s="1"/>
  <c r="C88" i="10" s="1"/>
  <c r="C15" i="11" s="1"/>
  <c r="C33" i="11" s="1"/>
  <c r="B33" i="10"/>
  <c r="B51" i="10" s="1"/>
  <c r="B69" i="10" s="1"/>
  <c r="B88" i="10" s="1"/>
  <c r="F32" i="10"/>
  <c r="F32" i="11" s="1"/>
  <c r="C32" i="10"/>
  <c r="C50" i="10" s="1"/>
  <c r="C68" i="10" s="1"/>
  <c r="C87" i="10" s="1"/>
  <c r="C14" i="11" s="1"/>
  <c r="C32" i="11" s="1"/>
  <c r="B32" i="10"/>
  <c r="B50" i="10" s="1"/>
  <c r="B68" i="10" s="1"/>
  <c r="B87" i="10" s="1"/>
  <c r="B14" i="11" s="1"/>
  <c r="B32" i="11" s="1"/>
  <c r="F31" i="10"/>
  <c r="F31" i="11" s="1"/>
  <c r="C31" i="10"/>
  <c r="C49" i="10" s="1"/>
  <c r="C67" i="10" s="1"/>
  <c r="C86" i="10" s="1"/>
  <c r="C13" i="11" s="1"/>
  <c r="C31" i="11" s="1"/>
  <c r="B31" i="10"/>
  <c r="B49" i="10" s="1"/>
  <c r="B67" i="10" s="1"/>
  <c r="B86" i="10" s="1"/>
  <c r="B13" i="11" s="1"/>
  <c r="B31" i="11" s="1"/>
  <c r="F30" i="10"/>
  <c r="F30" i="11" s="1"/>
  <c r="C30" i="10"/>
  <c r="C48" i="10" s="1"/>
  <c r="C66" i="10" s="1"/>
  <c r="C85" i="10" s="1"/>
  <c r="C12" i="11" s="1"/>
  <c r="C30" i="11" s="1"/>
  <c r="B30" i="10"/>
  <c r="B48" i="10" s="1"/>
  <c r="B66" i="10" s="1"/>
  <c r="B85" i="10" s="1"/>
  <c r="B12" i="11" s="1"/>
  <c r="B30" i="11" s="1"/>
  <c r="F29" i="10"/>
  <c r="F29" i="11" s="1"/>
  <c r="C29" i="10"/>
  <c r="C47" i="10" s="1"/>
  <c r="C65" i="10" s="1"/>
  <c r="C84" i="10" s="1"/>
  <c r="C11" i="11" s="1"/>
  <c r="C29" i="11" s="1"/>
  <c r="B29" i="10"/>
  <c r="B47" i="10" s="1"/>
  <c r="B65" i="10" s="1"/>
  <c r="B84" i="10" s="1"/>
  <c r="B11" i="11" s="1"/>
  <c r="B29" i="11" s="1"/>
  <c r="F28" i="10"/>
  <c r="F28" i="11" s="1"/>
  <c r="C28" i="10"/>
  <c r="C46" i="10" s="1"/>
  <c r="C64" i="10" s="1"/>
  <c r="C83" i="10" s="1"/>
  <c r="C10" i="11" s="1"/>
  <c r="C28" i="11" s="1"/>
  <c r="B28" i="10"/>
  <c r="B46" i="10" s="1"/>
  <c r="B64" i="10" s="1"/>
  <c r="B83" i="10" s="1"/>
  <c r="B10" i="11" s="1"/>
  <c r="B28" i="11" s="1"/>
  <c r="F27" i="10"/>
  <c r="C27" i="10"/>
  <c r="C45" i="10" s="1"/>
  <c r="C63" i="10" s="1"/>
  <c r="C82" i="10" s="1"/>
  <c r="C9" i="11" s="1"/>
  <c r="C27" i="11" s="1"/>
  <c r="B27" i="10"/>
  <c r="B45" i="10" s="1"/>
  <c r="B63" i="10" s="1"/>
  <c r="B82" i="10" s="1"/>
  <c r="B9" i="11" s="1"/>
  <c r="B27" i="11" s="1"/>
  <c r="F26" i="10"/>
  <c r="F26" i="11" s="1"/>
  <c r="C26" i="10"/>
  <c r="C44" i="10" s="1"/>
  <c r="C62" i="10" s="1"/>
  <c r="C81" i="10" s="1"/>
  <c r="B26" i="10"/>
  <c r="B44" i="10" s="1"/>
  <c r="B62" i="10" s="1"/>
  <c r="B81" i="10" s="1"/>
  <c r="B8" i="11" s="1"/>
  <c r="B26" i="11" s="1"/>
  <c r="F25" i="10"/>
  <c r="F25" i="11" s="1"/>
  <c r="C25" i="10"/>
  <c r="C43" i="10" s="1"/>
  <c r="C61" i="10" s="1"/>
  <c r="C80" i="10" s="1"/>
  <c r="C7" i="11" s="1"/>
  <c r="C25" i="11" s="1"/>
  <c r="B25" i="10"/>
  <c r="L24" i="10"/>
  <c r="L42" i="10" s="1"/>
  <c r="L60" i="10" s="1"/>
  <c r="L79" i="10" s="1"/>
  <c r="K24" i="10"/>
  <c r="K42" i="10" s="1"/>
  <c r="K60" i="10" s="1"/>
  <c r="K79" i="10" s="1"/>
  <c r="K6" i="11" s="1"/>
  <c r="K24" i="11" s="1"/>
  <c r="J24" i="10"/>
  <c r="J42" i="10" s="1"/>
  <c r="J60" i="10" s="1"/>
  <c r="J79" i="10" s="1"/>
  <c r="J6" i="11" s="1"/>
  <c r="J24" i="11" s="1"/>
  <c r="I24" i="10"/>
  <c r="I42" i="10" s="1"/>
  <c r="I60" i="10" s="1"/>
  <c r="I79" i="10" s="1"/>
  <c r="I6" i="11" s="1"/>
  <c r="I24" i="11" s="1"/>
  <c r="H24" i="10"/>
  <c r="H42" i="10" s="1"/>
  <c r="H60" i="10" s="1"/>
  <c r="H79" i="10" s="1"/>
  <c r="H6" i="11" s="1"/>
  <c r="H24" i="11" s="1"/>
  <c r="G24" i="10"/>
  <c r="G42" i="10" s="1"/>
  <c r="G60" i="10" s="1"/>
  <c r="G79" i="10" s="1"/>
  <c r="G6" i="11" s="1"/>
  <c r="G24" i="11" s="1"/>
  <c r="F24" i="10"/>
  <c r="F42" i="10" s="1"/>
  <c r="F60" i="10" s="1"/>
  <c r="F79" i="10" s="1"/>
  <c r="F6" i="11" s="1"/>
  <c r="F24" i="11" s="1"/>
  <c r="E24" i="10"/>
  <c r="E42" i="10" s="1"/>
  <c r="E60" i="10" s="1"/>
  <c r="E79" i="10" s="1"/>
  <c r="E6" i="11" s="1"/>
  <c r="E24" i="11" s="1"/>
  <c r="K20" i="10"/>
  <c r="B10" i="9"/>
  <c r="C7" i="9" s="1"/>
  <c r="E18" i="8"/>
  <c r="E31" i="8" s="1"/>
  <c r="E32" i="8"/>
  <c r="D28" i="8"/>
  <c r="D41" i="8" s="1"/>
  <c r="C28" i="8"/>
  <c r="C41" i="8" s="1"/>
  <c r="B28" i="8"/>
  <c r="B41" i="8" s="1"/>
  <c r="D27" i="8"/>
  <c r="D40" i="8" s="1"/>
  <c r="C27" i="8"/>
  <c r="C40" i="8" s="1"/>
  <c r="B27" i="8"/>
  <c r="B40" i="8" s="1"/>
  <c r="D26" i="8"/>
  <c r="D39" i="8" s="1"/>
  <c r="C26" i="8"/>
  <c r="C39" i="8" s="1"/>
  <c r="B26" i="8"/>
  <c r="B39" i="8" s="1"/>
  <c r="D25" i="8"/>
  <c r="D38" i="8" s="1"/>
  <c r="C25" i="8"/>
  <c r="C38" i="8" s="1"/>
  <c r="B25" i="8"/>
  <c r="B38" i="8" s="1"/>
  <c r="D24" i="8"/>
  <c r="D37" i="8" s="1"/>
  <c r="C24" i="8"/>
  <c r="C37" i="8" s="1"/>
  <c r="B24" i="8"/>
  <c r="B37" i="8" s="1"/>
  <c r="D23" i="8"/>
  <c r="D36" i="8" s="1"/>
  <c r="C23" i="8"/>
  <c r="C36" i="8" s="1"/>
  <c r="B23" i="8"/>
  <c r="B36" i="8" s="1"/>
  <c r="D22" i="8"/>
  <c r="D35" i="8" s="1"/>
  <c r="C22" i="8"/>
  <c r="C35" i="8" s="1"/>
  <c r="B22" i="8"/>
  <c r="B35" i="8" s="1"/>
  <c r="D21" i="8"/>
  <c r="D34" i="8" s="1"/>
  <c r="C21" i="8"/>
  <c r="C34" i="8" s="1"/>
  <c r="B21" i="8"/>
  <c r="B34" i="8" s="1"/>
  <c r="D20" i="8"/>
  <c r="D33" i="8" s="1"/>
  <c r="C20" i="8"/>
  <c r="C33" i="8" s="1"/>
  <c r="B20" i="8"/>
  <c r="B33" i="8" s="1"/>
  <c r="D19" i="8"/>
  <c r="D32" i="8" s="1"/>
  <c r="C19" i="8"/>
  <c r="C32" i="8" s="1"/>
  <c r="B19" i="8"/>
  <c r="B32" i="8" s="1"/>
  <c r="G8" i="17" l="1"/>
  <c r="H56" i="13"/>
  <c r="G28" i="13"/>
  <c r="G37" i="13" s="1"/>
  <c r="G46" i="13" s="1"/>
  <c r="F13" i="13"/>
  <c r="H30" i="13"/>
  <c r="I30" i="13" s="1"/>
  <c r="I39" i="13" s="1"/>
  <c r="I48" i="13" s="1"/>
  <c r="G13" i="13"/>
  <c r="C20" i="13"/>
  <c r="C39" i="13" s="1"/>
  <c r="C48" i="13" s="1"/>
  <c r="E36" i="13"/>
  <c r="E45" i="13" s="1"/>
  <c r="I55" i="13"/>
  <c r="E59" i="13"/>
  <c r="K60" i="13"/>
  <c r="B32" i="13"/>
  <c r="I59" i="13"/>
  <c r="B20" i="13"/>
  <c r="B39" i="13" s="1"/>
  <c r="B48" i="13" s="1"/>
  <c r="B18" i="13"/>
  <c r="B37" i="13" s="1"/>
  <c r="B46" i="13" s="1"/>
  <c r="C31" i="13"/>
  <c r="D40" i="13"/>
  <c r="D49" i="13" s="1"/>
  <c r="A67" i="15"/>
  <c r="A8" i="13"/>
  <c r="A18" i="13" s="1"/>
  <c r="A28" i="13" s="1"/>
  <c r="A37" i="13" s="1"/>
  <c r="A46" i="13" s="1"/>
  <c r="A56" i="13" s="1"/>
  <c r="A65" i="13" s="1"/>
  <c r="A74" i="13" s="1"/>
  <c r="C17" i="13"/>
  <c r="C36" i="13" s="1"/>
  <c r="C45" i="13" s="1"/>
  <c r="C27" i="13"/>
  <c r="H57" i="13"/>
  <c r="E57" i="13"/>
  <c r="I57" i="13"/>
  <c r="F57" i="13"/>
  <c r="F54" i="15"/>
  <c r="G26" i="15"/>
  <c r="F17" i="13" s="1"/>
  <c r="E19" i="13"/>
  <c r="F56" i="15"/>
  <c r="I30" i="15"/>
  <c r="H58" i="15"/>
  <c r="J43" i="15"/>
  <c r="J53" i="15" s="1"/>
  <c r="J65" i="15" s="1"/>
  <c r="A71" i="15"/>
  <c r="A12" i="13"/>
  <c r="A22" i="13" s="1"/>
  <c r="A32" i="13" s="1"/>
  <c r="A41" i="13" s="1"/>
  <c r="A50" i="13" s="1"/>
  <c r="A60" i="13" s="1"/>
  <c r="A69" i="13" s="1"/>
  <c r="A78" i="13" s="1"/>
  <c r="J57" i="13"/>
  <c r="G28" i="15"/>
  <c r="G29" i="15"/>
  <c r="F57" i="15"/>
  <c r="E20" i="13"/>
  <c r="I31" i="15"/>
  <c r="L53" i="15"/>
  <c r="L65" i="15" s="1"/>
  <c r="E17" i="13"/>
  <c r="C29" i="13"/>
  <c r="D39" i="13"/>
  <c r="D48" i="13" s="1"/>
  <c r="E30" i="13"/>
  <c r="E39" i="13" s="1"/>
  <c r="E48" i="13" s="1"/>
  <c r="I50" i="15"/>
  <c r="G27" i="15"/>
  <c r="F55" i="15"/>
  <c r="E18" i="13"/>
  <c r="E60" i="15"/>
  <c r="D41" i="13"/>
  <c r="D50" i="13" s="1"/>
  <c r="E32" i="13"/>
  <c r="E41" i="13" s="1"/>
  <c r="E50" i="13" s="1"/>
  <c r="B31" i="13"/>
  <c r="B21" i="13"/>
  <c r="B40" i="13" s="1"/>
  <c r="B49" i="13" s="1"/>
  <c r="A68" i="15"/>
  <c r="A9" i="13"/>
  <c r="A19" i="13" s="1"/>
  <c r="A29" i="13" s="1"/>
  <c r="A38" i="13" s="1"/>
  <c r="A47" i="13" s="1"/>
  <c r="A57" i="13" s="1"/>
  <c r="A66" i="13" s="1"/>
  <c r="A75" i="13" s="1"/>
  <c r="F43" i="15"/>
  <c r="F53" i="15" s="1"/>
  <c r="F65" i="15" s="1"/>
  <c r="E26" i="13"/>
  <c r="F50" i="15"/>
  <c r="J50" i="15"/>
  <c r="D46" i="13"/>
  <c r="D47" i="13"/>
  <c r="H55" i="13"/>
  <c r="F55" i="13"/>
  <c r="E55" i="13"/>
  <c r="G56" i="13"/>
  <c r="H59" i="13"/>
  <c r="F59" i="13"/>
  <c r="G34" i="11"/>
  <c r="F35" i="11"/>
  <c r="F40" i="11" s="1"/>
  <c r="E95" i="10"/>
  <c r="G76" i="10"/>
  <c r="I76" i="10"/>
  <c r="H41" i="12"/>
  <c r="A10" i="13"/>
  <c r="A20" i="13" s="1"/>
  <c r="A30" i="13" s="1"/>
  <c r="A39" i="13" s="1"/>
  <c r="A48" i="13" s="1"/>
  <c r="A58" i="13" s="1"/>
  <c r="A67" i="13" s="1"/>
  <c r="A76" i="13" s="1"/>
  <c r="H26" i="13"/>
  <c r="A7" i="13"/>
  <c r="A17" i="13" s="1"/>
  <c r="A27" i="13" s="1"/>
  <c r="A36" i="13" s="1"/>
  <c r="A45" i="13" s="1"/>
  <c r="A55" i="13" s="1"/>
  <c r="A64" i="13" s="1"/>
  <c r="A73" i="13" s="1"/>
  <c r="A11" i="13"/>
  <c r="A21" i="13" s="1"/>
  <c r="A31" i="13" s="1"/>
  <c r="A40" i="13" s="1"/>
  <c r="A49" i="13" s="1"/>
  <c r="A59" i="13" s="1"/>
  <c r="A68" i="13" s="1"/>
  <c r="A77" i="13" s="1"/>
  <c r="D26" i="13"/>
  <c r="F19" i="13"/>
  <c r="F21" i="13"/>
  <c r="H28" i="13"/>
  <c r="H41" i="13"/>
  <c r="H50" i="13" s="1"/>
  <c r="I32" i="13"/>
  <c r="G26" i="13"/>
  <c r="B17" i="13"/>
  <c r="B36" i="13" s="1"/>
  <c r="B45" i="13" s="1"/>
  <c r="B27" i="13"/>
  <c r="C32" i="13"/>
  <c r="J26" i="13"/>
  <c r="E40" i="13"/>
  <c r="E49" i="13" s="1"/>
  <c r="F31" i="13"/>
  <c r="K35" i="13"/>
  <c r="K44" i="13" s="1"/>
  <c r="K54" i="13" s="1"/>
  <c r="K63" i="13" s="1"/>
  <c r="K64" i="13" s="1"/>
  <c r="F22" i="13"/>
  <c r="K26" i="13"/>
  <c r="I38" i="13"/>
  <c r="I47" i="13" s="1"/>
  <c r="J29" i="13"/>
  <c r="I40" i="13"/>
  <c r="I49" i="13" s="1"/>
  <c r="J31" i="13"/>
  <c r="B78" i="13"/>
  <c r="B19" i="13"/>
  <c r="B38" i="13" s="1"/>
  <c r="B47" i="13" s="1"/>
  <c r="J58" i="13"/>
  <c r="F58" i="13"/>
  <c r="I58" i="13"/>
  <c r="E58" i="13"/>
  <c r="D58" i="13"/>
  <c r="C18" i="13"/>
  <c r="C37" i="13" s="1"/>
  <c r="C46" i="13" s="1"/>
  <c r="I27" i="13"/>
  <c r="E29" i="13"/>
  <c r="G58" i="13"/>
  <c r="J60" i="13"/>
  <c r="F60" i="13"/>
  <c r="I60" i="13"/>
  <c r="E60" i="13"/>
  <c r="G60" i="13"/>
  <c r="F18" i="13"/>
  <c r="H13" i="13"/>
  <c r="D36" i="13"/>
  <c r="D45" i="13" s="1"/>
  <c r="H58" i="13"/>
  <c r="D60" i="13"/>
  <c r="B74" i="13"/>
  <c r="J56" i="13"/>
  <c r="F56" i="13"/>
  <c r="I56" i="13"/>
  <c r="E56" i="13"/>
  <c r="K56" i="13"/>
  <c r="B76" i="13"/>
  <c r="G55" i="13"/>
  <c r="K55" i="13"/>
  <c r="G57" i="13"/>
  <c r="K57" i="13"/>
  <c r="G59" i="13"/>
  <c r="K59" i="13"/>
  <c r="B73" i="13"/>
  <c r="B77" i="13"/>
  <c r="D55" i="13"/>
  <c r="D57" i="13"/>
  <c r="D59" i="13"/>
  <c r="F20" i="12"/>
  <c r="F49" i="12" s="1"/>
  <c r="G41" i="12"/>
  <c r="E41" i="12"/>
  <c r="I41" i="12"/>
  <c r="F22" i="12"/>
  <c r="F41" i="12"/>
  <c r="J41" i="12"/>
  <c r="D52" i="12"/>
  <c r="G34" i="12"/>
  <c r="G45" i="12" s="1"/>
  <c r="D34" i="12"/>
  <c r="D45" i="12" s="1"/>
  <c r="H34" i="12"/>
  <c r="H45" i="12" s="1"/>
  <c r="J34" i="12"/>
  <c r="J45" i="12" s="1"/>
  <c r="E34" i="12"/>
  <c r="E45" i="12" s="1"/>
  <c r="I34" i="12"/>
  <c r="I45" i="12" s="1"/>
  <c r="K34" i="12"/>
  <c r="K45" i="12" s="1"/>
  <c r="H18" i="12"/>
  <c r="G47" i="12"/>
  <c r="F34" i="12"/>
  <c r="F45" i="12" s="1"/>
  <c r="F47" i="12"/>
  <c r="E48" i="12"/>
  <c r="F17" i="12"/>
  <c r="F19" i="12"/>
  <c r="F21" i="12"/>
  <c r="E46" i="12"/>
  <c r="E50" i="12"/>
  <c r="E47" i="12"/>
  <c r="E49" i="12"/>
  <c r="G27" i="10"/>
  <c r="G27" i="11" s="1"/>
  <c r="F88" i="10"/>
  <c r="H34" i="10"/>
  <c r="E76" i="10"/>
  <c r="J76" i="10"/>
  <c r="F76" i="10"/>
  <c r="F89" i="10"/>
  <c r="F80" i="10"/>
  <c r="F82" i="10"/>
  <c r="J42" i="8"/>
  <c r="E42" i="8"/>
  <c r="G28" i="10"/>
  <c r="G28" i="11" s="1"/>
  <c r="G90" i="10"/>
  <c r="G36" i="10"/>
  <c r="G36" i="11" s="1"/>
  <c r="F91" i="10"/>
  <c r="F92" i="10"/>
  <c r="H27" i="10"/>
  <c r="H27" i="11" s="1"/>
  <c r="G29" i="10"/>
  <c r="G29" i="11" s="1"/>
  <c r="F85" i="10"/>
  <c r="G30" i="10"/>
  <c r="G30" i="11" s="1"/>
  <c r="F86" i="10"/>
  <c r="H35" i="10"/>
  <c r="H35" i="11" s="1"/>
  <c r="G37" i="10"/>
  <c r="G37" i="11" s="1"/>
  <c r="F93" i="10"/>
  <c r="G38" i="10"/>
  <c r="G38" i="11" s="1"/>
  <c r="F94" i="10"/>
  <c r="F84" i="10"/>
  <c r="K74" i="10"/>
  <c r="K76" i="10" s="1"/>
  <c r="G31" i="10"/>
  <c r="G31" i="11" s="1"/>
  <c r="G32" i="10"/>
  <c r="G32" i="11" s="1"/>
  <c r="G39" i="10"/>
  <c r="G39" i="11" s="1"/>
  <c r="H76" i="10"/>
  <c r="F83" i="10"/>
  <c r="G25" i="10"/>
  <c r="G25" i="11" s="1"/>
  <c r="F81" i="10"/>
  <c r="G26" i="10"/>
  <c r="G26" i="11" s="1"/>
  <c r="G33" i="10"/>
  <c r="G33" i="11" s="1"/>
  <c r="F90" i="10"/>
  <c r="F87" i="10"/>
  <c r="C6" i="9"/>
  <c r="H8" i="9"/>
  <c r="H7" i="9"/>
  <c r="C10" i="9"/>
  <c r="H9" i="9"/>
  <c r="H6" i="9"/>
  <c r="G10" i="9"/>
  <c r="E9" i="7"/>
  <c r="C9" i="7"/>
  <c r="E8" i="7"/>
  <c r="C8" i="7"/>
  <c r="E7" i="7"/>
  <c r="C7" i="7"/>
  <c r="C11" i="7" s="1"/>
  <c r="C13" i="6"/>
  <c r="C12" i="6"/>
  <c r="C11" i="6"/>
  <c r="C7" i="6"/>
  <c r="E13" i="6" s="1"/>
  <c r="F11" i="5"/>
  <c r="F7" i="4"/>
  <c r="F8" i="4"/>
  <c r="F9" i="4"/>
  <c r="C11" i="4"/>
  <c r="F11" i="4"/>
  <c r="G7" i="4" s="1"/>
  <c r="H7" i="4" s="1"/>
  <c r="I7" i="4" s="1"/>
  <c r="C11" i="5"/>
  <c r="B165" i="3"/>
  <c r="F164" i="3"/>
  <c r="D164" i="3"/>
  <c r="G164" i="3" s="1"/>
  <c r="G165" i="3" s="1"/>
  <c r="B164" i="3"/>
  <c r="G163" i="3"/>
  <c r="F163" i="3"/>
  <c r="D163" i="3"/>
  <c r="H165" i="3" s="1"/>
  <c r="K165" i="3" s="1"/>
  <c r="K167" i="3" s="1"/>
  <c r="B141" i="3"/>
  <c r="A141" i="3"/>
  <c r="A142" i="3" s="1"/>
  <c r="B140" i="3"/>
  <c r="A122" i="3"/>
  <c r="D121" i="3"/>
  <c r="B121" i="3"/>
  <c r="E121" i="3" s="1"/>
  <c r="B103" i="3"/>
  <c r="E103" i="3" s="1"/>
  <c r="A103" i="3"/>
  <c r="B102" i="3"/>
  <c r="D102" i="3" s="1"/>
  <c r="B67" i="3"/>
  <c r="B68" i="3" s="1"/>
  <c r="A55" i="3"/>
  <c r="D54" i="3"/>
  <c r="B54" i="3"/>
  <c r="E54" i="3" s="1"/>
  <c r="G9" i="17" l="1"/>
  <c r="H8" i="17" s="1"/>
  <c r="C20" i="16"/>
  <c r="J30" i="13"/>
  <c r="J39" i="13" s="1"/>
  <c r="J48" i="13" s="1"/>
  <c r="F32" i="13"/>
  <c r="F41" i="13" s="1"/>
  <c r="F50" i="13" s="1"/>
  <c r="H39" i="13"/>
  <c r="H48" i="13" s="1"/>
  <c r="K68" i="13"/>
  <c r="D51" i="13"/>
  <c r="E69" i="15"/>
  <c r="E71" i="15"/>
  <c r="E70" i="15"/>
  <c r="E66" i="15"/>
  <c r="G55" i="15"/>
  <c r="H27" i="15"/>
  <c r="G18" i="13" s="1"/>
  <c r="H29" i="15"/>
  <c r="G57" i="15"/>
  <c r="I58" i="15"/>
  <c r="J30" i="15"/>
  <c r="K66" i="13"/>
  <c r="K67" i="13"/>
  <c r="F20" i="13"/>
  <c r="F23" i="13" s="1"/>
  <c r="I59" i="15"/>
  <c r="J31" i="15"/>
  <c r="G56" i="15"/>
  <c r="H28" i="15"/>
  <c r="E68" i="15"/>
  <c r="E67" i="15"/>
  <c r="H26" i="15"/>
  <c r="G54" i="15"/>
  <c r="F60" i="15"/>
  <c r="F66" i="15" s="1"/>
  <c r="E23" i="13"/>
  <c r="G40" i="11"/>
  <c r="I34" i="10"/>
  <c r="I34" i="11" s="1"/>
  <c r="H34" i="11"/>
  <c r="G82" i="10"/>
  <c r="G20" i="12"/>
  <c r="G49" i="12" s="1"/>
  <c r="J40" i="13"/>
  <c r="J49" i="13" s="1"/>
  <c r="K31" i="13"/>
  <c r="K40" i="13" s="1"/>
  <c r="I35" i="13"/>
  <c r="I44" i="13" s="1"/>
  <c r="I54" i="13" s="1"/>
  <c r="I63" i="13" s="1"/>
  <c r="E35" i="13"/>
  <c r="E44" i="13" s="1"/>
  <c r="E54" i="13" s="1"/>
  <c r="E63" i="13" s="1"/>
  <c r="K29" i="13"/>
  <c r="K38" i="13" s="1"/>
  <c r="J38" i="13"/>
  <c r="J47" i="13" s="1"/>
  <c r="K72" i="13"/>
  <c r="K65" i="13"/>
  <c r="G19" i="13"/>
  <c r="D35" i="13"/>
  <c r="D44" i="13" s="1"/>
  <c r="D54" i="13" s="1"/>
  <c r="D63" i="13" s="1"/>
  <c r="J27" i="13"/>
  <c r="I36" i="13"/>
  <c r="I45" i="13" s="1"/>
  <c r="F35" i="13"/>
  <c r="F44" i="13" s="1"/>
  <c r="F54" i="13" s="1"/>
  <c r="F63" i="13" s="1"/>
  <c r="J35" i="13"/>
  <c r="J44" i="13" s="1"/>
  <c r="J54" i="13" s="1"/>
  <c r="J63" i="13" s="1"/>
  <c r="H35" i="13"/>
  <c r="H44" i="13" s="1"/>
  <c r="H54" i="13" s="1"/>
  <c r="H63" i="13" s="1"/>
  <c r="K6" i="13"/>
  <c r="K16" i="13" s="1"/>
  <c r="I41" i="13"/>
  <c r="I50" i="13" s="1"/>
  <c r="J32" i="13"/>
  <c r="H37" i="13"/>
  <c r="H46" i="13" s="1"/>
  <c r="I28" i="13"/>
  <c r="G21" i="13"/>
  <c r="K69" i="13"/>
  <c r="E38" i="13"/>
  <c r="E47" i="13" s="1"/>
  <c r="E51" i="13" s="1"/>
  <c r="F29" i="13"/>
  <c r="G22" i="13"/>
  <c r="G31" i="13"/>
  <c r="G40" i="13" s="1"/>
  <c r="G49" i="13" s="1"/>
  <c r="F40" i="13"/>
  <c r="F49" i="13" s="1"/>
  <c r="G35" i="13"/>
  <c r="G44" i="13" s="1"/>
  <c r="G54" i="13" s="1"/>
  <c r="G63" i="13" s="1"/>
  <c r="K30" i="13"/>
  <c r="K39" i="13" s="1"/>
  <c r="F51" i="12"/>
  <c r="G22" i="12"/>
  <c r="G51" i="12" s="1"/>
  <c r="G21" i="12"/>
  <c r="F50" i="12"/>
  <c r="F48" i="12"/>
  <c r="G19" i="12"/>
  <c r="G17" i="12"/>
  <c r="F46" i="12"/>
  <c r="E52" i="12"/>
  <c r="H47" i="12"/>
  <c r="I18" i="12"/>
  <c r="H89" i="10"/>
  <c r="F95" i="10"/>
  <c r="G88" i="10"/>
  <c r="H33" i="10"/>
  <c r="H33" i="11" s="1"/>
  <c r="H39" i="10"/>
  <c r="H39" i="11" s="1"/>
  <c r="G94" i="10"/>
  <c r="G92" i="10"/>
  <c r="H37" i="10"/>
  <c r="H37" i="11" s="1"/>
  <c r="I27" i="10"/>
  <c r="I27" i="11" s="1"/>
  <c r="H82" i="10"/>
  <c r="G81" i="10"/>
  <c r="H26" i="10"/>
  <c r="H26" i="11" s="1"/>
  <c r="H90" i="10"/>
  <c r="I35" i="10"/>
  <c r="I35" i="11" s="1"/>
  <c r="H30" i="10"/>
  <c r="H30" i="11" s="1"/>
  <c r="G85" i="10"/>
  <c r="G91" i="10"/>
  <c r="H36" i="10"/>
  <c r="H36" i="11" s="1"/>
  <c r="G87" i="10"/>
  <c r="H32" i="10"/>
  <c r="H32" i="11" s="1"/>
  <c r="G93" i="10"/>
  <c r="H38" i="10"/>
  <c r="H38" i="11" s="1"/>
  <c r="I89" i="10"/>
  <c r="J34" i="10"/>
  <c r="J34" i="11" s="1"/>
  <c r="G80" i="10"/>
  <c r="H25" i="10"/>
  <c r="H25" i="11" s="1"/>
  <c r="H31" i="10"/>
  <c r="H31" i="11" s="1"/>
  <c r="G86" i="10"/>
  <c r="G84" i="10"/>
  <c r="H29" i="10"/>
  <c r="H29" i="11" s="1"/>
  <c r="G83" i="10"/>
  <c r="H28" i="10"/>
  <c r="H28" i="11" s="1"/>
  <c r="H10" i="9"/>
  <c r="F13" i="6"/>
  <c r="C15" i="6"/>
  <c r="E12" i="6"/>
  <c r="E11" i="6"/>
  <c r="G9" i="5"/>
  <c r="G8" i="5"/>
  <c r="G7" i="5"/>
  <c r="G9" i="4"/>
  <c r="H9" i="4" s="1"/>
  <c r="I9" i="4" s="1"/>
  <c r="G8" i="4"/>
  <c r="H8" i="4" s="1"/>
  <c r="I8" i="4" s="1"/>
  <c r="I11" i="4" s="1"/>
  <c r="I12" i="4" s="1"/>
  <c r="B55" i="3"/>
  <c r="E55" i="3" s="1"/>
  <c r="A56" i="3"/>
  <c r="E102" i="3"/>
  <c r="E122" i="3"/>
  <c r="B122" i="3"/>
  <c r="D122" i="3" s="1"/>
  <c r="E141" i="3"/>
  <c r="D141" i="3"/>
  <c r="E140" i="3"/>
  <c r="E163" i="3" s="1"/>
  <c r="D140" i="3"/>
  <c r="E164" i="3" s="1"/>
  <c r="D55" i="3"/>
  <c r="A143" i="3"/>
  <c r="D103" i="3"/>
  <c r="A123" i="3"/>
  <c r="B142" i="3"/>
  <c r="E142" i="3" s="1"/>
  <c r="A104" i="3"/>
  <c r="B22" i="2"/>
  <c r="G17" i="1"/>
  <c r="I5" i="1"/>
  <c r="I6" i="1"/>
  <c r="I7" i="1"/>
  <c r="I8" i="1"/>
  <c r="I9" i="1"/>
  <c r="I10" i="1"/>
  <c r="I11" i="1"/>
  <c r="I12" i="1"/>
  <c r="I13" i="1"/>
  <c r="I14" i="1"/>
  <c r="G15" i="1"/>
  <c r="G18" i="1"/>
  <c r="D22" i="2"/>
  <c r="E22" i="2"/>
  <c r="F22" i="2"/>
  <c r="G22" i="2"/>
  <c r="C22" i="2"/>
  <c r="B17" i="1"/>
  <c r="B18" i="1" s="1"/>
  <c r="B15" i="1"/>
  <c r="C8" i="1" l="1"/>
  <c r="D8" i="1" s="1"/>
  <c r="C12" i="1"/>
  <c r="D12" i="1" s="1"/>
  <c r="C13" i="1"/>
  <c r="D13" i="1" s="1"/>
  <c r="C6" i="1"/>
  <c r="D6" i="1" s="1"/>
  <c r="C14" i="1"/>
  <c r="D14" i="1" s="1"/>
  <c r="C7" i="1"/>
  <c r="D7" i="1" s="1"/>
  <c r="C11" i="1"/>
  <c r="D11" i="1" s="1"/>
  <c r="C9" i="1"/>
  <c r="D9" i="1" s="1"/>
  <c r="C5" i="1"/>
  <c r="D5" i="1" s="1"/>
  <c r="C10" i="1"/>
  <c r="D10" i="1" s="1"/>
  <c r="I15" i="1"/>
  <c r="G20" i="1" s="1"/>
  <c r="D15" i="1"/>
  <c r="B20" i="1" s="1"/>
  <c r="H20" i="12"/>
  <c r="H7" i="5"/>
  <c r="F7" i="7"/>
  <c r="H7" i="7" s="1"/>
  <c r="I7" i="7" s="1"/>
  <c r="H8" i="5"/>
  <c r="F8" i="7"/>
  <c r="H8" i="7" s="1"/>
  <c r="I8" i="7" s="1"/>
  <c r="H9" i="5"/>
  <c r="F9" i="7"/>
  <c r="H9" i="7" s="1"/>
  <c r="I9" i="7" s="1"/>
  <c r="H6" i="17"/>
  <c r="H7" i="17"/>
  <c r="H5" i="17"/>
  <c r="C23" i="16"/>
  <c r="C21" i="16"/>
  <c r="C32" i="16" s="1"/>
  <c r="C35" i="16" s="1"/>
  <c r="H51" i="13"/>
  <c r="I26" i="15"/>
  <c r="H54" i="15"/>
  <c r="K31" i="15"/>
  <c r="J59" i="15"/>
  <c r="J58" i="15"/>
  <c r="K30" i="15"/>
  <c r="H56" i="15"/>
  <c r="I28" i="15"/>
  <c r="I29" i="15"/>
  <c r="H57" i="15"/>
  <c r="G20" i="13"/>
  <c r="F70" i="15"/>
  <c r="F71" i="15"/>
  <c r="F68" i="15"/>
  <c r="H55" i="15"/>
  <c r="I27" i="15"/>
  <c r="H18" i="13" s="1"/>
  <c r="F67" i="15"/>
  <c r="F72" i="15" s="1"/>
  <c r="G17" i="13"/>
  <c r="G60" i="15"/>
  <c r="G66" i="15"/>
  <c r="F69" i="15"/>
  <c r="G69" i="15"/>
  <c r="E72" i="15"/>
  <c r="H40" i="11"/>
  <c r="F72" i="13"/>
  <c r="F68" i="13"/>
  <c r="F66" i="13"/>
  <c r="F64" i="13"/>
  <c r="F65" i="13"/>
  <c r="F67" i="13"/>
  <c r="F69" i="13"/>
  <c r="D6" i="13"/>
  <c r="D16" i="13" s="1"/>
  <c r="H19" i="13"/>
  <c r="I37" i="13"/>
  <c r="I46" i="13" s="1"/>
  <c r="I51" i="13" s="1"/>
  <c r="J28" i="13"/>
  <c r="J37" i="13" s="1"/>
  <c r="J46" i="13" s="1"/>
  <c r="F6" i="13"/>
  <c r="F16" i="13" s="1"/>
  <c r="D72" i="13"/>
  <c r="D67" i="13"/>
  <c r="D66" i="13"/>
  <c r="D65" i="13"/>
  <c r="D64" i="13"/>
  <c r="D68" i="13"/>
  <c r="D69" i="13"/>
  <c r="H22" i="13"/>
  <c r="I6" i="13"/>
  <c r="I16" i="13" s="1"/>
  <c r="G67" i="13"/>
  <c r="G72" i="13"/>
  <c r="G65" i="13"/>
  <c r="G64" i="13"/>
  <c r="G68" i="13"/>
  <c r="G69" i="13"/>
  <c r="G66" i="13"/>
  <c r="H21" i="13"/>
  <c r="H17" i="13"/>
  <c r="H67" i="13"/>
  <c r="H72" i="13"/>
  <c r="H69" i="13"/>
  <c r="H66" i="13"/>
  <c r="H64" i="13"/>
  <c r="H68" i="13"/>
  <c r="H65" i="13"/>
  <c r="J6" i="13"/>
  <c r="J16" i="13" s="1"/>
  <c r="E6" i="13"/>
  <c r="E16" i="13" s="1"/>
  <c r="I72" i="13"/>
  <c r="I68" i="13"/>
  <c r="I66" i="13"/>
  <c r="I64" i="13"/>
  <c r="I69" i="13"/>
  <c r="I67" i="13"/>
  <c r="I65" i="13"/>
  <c r="G6" i="13"/>
  <c r="G16" i="13" s="1"/>
  <c r="F38" i="13"/>
  <c r="F47" i="13" s="1"/>
  <c r="F51" i="13" s="1"/>
  <c r="G29" i="13"/>
  <c r="G38" i="13" s="1"/>
  <c r="G47" i="13" s="1"/>
  <c r="G51" i="13" s="1"/>
  <c r="J41" i="13"/>
  <c r="J50" i="13" s="1"/>
  <c r="K32" i="13"/>
  <c r="K41" i="13" s="1"/>
  <c r="H6" i="13"/>
  <c r="H16" i="13" s="1"/>
  <c r="J72" i="13"/>
  <c r="J64" i="13"/>
  <c r="J68" i="13"/>
  <c r="J66" i="13"/>
  <c r="J65" i="13"/>
  <c r="J67" i="13"/>
  <c r="J69" i="13"/>
  <c r="J36" i="13"/>
  <c r="J45" i="13" s="1"/>
  <c r="K27" i="13"/>
  <c r="K36" i="13" s="1"/>
  <c r="K76" i="13"/>
  <c r="K77" i="13"/>
  <c r="K73" i="13"/>
  <c r="K78" i="13"/>
  <c r="K75" i="13"/>
  <c r="K74" i="13"/>
  <c r="E72" i="13"/>
  <c r="E66" i="13"/>
  <c r="E64" i="13"/>
  <c r="E68" i="13"/>
  <c r="E67" i="13"/>
  <c r="E65" i="13"/>
  <c r="E69" i="13"/>
  <c r="H22" i="12"/>
  <c r="I22" i="12" s="1"/>
  <c r="F52" i="12"/>
  <c r="G50" i="12"/>
  <c r="H21" i="12"/>
  <c r="I47" i="12"/>
  <c r="J18" i="12"/>
  <c r="I20" i="12"/>
  <c r="H49" i="12"/>
  <c r="G46" i="12"/>
  <c r="H17" i="12"/>
  <c r="H19" i="12"/>
  <c r="G48" i="12"/>
  <c r="I25" i="10"/>
  <c r="I25" i="11" s="1"/>
  <c r="H80" i="10"/>
  <c r="H91" i="10"/>
  <c r="I36" i="10"/>
  <c r="I36" i="11" s="1"/>
  <c r="I30" i="10"/>
  <c r="I30" i="11" s="1"/>
  <c r="H85" i="10"/>
  <c r="G95" i="10"/>
  <c r="H87" i="10"/>
  <c r="I32" i="10"/>
  <c r="I32" i="11" s="1"/>
  <c r="H81" i="10"/>
  <c r="I26" i="10"/>
  <c r="I26" i="11" s="1"/>
  <c r="H88" i="10"/>
  <c r="I33" i="10"/>
  <c r="I33" i="11" s="1"/>
  <c r="H84" i="10"/>
  <c r="I29" i="10"/>
  <c r="I29" i="11" s="1"/>
  <c r="I31" i="10"/>
  <c r="I31" i="11" s="1"/>
  <c r="H86" i="10"/>
  <c r="I38" i="10"/>
  <c r="I38" i="11" s="1"/>
  <c r="H93" i="10"/>
  <c r="J27" i="10"/>
  <c r="J27" i="11" s="1"/>
  <c r="I82" i="10"/>
  <c r="H83" i="10"/>
  <c r="I28" i="10"/>
  <c r="I28" i="11" s="1"/>
  <c r="K34" i="10"/>
  <c r="K34" i="11" s="1"/>
  <c r="L52" i="10"/>
  <c r="L70" i="10" s="1"/>
  <c r="J89" i="10"/>
  <c r="I90" i="10"/>
  <c r="J35" i="10"/>
  <c r="J35" i="11" s="1"/>
  <c r="H92" i="10"/>
  <c r="I37" i="10"/>
  <c r="I37" i="11" s="1"/>
  <c r="I39" i="10"/>
  <c r="I39" i="11" s="1"/>
  <c r="H94" i="10"/>
  <c r="F12" i="6"/>
  <c r="F11" i="6"/>
  <c r="F15" i="6" s="1"/>
  <c r="G13" i="6" s="1"/>
  <c r="H13" i="6" s="1"/>
  <c r="I13" i="6" s="1"/>
  <c r="B123" i="3"/>
  <c r="E123" i="3" s="1"/>
  <c r="A124" i="3"/>
  <c r="D142" i="3"/>
  <c r="D170" i="3"/>
  <c r="E165" i="3"/>
  <c r="B168" i="3" s="1"/>
  <c r="E56" i="3"/>
  <c r="B56" i="3"/>
  <c r="D56" i="3"/>
  <c r="A57" i="3"/>
  <c r="D104" i="3"/>
  <c r="A105" i="3"/>
  <c r="B104" i="3"/>
  <c r="E104" i="3" s="1"/>
  <c r="A144" i="3"/>
  <c r="B143" i="3"/>
  <c r="E143" i="3" s="1"/>
  <c r="I11" i="7" l="1"/>
  <c r="I11" i="5"/>
  <c r="I12" i="5" s="1"/>
  <c r="H9" i="17"/>
  <c r="C24" i="16"/>
  <c r="G23" i="13"/>
  <c r="J51" i="13"/>
  <c r="G71" i="15"/>
  <c r="G70" i="15"/>
  <c r="G67" i="15"/>
  <c r="K58" i="15"/>
  <c r="L39" i="15"/>
  <c r="H60" i="15"/>
  <c r="H66" i="15"/>
  <c r="I55" i="15"/>
  <c r="J27" i="15"/>
  <c r="H68" i="15"/>
  <c r="M16" i="15" s="1"/>
  <c r="G68" i="15"/>
  <c r="I54" i="15"/>
  <c r="J26" i="15"/>
  <c r="G72" i="15"/>
  <c r="I57" i="15"/>
  <c r="J29" i="15"/>
  <c r="H20" i="13"/>
  <c r="H23" i="13" s="1"/>
  <c r="K59" i="15"/>
  <c r="L40" i="15"/>
  <c r="H69" i="15"/>
  <c r="M17" i="15" s="1"/>
  <c r="J28" i="15"/>
  <c r="I56" i="15"/>
  <c r="I40" i="11"/>
  <c r="L34" i="10"/>
  <c r="L34" i="11" s="1"/>
  <c r="H51" i="12"/>
  <c r="E78" i="13"/>
  <c r="E74" i="13"/>
  <c r="E75" i="13"/>
  <c r="E77" i="13"/>
  <c r="E73" i="13"/>
  <c r="E76" i="13"/>
  <c r="G76" i="13"/>
  <c r="G77" i="13"/>
  <c r="G73" i="13"/>
  <c r="G74" i="13"/>
  <c r="G78" i="13"/>
  <c r="G75" i="13"/>
  <c r="L10" i="13"/>
  <c r="L75" i="13"/>
  <c r="L76" i="13"/>
  <c r="J75" i="13"/>
  <c r="J76" i="13"/>
  <c r="J73" i="13"/>
  <c r="J78" i="13"/>
  <c r="J77" i="13"/>
  <c r="J74" i="13"/>
  <c r="I18" i="13"/>
  <c r="I17" i="13"/>
  <c r="I21" i="13"/>
  <c r="I22" i="13"/>
  <c r="D77" i="13"/>
  <c r="D73" i="13"/>
  <c r="D78" i="13"/>
  <c r="D74" i="13"/>
  <c r="D75" i="13"/>
  <c r="D76" i="13"/>
  <c r="L73" i="13"/>
  <c r="L9" i="13"/>
  <c r="H77" i="13"/>
  <c r="H73" i="13"/>
  <c r="H78" i="13"/>
  <c r="H74" i="13"/>
  <c r="H76" i="13"/>
  <c r="H75" i="13"/>
  <c r="F75" i="13"/>
  <c r="F76" i="13"/>
  <c r="F77" i="13"/>
  <c r="F78" i="13"/>
  <c r="F74" i="13"/>
  <c r="F73" i="13"/>
  <c r="I78" i="13"/>
  <c r="I74" i="13"/>
  <c r="I75" i="13"/>
  <c r="I76" i="13"/>
  <c r="I73" i="13"/>
  <c r="I77" i="13"/>
  <c r="I19" i="13"/>
  <c r="H46" i="12"/>
  <c r="I17" i="12"/>
  <c r="H50" i="12"/>
  <c r="I21" i="12"/>
  <c r="I49" i="12"/>
  <c r="J20" i="12"/>
  <c r="H48" i="12"/>
  <c r="I19" i="12"/>
  <c r="G52" i="12"/>
  <c r="K27" i="12"/>
  <c r="K18" i="12" s="1"/>
  <c r="J47" i="12"/>
  <c r="I51" i="12"/>
  <c r="J22" i="12"/>
  <c r="K89" i="10"/>
  <c r="I93" i="10"/>
  <c r="J38" i="10"/>
  <c r="J38" i="11" s="1"/>
  <c r="J26" i="10"/>
  <c r="J26" i="11" s="1"/>
  <c r="I81" i="10"/>
  <c r="I85" i="10"/>
  <c r="J30" i="10"/>
  <c r="J30" i="11" s="1"/>
  <c r="I94" i="10"/>
  <c r="J39" i="10"/>
  <c r="J39" i="11" s="1"/>
  <c r="J90" i="10"/>
  <c r="K35" i="10"/>
  <c r="K35" i="11" s="1"/>
  <c r="L53" i="10"/>
  <c r="L71" i="10" s="1"/>
  <c r="J28" i="10"/>
  <c r="J28" i="11" s="1"/>
  <c r="I83" i="10"/>
  <c r="K27" i="10"/>
  <c r="K27" i="11" s="1"/>
  <c r="L45" i="10"/>
  <c r="L63" i="10" s="1"/>
  <c r="J82" i="10"/>
  <c r="I86" i="10"/>
  <c r="J31" i="10"/>
  <c r="J31" i="11" s="1"/>
  <c r="I88" i="10"/>
  <c r="J33" i="10"/>
  <c r="J33" i="11" s="1"/>
  <c r="J36" i="10"/>
  <c r="J36" i="11" s="1"/>
  <c r="I91" i="10"/>
  <c r="H95" i="10"/>
  <c r="J37" i="10"/>
  <c r="J37" i="11" s="1"/>
  <c r="I92" i="10"/>
  <c r="J29" i="10"/>
  <c r="J29" i="11" s="1"/>
  <c r="I84" i="10"/>
  <c r="I87" i="10"/>
  <c r="J32" i="10"/>
  <c r="J32" i="11" s="1"/>
  <c r="I80" i="10"/>
  <c r="J25" i="10"/>
  <c r="J25" i="11" s="1"/>
  <c r="G11" i="6"/>
  <c r="H11" i="6" s="1"/>
  <c r="I11" i="6" s="1"/>
  <c r="G12" i="6"/>
  <c r="H12" i="6" s="1"/>
  <c r="I12" i="6" s="1"/>
  <c r="E124" i="3"/>
  <c r="B124" i="3"/>
  <c r="D124" i="3" s="1"/>
  <c r="A125" i="3"/>
  <c r="E57" i="3"/>
  <c r="B57" i="3"/>
  <c r="D57" i="3"/>
  <c r="A58" i="3"/>
  <c r="D123" i="3"/>
  <c r="A145" i="3"/>
  <c r="B144" i="3"/>
  <c r="E144" i="3" s="1"/>
  <c r="D143" i="3"/>
  <c r="D105" i="3"/>
  <c r="A106" i="3"/>
  <c r="E105" i="3"/>
  <c r="B105" i="3"/>
  <c r="I12" i="7" l="1"/>
  <c r="C25" i="16"/>
  <c r="D8" i="16"/>
  <c r="D19" i="16"/>
  <c r="D21" i="16" s="1"/>
  <c r="D32" i="16" s="1"/>
  <c r="D35" i="16" s="1"/>
  <c r="J56" i="15"/>
  <c r="K28" i="15"/>
  <c r="H72" i="15"/>
  <c r="M14" i="15"/>
  <c r="J54" i="15"/>
  <c r="K26" i="15"/>
  <c r="H71" i="15"/>
  <c r="H70" i="15"/>
  <c r="L49" i="15"/>
  <c r="K29" i="15"/>
  <c r="J57" i="15"/>
  <c r="I20" i="13"/>
  <c r="I23" i="13" s="1"/>
  <c r="I66" i="15"/>
  <c r="I60" i="15"/>
  <c r="I67" i="15" s="1"/>
  <c r="K27" i="15"/>
  <c r="J55" i="15"/>
  <c r="L48" i="15"/>
  <c r="H67" i="15"/>
  <c r="I68" i="15"/>
  <c r="L31" i="15"/>
  <c r="I69" i="15"/>
  <c r="L30" i="15"/>
  <c r="L35" i="10"/>
  <c r="L35" i="11" s="1"/>
  <c r="J40" i="11"/>
  <c r="L89" i="10"/>
  <c r="L8" i="13"/>
  <c r="J19" i="13"/>
  <c r="J22" i="13"/>
  <c r="J21" i="13"/>
  <c r="L12" i="13"/>
  <c r="J18" i="13"/>
  <c r="L7" i="13"/>
  <c r="J49" i="12"/>
  <c r="K29" i="12"/>
  <c r="K20" i="12" s="1"/>
  <c r="I50" i="12"/>
  <c r="J21" i="12"/>
  <c r="I46" i="12"/>
  <c r="J17" i="12"/>
  <c r="K31" i="12"/>
  <c r="J51" i="12"/>
  <c r="K47" i="12"/>
  <c r="K36" i="12"/>
  <c r="I48" i="12"/>
  <c r="J19" i="12"/>
  <c r="H52" i="12"/>
  <c r="L25" i="10"/>
  <c r="L25" i="11" s="1"/>
  <c r="K25" i="10"/>
  <c r="K25" i="11" s="1"/>
  <c r="J80" i="10"/>
  <c r="L43" i="10"/>
  <c r="L61" i="10" s="1"/>
  <c r="J84" i="10"/>
  <c r="L47" i="10"/>
  <c r="L65" i="10" s="1"/>
  <c r="K29" i="10"/>
  <c r="K29" i="11" s="1"/>
  <c r="J88" i="10"/>
  <c r="K33" i="10"/>
  <c r="K33" i="11" s="1"/>
  <c r="L51" i="10"/>
  <c r="L69" i="10" s="1"/>
  <c r="J86" i="10"/>
  <c r="L49" i="10"/>
  <c r="L67" i="10" s="1"/>
  <c r="L31" i="10"/>
  <c r="L31" i="11" s="1"/>
  <c r="K31" i="10"/>
  <c r="K31" i="11" s="1"/>
  <c r="K28" i="10"/>
  <c r="K28" i="11" s="1"/>
  <c r="J83" i="10"/>
  <c r="L46" i="10"/>
  <c r="L64" i="10" s="1"/>
  <c r="L90" i="10"/>
  <c r="K30" i="10"/>
  <c r="K30" i="11" s="1"/>
  <c r="L48" i="10"/>
  <c r="L66" i="10" s="1"/>
  <c r="J85" i="10"/>
  <c r="J81" i="10"/>
  <c r="K26" i="10"/>
  <c r="K26" i="11" s="1"/>
  <c r="L44" i="10"/>
  <c r="L62" i="10" s="1"/>
  <c r="L26" i="10"/>
  <c r="L26" i="11" s="1"/>
  <c r="I95" i="10"/>
  <c r="K36" i="10"/>
  <c r="K36" i="11" s="1"/>
  <c r="J91" i="10"/>
  <c r="L54" i="10"/>
  <c r="L72" i="10" s="1"/>
  <c r="K82" i="10"/>
  <c r="J94" i="10"/>
  <c r="L57" i="10"/>
  <c r="L75" i="10" s="1"/>
  <c r="K39" i="10"/>
  <c r="K39" i="11" s="1"/>
  <c r="J87" i="10"/>
  <c r="K32" i="10"/>
  <c r="K32" i="11" s="1"/>
  <c r="L50" i="10"/>
  <c r="L68" i="10" s="1"/>
  <c r="J92" i="10"/>
  <c r="L55" i="10"/>
  <c r="L73" i="10" s="1"/>
  <c r="K37" i="10"/>
  <c r="K37" i="11" s="1"/>
  <c r="L27" i="10"/>
  <c r="L27" i="11" s="1"/>
  <c r="K90" i="10"/>
  <c r="K38" i="10"/>
  <c r="K38" i="11" s="1"/>
  <c r="J93" i="10"/>
  <c r="L56" i="10"/>
  <c r="L74" i="10" s="1"/>
  <c r="I15" i="6"/>
  <c r="I16" i="6" s="1"/>
  <c r="A107" i="3"/>
  <c r="B106" i="3"/>
  <c r="D106" i="3" s="1"/>
  <c r="D144" i="3"/>
  <c r="B58" i="3"/>
  <c r="E58" i="3" s="1"/>
  <c r="D58" i="3"/>
  <c r="A59" i="3"/>
  <c r="B125" i="3"/>
  <c r="E125" i="3" s="1"/>
  <c r="A126" i="3"/>
  <c r="A146" i="3"/>
  <c r="E145" i="3"/>
  <c r="D145" i="3"/>
  <c r="B145" i="3"/>
  <c r="D24" i="16" l="1"/>
  <c r="L69" i="15"/>
  <c r="L58" i="15"/>
  <c r="J67" i="15"/>
  <c r="J66" i="15"/>
  <c r="J60" i="15"/>
  <c r="L59" i="15"/>
  <c r="L70" i="15"/>
  <c r="I72" i="15"/>
  <c r="L35" i="15"/>
  <c r="L44" i="15" s="1"/>
  <c r="K54" i="15"/>
  <c r="J17" i="13"/>
  <c r="M15" i="15"/>
  <c r="L74" i="13"/>
  <c r="K55" i="15"/>
  <c r="L36" i="15"/>
  <c r="L45" i="15" s="1"/>
  <c r="J69" i="15"/>
  <c r="M18" i="15"/>
  <c r="M21" i="15" s="1"/>
  <c r="L77" i="13"/>
  <c r="L11" i="13"/>
  <c r="L13" i="13" s="1"/>
  <c r="L14" i="13" s="1"/>
  <c r="L37" i="15"/>
  <c r="L46" i="15" s="1"/>
  <c r="K56" i="15"/>
  <c r="L28" i="15"/>
  <c r="K19" i="13" s="1"/>
  <c r="I70" i="15"/>
  <c r="I71" i="15"/>
  <c r="K57" i="15"/>
  <c r="L29" i="15"/>
  <c r="L38" i="15"/>
  <c r="J20" i="13"/>
  <c r="M19" i="15"/>
  <c r="L78" i="13"/>
  <c r="J68" i="15"/>
  <c r="K40" i="11"/>
  <c r="L29" i="10"/>
  <c r="L29" i="11" s="1"/>
  <c r="K45" i="13"/>
  <c r="K22" i="13"/>
  <c r="K49" i="13"/>
  <c r="K47" i="13"/>
  <c r="K50" i="13"/>
  <c r="K40" i="12"/>
  <c r="J48" i="12"/>
  <c r="K28" i="12"/>
  <c r="K19" i="12" s="1"/>
  <c r="K30" i="12"/>
  <c r="K21" i="12" s="1"/>
  <c r="J50" i="12"/>
  <c r="K49" i="12"/>
  <c r="K22" i="12"/>
  <c r="K26" i="12"/>
  <c r="K17" i="12" s="1"/>
  <c r="J46" i="12"/>
  <c r="K38" i="12"/>
  <c r="I52" i="12"/>
  <c r="L39" i="10"/>
  <c r="L39" i="11" s="1"/>
  <c r="L36" i="10"/>
  <c r="L28" i="10"/>
  <c r="L28" i="11" s="1"/>
  <c r="K91" i="10"/>
  <c r="K86" i="10"/>
  <c r="J95" i="10"/>
  <c r="L37" i="10"/>
  <c r="L37" i="11" s="1"/>
  <c r="K94" i="10"/>
  <c r="K81" i="10"/>
  <c r="L86" i="10"/>
  <c r="K80" i="10"/>
  <c r="L82" i="10"/>
  <c r="L32" i="10"/>
  <c r="L32" i="11" s="1"/>
  <c r="L81" i="10"/>
  <c r="K83" i="10"/>
  <c r="K88" i="10"/>
  <c r="K84" i="10"/>
  <c r="L80" i="10"/>
  <c r="L38" i="10"/>
  <c r="L38" i="11" s="1"/>
  <c r="K93" i="10"/>
  <c r="K92" i="10"/>
  <c r="K87" i="10"/>
  <c r="L30" i="10"/>
  <c r="L30" i="11" s="1"/>
  <c r="K85" i="10"/>
  <c r="L33" i="10"/>
  <c r="L33" i="11" s="1"/>
  <c r="L76" i="10"/>
  <c r="D125" i="3"/>
  <c r="E106" i="3"/>
  <c r="A147" i="3"/>
  <c r="E146" i="3"/>
  <c r="D146" i="3"/>
  <c r="B146" i="3"/>
  <c r="D107" i="3"/>
  <c r="A108" i="3"/>
  <c r="E107" i="3"/>
  <c r="B107" i="3"/>
  <c r="E126" i="3"/>
  <c r="D126" i="3"/>
  <c r="B126" i="3"/>
  <c r="A127" i="3"/>
  <c r="B59" i="3"/>
  <c r="D59" i="3" s="1"/>
  <c r="A60" i="3"/>
  <c r="D25" i="16" l="1"/>
  <c r="E8" i="16"/>
  <c r="E19" i="16"/>
  <c r="E21" i="16" s="1"/>
  <c r="E32" i="16" s="1"/>
  <c r="E35" i="16" s="1"/>
  <c r="J23" i="13"/>
  <c r="K46" i="13"/>
  <c r="K68" i="15"/>
  <c r="L6" i="15" s="1"/>
  <c r="K67" i="15"/>
  <c r="L5" i="15" s="1"/>
  <c r="K60" i="15"/>
  <c r="K69" i="15" s="1"/>
  <c r="L7" i="15" s="1"/>
  <c r="L68" i="15"/>
  <c r="L57" i="15"/>
  <c r="K20" i="13"/>
  <c r="L79" i="13"/>
  <c r="L71" i="15"/>
  <c r="L56" i="15"/>
  <c r="L67" i="15"/>
  <c r="L47" i="15"/>
  <c r="L50" i="15" s="1"/>
  <c r="K48" i="13"/>
  <c r="L27" i="15"/>
  <c r="L26" i="15"/>
  <c r="L54" i="15" s="1"/>
  <c r="J70" i="15"/>
  <c r="J72" i="15" s="1"/>
  <c r="J71" i="15"/>
  <c r="L94" i="10"/>
  <c r="L84" i="10"/>
  <c r="L91" i="10"/>
  <c r="L36" i="11"/>
  <c r="L40" i="11" s="1"/>
  <c r="L83" i="10"/>
  <c r="K18" i="13"/>
  <c r="K21" i="13"/>
  <c r="K46" i="12"/>
  <c r="K50" i="12"/>
  <c r="K48" i="12"/>
  <c r="J52" i="12"/>
  <c r="K51" i="12"/>
  <c r="K35" i="12"/>
  <c r="K39" i="12"/>
  <c r="K37" i="12"/>
  <c r="L93" i="10"/>
  <c r="L85" i="10"/>
  <c r="L88" i="10"/>
  <c r="K95" i="10"/>
  <c r="L92" i="10"/>
  <c r="L87" i="10"/>
  <c r="E59" i="3"/>
  <c r="A148" i="3"/>
  <c r="E147" i="3"/>
  <c r="D147" i="3"/>
  <c r="B147" i="3"/>
  <c r="B60" i="3"/>
  <c r="E60" i="3" s="1"/>
  <c r="D60" i="3"/>
  <c r="A61" i="3"/>
  <c r="B127" i="3"/>
  <c r="D127" i="3" s="1"/>
  <c r="A128" i="3"/>
  <c r="D108" i="3"/>
  <c r="A109" i="3"/>
  <c r="E108" i="3"/>
  <c r="B108" i="3"/>
  <c r="E24" i="16" l="1"/>
  <c r="F8" i="16" s="1"/>
  <c r="K51" i="13"/>
  <c r="K17" i="13"/>
  <c r="K23" i="13" s="1"/>
  <c r="L55" i="15"/>
  <c r="L60" i="15" s="1"/>
  <c r="L66" i="15"/>
  <c r="L72" i="15" s="1"/>
  <c r="K66" i="15"/>
  <c r="K70" i="15"/>
  <c r="L8" i="15" s="1"/>
  <c r="K71" i="15"/>
  <c r="L9" i="15" s="1"/>
  <c r="L95" i="10"/>
  <c r="K52" i="12"/>
  <c r="K41" i="12"/>
  <c r="E127" i="3"/>
  <c r="A149" i="3"/>
  <c r="E148" i="3"/>
  <c r="D148" i="3"/>
  <c r="B148" i="3"/>
  <c r="D109" i="3"/>
  <c r="A110" i="3"/>
  <c r="E109" i="3"/>
  <c r="B109" i="3"/>
  <c r="B128" i="3"/>
  <c r="E128" i="3" s="1"/>
  <c r="A129" i="3"/>
  <c r="B61" i="3"/>
  <c r="D61" i="3" s="1"/>
  <c r="A62" i="3"/>
  <c r="E25" i="16" l="1"/>
  <c r="F19" i="16"/>
  <c r="F21" i="16" s="1"/>
  <c r="K72" i="15"/>
  <c r="L4" i="15"/>
  <c r="L10" i="15" s="1"/>
  <c r="B62" i="3"/>
  <c r="E62" i="3" s="1"/>
  <c r="D62" i="3"/>
  <c r="A63" i="3"/>
  <c r="A150" i="3"/>
  <c r="B149" i="3"/>
  <c r="D149" i="3" s="1"/>
  <c r="D128" i="3"/>
  <c r="A111" i="3"/>
  <c r="E110" i="3"/>
  <c r="B110" i="3"/>
  <c r="D110" i="3" s="1"/>
  <c r="E61" i="3"/>
  <c r="E129" i="3"/>
  <c r="D129" i="3"/>
  <c r="B129" i="3"/>
  <c r="A130" i="3"/>
  <c r="F24" i="16" l="1"/>
  <c r="F32" i="16"/>
  <c r="F35" i="16" s="1"/>
  <c r="G19" i="16"/>
  <c r="G21" i="16" s="1"/>
  <c r="G32" i="16" s="1"/>
  <c r="G35" i="16" s="1"/>
  <c r="F25" i="16"/>
  <c r="G8" i="16"/>
  <c r="B130" i="3"/>
  <c r="E130" i="3" s="1"/>
  <c r="A131" i="3"/>
  <c r="E149" i="3"/>
  <c r="B63" i="3"/>
  <c r="E63" i="3" s="1"/>
  <c r="D63" i="3"/>
  <c r="A64" i="3"/>
  <c r="A112" i="3"/>
  <c r="E111" i="3"/>
  <c r="B111" i="3"/>
  <c r="D111" i="3" s="1"/>
  <c r="B150" i="3"/>
  <c r="D150" i="3" s="1"/>
  <c r="G24" i="16" l="1"/>
  <c r="G25" i="16" s="1"/>
  <c r="B112" i="3"/>
  <c r="D112" i="3" s="1"/>
  <c r="E150" i="3"/>
  <c r="D130" i="3"/>
  <c r="B131" i="3"/>
  <c r="E131" i="3" s="1"/>
  <c r="B64" i="3"/>
  <c r="E64" i="3" s="1"/>
  <c r="D64" i="3"/>
  <c r="H19" i="16" l="1"/>
  <c r="H21" i="16" s="1"/>
  <c r="H32" i="16" s="1"/>
  <c r="H35" i="16" s="1"/>
  <c r="H8" i="16"/>
  <c r="D131" i="3"/>
  <c r="E112" i="3"/>
  <c r="H24" i="16" l="1"/>
  <c r="I8" i="16" s="1"/>
  <c r="J19" i="16"/>
  <c r="I19" i="16"/>
  <c r="I21" i="16" s="1"/>
  <c r="I32" i="16" s="1"/>
  <c r="I35" i="16" s="1"/>
  <c r="H25" i="16" l="1"/>
  <c r="I24" i="16"/>
  <c r="J8" i="16" l="1"/>
  <c r="I25" i="16"/>
  <c r="J20" i="16" l="1"/>
  <c r="J23" i="16" l="1"/>
  <c r="J21" i="16"/>
  <c r="D27" i="16" l="1"/>
  <c r="J32" i="16"/>
  <c r="J35" i="16" s="1"/>
  <c r="D37" i="16" s="1"/>
  <c r="B21" i="16"/>
  <c r="J24" i="16"/>
</calcChain>
</file>

<file path=xl/sharedStrings.xml><?xml version="1.0" encoding="utf-8"?>
<sst xmlns="http://schemas.openxmlformats.org/spreadsheetml/2006/main" count="618" uniqueCount="285">
  <si>
    <t>Year</t>
  </si>
  <si>
    <t>ROR</t>
  </si>
  <si>
    <t xml:space="preserve">  Total</t>
  </si>
  <si>
    <t>Observations=</t>
  </si>
  <si>
    <t>n</t>
  </si>
  <si>
    <t>Average =</t>
  </si>
  <si>
    <t>Total ROR / n</t>
  </si>
  <si>
    <t>Variance =</t>
  </si>
  <si>
    <t>Standard Dev.=</t>
  </si>
  <si>
    <t>Deviation to return
(X-Avg(X))</t>
  </si>
  <si>
    <t>Net CF ($)</t>
  </si>
  <si>
    <t>1 = + (-0.1 / (1+IRR) + (-0.5 / (1+ IRR) ^2 + (0.8 / (1+ IRR)^3) + (1.0 / (1+IRR)^4</t>
  </si>
  <si>
    <t>Excel</t>
  </si>
  <si>
    <t>IRR</t>
  </si>
  <si>
    <t>Internal Rate of Return (IRR)</t>
  </si>
  <si>
    <t>HISTORICAL RETURN ANALYSIS</t>
  </si>
  <si>
    <t>PORTOLIO A</t>
  </si>
  <si>
    <t>PORTOLIO B</t>
  </si>
  <si>
    <t>Figure 1.2</t>
  </si>
  <si>
    <t>Figure 1.1</t>
  </si>
  <si>
    <t>=IRR(B11:F11)</t>
  </si>
  <si>
    <t>B</t>
  </si>
  <si>
    <t>C</t>
  </si>
  <si>
    <t>D</t>
  </si>
  <si>
    <t>E</t>
  </si>
  <si>
    <t>F</t>
  </si>
  <si>
    <t>MEASURING RISK, RETURN, ASSET ALLOCATION, COVARIANCE &amp; CORRELATION</t>
  </si>
  <si>
    <t>Stocks (s)</t>
  </si>
  <si>
    <t>Bonds (b)</t>
  </si>
  <si>
    <r>
      <t xml:space="preserve">Scenario 
</t>
    </r>
    <r>
      <rPr>
        <b/>
        <sz val="14"/>
        <rFont val="Arial"/>
        <family val="2"/>
      </rPr>
      <t>(S)</t>
    </r>
  </si>
  <si>
    <r>
      <t xml:space="preserve">Probability
</t>
    </r>
    <r>
      <rPr>
        <b/>
        <sz val="14"/>
        <rFont val="Arial"/>
        <family val="2"/>
      </rPr>
      <t>(p)</t>
    </r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</si>
  <si>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s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</si>
  <si>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s
%</t>
    </r>
  </si>
  <si>
    <t>Deviation for Exp. Ret.
(Dev.)</t>
  </si>
  <si>
    <t>Square Deviation
(SD)
Dev^2</t>
  </si>
  <si>
    <t>p * SD</t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</si>
  <si>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b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</si>
  <si>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b
%</t>
    </r>
  </si>
  <si>
    <t>Recession (Sr)</t>
  </si>
  <si>
    <t>Normal (Sn)</t>
  </si>
  <si>
    <t>Boom (Sb)</t>
  </si>
  <si>
    <t>%</t>
  </si>
  <si>
    <t>Variance=</t>
  </si>
  <si>
    <t>SD =</t>
  </si>
  <si>
    <t>PORTFOLIO ANALYSIS (Asset Allocation)</t>
  </si>
  <si>
    <t>Asset Allocation</t>
  </si>
  <si>
    <t>COVARIANCE &amp; CORRELATION</t>
  </si>
  <si>
    <t>Stocks (Deviation from the mean)</t>
  </si>
  <si>
    <t>Bonds (Deviation from the mean)</t>
  </si>
  <si>
    <t>Ds * Db</t>
  </si>
  <si>
    <t>Covariance
 [p * (Ds*Db)</t>
  </si>
  <si>
    <t>Covariance=</t>
  </si>
  <si>
    <t>Correlation Coefficient =</t>
  </si>
  <si>
    <t>FINDING RISK RETURN EFFICIENCY (EFFICIENT FRONTIER) AND OPTIMIZATION (SHARPE RATIO)</t>
  </si>
  <si>
    <t>Parameters</t>
  </si>
  <si>
    <t>E (rs) =</t>
  </si>
  <si>
    <t>E (rb) =</t>
  </si>
  <si>
    <t>σs =</t>
  </si>
  <si>
    <t>σb=</t>
  </si>
  <si>
    <t>Psb =</t>
  </si>
  <si>
    <t>Portfolio Weights</t>
  </si>
  <si>
    <t>Std Dev.</t>
  </si>
  <si>
    <t>Exp Return</t>
  </si>
  <si>
    <t>Ws</t>
  </si>
  <si>
    <t>Wb</t>
  </si>
  <si>
    <t>σp %</t>
  </si>
  <si>
    <t xml:space="preserve"> E(rp) %</t>
  </si>
  <si>
    <t>Minimum Variance</t>
  </si>
  <si>
    <t>Stocks</t>
  </si>
  <si>
    <t>Bonds</t>
  </si>
  <si>
    <t>With Correlation = 1</t>
  </si>
  <si>
    <t>With Correlation = -1</t>
  </si>
  <si>
    <t>CALCULATING PORTFOLIO OPTIMIZATION (SHARPE RATIO)</t>
  </si>
  <si>
    <t>Correlation between B and S =</t>
  </si>
  <si>
    <t>Portfolio %</t>
  </si>
  <si>
    <t>Weights</t>
  </si>
  <si>
    <t>Returns (%)</t>
  </si>
  <si>
    <t>σ (%)</t>
  </si>
  <si>
    <r>
      <t>(Wb.</t>
    </r>
    <r>
      <rPr>
        <b/>
        <sz val="10"/>
        <rFont val="Arial"/>
        <family val="2"/>
      </rPr>
      <t>σb)^2+(Ws.σs)^2</t>
    </r>
  </si>
  <si>
    <r>
      <t>2*(Wb.</t>
    </r>
    <r>
      <rPr>
        <b/>
        <sz val="10"/>
        <rFont val="Arial"/>
        <family val="2"/>
      </rPr>
      <t>σb.Wb.σb).p</t>
    </r>
  </si>
  <si>
    <t>σ (bs) (%)</t>
  </si>
  <si>
    <t>Risk Free Portfolio</t>
  </si>
  <si>
    <t>T-Bills</t>
  </si>
  <si>
    <t>Risky Portfolio</t>
  </si>
  <si>
    <t>Sharpe Ratio</t>
  </si>
  <si>
    <t>Expected Return  of Total Portfolio =</t>
  </si>
  <si>
    <t>SCENARIO PERFROMANCE ANALYSIS</t>
  </si>
  <si>
    <t>Recession</t>
  </si>
  <si>
    <t>Normal</t>
  </si>
  <si>
    <t>Boom</t>
  </si>
  <si>
    <r>
      <t xml:space="preserve">Economic
Scenario 
</t>
    </r>
    <r>
      <rPr>
        <b/>
        <sz val="14"/>
        <rFont val="Arial"/>
        <family val="2"/>
      </rPr>
      <t>(S)</t>
    </r>
  </si>
  <si>
    <t>Figure 1.3</t>
  </si>
  <si>
    <t>Figure 1.4</t>
  </si>
  <si>
    <t>Stocks (Ws) =</t>
  </si>
  <si>
    <t>Bonds (Wb) =</t>
  </si>
  <si>
    <r>
      <t>(Ws * r</t>
    </r>
    <r>
      <rPr>
        <b/>
        <sz val="10"/>
        <rFont val="Arial"/>
        <family val="2"/>
      </rPr>
      <t>s</t>
    </r>
    <r>
      <rPr>
        <b/>
        <sz val="14"/>
        <rFont val="Arial"/>
        <family val="2"/>
      </rPr>
      <t>) + (Wb * r</t>
    </r>
    <r>
      <rPr>
        <b/>
        <sz val="10"/>
        <rFont val="Arial"/>
        <family val="2"/>
      </rPr>
      <t>b</t>
    </r>
    <r>
      <rPr>
        <b/>
        <sz val="14"/>
        <rFont val="Arial"/>
        <family val="2"/>
      </rPr>
      <t>)</t>
    </r>
  </si>
  <si>
    <t>Figure 1.5</t>
  </si>
  <si>
    <t>Weights (W%)</t>
  </si>
  <si>
    <t>Figure 1.6</t>
  </si>
  <si>
    <t>STOCK PORTFOLIO</t>
  </si>
  <si>
    <t>Stock Prices</t>
  </si>
  <si>
    <t>Symbol</t>
  </si>
  <si>
    <t>Company Name</t>
  </si>
  <si>
    <t>Industry</t>
  </si>
  <si>
    <t>ABC</t>
  </si>
  <si>
    <t>ABC Chem Inc</t>
  </si>
  <si>
    <t>Chemicals</t>
  </si>
  <si>
    <t>BCD</t>
  </si>
  <si>
    <t>BCD  Precision Inc</t>
  </si>
  <si>
    <t>Industrial</t>
  </si>
  <si>
    <t>CDE</t>
  </si>
  <si>
    <t>CDE Inc</t>
  </si>
  <si>
    <t>Publishing</t>
  </si>
  <si>
    <t>DEF</t>
  </si>
  <si>
    <t>DEF Inc</t>
  </si>
  <si>
    <t>Hospitality</t>
  </si>
  <si>
    <t>EFG</t>
  </si>
  <si>
    <t>Effective Inc</t>
  </si>
  <si>
    <t>TV/Cable</t>
  </si>
  <si>
    <t>FGH</t>
  </si>
  <si>
    <t>FGH Inc</t>
  </si>
  <si>
    <t>Techonlogy</t>
  </si>
  <si>
    <t>GHI</t>
  </si>
  <si>
    <t>General HI</t>
  </si>
  <si>
    <t>Service</t>
  </si>
  <si>
    <t>HIK</t>
  </si>
  <si>
    <t>Hicks Kental Inc</t>
  </si>
  <si>
    <t>Retail</t>
  </si>
  <si>
    <t>IKL</t>
  </si>
  <si>
    <t>IKL Inc</t>
  </si>
  <si>
    <t>Pharmaceutical</t>
  </si>
  <si>
    <t>KLM</t>
  </si>
  <si>
    <t>KLM Health</t>
  </si>
  <si>
    <t>Healthcare</t>
  </si>
  <si>
    <t>LMN</t>
  </si>
  <si>
    <t>LMN Hotel &amp; Resorts</t>
  </si>
  <si>
    <t>MNO</t>
  </si>
  <si>
    <t>MNO Cable Inc</t>
  </si>
  <si>
    <t>NOP</t>
  </si>
  <si>
    <t>Norton Optimum</t>
  </si>
  <si>
    <t>OPQ</t>
  </si>
  <si>
    <t>Odyssea PQ Inc</t>
  </si>
  <si>
    <t>PQR</t>
  </si>
  <si>
    <t>PQR Chemicals</t>
  </si>
  <si>
    <t>Buy/Sell Stock</t>
  </si>
  <si>
    <t>Buy/Sell</t>
  </si>
  <si>
    <t>Total Value</t>
  </si>
  <si>
    <t>Dividends</t>
  </si>
  <si>
    <t>Total Dividends</t>
  </si>
  <si>
    <t>PORTFOLIO OF STOCKS AND BONDS</t>
  </si>
  <si>
    <t>TOTAL SOURCES &amp; USES (June 1, 2017)</t>
  </si>
  <si>
    <t>SOURCES</t>
  </si>
  <si>
    <t xml:space="preserve"> Interest Rate</t>
  </si>
  <si>
    <t>USES</t>
  </si>
  <si>
    <t>Amount</t>
  </si>
  <si>
    <t>% Cap</t>
  </si>
  <si>
    <t>Interest Rate</t>
  </si>
  <si>
    <t>Margin Loan</t>
  </si>
  <si>
    <t>Stock Purchase</t>
  </si>
  <si>
    <t>Investor's Cash</t>
  </si>
  <si>
    <t>Bond Purchase</t>
  </si>
  <si>
    <t>Accrued Interest</t>
  </si>
  <si>
    <t>Cash</t>
  </si>
  <si>
    <t>Total Sources</t>
  </si>
  <si>
    <t>Total Uses</t>
  </si>
  <si>
    <t>Portfolio Loan</t>
  </si>
  <si>
    <t>Interest
Rate</t>
  </si>
  <si>
    <t xml:space="preserve"> Interest
Rate</t>
  </si>
  <si>
    <t>ZEUS Fund I</t>
  </si>
  <si>
    <t xml:space="preserve"> % Cap</t>
  </si>
  <si>
    <t>USES ($ 000's)</t>
  </si>
  <si>
    <t>SOURCES ($ 000's)</t>
  </si>
  <si>
    <t>TOTAL SOURCES &amp; USES (June 1, 20xx)</t>
  </si>
  <si>
    <t>June 1
20x1</t>
  </si>
  <si>
    <t>July 1
20x1</t>
  </si>
  <si>
    <t>Aug 1
20x1</t>
  </si>
  <si>
    <t>Sep 1
20x1</t>
  </si>
  <si>
    <t>Oct 1
20x1</t>
  </si>
  <si>
    <t>Nov 1
20x1</t>
  </si>
  <si>
    <t>Dec 1
20x1</t>
  </si>
  <si>
    <t>Jan 2
20x2</t>
  </si>
  <si>
    <t>Number of Shares own (000's)</t>
  </si>
  <si>
    <t>Buy/Sell Stock (000's)</t>
  </si>
  <si>
    <t>Buy/Sell ($000's)</t>
  </si>
  <si>
    <t xml:space="preserve">Total Sale/Purchases Cash Flow </t>
  </si>
  <si>
    <t>Total Value ($000's)</t>
  </si>
  <si>
    <t>Dividends ($ 000's)</t>
  </si>
  <si>
    <t>BOND PORTFOLIO</t>
  </si>
  <si>
    <t>INFORMATION</t>
  </si>
  <si>
    <t>Moody's Rating</t>
  </si>
  <si>
    <t>Coupon Rate</t>
  </si>
  <si>
    <t>First Coupon  Payment</t>
  </si>
  <si>
    <t>Second Coupon Payment</t>
  </si>
  <si>
    <t>Annual Coupon Payment</t>
  </si>
  <si>
    <t>Weighted Average Coupon Pmt</t>
  </si>
  <si>
    <t>AAA</t>
  </si>
  <si>
    <t>Alpha Inc.</t>
  </si>
  <si>
    <t>BB-</t>
  </si>
  <si>
    <t>Ba2</t>
  </si>
  <si>
    <t>BBB</t>
  </si>
  <si>
    <t>Beta Inc.</t>
  </si>
  <si>
    <t>BB+</t>
  </si>
  <si>
    <t>Ba1</t>
  </si>
  <si>
    <t>CCC</t>
  </si>
  <si>
    <t>CC Corporation</t>
  </si>
  <si>
    <t>B2</t>
  </si>
  <si>
    <t>DDD</t>
  </si>
  <si>
    <t>Delta D Inc.</t>
  </si>
  <si>
    <t>Baa2</t>
  </si>
  <si>
    <t>EEE</t>
  </si>
  <si>
    <t>Epsilon Inc</t>
  </si>
  <si>
    <t>Technology</t>
  </si>
  <si>
    <t>BB</t>
  </si>
  <si>
    <t>Ba3</t>
  </si>
  <si>
    <t>FFF</t>
  </si>
  <si>
    <t>Fusbol For Friends</t>
  </si>
  <si>
    <t>CCC+</t>
  </si>
  <si>
    <t>Caa1</t>
  </si>
  <si>
    <t>Total =</t>
  </si>
  <si>
    <t xml:space="preserve">  Average CR=</t>
  </si>
  <si>
    <t>Annual Coupon Pmts=</t>
  </si>
  <si>
    <t>Bond Prices</t>
  </si>
  <si>
    <t>WA 9/17</t>
  </si>
  <si>
    <t>Portfolio Pricing</t>
  </si>
  <si>
    <t>Coupon Payments</t>
  </si>
  <si>
    <t>Bonds Own</t>
  </si>
  <si>
    <t>Total Buy/Sale Proceeds</t>
  </si>
  <si>
    <t>Value of Bonds</t>
  </si>
  <si>
    <t>Bloomberg Barclays US Aggregate Bond Index (A/K Lehman)</t>
  </si>
  <si>
    <t>Weighted Average Value</t>
  </si>
  <si>
    <t xml:space="preserve"> Total Weight</t>
  </si>
  <si>
    <t>Coupon Payment</t>
  </si>
  <si>
    <t>Coupon Dates</t>
  </si>
  <si>
    <t>Annual</t>
  </si>
  <si>
    <t>Days Since Coupon Paid</t>
  </si>
  <si>
    <t>Acrued Interest calculated</t>
  </si>
  <si>
    <t>Acrued Interest</t>
  </si>
  <si>
    <t>Total Accrued Interest</t>
  </si>
  <si>
    <t>Bonds Own (000's)</t>
  </si>
  <si>
    <t>Total Stock Value ($000's)</t>
  </si>
  <si>
    <t>Total Bond Value ($000's)</t>
  </si>
  <si>
    <t>Figure 1.7</t>
  </si>
  <si>
    <t>Figure 1.8</t>
  </si>
  <si>
    <t>Figure 1.9</t>
  </si>
  <si>
    <t>Figure 1.10</t>
  </si>
  <si>
    <t>Current Yields</t>
  </si>
  <si>
    <t>Coupon Annual Payments</t>
  </si>
  <si>
    <t>Remaining Years to Maturity</t>
  </si>
  <si>
    <t>Maturity</t>
  </si>
  <si>
    <t>Duration</t>
  </si>
  <si>
    <t>WA Duration 9/17</t>
  </si>
  <si>
    <t>Figure 1.11</t>
  </si>
  <si>
    <t>Maturity 
Date</t>
  </si>
  <si>
    <t>Face 
Value</t>
  </si>
  <si>
    <t>S&amp;P 
Rating</t>
  </si>
  <si>
    <t>BOND INFORMATION</t>
  </si>
  <si>
    <t>Figure 1.12</t>
  </si>
  <si>
    <t>Figure 1.13</t>
  </si>
  <si>
    <t>ENTRY</t>
  </si>
  <si>
    <t>EXIT</t>
  </si>
  <si>
    <t>CASH FLOWS</t>
  </si>
  <si>
    <t>MONTHLY IRR</t>
  </si>
  <si>
    <t>Beginning Cash</t>
  </si>
  <si>
    <t>Buy/Sell Bonds</t>
  </si>
  <si>
    <t>Stock Dividends</t>
  </si>
  <si>
    <t>Bond Coupon Received</t>
  </si>
  <si>
    <t>Acrued Interest (paid)/Received</t>
  </si>
  <si>
    <t>Loan Principal Increase/Decrease</t>
  </si>
  <si>
    <t>Loan Interest Payment</t>
  </si>
  <si>
    <t>Cash Balance Interest Income</t>
  </si>
  <si>
    <t>Total Cash Flows</t>
  </si>
  <si>
    <t>Use of cash</t>
  </si>
  <si>
    <t>% of Cash to total Value</t>
  </si>
  <si>
    <t>Figure 1.14</t>
  </si>
  <si>
    <t xml:space="preserve">HPR (Levered) = </t>
  </si>
  <si>
    <t>Unlevered Return Calculation:</t>
  </si>
  <si>
    <t xml:space="preserve"> Addback Loan Principal</t>
  </si>
  <si>
    <t xml:space="preserve"> Addback Loan Interest</t>
  </si>
  <si>
    <t>Unlevered Cash Flow</t>
  </si>
  <si>
    <t xml:space="preserve">HPR (UnLevered) = </t>
  </si>
  <si>
    <t>Total Cash Flows (Levered)</t>
  </si>
  <si>
    <t>Dollar Weighted Return (Even Annual Payments)</t>
  </si>
  <si>
    <t>Dollar Weighted Return (Uneven Annual Payments</t>
  </si>
  <si>
    <t>SQR Deviation</t>
  </si>
  <si>
    <t>Sqr Dev/ (n - 1)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</si>
</sst>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_(* #,##0_);_(* \(#,##0\);_(* &quot;-&quot;??_);_(@_)"/>
    <numFmt numFmtId="167" formatCode="0.0"/>
    <numFmt numFmtId="168" formatCode="0.0000%"/>
    <numFmt numFmtId="169" formatCode="0.000"/>
    <numFmt numFmtId="170" formatCode="0.0000"/>
    <numFmt numFmtId="171" formatCode="_(&quot;$&quot;* #,##0_);_(&quot;$&quot;* \(#,##0\);_(&quot;$&quot;* &quot;-&quot;??_);_(@_)"/>
    <numFmt numFmtId="172" formatCode="[$-409]d\-mmm\-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B0F0"/>
      <name val="Arial"/>
      <family val="2"/>
    </font>
    <font>
      <b/>
      <sz val="12"/>
      <name val="Times New Roman"/>
      <family val="1"/>
    </font>
    <font>
      <b/>
      <sz val="12"/>
      <color rgb="FF00B0F0"/>
      <name val="Times New Roman"/>
      <family val="1"/>
    </font>
    <font>
      <b/>
      <i/>
      <sz val="12"/>
      <name val="Times New Roman"/>
      <family val="1"/>
    </font>
    <font>
      <b/>
      <sz val="10"/>
      <color rgb="FF00B0F0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color theme="4"/>
      <name val="Arial"/>
      <family val="2"/>
    </font>
    <font>
      <b/>
      <sz val="18"/>
      <color theme="1"/>
      <name val="Calibri"/>
      <family val="2"/>
      <scheme val="minor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5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166" fontId="0" fillId="0" borderId="0" xfId="1" applyNumberFormat="1" applyFont="1"/>
    <xf numFmtId="0" fontId="3" fillId="0" borderId="0" xfId="0" applyFont="1"/>
    <xf numFmtId="165" fontId="3" fillId="0" borderId="0" xfId="2" applyNumberFormat="1" applyFont="1"/>
    <xf numFmtId="165" fontId="0" fillId="0" borderId="0" xfId="2" applyNumberFormat="1" applyFont="1"/>
    <xf numFmtId="0" fontId="0" fillId="0" borderId="0" xfId="0" quotePrefix="1"/>
    <xf numFmtId="10" fontId="3" fillId="0" borderId="0" xfId="2" applyNumberFormat="1" applyFont="1"/>
    <xf numFmtId="0" fontId="0" fillId="0" borderId="2" xfId="0" applyBorder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/>
    <xf numFmtId="0" fontId="3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 applyBorder="1" applyAlignment="1">
      <alignment horizontal="center"/>
    </xf>
    <xf numFmtId="10" fontId="0" fillId="0" borderId="0" xfId="0" quotePrefix="1" applyNumberFormat="1" applyBorder="1" applyAlignment="1">
      <alignment horizontal="center"/>
    </xf>
    <xf numFmtId="10" fontId="13" fillId="0" borderId="0" xfId="0" quotePrefix="1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7" xfId="0" applyFill="1" applyBorder="1"/>
    <xf numFmtId="0" fontId="3" fillId="2" borderId="8" xfId="0" applyFont="1" applyFill="1" applyBorder="1" applyAlignment="1">
      <alignment horizontal="center"/>
    </xf>
    <xf numFmtId="10" fontId="0" fillId="0" borderId="8" xfId="0" quotePrefix="1" applyNumberFormat="1" applyBorder="1" applyAlignment="1">
      <alignment horizontal="center"/>
    </xf>
    <xf numFmtId="0" fontId="3" fillId="0" borderId="0" xfId="0" applyFont="1" applyFill="1"/>
    <xf numFmtId="0" fontId="14" fillId="4" borderId="0" xfId="0" applyFont="1" applyFill="1"/>
    <xf numFmtId="0" fontId="15" fillId="4" borderId="0" xfId="0" applyFont="1" applyFill="1"/>
    <xf numFmtId="0" fontId="16" fillId="0" borderId="0" xfId="0" applyFont="1"/>
    <xf numFmtId="0" fontId="17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8" fillId="0" borderId="0" xfId="2" applyNumberFormat="1" applyFont="1" applyAlignment="1">
      <alignment horizontal="center"/>
    </xf>
    <xf numFmtId="0" fontId="8" fillId="0" borderId="0" xfId="0" applyFont="1"/>
    <xf numFmtId="2" fontId="8" fillId="0" borderId="0" xfId="0" applyNumberFormat="1" applyFont="1"/>
    <xf numFmtId="2" fontId="0" fillId="0" borderId="0" xfId="0" applyNumberFormat="1"/>
    <xf numFmtId="164" fontId="0" fillId="0" borderId="1" xfId="2" applyNumberFormat="1" applyFont="1" applyBorder="1" applyAlignment="1">
      <alignment horizontal="center"/>
    </xf>
    <xf numFmtId="2" fontId="3" fillId="2" borderId="1" xfId="0" applyNumberFormat="1" applyFont="1" applyFill="1" applyBorder="1"/>
    <xf numFmtId="0" fontId="3" fillId="0" borderId="0" xfId="0" applyFont="1" applyAlignment="1">
      <alignment horizontal="right"/>
    </xf>
    <xf numFmtId="2" fontId="3" fillId="0" borderId="10" xfId="0" applyNumberFormat="1" applyFont="1" applyBorder="1"/>
    <xf numFmtId="2" fontId="3" fillId="2" borderId="3" xfId="0" applyNumberFormat="1" applyFont="1" applyFill="1" applyBorder="1"/>
    <xf numFmtId="0" fontId="3" fillId="0" borderId="0" xfId="0" quotePrefix="1" applyFont="1"/>
    <xf numFmtId="0" fontId="0" fillId="0" borderId="11" xfId="0" applyBorder="1"/>
    <xf numFmtId="9" fontId="8" fillId="0" borderId="12" xfId="0" applyNumberFormat="1" applyFont="1" applyBorder="1" applyAlignment="1">
      <alignment horizontal="center"/>
    </xf>
    <xf numFmtId="9" fontId="0" fillId="0" borderId="0" xfId="0" applyNumberFormat="1"/>
    <xf numFmtId="0" fontId="0" fillId="0" borderId="13" xfId="0" applyBorder="1"/>
    <xf numFmtId="9" fontId="3" fillId="0" borderId="14" xfId="0" applyNumberFormat="1" applyFont="1" applyBorder="1" applyAlignment="1">
      <alignment horizontal="center"/>
    </xf>
    <xf numFmtId="0" fontId="18" fillId="5" borderId="15" xfId="0" applyFont="1" applyFill="1" applyBorder="1" applyAlignment="1">
      <alignment horizontal="centerContinuous"/>
    </xf>
    <xf numFmtId="0" fontId="3" fillId="5" borderId="16" xfId="0" applyFont="1" applyFill="1" applyBorder="1" applyAlignment="1">
      <alignment horizontal="centerContinuous"/>
    </xf>
    <xf numFmtId="0" fontId="0" fillId="5" borderId="4" xfId="0" applyFill="1" applyBorder="1" applyAlignment="1">
      <alignment horizontal="centerContinuous"/>
    </xf>
    <xf numFmtId="0" fontId="0" fillId="0" borderId="0" xfId="0" applyFill="1"/>
    <xf numFmtId="0" fontId="0" fillId="0" borderId="16" xfId="0" applyBorder="1"/>
    <xf numFmtId="164" fontId="0" fillId="0" borderId="0" xfId="2" applyNumberFormat="1" applyFont="1" applyAlignment="1">
      <alignment horizontal="center"/>
    </xf>
    <xf numFmtId="0" fontId="0" fillId="2" borderId="2" xfId="0" applyFill="1" applyBorder="1"/>
    <xf numFmtId="0" fontId="3" fillId="2" borderId="2" xfId="0" applyFont="1" applyFill="1" applyBorder="1" applyAlignment="1">
      <alignment horizontal="right" vertical="center" wrapText="1"/>
    </xf>
    <xf numFmtId="0" fontId="14" fillId="4" borderId="0" xfId="0" applyFont="1" applyFill="1" applyBorder="1"/>
    <xf numFmtId="0" fontId="15" fillId="4" borderId="0" xfId="0" applyFont="1" applyFill="1" applyBorder="1"/>
    <xf numFmtId="0" fontId="0" fillId="0" borderId="0" xfId="0" applyBorder="1"/>
    <xf numFmtId="0" fontId="19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9" xfId="0" applyFont="1" applyBorder="1" applyAlignment="1">
      <alignment wrapText="1"/>
    </xf>
    <xf numFmtId="0" fontId="3" fillId="2" borderId="9" xfId="0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7" fontId="19" fillId="0" borderId="0" xfId="0" applyNumberFormat="1" applyFont="1" applyAlignment="1">
      <alignment horizontal="center"/>
    </xf>
    <xf numFmtId="168" fontId="0" fillId="0" borderId="0" xfId="2" applyNumberFormat="1" applyFont="1"/>
    <xf numFmtId="168" fontId="0" fillId="0" borderId="0" xfId="0" applyNumberFormat="1"/>
    <xf numFmtId="0" fontId="0" fillId="0" borderId="9" xfId="0" applyBorder="1"/>
    <xf numFmtId="168" fontId="15" fillId="4" borderId="0" xfId="0" applyNumberFormat="1" applyFont="1" applyFill="1"/>
    <xf numFmtId="0" fontId="20" fillId="0" borderId="0" xfId="0" applyFont="1"/>
    <xf numFmtId="0" fontId="3" fillId="2" borderId="15" xfId="0" applyFont="1" applyFill="1" applyBorder="1"/>
    <xf numFmtId="169" fontId="3" fillId="2" borderId="4" xfId="0" applyNumberFormat="1" applyFont="1" applyFill="1" applyBorder="1"/>
    <xf numFmtId="0" fontId="0" fillId="2" borderId="15" xfId="0" applyFill="1" applyBorder="1"/>
    <xf numFmtId="0" fontId="3" fillId="2" borderId="16" xfId="0" applyFont="1" applyFill="1" applyBorder="1" applyAlignment="1">
      <alignment horizontal="center"/>
    </xf>
    <xf numFmtId="0" fontId="0" fillId="2" borderId="16" xfId="0" applyFill="1" applyBorder="1"/>
    <xf numFmtId="0" fontId="3" fillId="2" borderId="16" xfId="0" applyFont="1" applyFill="1" applyBorder="1"/>
    <xf numFmtId="0" fontId="3" fillId="2" borderId="16" xfId="0" quotePrefix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center"/>
    </xf>
    <xf numFmtId="43" fontId="4" fillId="0" borderId="0" xfId="1" applyFont="1" applyAlignment="1">
      <alignment horizontal="center"/>
    </xf>
    <xf numFmtId="170" fontId="0" fillId="0" borderId="0" xfId="1" applyNumberFormat="1" applyFont="1" applyAlignment="1">
      <alignment horizontal="center"/>
    </xf>
    <xf numFmtId="2" fontId="0" fillId="0" borderId="0" xfId="1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7" fontId="3" fillId="2" borderId="3" xfId="0" applyNumberFormat="1" applyFont="1" applyFill="1" applyBorder="1"/>
    <xf numFmtId="2" fontId="3" fillId="2" borderId="4" xfId="0" applyNumberFormat="1" applyFont="1" applyFill="1" applyBorder="1"/>
    <xf numFmtId="0" fontId="3" fillId="2" borderId="4" xfId="0" applyFont="1" applyFill="1" applyBorder="1"/>
    <xf numFmtId="0" fontId="0" fillId="0" borderId="0" xfId="0" applyAlignment="1">
      <alignment horizontal="right"/>
    </xf>
    <xf numFmtId="0" fontId="22" fillId="4" borderId="0" xfId="0" applyFont="1" applyFill="1"/>
    <xf numFmtId="0" fontId="22" fillId="4" borderId="0" xfId="0" applyFont="1" applyFill="1" applyAlignment="1">
      <alignment horizontal="left"/>
    </xf>
    <xf numFmtId="10" fontId="22" fillId="4" borderId="0" xfId="2" applyNumberFormat="1" applyFont="1" applyFill="1"/>
    <xf numFmtId="0" fontId="0" fillId="0" borderId="0" xfId="0" applyAlignment="1">
      <alignment horizontal="left"/>
    </xf>
    <xf numFmtId="10" fontId="0" fillId="0" borderId="0" xfId="2" applyNumberFormat="1" applyFont="1"/>
    <xf numFmtId="0" fontId="2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5" fontId="3" fillId="2" borderId="1" xfId="0" applyNumberFormat="1" applyFont="1" applyFill="1" applyBorder="1"/>
    <xf numFmtId="2" fontId="24" fillId="0" borderId="0" xfId="0" applyNumberFormat="1" applyFont="1"/>
    <xf numFmtId="43" fontId="0" fillId="0" borderId="0" xfId="1" applyFont="1"/>
    <xf numFmtId="0" fontId="3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24" fillId="0" borderId="0" xfId="0" applyFont="1"/>
    <xf numFmtId="0" fontId="0" fillId="0" borderId="0" xfId="0" applyAlignment="1"/>
    <xf numFmtId="2" fontId="20" fillId="0" borderId="0" xfId="0" applyNumberFormat="1" applyFont="1" applyAlignment="1">
      <alignment horizontal="left"/>
    </xf>
    <xf numFmtId="37" fontId="0" fillId="0" borderId="0" xfId="3" applyNumberFormat="1" applyFont="1"/>
    <xf numFmtId="0" fontId="0" fillId="0" borderId="1" xfId="0" applyBorder="1" applyAlignment="1">
      <alignment horizontal="left"/>
    </xf>
    <xf numFmtId="37" fontId="0" fillId="0" borderId="1" xfId="3" applyNumberFormat="1" applyFont="1" applyBorder="1"/>
    <xf numFmtId="37" fontId="0" fillId="0" borderId="0" xfId="3" applyNumberFormat="1" applyFont="1" applyFill="1"/>
    <xf numFmtId="37" fontId="0" fillId="0" borderId="1" xfId="0" applyNumberFormat="1" applyBorder="1"/>
    <xf numFmtId="44" fontId="25" fillId="0" borderId="0" xfId="3" applyNumberFormat="1" applyFont="1"/>
    <xf numFmtId="171" fontId="0" fillId="0" borderId="0" xfId="3" applyNumberFormat="1" applyFont="1"/>
    <xf numFmtId="171" fontId="0" fillId="0" borderId="1" xfId="3" applyNumberFormat="1" applyFont="1" applyBorder="1"/>
    <xf numFmtId="0" fontId="26" fillId="0" borderId="0" xfId="0" applyFont="1"/>
    <xf numFmtId="0" fontId="22" fillId="4" borderId="0" xfId="0" applyFont="1" applyFill="1" applyAlignment="1">
      <alignment vertical="top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right"/>
    </xf>
    <xf numFmtId="164" fontId="0" fillId="0" borderId="0" xfId="2" applyNumberFormat="1" applyFont="1"/>
    <xf numFmtId="10" fontId="0" fillId="0" borderId="0" xfId="0" applyNumberFormat="1"/>
    <xf numFmtId="171" fontId="0" fillId="0" borderId="0" xfId="0" applyNumberFormat="1"/>
    <xf numFmtId="166" fontId="0" fillId="0" borderId="0" xfId="0" applyNumberFormat="1"/>
    <xf numFmtId="10" fontId="4" fillId="0" borderId="0" xfId="0" applyNumberFormat="1" applyFont="1"/>
    <xf numFmtId="166" fontId="3" fillId="0" borderId="1" xfId="1" applyNumberFormat="1" applyFont="1" applyBorder="1"/>
    <xf numFmtId="164" fontId="3" fillId="0" borderId="1" xfId="2" applyNumberFormat="1" applyFont="1" applyBorder="1"/>
    <xf numFmtId="171" fontId="3" fillId="0" borderId="1" xfId="0" applyNumberFormat="1" applyFont="1" applyBorder="1"/>
    <xf numFmtId="0" fontId="3" fillId="2" borderId="8" xfId="0" applyFont="1" applyFill="1" applyBorder="1" applyAlignment="1">
      <alignment horizontal="center" wrapText="1"/>
    </xf>
    <xf numFmtId="0" fontId="22" fillId="4" borderId="0" xfId="0" applyFont="1" applyFill="1" applyAlignment="1">
      <alignment horizontal="center"/>
    </xf>
    <xf numFmtId="10" fontId="0" fillId="0" borderId="0" xfId="0" applyNumberFormat="1" applyAlignment="1">
      <alignment horizontal="center"/>
    </xf>
    <xf numFmtId="10" fontId="4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6" fontId="0" fillId="0" borderId="0" xfId="1" applyNumberFormat="1" applyFont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0" fontId="27" fillId="2" borderId="1" xfId="0" applyFont="1" applyFill="1" applyBorder="1"/>
    <xf numFmtId="0" fontId="27" fillId="2" borderId="1" xfId="0" applyFont="1" applyFill="1" applyBorder="1" applyAlignment="1">
      <alignment horizontal="left"/>
    </xf>
    <xf numFmtId="15" fontId="27" fillId="2" borderId="1" xfId="0" applyNumberFormat="1" applyFont="1" applyFill="1" applyBorder="1" applyAlignment="1">
      <alignment horizontal="center" wrapText="1"/>
    </xf>
    <xf numFmtId="15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5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10" fontId="3" fillId="0" borderId="0" xfId="2" applyNumberFormat="1" applyFont="1" applyFill="1"/>
    <xf numFmtId="10" fontId="3" fillId="0" borderId="0" xfId="2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0" fontId="20" fillId="0" borderId="0" xfId="2" applyNumberFormat="1" applyFont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168" fontId="3" fillId="0" borderId="0" xfId="2" applyNumberFormat="1" applyFont="1" applyFill="1"/>
    <xf numFmtId="43" fontId="3" fillId="0" borderId="0" xfId="0" applyNumberFormat="1" applyFont="1" applyFill="1"/>
    <xf numFmtId="165" fontId="3" fillId="7" borderId="0" xfId="0" applyNumberFormat="1" applyFont="1" applyFill="1"/>
    <xf numFmtId="2" fontId="28" fillId="0" borderId="0" xfId="0" applyNumberFormat="1" applyFont="1" applyFill="1"/>
    <xf numFmtId="1" fontId="28" fillId="0" borderId="0" xfId="0" applyNumberFormat="1" applyFont="1" applyFill="1" applyAlignment="1">
      <alignment horizontal="center"/>
    </xf>
    <xf numFmtId="172" fontId="28" fillId="0" borderId="0" xfId="0" applyNumberFormat="1" applyFont="1" applyFill="1"/>
    <xf numFmtId="2" fontId="28" fillId="0" borderId="0" xfId="0" applyNumberFormat="1" applyFont="1" applyFill="1" applyAlignment="1">
      <alignment horizontal="center"/>
    </xf>
    <xf numFmtId="168" fontId="28" fillId="0" borderId="0" xfId="2" applyNumberFormat="1" applyFont="1" applyFill="1"/>
    <xf numFmtId="43" fontId="28" fillId="0" borderId="0" xfId="0" applyNumberFormat="1" applyFont="1" applyFill="1"/>
    <xf numFmtId="165" fontId="28" fillId="0" borderId="0" xfId="2" applyNumberFormat="1" applyFont="1" applyFill="1"/>
    <xf numFmtId="10" fontId="20" fillId="0" borderId="0" xfId="2" applyNumberFormat="1" applyFont="1" applyAlignment="1">
      <alignment horizontal="center"/>
    </xf>
    <xf numFmtId="2" fontId="20" fillId="0" borderId="0" xfId="0" applyNumberFormat="1" applyFont="1" applyFill="1"/>
    <xf numFmtId="1" fontId="0" fillId="0" borderId="0" xfId="0" applyNumberFormat="1" applyAlignment="1">
      <alignment horizontal="center"/>
    </xf>
    <xf numFmtId="0" fontId="20" fillId="0" borderId="0" xfId="0" applyFont="1" applyAlignment="1">
      <alignment horizontal="right"/>
    </xf>
    <xf numFmtId="169" fontId="0" fillId="0" borderId="0" xfId="0" applyNumberFormat="1"/>
    <xf numFmtId="1" fontId="3" fillId="7" borderId="1" xfId="0" applyNumberFormat="1" applyFont="1" applyFill="1" applyBorder="1"/>
    <xf numFmtId="0" fontId="28" fillId="0" borderId="0" xfId="0" applyFont="1"/>
    <xf numFmtId="10" fontId="23" fillId="0" borderId="0" xfId="2" applyNumberFormat="1" applyFont="1" applyAlignment="1">
      <alignment horizontal="center"/>
    </xf>
    <xf numFmtId="166" fontId="0" fillId="0" borderId="1" xfId="0" applyNumberFormat="1" applyBorder="1"/>
    <xf numFmtId="166" fontId="0" fillId="0" borderId="0" xfId="0" applyNumberFormat="1" applyBorder="1"/>
    <xf numFmtId="0" fontId="3" fillId="6" borderId="0" xfId="0" applyFont="1" applyFill="1"/>
    <xf numFmtId="10" fontId="3" fillId="6" borderId="0" xfId="2" applyNumberFormat="1" applyFont="1" applyFill="1"/>
    <xf numFmtId="43" fontId="28" fillId="6" borderId="0" xfId="1" applyFont="1" applyFill="1"/>
    <xf numFmtId="164" fontId="0" fillId="0" borderId="1" xfId="2" applyNumberFormat="1" applyFont="1" applyBorder="1"/>
    <xf numFmtId="0" fontId="3" fillId="7" borderId="3" xfId="0" applyFont="1" applyFill="1" applyBorder="1"/>
    <xf numFmtId="172" fontId="0" fillId="0" borderId="0" xfId="0" applyNumberFormat="1"/>
    <xf numFmtId="169" fontId="0" fillId="0" borderId="17" xfId="0" applyNumberFormat="1" applyBorder="1"/>
    <xf numFmtId="16" fontId="0" fillId="0" borderId="0" xfId="0" applyNumberFormat="1"/>
    <xf numFmtId="44" fontId="0" fillId="0" borderId="0" xfId="0" applyNumberFormat="1"/>
    <xf numFmtId="44" fontId="20" fillId="0" borderId="0" xfId="0" applyNumberFormat="1" applyFont="1"/>
    <xf numFmtId="44" fontId="0" fillId="0" borderId="18" xfId="0" applyNumberFormat="1" applyBorder="1"/>
    <xf numFmtId="0" fontId="28" fillId="0" borderId="0" xfId="0" applyFont="1" applyAlignment="1">
      <alignment horizontal="center"/>
    </xf>
    <xf numFmtId="43" fontId="0" fillId="0" borderId="18" xfId="1" applyFont="1" applyBorder="1"/>
    <xf numFmtId="0" fontId="2" fillId="0" borderId="1" xfId="0" applyFont="1" applyBorder="1" applyAlignment="1">
      <alignment horizontal="left"/>
    </xf>
    <xf numFmtId="37" fontId="2" fillId="0" borderId="1" xfId="3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37" fontId="2" fillId="0" borderId="1" xfId="0" applyNumberFormat="1" applyFont="1" applyBorder="1"/>
    <xf numFmtId="0" fontId="3" fillId="2" borderId="1" xfId="0" applyFont="1" applyFill="1" applyBorder="1" applyAlignment="1">
      <alignment horizontal="left" wrapText="1"/>
    </xf>
    <xf numFmtId="0" fontId="20" fillId="0" borderId="0" xfId="0" applyFont="1" applyAlignment="1">
      <alignment wrapText="1"/>
    </xf>
    <xf numFmtId="44" fontId="0" fillId="0" borderId="0" xfId="3" applyFont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7" borderId="19" xfId="0" applyFont="1" applyFill="1" applyBorder="1" applyAlignment="1">
      <alignment horizontal="center" wrapText="1"/>
    </xf>
    <xf numFmtId="2" fontId="0" fillId="0" borderId="17" xfId="0" applyNumberFormat="1" applyBorder="1"/>
    <xf numFmtId="2" fontId="3" fillId="7" borderId="3" xfId="0" applyNumberFormat="1" applyFont="1" applyFill="1" applyBorder="1"/>
    <xf numFmtId="169" fontId="0" fillId="7" borderId="5" xfId="0" applyNumberFormat="1" applyFill="1" applyBorder="1"/>
    <xf numFmtId="16" fontId="0" fillId="0" borderId="1" xfId="0" applyNumberFormat="1" applyBorder="1"/>
    <xf numFmtId="10" fontId="0" fillId="0" borderId="1" xfId="2" applyNumberFormat="1" applyFont="1" applyBorder="1"/>
    <xf numFmtId="2" fontId="0" fillId="0" borderId="1" xfId="0" applyNumberFormat="1" applyBorder="1"/>
    <xf numFmtId="169" fontId="3" fillId="7" borderId="20" xfId="0" applyNumberFormat="1" applyFont="1" applyFill="1" applyBorder="1"/>
    <xf numFmtId="0" fontId="20" fillId="0" borderId="1" xfId="0" applyFont="1" applyBorder="1"/>
    <xf numFmtId="172" fontId="0" fillId="0" borderId="1" xfId="0" applyNumberFormat="1" applyBorder="1"/>
    <xf numFmtId="44" fontId="0" fillId="0" borderId="1" xfId="0" applyNumberFormat="1" applyBorder="1"/>
    <xf numFmtId="0" fontId="3" fillId="7" borderId="3" xfId="0" applyFont="1" applyFill="1" applyBorder="1" applyAlignment="1">
      <alignment horizontal="center"/>
    </xf>
    <xf numFmtId="0" fontId="29" fillId="8" borderId="0" xfId="0" applyFont="1" applyFill="1" applyAlignment="1">
      <alignment vertical="top"/>
    </xf>
    <xf numFmtId="0" fontId="30" fillId="8" borderId="0" xfId="0" applyFont="1" applyFill="1" applyAlignment="1">
      <alignment horizontal="left"/>
    </xf>
    <xf numFmtId="0" fontId="31" fillId="8" borderId="21" xfId="0" applyFont="1" applyFill="1" applyBorder="1" applyAlignment="1">
      <alignment horizontal="center"/>
    </xf>
    <xf numFmtId="0" fontId="31" fillId="8" borderId="0" xfId="0" applyFont="1" applyFill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66" fontId="0" fillId="0" borderId="23" xfId="0" applyNumberFormat="1" applyBorder="1"/>
    <xf numFmtId="166" fontId="0" fillId="0" borderId="24" xfId="0" applyNumberFormat="1" applyBorder="1"/>
    <xf numFmtId="166" fontId="0" fillId="0" borderId="21" xfId="0" applyNumberFormat="1" applyBorder="1"/>
    <xf numFmtId="171" fontId="0" fillId="0" borderId="21" xfId="0" applyNumberFormat="1" applyBorder="1"/>
    <xf numFmtId="171" fontId="0" fillId="0" borderId="0" xfId="0" applyNumberFormat="1" applyBorder="1"/>
    <xf numFmtId="0" fontId="0" fillId="0" borderId="21" xfId="0" applyBorder="1"/>
    <xf numFmtId="171" fontId="0" fillId="0" borderId="25" xfId="0" applyNumberFormat="1" applyBorder="1"/>
    <xf numFmtId="171" fontId="0" fillId="0" borderId="9" xfId="0" applyNumberFormat="1" applyBorder="1"/>
    <xf numFmtId="171" fontId="0" fillId="0" borderId="21" xfId="3" applyNumberFormat="1" applyFont="1" applyBorder="1"/>
    <xf numFmtId="166" fontId="0" fillId="0" borderId="22" xfId="0" applyNumberFormat="1" applyBorder="1"/>
    <xf numFmtId="0" fontId="21" fillId="4" borderId="0" xfId="0" applyFont="1" applyFill="1"/>
    <xf numFmtId="164" fontId="0" fillId="0" borderId="0" xfId="2" applyNumberFormat="1" applyFont="1" applyAlignment="1">
      <alignment horizontal="right"/>
    </xf>
    <xf numFmtId="164" fontId="0" fillId="0" borderId="3" xfId="2" applyNumberFormat="1" applyFont="1" applyBorder="1"/>
    <xf numFmtId="0" fontId="3" fillId="2" borderId="1" xfId="0" quotePrefix="1" applyFont="1" applyFill="1" applyBorder="1" applyAlignment="1">
      <alignment horizontal="right"/>
    </xf>
    <xf numFmtId="0" fontId="32" fillId="0" borderId="0" xfId="0" applyFont="1"/>
    <xf numFmtId="171" fontId="0" fillId="0" borderId="1" xfId="0" applyNumberFormat="1" applyBorder="1"/>
    <xf numFmtId="0" fontId="1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0" fillId="0" borderId="0" xfId="0" quotePrefix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 (rp) Vs. Std Dev. With CAL Line - optimum portfolio (best Sharpe Ratio)</a:t>
            </a:r>
          </a:p>
        </c:rich>
      </c:tx>
      <c:layout>
        <c:manualLayout>
          <c:xMode val="edge"/>
          <c:yMode val="edge"/>
          <c:x val="0.13294800915842966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254398989285151E-2"/>
          <c:y val="0.20162609630101005"/>
          <c:w val="0.88511638761874301"/>
          <c:h val="0.6747970158461222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[2]Sheet1!$D$140:$D$150</c:f>
              <c:numCache>
                <c:formatCode>General</c:formatCode>
                <c:ptCount val="11"/>
                <c:pt idx="0">
                  <c:v>12</c:v>
                </c:pt>
                <c:pt idx="1">
                  <c:v>11.562439189029279</c:v>
                </c:pt>
                <c:pt idx="2">
                  <c:v>11.677328461596</c:v>
                </c:pt>
                <c:pt idx="3">
                  <c:v>12.32923355282071</c:v>
                </c:pt>
                <c:pt idx="4">
                  <c:v>13.440238093129153</c:v>
                </c:pt>
                <c:pt idx="5">
                  <c:v>14.908051515875574</c:v>
                </c:pt>
                <c:pt idx="6">
                  <c:v>16.63850954863446</c:v>
                </c:pt>
                <c:pt idx="7">
                  <c:v>18.558286558839423</c:v>
                </c:pt>
                <c:pt idx="8">
                  <c:v>20.614557962760202</c:v>
                </c:pt>
                <c:pt idx="9">
                  <c:v>22.770375490975105</c:v>
                </c:pt>
                <c:pt idx="10">
                  <c:v>24.999999999999996</c:v>
                </c:pt>
              </c:numCache>
            </c:numRef>
          </c:xVal>
          <c:yVal>
            <c:numRef>
              <c:f>[2]Sheet1!$E$140:$E$150</c:f>
              <c:numCache>
                <c:formatCode>General</c:formatCode>
                <c:ptCount val="11"/>
                <c:pt idx="0">
                  <c:v>6</c:v>
                </c:pt>
                <c:pt idx="1">
                  <c:v>6.4</c:v>
                </c:pt>
                <c:pt idx="2">
                  <c:v>6.8000000000000007</c:v>
                </c:pt>
                <c:pt idx="3">
                  <c:v>7.1999999999999993</c:v>
                </c:pt>
                <c:pt idx="4">
                  <c:v>7.6</c:v>
                </c:pt>
                <c:pt idx="5">
                  <c:v>8</c:v>
                </c:pt>
                <c:pt idx="6">
                  <c:v>8.4</c:v>
                </c:pt>
                <c:pt idx="7">
                  <c:v>8.8000000000000007</c:v>
                </c:pt>
                <c:pt idx="8">
                  <c:v>9.1999999999999993</c:v>
                </c:pt>
                <c:pt idx="9">
                  <c:v>9.6000000000000014</c:v>
                </c:pt>
                <c:pt idx="10">
                  <c:v>9.9999999999999982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E1-431E-A7D3-AE4BCED2D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348960"/>
        <c:axId val="1"/>
      </c:scatterChart>
      <c:valAx>
        <c:axId val="95434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3489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E(pr) Vs Std Dev with 0 correlation</a:t>
            </a:r>
          </a:p>
        </c:rich>
      </c:tx>
      <c:layout>
        <c:manualLayout>
          <c:xMode val="edge"/>
          <c:yMode val="edge"/>
          <c:x val="0.26637274131347299"/>
          <c:y val="1.8038331454340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8060700762102"/>
          <c:y val="0.11273966468207057"/>
          <c:w val="0.80206177936618184"/>
          <c:h val="0.73055302713981729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[2]Sheet1!$D$54:$D$64</c:f>
              <c:numCache>
                <c:formatCode>General</c:formatCode>
                <c:ptCount val="11"/>
                <c:pt idx="0">
                  <c:v>12</c:v>
                </c:pt>
                <c:pt idx="1">
                  <c:v>11.085576214162257</c:v>
                </c:pt>
                <c:pt idx="2">
                  <c:v>10.824047302187848</c:v>
                </c:pt>
                <c:pt idx="3">
                  <c:v>11.260994627474075</c:v>
                </c:pt>
                <c:pt idx="4">
                  <c:v>12.322337440599489</c:v>
                </c:pt>
                <c:pt idx="5">
                  <c:v>13.865424623862047</c:v>
                </c:pt>
                <c:pt idx="6">
                  <c:v>15.749285698088025</c:v>
                </c:pt>
                <c:pt idx="7">
                  <c:v>17.866449003649269</c:v>
                </c:pt>
                <c:pt idx="8">
                  <c:v>20.143485299222675</c:v>
                </c:pt>
                <c:pt idx="9">
                  <c:v>22.531977276750478</c:v>
                </c:pt>
                <c:pt idx="10">
                  <c:v>24.999999999999996</c:v>
                </c:pt>
              </c:numCache>
            </c:numRef>
          </c:xVal>
          <c:yVal>
            <c:numRef>
              <c:f>[2]Sheet1!$E$54:$E$64</c:f>
              <c:numCache>
                <c:formatCode>General</c:formatCode>
                <c:ptCount val="11"/>
                <c:pt idx="0">
                  <c:v>6</c:v>
                </c:pt>
                <c:pt idx="1">
                  <c:v>6.4</c:v>
                </c:pt>
                <c:pt idx="2">
                  <c:v>6.8000000000000007</c:v>
                </c:pt>
                <c:pt idx="3">
                  <c:v>7.1999999999999993</c:v>
                </c:pt>
                <c:pt idx="4">
                  <c:v>7.6</c:v>
                </c:pt>
                <c:pt idx="5">
                  <c:v>8</c:v>
                </c:pt>
                <c:pt idx="6">
                  <c:v>8.4</c:v>
                </c:pt>
                <c:pt idx="7">
                  <c:v>8.8000000000000007</c:v>
                </c:pt>
                <c:pt idx="8">
                  <c:v>9.1999999999999993</c:v>
                </c:pt>
                <c:pt idx="9">
                  <c:v>9.6000000000000014</c:v>
                </c:pt>
                <c:pt idx="10">
                  <c:v>9.9999999999999982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EE-452D-AE72-26A117CC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355848"/>
        <c:axId val="1"/>
      </c:scatterChart>
      <c:valAx>
        <c:axId val="954355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Std Dev</a:t>
                </a:r>
              </a:p>
            </c:rich>
          </c:tx>
          <c:layout>
            <c:manualLayout>
              <c:xMode val="edge"/>
              <c:yMode val="edge"/>
              <c:x val="0.50110463628869495"/>
              <c:y val="0.916573604736837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 (r)</a:t>
                </a:r>
              </a:p>
            </c:rich>
          </c:tx>
          <c:layout>
            <c:manualLayout>
              <c:xMode val="edge"/>
              <c:yMode val="edge"/>
              <c:x val="3.2376891516719256E-2"/>
              <c:y val="0.44193941653572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3558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 (rp) Vs Std Dev. With correlation of 1</a:t>
            </a:r>
          </a:p>
        </c:rich>
      </c:tx>
      <c:layout>
        <c:manualLayout>
          <c:xMode val="edge"/>
          <c:yMode val="edge"/>
          <c:x val="0.28179222278066307"/>
          <c:y val="2.0679468242245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75806665856391E-2"/>
          <c:y val="0.24815388737568017"/>
          <c:w val="0.85043427610388622"/>
          <c:h val="0.6041365472419832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[2]Sheet1!$E$100:$E$101</c:f>
              <c:strCache>
                <c:ptCount val="1"/>
                <c:pt idx="0">
                  <c:v>Exp Return  E(rp)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[2]Sheet1!$D$102:$D$112</c:f>
              <c:numCache>
                <c:formatCode>General</c:formatCode>
                <c:ptCount val="11"/>
                <c:pt idx="0">
                  <c:v>12</c:v>
                </c:pt>
                <c:pt idx="1">
                  <c:v>13.3</c:v>
                </c:pt>
                <c:pt idx="2">
                  <c:v>14.600000000000001</c:v>
                </c:pt>
                <c:pt idx="3">
                  <c:v>15.9</c:v>
                </c:pt>
                <c:pt idx="4">
                  <c:v>17.2</c:v>
                </c:pt>
                <c:pt idx="5">
                  <c:v>18.5</c:v>
                </c:pt>
                <c:pt idx="6">
                  <c:v>19.8</c:v>
                </c:pt>
                <c:pt idx="7">
                  <c:v>21.099999999999998</c:v>
                </c:pt>
                <c:pt idx="8">
                  <c:v>22.4</c:v>
                </c:pt>
                <c:pt idx="9">
                  <c:v>23.699999999999996</c:v>
                </c:pt>
                <c:pt idx="10">
                  <c:v>24.999999999999996</c:v>
                </c:pt>
              </c:numCache>
            </c:numRef>
          </c:xVal>
          <c:yVal>
            <c:numRef>
              <c:f>[2]Sheet1!$E$102:$E$112</c:f>
              <c:numCache>
                <c:formatCode>General</c:formatCode>
                <c:ptCount val="11"/>
                <c:pt idx="0">
                  <c:v>6</c:v>
                </c:pt>
                <c:pt idx="1">
                  <c:v>6.4</c:v>
                </c:pt>
                <c:pt idx="2">
                  <c:v>6.8000000000000007</c:v>
                </c:pt>
                <c:pt idx="3">
                  <c:v>7.1999999999999993</c:v>
                </c:pt>
                <c:pt idx="4">
                  <c:v>7.6</c:v>
                </c:pt>
                <c:pt idx="5">
                  <c:v>8</c:v>
                </c:pt>
                <c:pt idx="6">
                  <c:v>8.4</c:v>
                </c:pt>
                <c:pt idx="7">
                  <c:v>8.8000000000000007</c:v>
                </c:pt>
                <c:pt idx="8">
                  <c:v>9.1999999999999993</c:v>
                </c:pt>
                <c:pt idx="9">
                  <c:v>9.6000000000000014</c:v>
                </c:pt>
                <c:pt idx="10">
                  <c:v>9.9999999999999982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E5-4D97-A1A3-27B62E7B8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895096"/>
        <c:axId val="1"/>
      </c:scatterChart>
      <c:valAx>
        <c:axId val="752895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895096"/>
        <c:crosses val="autoZero"/>
        <c:crossBetween val="midCat"/>
      </c:valAx>
      <c:spPr>
        <a:solidFill>
          <a:srgbClr val="C0C0C0"/>
        </a:solidFill>
        <a:ln w="381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 (rp) Vs. Std Dev. with Correlation of -1</a:t>
            </a:r>
          </a:p>
        </c:rich>
      </c:tx>
      <c:layout>
        <c:manualLayout>
          <c:xMode val="edge"/>
          <c:yMode val="edge"/>
          <c:x val="0.29739527409926036"/>
          <c:y val="4.0783462426087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58938492959046E-2"/>
          <c:y val="0.20228497782011876"/>
          <c:w val="0.88494981776888915"/>
          <c:h val="0.67373948257829874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[2]Sheet1!$D$121:$D$131</c:f>
              <c:numCache>
                <c:formatCode>General</c:formatCode>
                <c:ptCount val="11"/>
                <c:pt idx="0">
                  <c:v>12</c:v>
                </c:pt>
                <c:pt idx="1">
                  <c:v>8.3000000000000007</c:v>
                </c:pt>
                <c:pt idx="2">
                  <c:v>4.6000000000000023</c:v>
                </c:pt>
                <c:pt idx="3">
                  <c:v>0.89999999999998548</c:v>
                </c:pt>
                <c:pt idx="4">
                  <c:v>2.7999999999999954</c:v>
                </c:pt>
                <c:pt idx="5">
                  <c:v>6.5</c:v>
                </c:pt>
                <c:pt idx="6">
                  <c:v>10.200000000000001</c:v>
                </c:pt>
                <c:pt idx="7">
                  <c:v>13.899999999999999</c:v>
                </c:pt>
                <c:pt idx="8">
                  <c:v>17.600000000000001</c:v>
                </c:pt>
                <c:pt idx="9">
                  <c:v>21.299999999999994</c:v>
                </c:pt>
                <c:pt idx="10">
                  <c:v>24.999999999999996</c:v>
                </c:pt>
              </c:numCache>
            </c:numRef>
          </c:xVal>
          <c:yVal>
            <c:numRef>
              <c:f>[2]Sheet1!$E$121:$E$131</c:f>
              <c:numCache>
                <c:formatCode>General</c:formatCode>
                <c:ptCount val="11"/>
                <c:pt idx="0">
                  <c:v>6</c:v>
                </c:pt>
                <c:pt idx="1">
                  <c:v>6.4</c:v>
                </c:pt>
                <c:pt idx="2">
                  <c:v>6.8000000000000007</c:v>
                </c:pt>
                <c:pt idx="3">
                  <c:v>7.1999999999999993</c:v>
                </c:pt>
                <c:pt idx="4">
                  <c:v>7.6</c:v>
                </c:pt>
                <c:pt idx="5">
                  <c:v>8</c:v>
                </c:pt>
                <c:pt idx="6">
                  <c:v>8.4</c:v>
                </c:pt>
                <c:pt idx="7">
                  <c:v>8.8000000000000007</c:v>
                </c:pt>
                <c:pt idx="8">
                  <c:v>9.1999999999999993</c:v>
                </c:pt>
                <c:pt idx="9">
                  <c:v>9.6000000000000014</c:v>
                </c:pt>
                <c:pt idx="10">
                  <c:v>9.9999999999999982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5F-4590-80FD-61CCAB6F9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760816"/>
        <c:axId val="1"/>
      </c:scatterChart>
      <c:valAx>
        <c:axId val="60676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760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E(pr) Vs Std Dev with 0 correlation</a:t>
            </a:r>
          </a:p>
        </c:rich>
      </c:tx>
      <c:layout>
        <c:manualLayout>
          <c:xMode val="edge"/>
          <c:yMode val="edge"/>
          <c:x val="0.26637274131347299"/>
          <c:y val="1.8038331454340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8060700762102"/>
          <c:y val="0.11273966468207057"/>
          <c:w val="0.80206177936618184"/>
          <c:h val="0.73055302713981729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[2]Sheet1!$D$54:$D$64</c:f>
              <c:numCache>
                <c:formatCode>General</c:formatCode>
                <c:ptCount val="11"/>
                <c:pt idx="0">
                  <c:v>12</c:v>
                </c:pt>
                <c:pt idx="1">
                  <c:v>11.085576214162257</c:v>
                </c:pt>
                <c:pt idx="2">
                  <c:v>10.824047302187848</c:v>
                </c:pt>
                <c:pt idx="3">
                  <c:v>11.260994627474075</c:v>
                </c:pt>
                <c:pt idx="4">
                  <c:v>12.322337440599489</c:v>
                </c:pt>
                <c:pt idx="5">
                  <c:v>13.865424623862047</c:v>
                </c:pt>
                <c:pt idx="6">
                  <c:v>15.749285698088025</c:v>
                </c:pt>
                <c:pt idx="7">
                  <c:v>17.866449003649269</c:v>
                </c:pt>
                <c:pt idx="8">
                  <c:v>20.143485299222675</c:v>
                </c:pt>
                <c:pt idx="9">
                  <c:v>22.531977276750478</c:v>
                </c:pt>
                <c:pt idx="10">
                  <c:v>24.999999999999996</c:v>
                </c:pt>
              </c:numCache>
            </c:numRef>
          </c:xVal>
          <c:yVal>
            <c:numRef>
              <c:f>[2]Sheet1!$E$54:$E$64</c:f>
              <c:numCache>
                <c:formatCode>General</c:formatCode>
                <c:ptCount val="11"/>
                <c:pt idx="0">
                  <c:v>6</c:v>
                </c:pt>
                <c:pt idx="1">
                  <c:v>6.4</c:v>
                </c:pt>
                <c:pt idx="2">
                  <c:v>6.8000000000000007</c:v>
                </c:pt>
                <c:pt idx="3">
                  <c:v>7.1999999999999993</c:v>
                </c:pt>
                <c:pt idx="4">
                  <c:v>7.6</c:v>
                </c:pt>
                <c:pt idx="5">
                  <c:v>8</c:v>
                </c:pt>
                <c:pt idx="6">
                  <c:v>8.4</c:v>
                </c:pt>
                <c:pt idx="7">
                  <c:v>8.8000000000000007</c:v>
                </c:pt>
                <c:pt idx="8">
                  <c:v>9.1999999999999993</c:v>
                </c:pt>
                <c:pt idx="9">
                  <c:v>9.6000000000000014</c:v>
                </c:pt>
                <c:pt idx="10">
                  <c:v>9.9999999999999982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4C-4706-91A7-15DA72AEB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759504"/>
        <c:axId val="1"/>
      </c:scatterChart>
      <c:valAx>
        <c:axId val="60675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Std Dev</a:t>
                </a:r>
              </a:p>
            </c:rich>
          </c:tx>
          <c:layout>
            <c:manualLayout>
              <c:xMode val="edge"/>
              <c:yMode val="edge"/>
              <c:x val="0.50110463628869495"/>
              <c:y val="0.916573604736837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 (r)</a:t>
                </a:r>
              </a:p>
            </c:rich>
          </c:tx>
          <c:layout>
            <c:manualLayout>
              <c:xMode val="edge"/>
              <c:yMode val="edge"/>
              <c:x val="3.2376891516719256E-2"/>
              <c:y val="0.44193941653572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759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575733</xdr:colOff>
      <xdr:row>6</xdr:row>
      <xdr:rowOff>143933</xdr:rowOff>
    </xdr:from>
    <xdr:to>
      <xdr:col>5</xdr:col>
      <xdr:colOff>0</xdr:colOff>
      <xdr:row>7</xdr:row>
      <xdr:rowOff>118533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821743B-29B1-4509-897B-655A82E79B59}"/>
            </a:ext>
          </a:extLst>
        </xdr:cNvPr>
        <xdr:cNvSpPr>
          <a:spLocks noChangeShapeType="1"/>
        </xdr:cNvSpPr>
      </xdr:nvSpPr>
      <xdr:spPr bwMode="auto">
        <a:xfrm flipH="1">
          <a:off x="2751666" y="3865033"/>
          <a:ext cx="431801" cy="2116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137</xdr:row>
      <xdr:rowOff>0</xdr:rowOff>
    </xdr:from>
    <xdr:to>
      <xdr:col>14</xdr:col>
      <xdr:colOff>42333</xdr:colOff>
      <xdr:row>152</xdr:row>
      <xdr:rowOff>0</xdr:rowOff>
    </xdr:to>
    <xdr:graphicFrame macro="">
      <xdr:nvGraphicFramePr>
        <xdr:cNvPr id="2" name="Chart 19">
          <a:extLst>
            <a:ext uri="{FF2B5EF4-FFF2-40B4-BE49-F238E27FC236}">
              <a16:creationId xmlns:a16="http://schemas.microsoft.com/office/drawing/2014/main" id="{BE245D3D-8E2F-4636-857B-0153AAF1E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21167</xdr:colOff>
      <xdr:row>43</xdr:row>
      <xdr:rowOff>152400</xdr:rowOff>
    </xdr:from>
    <xdr:to>
      <xdr:col>13</xdr:col>
      <xdr:colOff>825500</xdr:colOff>
      <xdr:row>65</xdr:row>
      <xdr:rowOff>93133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8B1159F-104D-4FA0-864A-F3ED86855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42333</xdr:colOff>
      <xdr:row>67</xdr:row>
      <xdr:rowOff>0</xdr:rowOff>
    </xdr:from>
    <xdr:to>
      <xdr:col>7</xdr:col>
      <xdr:colOff>612131</xdr:colOff>
      <xdr:row>69</xdr:row>
      <xdr:rowOff>30919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A304096-ECA2-42AE-B684-525BF6610708}"/>
            </a:ext>
          </a:extLst>
        </xdr:cNvPr>
        <xdr:cNvSpPr txBox="1">
          <a:spLocks noChangeArrowheads="1"/>
        </xdr:cNvSpPr>
      </xdr:nvSpPr>
      <xdr:spPr bwMode="auto">
        <a:xfrm>
          <a:off x="2218266" y="12810067"/>
          <a:ext cx="4049598" cy="3526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Ws=(σb^2 - σb σs p) / (σs^2 + σb^2 - 2*σb σs p)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Wb = 1 - Ws</a:t>
          </a:r>
        </a:p>
      </xdr:txBody>
    </xdr:sp>
    <xdr:clientData/>
  </xdr:twoCellAnchor>
  <xdr:twoCellAnchor>
    <xdr:from>
      <xdr:col>12</xdr:col>
      <xdr:colOff>690033</xdr:colOff>
      <xdr:row>48</xdr:row>
      <xdr:rowOff>93133</xdr:rowOff>
    </xdr:from>
    <xdr:to>
      <xdr:col>12</xdr:col>
      <xdr:colOff>690033</xdr:colOff>
      <xdr:row>62</xdr:row>
      <xdr:rowOff>55033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3DE210F-AD75-42DD-ABAC-B6F99F6D22F2}"/>
            </a:ext>
          </a:extLst>
        </xdr:cNvPr>
        <xdr:cNvSpPr>
          <a:spLocks noChangeShapeType="1"/>
        </xdr:cNvSpPr>
      </xdr:nvSpPr>
      <xdr:spPr bwMode="auto">
        <a:xfrm>
          <a:off x="9355666" y="9846733"/>
          <a:ext cx="0" cy="22140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783167</xdr:colOff>
      <xdr:row>48</xdr:row>
      <xdr:rowOff>105833</xdr:rowOff>
    </xdr:from>
    <xdr:to>
      <xdr:col>12</xdr:col>
      <xdr:colOff>698500</xdr:colOff>
      <xdr:row>48</xdr:row>
      <xdr:rowOff>105833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87FA76FF-D4C9-43E2-8742-1EF743894F8A}"/>
            </a:ext>
          </a:extLst>
        </xdr:cNvPr>
        <xdr:cNvSpPr>
          <a:spLocks noChangeShapeType="1"/>
        </xdr:cNvSpPr>
      </xdr:nvSpPr>
      <xdr:spPr bwMode="auto">
        <a:xfrm flipH="1">
          <a:off x="5617634" y="9859433"/>
          <a:ext cx="37464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787400</xdr:colOff>
      <xdr:row>54</xdr:row>
      <xdr:rowOff>29633</xdr:rowOff>
    </xdr:from>
    <xdr:to>
      <xdr:col>10</xdr:col>
      <xdr:colOff>410633</xdr:colOff>
      <xdr:row>54</xdr:row>
      <xdr:rowOff>29633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F93EE37A-75E6-4D3C-AEFC-BC3B8BEF0E7F}"/>
            </a:ext>
          </a:extLst>
        </xdr:cNvPr>
        <xdr:cNvSpPr>
          <a:spLocks noChangeShapeType="1"/>
        </xdr:cNvSpPr>
      </xdr:nvSpPr>
      <xdr:spPr bwMode="auto">
        <a:xfrm>
          <a:off x="5621867" y="10748433"/>
          <a:ext cx="18541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389467</xdr:colOff>
      <xdr:row>54</xdr:row>
      <xdr:rowOff>29633</xdr:rowOff>
    </xdr:from>
    <xdr:to>
      <xdr:col>10</xdr:col>
      <xdr:colOff>397933</xdr:colOff>
      <xdr:row>62</xdr:row>
      <xdr:rowOff>55033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2018B95D-E7A6-4464-BF1B-2CEF0BEA1843}"/>
            </a:ext>
          </a:extLst>
        </xdr:cNvPr>
        <xdr:cNvSpPr>
          <a:spLocks noChangeShapeType="1"/>
        </xdr:cNvSpPr>
      </xdr:nvSpPr>
      <xdr:spPr bwMode="auto">
        <a:xfrm flipH="1">
          <a:off x="7454900" y="10748433"/>
          <a:ext cx="8466" cy="13123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53</xdr:row>
      <xdr:rowOff>131233</xdr:rowOff>
    </xdr:from>
    <xdr:to>
      <xdr:col>10</xdr:col>
      <xdr:colOff>309033</xdr:colOff>
      <xdr:row>54</xdr:row>
      <xdr:rowOff>131233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C366A1C5-0EE0-4049-BD89-E7A5725C7103}"/>
            </a:ext>
          </a:extLst>
        </xdr:cNvPr>
        <xdr:cNvSpPr>
          <a:spLocks noChangeShapeType="1"/>
        </xdr:cNvSpPr>
      </xdr:nvSpPr>
      <xdr:spPr bwMode="auto">
        <a:xfrm flipH="1" flipV="1">
          <a:off x="6993467" y="10689166"/>
          <a:ext cx="380999" cy="160867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482177</xdr:colOff>
      <xdr:row>53</xdr:row>
      <xdr:rowOff>76623</xdr:rowOff>
    </xdr:from>
    <xdr:to>
      <xdr:col>11</xdr:col>
      <xdr:colOff>447469</xdr:colOff>
      <xdr:row>54</xdr:row>
      <xdr:rowOff>129580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40D65D26-E1FF-4177-AE43-043AF353B514}"/>
            </a:ext>
          </a:extLst>
        </xdr:cNvPr>
        <xdr:cNvSpPr txBox="1">
          <a:spLocks noChangeArrowheads="1"/>
        </xdr:cNvSpPr>
      </xdr:nvSpPr>
      <xdr:spPr bwMode="auto">
        <a:xfrm>
          <a:off x="7547610" y="10634556"/>
          <a:ext cx="735759" cy="2138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Bonds</a:t>
          </a:r>
        </a:p>
      </xdr:txBody>
    </xdr:sp>
    <xdr:clientData/>
  </xdr:twoCellAnchor>
  <xdr:twoCellAnchor>
    <xdr:from>
      <xdr:col>7</xdr:col>
      <xdr:colOff>164677</xdr:colOff>
      <xdr:row>49</xdr:row>
      <xdr:rowOff>30903</xdr:rowOff>
    </xdr:from>
    <xdr:to>
      <xdr:col>9</xdr:col>
      <xdr:colOff>49537</xdr:colOff>
      <xdr:row>51</xdr:row>
      <xdr:rowOff>38116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BB2FF0CD-3907-46EA-AA3E-6D6CAF4F6077}"/>
            </a:ext>
          </a:extLst>
        </xdr:cNvPr>
        <xdr:cNvSpPr txBox="1">
          <a:spLocks noChangeArrowheads="1"/>
        </xdr:cNvSpPr>
      </xdr:nvSpPr>
      <xdr:spPr bwMode="auto">
        <a:xfrm>
          <a:off x="5820410" y="9945370"/>
          <a:ext cx="993994" cy="32894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Stocks 18.73%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Bonds 81.27%</a:t>
          </a:r>
        </a:p>
      </xdr:txBody>
    </xdr:sp>
    <xdr:clientData/>
  </xdr:twoCellAnchor>
  <xdr:twoCellAnchor>
    <xdr:from>
      <xdr:col>9</xdr:col>
      <xdr:colOff>38100</xdr:colOff>
      <xdr:row>51</xdr:row>
      <xdr:rowOff>38100</xdr:rowOff>
    </xdr:from>
    <xdr:to>
      <xdr:col>10</xdr:col>
      <xdr:colOff>203200</xdr:colOff>
      <xdr:row>52</xdr:row>
      <xdr:rowOff>152400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A1C49548-90BD-4264-8435-77079569A8D7}"/>
            </a:ext>
          </a:extLst>
        </xdr:cNvPr>
        <xdr:cNvSpPr>
          <a:spLocks noChangeShapeType="1"/>
        </xdr:cNvSpPr>
      </xdr:nvSpPr>
      <xdr:spPr bwMode="auto">
        <a:xfrm>
          <a:off x="6802967" y="10274300"/>
          <a:ext cx="465666" cy="2751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203200</xdr:colOff>
      <xdr:row>53</xdr:row>
      <xdr:rowOff>0</xdr:rowOff>
    </xdr:from>
    <xdr:to>
      <xdr:col>10</xdr:col>
      <xdr:colOff>203200</xdr:colOff>
      <xdr:row>62</xdr:row>
      <xdr:rowOff>55033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676FD662-6151-4395-BF56-673FC83A6881}"/>
            </a:ext>
          </a:extLst>
        </xdr:cNvPr>
        <xdr:cNvSpPr>
          <a:spLocks noChangeShapeType="1"/>
        </xdr:cNvSpPr>
      </xdr:nvSpPr>
      <xdr:spPr bwMode="auto">
        <a:xfrm>
          <a:off x="7268633" y="10557933"/>
          <a:ext cx="0" cy="1502833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783167</xdr:colOff>
      <xdr:row>53</xdr:row>
      <xdr:rowOff>8467</xdr:rowOff>
    </xdr:from>
    <xdr:to>
      <xdr:col>10</xdr:col>
      <xdr:colOff>215900</xdr:colOff>
      <xdr:row>53</xdr:row>
      <xdr:rowOff>8467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5ADC6613-A5F8-4D9E-BB8F-6F63931D9DD7}"/>
            </a:ext>
          </a:extLst>
        </xdr:cNvPr>
        <xdr:cNvSpPr>
          <a:spLocks noChangeShapeType="1"/>
        </xdr:cNvSpPr>
      </xdr:nvSpPr>
      <xdr:spPr bwMode="auto">
        <a:xfrm flipH="1">
          <a:off x="5617634" y="10566400"/>
          <a:ext cx="1663699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21167</xdr:colOff>
      <xdr:row>96</xdr:row>
      <xdr:rowOff>84667</xdr:rowOff>
    </xdr:from>
    <xdr:to>
      <xdr:col>14</xdr:col>
      <xdr:colOff>59267</xdr:colOff>
      <xdr:row>113</xdr:row>
      <xdr:rowOff>8467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F4FF715-5316-4FC8-AC31-786BD83B3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59267</xdr:colOff>
      <xdr:row>116</xdr:row>
      <xdr:rowOff>0</xdr:rowOff>
    </xdr:from>
    <xdr:to>
      <xdr:col>14</xdr:col>
      <xdr:colOff>93133</xdr:colOff>
      <xdr:row>130</xdr:row>
      <xdr:rowOff>152400</xdr:rowOff>
    </xdr:to>
    <xdr:graphicFrame macro="">
      <xdr:nvGraphicFramePr>
        <xdr:cNvPr id="17" name="Chart 18">
          <a:extLst>
            <a:ext uri="{FF2B5EF4-FFF2-40B4-BE49-F238E27FC236}">
              <a16:creationId xmlns:a16="http://schemas.microsoft.com/office/drawing/2014/main" id="{4FA885C1-CB69-47B4-9D12-B7B9441CB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541867</xdr:colOff>
      <xdr:row>140</xdr:row>
      <xdr:rowOff>131233</xdr:rowOff>
    </xdr:from>
    <xdr:to>
      <xdr:col>12</xdr:col>
      <xdr:colOff>613833</xdr:colOff>
      <xdr:row>147</xdr:row>
      <xdr:rowOff>38100</xdr:rowOff>
    </xdr:to>
    <xdr:sp macro="" textlink="">
      <xdr:nvSpPr>
        <xdr:cNvPr id="18" name="Line 20">
          <a:extLst>
            <a:ext uri="{FF2B5EF4-FFF2-40B4-BE49-F238E27FC236}">
              <a16:creationId xmlns:a16="http://schemas.microsoft.com/office/drawing/2014/main" id="{62BD0865-57CD-42CC-9FA5-D450C03DE0B2}"/>
            </a:ext>
          </a:extLst>
        </xdr:cNvPr>
        <xdr:cNvSpPr>
          <a:spLocks noChangeShapeType="1"/>
        </xdr:cNvSpPr>
      </xdr:nvSpPr>
      <xdr:spPr bwMode="auto">
        <a:xfrm flipV="1">
          <a:off x="5376334" y="24684566"/>
          <a:ext cx="3903132" cy="10329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562610</xdr:colOff>
      <xdr:row>143</xdr:row>
      <xdr:rowOff>114723</xdr:rowOff>
    </xdr:from>
    <xdr:to>
      <xdr:col>8</xdr:col>
      <xdr:colOff>164677</xdr:colOff>
      <xdr:row>144</xdr:row>
      <xdr:rowOff>107103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02BE861D-1407-43CF-AAE5-05006490BC9B}"/>
            </a:ext>
          </a:extLst>
        </xdr:cNvPr>
        <xdr:cNvSpPr txBox="1">
          <a:spLocks noChangeArrowheads="1"/>
        </xdr:cNvSpPr>
      </xdr:nvSpPr>
      <xdr:spPr bwMode="auto">
        <a:xfrm>
          <a:off x="6218343" y="25150656"/>
          <a:ext cx="495301" cy="1532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CAL</a:t>
          </a:r>
        </a:p>
      </xdr:txBody>
    </xdr:sp>
    <xdr:clientData/>
  </xdr:twoCellAnchor>
  <xdr:twoCellAnchor>
    <xdr:from>
      <xdr:col>9</xdr:col>
      <xdr:colOff>266700</xdr:colOff>
      <xdr:row>141</xdr:row>
      <xdr:rowOff>122767</xdr:rowOff>
    </xdr:from>
    <xdr:to>
      <xdr:col>10</xdr:col>
      <xdr:colOff>347133</xdr:colOff>
      <xdr:row>143</xdr:row>
      <xdr:rowOff>105833</xdr:rowOff>
    </xdr:to>
    <xdr:sp macro="" textlink="">
      <xdr:nvSpPr>
        <xdr:cNvPr id="20" name="Line 22">
          <a:extLst>
            <a:ext uri="{FF2B5EF4-FFF2-40B4-BE49-F238E27FC236}">
              <a16:creationId xmlns:a16="http://schemas.microsoft.com/office/drawing/2014/main" id="{229D2FFF-B61F-4CA6-B20A-A70E52271136}"/>
            </a:ext>
          </a:extLst>
        </xdr:cNvPr>
        <xdr:cNvSpPr>
          <a:spLocks noChangeShapeType="1"/>
        </xdr:cNvSpPr>
      </xdr:nvSpPr>
      <xdr:spPr bwMode="auto">
        <a:xfrm>
          <a:off x="7031567" y="24836967"/>
          <a:ext cx="380999" cy="3047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21167</xdr:colOff>
      <xdr:row>71</xdr:row>
      <xdr:rowOff>152400</xdr:rowOff>
    </xdr:from>
    <xdr:to>
      <xdr:col>13</xdr:col>
      <xdr:colOff>825500</xdr:colOff>
      <xdr:row>93</xdr:row>
      <xdr:rowOff>93133</xdr:rowOff>
    </xdr:to>
    <xdr:graphicFrame macro="">
      <xdr:nvGraphicFramePr>
        <xdr:cNvPr id="21" name="Chart 23">
          <a:extLst>
            <a:ext uri="{FF2B5EF4-FFF2-40B4-BE49-F238E27FC236}">
              <a16:creationId xmlns:a16="http://schemas.microsoft.com/office/drawing/2014/main" id="{49BA7D4E-4CCC-4DF4-81BF-054E9AF10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690033</xdr:colOff>
      <xdr:row>76</xdr:row>
      <xdr:rowOff>93133</xdr:rowOff>
    </xdr:from>
    <xdr:to>
      <xdr:col>12</xdr:col>
      <xdr:colOff>690033</xdr:colOff>
      <xdr:row>90</xdr:row>
      <xdr:rowOff>55033</xdr:rowOff>
    </xdr:to>
    <xdr:sp macro="" textlink="">
      <xdr:nvSpPr>
        <xdr:cNvPr id="22" name="Line 24">
          <a:extLst>
            <a:ext uri="{FF2B5EF4-FFF2-40B4-BE49-F238E27FC236}">
              <a16:creationId xmlns:a16="http://schemas.microsoft.com/office/drawing/2014/main" id="{60FB46AB-5C3F-469C-B958-AD8762EDF11F}"/>
            </a:ext>
          </a:extLst>
        </xdr:cNvPr>
        <xdr:cNvSpPr>
          <a:spLocks noChangeShapeType="1"/>
        </xdr:cNvSpPr>
      </xdr:nvSpPr>
      <xdr:spPr bwMode="auto">
        <a:xfrm>
          <a:off x="9355666" y="14351000"/>
          <a:ext cx="0" cy="22140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783167</xdr:colOff>
      <xdr:row>76</xdr:row>
      <xdr:rowOff>105833</xdr:rowOff>
    </xdr:from>
    <xdr:to>
      <xdr:col>12</xdr:col>
      <xdr:colOff>698500</xdr:colOff>
      <xdr:row>76</xdr:row>
      <xdr:rowOff>105833</xdr:rowOff>
    </xdr:to>
    <xdr:sp macro="" textlink="">
      <xdr:nvSpPr>
        <xdr:cNvPr id="23" name="Line 25">
          <a:extLst>
            <a:ext uri="{FF2B5EF4-FFF2-40B4-BE49-F238E27FC236}">
              <a16:creationId xmlns:a16="http://schemas.microsoft.com/office/drawing/2014/main" id="{B6AB5EFE-F3CE-4828-8ED9-B6756A17633F}"/>
            </a:ext>
          </a:extLst>
        </xdr:cNvPr>
        <xdr:cNvSpPr>
          <a:spLocks noChangeShapeType="1"/>
        </xdr:cNvSpPr>
      </xdr:nvSpPr>
      <xdr:spPr bwMode="auto">
        <a:xfrm flipH="1">
          <a:off x="5617634" y="14363700"/>
          <a:ext cx="37464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787400</xdr:colOff>
      <xdr:row>82</xdr:row>
      <xdr:rowOff>29633</xdr:rowOff>
    </xdr:from>
    <xdr:to>
      <xdr:col>10</xdr:col>
      <xdr:colOff>410633</xdr:colOff>
      <xdr:row>82</xdr:row>
      <xdr:rowOff>29633</xdr:rowOff>
    </xdr:to>
    <xdr:sp macro="" textlink="">
      <xdr:nvSpPr>
        <xdr:cNvPr id="24" name="Line 26">
          <a:extLst>
            <a:ext uri="{FF2B5EF4-FFF2-40B4-BE49-F238E27FC236}">
              <a16:creationId xmlns:a16="http://schemas.microsoft.com/office/drawing/2014/main" id="{0AA807A2-B1D3-4384-8604-0239C29B240E}"/>
            </a:ext>
          </a:extLst>
        </xdr:cNvPr>
        <xdr:cNvSpPr>
          <a:spLocks noChangeShapeType="1"/>
        </xdr:cNvSpPr>
      </xdr:nvSpPr>
      <xdr:spPr bwMode="auto">
        <a:xfrm>
          <a:off x="5621867" y="15252700"/>
          <a:ext cx="18541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389467</xdr:colOff>
      <xdr:row>82</xdr:row>
      <xdr:rowOff>29633</xdr:rowOff>
    </xdr:from>
    <xdr:to>
      <xdr:col>10</xdr:col>
      <xdr:colOff>397933</xdr:colOff>
      <xdr:row>90</xdr:row>
      <xdr:rowOff>55033</xdr:rowOff>
    </xdr:to>
    <xdr:sp macro="" textlink="">
      <xdr:nvSpPr>
        <xdr:cNvPr id="25" name="Line 27">
          <a:extLst>
            <a:ext uri="{FF2B5EF4-FFF2-40B4-BE49-F238E27FC236}">
              <a16:creationId xmlns:a16="http://schemas.microsoft.com/office/drawing/2014/main" id="{8EAE0D3B-55B5-4184-9FCD-C1F9B991AFCF}"/>
            </a:ext>
          </a:extLst>
        </xdr:cNvPr>
        <xdr:cNvSpPr>
          <a:spLocks noChangeShapeType="1"/>
        </xdr:cNvSpPr>
      </xdr:nvSpPr>
      <xdr:spPr bwMode="auto">
        <a:xfrm flipH="1">
          <a:off x="7454900" y="15252700"/>
          <a:ext cx="8466" cy="13123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482177</xdr:colOff>
      <xdr:row>81</xdr:row>
      <xdr:rowOff>76623</xdr:rowOff>
    </xdr:from>
    <xdr:to>
      <xdr:col>11</xdr:col>
      <xdr:colOff>447469</xdr:colOff>
      <xdr:row>82</xdr:row>
      <xdr:rowOff>129580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7477E0FD-10B7-4CA1-B4A2-2D4E6B5B4F30}"/>
            </a:ext>
          </a:extLst>
        </xdr:cNvPr>
        <xdr:cNvSpPr txBox="1">
          <a:spLocks noChangeArrowheads="1"/>
        </xdr:cNvSpPr>
      </xdr:nvSpPr>
      <xdr:spPr bwMode="auto">
        <a:xfrm>
          <a:off x="7547610" y="15138823"/>
          <a:ext cx="735759" cy="2138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Bonds</a:t>
          </a:r>
        </a:p>
      </xdr:txBody>
    </xdr:sp>
    <xdr:clientData/>
  </xdr:twoCellAnchor>
  <xdr:twoCellAnchor>
    <xdr:from>
      <xdr:col>7</xdr:col>
      <xdr:colOff>164677</xdr:colOff>
      <xdr:row>77</xdr:row>
      <xdr:rowOff>30903</xdr:rowOff>
    </xdr:from>
    <xdr:to>
      <xdr:col>9</xdr:col>
      <xdr:colOff>49537</xdr:colOff>
      <xdr:row>79</xdr:row>
      <xdr:rowOff>38116</xdr:rowOff>
    </xdr:to>
    <xdr:sp macro="" textlink="">
      <xdr:nvSpPr>
        <xdr:cNvPr id="27" name="Text Box 30">
          <a:extLst>
            <a:ext uri="{FF2B5EF4-FFF2-40B4-BE49-F238E27FC236}">
              <a16:creationId xmlns:a16="http://schemas.microsoft.com/office/drawing/2014/main" id="{6F4EA5AB-5342-459E-8B28-C4EEE66B8A23}"/>
            </a:ext>
          </a:extLst>
        </xdr:cNvPr>
        <xdr:cNvSpPr txBox="1">
          <a:spLocks noChangeArrowheads="1"/>
        </xdr:cNvSpPr>
      </xdr:nvSpPr>
      <xdr:spPr bwMode="auto">
        <a:xfrm>
          <a:off x="5820410" y="14449636"/>
          <a:ext cx="993994" cy="32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Stocks 18.73%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Bonds 81.27%</a:t>
          </a:r>
        </a:p>
      </xdr:txBody>
    </xdr:sp>
    <xdr:clientData/>
  </xdr:twoCellAnchor>
  <xdr:twoCellAnchor>
    <xdr:from>
      <xdr:col>9</xdr:col>
      <xdr:colOff>38100</xdr:colOff>
      <xdr:row>79</xdr:row>
      <xdr:rowOff>38100</xdr:rowOff>
    </xdr:from>
    <xdr:to>
      <xdr:col>10</xdr:col>
      <xdr:colOff>203200</xdr:colOff>
      <xdr:row>81</xdr:row>
      <xdr:rowOff>8467</xdr:rowOff>
    </xdr:to>
    <xdr:sp macro="" textlink="">
      <xdr:nvSpPr>
        <xdr:cNvPr id="28" name="Line 31">
          <a:extLst>
            <a:ext uri="{FF2B5EF4-FFF2-40B4-BE49-F238E27FC236}">
              <a16:creationId xmlns:a16="http://schemas.microsoft.com/office/drawing/2014/main" id="{18A6407C-96CC-432A-8D93-0B363B00CD30}"/>
            </a:ext>
          </a:extLst>
        </xdr:cNvPr>
        <xdr:cNvSpPr>
          <a:spLocks noChangeShapeType="1"/>
        </xdr:cNvSpPr>
      </xdr:nvSpPr>
      <xdr:spPr bwMode="auto">
        <a:xfrm>
          <a:off x="6802967" y="14778567"/>
          <a:ext cx="465666" cy="29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203200</xdr:colOff>
      <xdr:row>81</xdr:row>
      <xdr:rowOff>0</xdr:rowOff>
    </xdr:from>
    <xdr:to>
      <xdr:col>10</xdr:col>
      <xdr:colOff>203200</xdr:colOff>
      <xdr:row>90</xdr:row>
      <xdr:rowOff>55033</xdr:rowOff>
    </xdr:to>
    <xdr:sp macro="" textlink="">
      <xdr:nvSpPr>
        <xdr:cNvPr id="29" name="Line 32">
          <a:extLst>
            <a:ext uri="{FF2B5EF4-FFF2-40B4-BE49-F238E27FC236}">
              <a16:creationId xmlns:a16="http://schemas.microsoft.com/office/drawing/2014/main" id="{4353D00C-45FC-4E07-960D-C6CA5321EB9A}"/>
            </a:ext>
          </a:extLst>
        </xdr:cNvPr>
        <xdr:cNvSpPr>
          <a:spLocks noChangeShapeType="1"/>
        </xdr:cNvSpPr>
      </xdr:nvSpPr>
      <xdr:spPr bwMode="auto">
        <a:xfrm>
          <a:off x="7268633" y="15062200"/>
          <a:ext cx="0" cy="1502833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783167</xdr:colOff>
      <xdr:row>81</xdr:row>
      <xdr:rowOff>8467</xdr:rowOff>
    </xdr:from>
    <xdr:to>
      <xdr:col>10</xdr:col>
      <xdr:colOff>215900</xdr:colOff>
      <xdr:row>81</xdr:row>
      <xdr:rowOff>8467</xdr:rowOff>
    </xdr:to>
    <xdr:sp macro="" textlink="">
      <xdr:nvSpPr>
        <xdr:cNvPr id="30" name="Line 33">
          <a:extLst>
            <a:ext uri="{FF2B5EF4-FFF2-40B4-BE49-F238E27FC236}">
              <a16:creationId xmlns:a16="http://schemas.microsoft.com/office/drawing/2014/main" id="{51FAA143-0697-43C0-8CCE-009C09DF08E0}"/>
            </a:ext>
          </a:extLst>
        </xdr:cNvPr>
        <xdr:cNvSpPr>
          <a:spLocks noChangeShapeType="1"/>
        </xdr:cNvSpPr>
      </xdr:nvSpPr>
      <xdr:spPr bwMode="auto">
        <a:xfrm flipH="1">
          <a:off x="5617634" y="15070667"/>
          <a:ext cx="1663699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770467</xdr:colOff>
      <xdr:row>75</xdr:row>
      <xdr:rowOff>8467</xdr:rowOff>
    </xdr:from>
    <xdr:to>
      <xdr:col>12</xdr:col>
      <xdr:colOff>173567</xdr:colOff>
      <xdr:row>86</xdr:row>
      <xdr:rowOff>55033</xdr:rowOff>
    </xdr:to>
    <xdr:sp macro="" textlink="">
      <xdr:nvSpPr>
        <xdr:cNvPr id="31" name="Line 34">
          <a:extLst>
            <a:ext uri="{FF2B5EF4-FFF2-40B4-BE49-F238E27FC236}">
              <a16:creationId xmlns:a16="http://schemas.microsoft.com/office/drawing/2014/main" id="{E361F89D-404D-4B9A-B25E-BAD47028A40D}"/>
            </a:ext>
          </a:extLst>
        </xdr:cNvPr>
        <xdr:cNvSpPr>
          <a:spLocks noChangeShapeType="1"/>
        </xdr:cNvSpPr>
      </xdr:nvSpPr>
      <xdr:spPr bwMode="auto">
        <a:xfrm flipV="1">
          <a:off x="5604934" y="14105467"/>
          <a:ext cx="3234266" cy="181609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110913</xdr:colOff>
      <xdr:row>85</xdr:row>
      <xdr:rowOff>129540</xdr:rowOff>
    </xdr:from>
    <xdr:to>
      <xdr:col>7</xdr:col>
      <xdr:colOff>107531</xdr:colOff>
      <xdr:row>86</xdr:row>
      <xdr:rowOff>122380</xdr:rowOff>
    </xdr:to>
    <xdr:sp macro="" textlink="">
      <xdr:nvSpPr>
        <xdr:cNvPr id="32" name="Text Box 35">
          <a:extLst>
            <a:ext uri="{FF2B5EF4-FFF2-40B4-BE49-F238E27FC236}">
              <a16:creationId xmlns:a16="http://schemas.microsoft.com/office/drawing/2014/main" id="{D6ECFD93-5C65-4AD8-852A-5318E7EB33FE}"/>
            </a:ext>
          </a:extLst>
        </xdr:cNvPr>
        <xdr:cNvSpPr txBox="1">
          <a:spLocks noChangeArrowheads="1"/>
        </xdr:cNvSpPr>
      </xdr:nvSpPr>
      <xdr:spPr bwMode="auto">
        <a:xfrm>
          <a:off x="4945380" y="15835207"/>
          <a:ext cx="817884" cy="1537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R(f) = 3.0%</a:t>
          </a:r>
        </a:p>
      </xdr:txBody>
    </xdr:sp>
    <xdr:clientData/>
  </xdr:twoCellAnchor>
  <xdr:twoCellAnchor>
    <xdr:from>
      <xdr:col>10</xdr:col>
      <xdr:colOff>1694</xdr:colOff>
      <xdr:row>74</xdr:row>
      <xdr:rowOff>69003</xdr:rowOff>
    </xdr:from>
    <xdr:to>
      <xdr:col>11</xdr:col>
      <xdr:colOff>226060</xdr:colOff>
      <xdr:row>75</xdr:row>
      <xdr:rowOff>83869</xdr:rowOff>
    </xdr:to>
    <xdr:sp macro="" textlink="">
      <xdr:nvSpPr>
        <xdr:cNvPr id="33" name="Text Box 36">
          <a:extLst>
            <a:ext uri="{FF2B5EF4-FFF2-40B4-BE49-F238E27FC236}">
              <a16:creationId xmlns:a16="http://schemas.microsoft.com/office/drawing/2014/main" id="{D3678A0D-EA3F-4604-A46F-AD7F1D023EF1}"/>
            </a:ext>
          </a:extLst>
        </xdr:cNvPr>
        <xdr:cNvSpPr txBox="1">
          <a:spLocks noChangeArrowheads="1"/>
        </xdr:cNvSpPr>
      </xdr:nvSpPr>
      <xdr:spPr bwMode="auto">
        <a:xfrm>
          <a:off x="7067127" y="14005136"/>
          <a:ext cx="994833" cy="1757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Capital Allocation Line</a:t>
          </a:r>
        </a:p>
      </xdr:txBody>
    </xdr:sp>
    <xdr:clientData/>
  </xdr:twoCellAnchor>
  <xdr:twoCellAnchor>
    <xdr:from>
      <xdr:col>10</xdr:col>
      <xdr:colOff>359833</xdr:colOff>
      <xdr:row>79</xdr:row>
      <xdr:rowOff>76200</xdr:rowOff>
    </xdr:from>
    <xdr:to>
      <xdr:col>10</xdr:col>
      <xdr:colOff>516467</xdr:colOff>
      <xdr:row>80</xdr:row>
      <xdr:rowOff>55033</xdr:rowOff>
    </xdr:to>
    <xdr:sp macro="" textlink="">
      <xdr:nvSpPr>
        <xdr:cNvPr id="34" name="AutoShape 37">
          <a:extLst>
            <a:ext uri="{FF2B5EF4-FFF2-40B4-BE49-F238E27FC236}">
              <a16:creationId xmlns:a16="http://schemas.microsoft.com/office/drawing/2014/main" id="{7FF4E21B-11F9-42E9-844C-CA67A68516D5}"/>
            </a:ext>
          </a:extLst>
        </xdr:cNvPr>
        <xdr:cNvSpPr>
          <a:spLocks noChangeArrowheads="1"/>
        </xdr:cNvSpPr>
      </xdr:nvSpPr>
      <xdr:spPr bwMode="auto">
        <a:xfrm>
          <a:off x="7425266" y="14816667"/>
          <a:ext cx="156634" cy="139699"/>
        </a:xfrm>
        <a:custGeom>
          <a:avLst/>
          <a:gdLst>
            <a:gd name="T0" fmla="*/ 511088 w 21600"/>
            <a:gd name="T1" fmla="*/ 0 h 21600"/>
            <a:gd name="T2" fmla="*/ 149684 w 21600"/>
            <a:gd name="T3" fmla="*/ 127540 h 21600"/>
            <a:gd name="T4" fmla="*/ 0 w 21600"/>
            <a:gd name="T5" fmla="*/ 435483 h 21600"/>
            <a:gd name="T6" fmla="*/ 149684 w 21600"/>
            <a:gd name="T7" fmla="*/ 743426 h 21600"/>
            <a:gd name="T8" fmla="*/ 511088 w 21600"/>
            <a:gd name="T9" fmla="*/ 870966 h 21600"/>
            <a:gd name="T10" fmla="*/ 872492 w 21600"/>
            <a:gd name="T11" fmla="*/ 743426 h 21600"/>
            <a:gd name="T12" fmla="*/ 1022175 w 21600"/>
            <a:gd name="T13" fmla="*/ 435483 h 21600"/>
            <a:gd name="T14" fmla="*/ 872492 w 21600"/>
            <a:gd name="T15" fmla="*/ 12754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3163 w 21600"/>
            <a:gd name="T25" fmla="*/ 3163 h 21600"/>
            <a:gd name="T26" fmla="*/ 18437 w 21600"/>
            <a:gd name="T27" fmla="*/ 18437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348403</xdr:colOff>
      <xdr:row>77</xdr:row>
      <xdr:rowOff>53340</xdr:rowOff>
    </xdr:from>
    <xdr:to>
      <xdr:col>11</xdr:col>
      <xdr:colOff>527885</xdr:colOff>
      <xdr:row>78</xdr:row>
      <xdr:rowOff>76674</xdr:rowOff>
    </xdr:to>
    <xdr:sp macro="" textlink="">
      <xdr:nvSpPr>
        <xdr:cNvPr id="35" name="Text Box 38">
          <a:extLst>
            <a:ext uri="{FF2B5EF4-FFF2-40B4-BE49-F238E27FC236}">
              <a16:creationId xmlns:a16="http://schemas.microsoft.com/office/drawing/2014/main" id="{5A3E42F3-73BE-4BAF-9630-AE69EA110E10}"/>
            </a:ext>
          </a:extLst>
        </xdr:cNvPr>
        <xdr:cNvSpPr txBox="1">
          <a:spLocks noChangeArrowheads="1"/>
        </xdr:cNvSpPr>
      </xdr:nvSpPr>
      <xdr:spPr bwMode="auto">
        <a:xfrm>
          <a:off x="7413836" y="14472073"/>
          <a:ext cx="949949" cy="1842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Best Sharpe Ratio</a:t>
          </a:r>
        </a:p>
      </xdr:txBody>
    </xdr:sp>
    <xdr:clientData/>
  </xdr:twoCellAnchor>
  <xdr:twoCellAnchor>
    <xdr:from>
      <xdr:col>10</xdr:col>
      <xdr:colOff>372533</xdr:colOff>
      <xdr:row>78</xdr:row>
      <xdr:rowOff>76200</xdr:rowOff>
    </xdr:from>
    <xdr:to>
      <xdr:col>10</xdr:col>
      <xdr:colOff>423333</xdr:colOff>
      <xdr:row>79</xdr:row>
      <xdr:rowOff>84667</xdr:rowOff>
    </xdr:to>
    <xdr:sp macro="" textlink="">
      <xdr:nvSpPr>
        <xdr:cNvPr id="36" name="Line 39">
          <a:extLst>
            <a:ext uri="{FF2B5EF4-FFF2-40B4-BE49-F238E27FC236}">
              <a16:creationId xmlns:a16="http://schemas.microsoft.com/office/drawing/2014/main" id="{771622C3-1EE8-43AC-A164-AD7934D03EE2}"/>
            </a:ext>
          </a:extLst>
        </xdr:cNvPr>
        <xdr:cNvSpPr>
          <a:spLocks noChangeShapeType="1"/>
        </xdr:cNvSpPr>
      </xdr:nvSpPr>
      <xdr:spPr bwMode="auto">
        <a:xfrm>
          <a:off x="7437966" y="14655800"/>
          <a:ext cx="50800" cy="1693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0.76214</cdr:x>
      <cdr:y>0.15393</cdr:y>
    </cdr:from>
    <cdr:to>
      <cdr:x>0.89898</cdr:x>
      <cdr:y>0.21412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58073022-99BD-4B19-9858-BBB70BB00BD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1649" y="532759"/>
          <a:ext cx="701391" cy="2028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Stocks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0.76214</cdr:x>
      <cdr:y>0.15199</cdr:y>
    </cdr:from>
    <cdr:to>
      <cdr:x>0.89898</cdr:x>
      <cdr:y>0.2129</cdr:y>
    </cdr:to>
    <cdr:sp macro="" textlink="">
      <cdr:nvSpPr>
        <cdr:cNvPr id="5121" name="Text Box 1">
          <a:extLst xmlns:a="http://schemas.openxmlformats.org/drawingml/2006/main">
            <a:ext uri="{FF2B5EF4-FFF2-40B4-BE49-F238E27FC236}">
              <a16:creationId xmlns:a16="http://schemas.microsoft.com/office/drawing/2014/main" id="{0CBC1409-51CF-48BC-9F23-5DE0E67B512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1649" y="532759"/>
          <a:ext cx="701391" cy="2028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Stocks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6921b89f68d3868/Documents/Spreadsheets/Bond%20%5e0%20Stock%20portfolio_analys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rou\Onedrive\Documents\Spreadsheets\FIN%20Spreadsheets\FIN_covariance_and_correlatio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folio Analysis"/>
      <sheetName val="Stocks"/>
      <sheetName val="Bonds"/>
      <sheetName val="Sheet1"/>
      <sheetName val="Sheet2"/>
    </sheetNames>
    <sheetDataSet>
      <sheetData sheetId="0"/>
      <sheetData sheetId="1">
        <row r="4">
          <cell r="E4">
            <v>43252</v>
          </cell>
          <cell r="F4">
            <v>43282</v>
          </cell>
          <cell r="G4">
            <v>43313</v>
          </cell>
          <cell r="H4">
            <v>43344</v>
          </cell>
          <cell r="I4">
            <v>43374</v>
          </cell>
          <cell r="J4">
            <v>43405</v>
          </cell>
          <cell r="K4">
            <v>43435</v>
          </cell>
          <cell r="L4">
            <v>43466</v>
          </cell>
        </row>
        <row r="77">
          <cell r="F77">
            <v>0</v>
          </cell>
          <cell r="G77">
            <v>1550</v>
          </cell>
          <cell r="H77">
            <v>2300</v>
          </cell>
          <cell r="I77">
            <v>0</v>
          </cell>
          <cell r="J77">
            <v>0</v>
          </cell>
          <cell r="K77">
            <v>0</v>
          </cell>
          <cell r="L77">
            <v>92600</v>
          </cell>
        </row>
        <row r="96">
          <cell r="E96">
            <v>82600</v>
          </cell>
          <cell r="F96">
            <v>82200</v>
          </cell>
          <cell r="G96">
            <v>84050</v>
          </cell>
          <cell r="H96">
            <v>85000</v>
          </cell>
          <cell r="I96">
            <v>85450</v>
          </cell>
          <cell r="J96">
            <v>87300</v>
          </cell>
          <cell r="K96">
            <v>92275</v>
          </cell>
        </row>
        <row r="133">
          <cell r="F133">
            <v>92.5</v>
          </cell>
          <cell r="G133">
            <v>90</v>
          </cell>
          <cell r="H133">
            <v>150</v>
          </cell>
          <cell r="I133">
            <v>245</v>
          </cell>
          <cell r="J133">
            <v>62.5</v>
          </cell>
          <cell r="K133">
            <v>0</v>
          </cell>
          <cell r="L133">
            <v>0</v>
          </cell>
        </row>
      </sheetData>
      <sheetData sheetId="2">
        <row r="51">
          <cell r="F51">
            <v>2875</v>
          </cell>
          <cell r="G51">
            <v>-2880</v>
          </cell>
          <cell r="H51">
            <v>-4075</v>
          </cell>
          <cell r="I51">
            <v>0</v>
          </cell>
          <cell r="J51">
            <v>865</v>
          </cell>
          <cell r="K51">
            <v>3550</v>
          </cell>
          <cell r="L51">
            <v>97000</v>
          </cell>
        </row>
        <row r="61">
          <cell r="E61">
            <v>95650</v>
          </cell>
          <cell r="F61">
            <v>93620</v>
          </cell>
          <cell r="G61">
            <v>97035</v>
          </cell>
          <cell r="H61">
            <v>101575</v>
          </cell>
          <cell r="I61">
            <v>102110</v>
          </cell>
          <cell r="J61">
            <v>101410</v>
          </cell>
          <cell r="K61">
            <v>97325</v>
          </cell>
        </row>
        <row r="93">
          <cell r="F93">
            <v>0</v>
          </cell>
          <cell r="G93">
            <v>875</v>
          </cell>
          <cell r="H93">
            <v>593.75</v>
          </cell>
          <cell r="I93">
            <v>1343.75</v>
          </cell>
          <cell r="J93">
            <v>0</v>
          </cell>
          <cell r="K93">
            <v>0</v>
          </cell>
          <cell r="L93">
            <v>0</v>
          </cell>
        </row>
        <row r="121">
          <cell r="E121">
            <v>-1576.9097222222224</v>
          </cell>
          <cell r="F121">
            <v>-209.375</v>
          </cell>
          <cell r="G121">
            <v>14.444444444444445</v>
          </cell>
          <cell r="H121">
            <v>-161.38888888888889</v>
          </cell>
          <cell r="I121">
            <v>0</v>
          </cell>
          <cell r="J121">
            <v>-24.93055555555555</v>
          </cell>
          <cell r="K121">
            <v>116.66666666666669</v>
          </cell>
          <cell r="L121">
            <v>1926.7013888888887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4">
          <cell r="D54">
            <v>12</v>
          </cell>
          <cell r="E54">
            <v>6</v>
          </cell>
        </row>
        <row r="55">
          <cell r="D55">
            <v>11.085576214162257</v>
          </cell>
          <cell r="E55">
            <v>6.4</v>
          </cell>
        </row>
        <row r="56">
          <cell r="D56">
            <v>10.824047302187848</v>
          </cell>
          <cell r="E56">
            <v>6.8000000000000007</v>
          </cell>
        </row>
        <row r="57">
          <cell r="D57">
            <v>11.260994627474075</v>
          </cell>
          <cell r="E57">
            <v>7.1999999999999993</v>
          </cell>
        </row>
        <row r="58">
          <cell r="D58">
            <v>12.322337440599489</v>
          </cell>
          <cell r="E58">
            <v>7.6</v>
          </cell>
        </row>
        <row r="59">
          <cell r="D59">
            <v>13.865424623862047</v>
          </cell>
          <cell r="E59">
            <v>8</v>
          </cell>
        </row>
        <row r="60">
          <cell r="D60">
            <v>15.749285698088025</v>
          </cell>
          <cell r="E60">
            <v>8.4</v>
          </cell>
        </row>
        <row r="61">
          <cell r="D61">
            <v>17.866449003649269</v>
          </cell>
          <cell r="E61">
            <v>8.8000000000000007</v>
          </cell>
        </row>
        <row r="62">
          <cell r="D62">
            <v>20.143485299222675</v>
          </cell>
          <cell r="E62">
            <v>9.1999999999999993</v>
          </cell>
        </row>
        <row r="63">
          <cell r="D63">
            <v>22.531977276750478</v>
          </cell>
          <cell r="E63">
            <v>9.6000000000000014</v>
          </cell>
        </row>
        <row r="64">
          <cell r="D64">
            <v>24.999999999999996</v>
          </cell>
          <cell r="E64">
            <v>9.9999999999999982</v>
          </cell>
        </row>
        <row r="100">
          <cell r="E100" t="str">
            <v>Exp Return</v>
          </cell>
        </row>
        <row r="101">
          <cell r="E101" t="str">
            <v xml:space="preserve"> E(rp) %</v>
          </cell>
        </row>
        <row r="102">
          <cell r="D102">
            <v>12</v>
          </cell>
          <cell r="E102">
            <v>6</v>
          </cell>
        </row>
        <row r="103">
          <cell r="D103">
            <v>13.3</v>
          </cell>
          <cell r="E103">
            <v>6.4</v>
          </cell>
        </row>
        <row r="104">
          <cell r="D104">
            <v>14.600000000000001</v>
          </cell>
          <cell r="E104">
            <v>6.8000000000000007</v>
          </cell>
        </row>
        <row r="105">
          <cell r="D105">
            <v>15.9</v>
          </cell>
          <cell r="E105">
            <v>7.1999999999999993</v>
          </cell>
        </row>
        <row r="106">
          <cell r="D106">
            <v>17.2</v>
          </cell>
          <cell r="E106">
            <v>7.6</v>
          </cell>
        </row>
        <row r="107">
          <cell r="D107">
            <v>18.5</v>
          </cell>
          <cell r="E107">
            <v>8</v>
          </cell>
        </row>
        <row r="108">
          <cell r="D108">
            <v>19.8</v>
          </cell>
          <cell r="E108">
            <v>8.4</v>
          </cell>
        </row>
        <row r="109">
          <cell r="D109">
            <v>21.099999999999998</v>
          </cell>
          <cell r="E109">
            <v>8.8000000000000007</v>
          </cell>
        </row>
        <row r="110">
          <cell r="D110">
            <v>22.4</v>
          </cell>
          <cell r="E110">
            <v>9.1999999999999993</v>
          </cell>
        </row>
        <row r="111">
          <cell r="D111">
            <v>23.699999999999996</v>
          </cell>
          <cell r="E111">
            <v>9.6000000000000014</v>
          </cell>
        </row>
        <row r="112">
          <cell r="D112">
            <v>24.999999999999996</v>
          </cell>
          <cell r="E112">
            <v>9.9999999999999982</v>
          </cell>
        </row>
        <row r="121">
          <cell r="D121">
            <v>12</v>
          </cell>
          <cell r="E121">
            <v>6</v>
          </cell>
        </row>
        <row r="122">
          <cell r="D122">
            <v>8.3000000000000007</v>
          </cell>
          <cell r="E122">
            <v>6.4</v>
          </cell>
        </row>
        <row r="123">
          <cell r="D123">
            <v>4.6000000000000023</v>
          </cell>
          <cell r="E123">
            <v>6.8000000000000007</v>
          </cell>
        </row>
        <row r="124">
          <cell r="D124">
            <v>0.89999999999998548</v>
          </cell>
          <cell r="E124">
            <v>7.1999999999999993</v>
          </cell>
        </row>
        <row r="125">
          <cell r="D125">
            <v>2.7999999999999954</v>
          </cell>
          <cell r="E125">
            <v>7.6</v>
          </cell>
        </row>
        <row r="126">
          <cell r="D126">
            <v>6.5</v>
          </cell>
          <cell r="E126">
            <v>8</v>
          </cell>
        </row>
        <row r="127">
          <cell r="D127">
            <v>10.200000000000001</v>
          </cell>
          <cell r="E127">
            <v>8.4</v>
          </cell>
        </row>
        <row r="128">
          <cell r="D128">
            <v>13.899999999999999</v>
          </cell>
          <cell r="E128">
            <v>8.8000000000000007</v>
          </cell>
        </row>
        <row r="129">
          <cell r="D129">
            <v>17.600000000000001</v>
          </cell>
          <cell r="E129">
            <v>9.1999999999999993</v>
          </cell>
        </row>
        <row r="130">
          <cell r="D130">
            <v>21.299999999999994</v>
          </cell>
          <cell r="E130">
            <v>9.6000000000000014</v>
          </cell>
        </row>
        <row r="131">
          <cell r="D131">
            <v>24.999999999999996</v>
          </cell>
          <cell r="E131">
            <v>9.9999999999999982</v>
          </cell>
        </row>
        <row r="140">
          <cell r="D140">
            <v>12</v>
          </cell>
          <cell r="E140">
            <v>6</v>
          </cell>
        </row>
        <row r="141">
          <cell r="D141">
            <v>11.562439189029279</v>
          </cell>
          <cell r="E141">
            <v>6.4</v>
          </cell>
        </row>
        <row r="142">
          <cell r="D142">
            <v>11.677328461596</v>
          </cell>
          <cell r="E142">
            <v>6.8000000000000007</v>
          </cell>
        </row>
        <row r="143">
          <cell r="D143">
            <v>12.32923355282071</v>
          </cell>
          <cell r="E143">
            <v>7.1999999999999993</v>
          </cell>
        </row>
        <row r="144">
          <cell r="D144">
            <v>13.440238093129153</v>
          </cell>
          <cell r="E144">
            <v>7.6</v>
          </cell>
        </row>
        <row r="145">
          <cell r="D145">
            <v>14.908051515875574</v>
          </cell>
          <cell r="E145">
            <v>8</v>
          </cell>
        </row>
        <row r="146">
          <cell r="D146">
            <v>16.63850954863446</v>
          </cell>
          <cell r="E146">
            <v>8.4</v>
          </cell>
        </row>
        <row r="147">
          <cell r="D147">
            <v>18.558286558839423</v>
          </cell>
          <cell r="E147">
            <v>8.8000000000000007</v>
          </cell>
        </row>
        <row r="148">
          <cell r="D148">
            <v>20.614557962760202</v>
          </cell>
          <cell r="E148">
            <v>9.1999999999999993</v>
          </cell>
        </row>
        <row r="149">
          <cell r="D149">
            <v>22.770375490975105</v>
          </cell>
          <cell r="E149">
            <v>9.6000000000000014</v>
          </cell>
        </row>
        <row r="150">
          <cell r="D150">
            <v>24.999999999999996</v>
          </cell>
          <cell r="E150">
            <v>9.9999999999999982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B831-DEC1-4D16-9A38-0F68D28A11C7}">
  <dimension ref="A1:J26"/>
  <sheetViews>
    <sheetView showGridLines="0" workbookViewId="0">
      <selection activeCell="K8" sqref="K8"/>
    </sheetView>
  </sheetViews>
  <sheetFormatPr defaultRowHeight="14.35" x14ac:dyDescent="0.5"/>
  <cols>
    <col min="1" max="1" width="5.64453125" customWidth="1"/>
    <col min="2" max="2" width="10.9375" customWidth="1"/>
    <col min="3" max="7" width="10" customWidth="1"/>
    <col min="9" max="9" width="4.703125" customWidth="1"/>
  </cols>
  <sheetData>
    <row r="1" spans="1:7" ht="25.7" x14ac:dyDescent="0.85">
      <c r="A1" s="24" t="s">
        <v>14</v>
      </c>
    </row>
    <row r="4" spans="1:7" ht="14.7" thickBot="1" x14ac:dyDescent="0.55000000000000004">
      <c r="B4" s="11" t="s">
        <v>281</v>
      </c>
    </row>
    <row r="5" spans="1:7" ht="15.35" thickBot="1" x14ac:dyDescent="0.55000000000000004">
      <c r="B5" s="17"/>
      <c r="C5" s="18">
        <v>0</v>
      </c>
      <c r="D5" s="18">
        <v>1</v>
      </c>
      <c r="E5" s="18">
        <v>2</v>
      </c>
      <c r="F5" s="18">
        <v>3</v>
      </c>
      <c r="G5" s="18">
        <v>4</v>
      </c>
    </row>
    <row r="6" spans="1:7" ht="15.35" thickBot="1" x14ac:dyDescent="0.55000000000000004">
      <c r="B6" s="19" t="s">
        <v>10</v>
      </c>
      <c r="C6" s="20">
        <v>-100</v>
      </c>
      <c r="D6" s="20">
        <v>5</v>
      </c>
      <c r="E6" s="20">
        <v>5</v>
      </c>
      <c r="F6" s="20">
        <v>5</v>
      </c>
      <c r="G6" s="20">
        <v>105</v>
      </c>
    </row>
    <row r="8" spans="1:7" x14ac:dyDescent="0.5">
      <c r="B8" s="35" t="s">
        <v>12</v>
      </c>
      <c r="C8" s="31" t="str">
        <f>+C20</f>
        <v>B</v>
      </c>
      <c r="D8" s="31" t="str">
        <f t="shared" ref="D8:G8" si="0">+D20</f>
        <v>C</v>
      </c>
      <c r="E8" s="31" t="str">
        <f t="shared" si="0"/>
        <v>D</v>
      </c>
      <c r="F8" s="31" t="str">
        <f t="shared" si="0"/>
        <v>E</v>
      </c>
      <c r="G8" s="31" t="str">
        <f t="shared" si="0"/>
        <v>F</v>
      </c>
    </row>
    <row r="9" spans="1:7" x14ac:dyDescent="0.5">
      <c r="A9" s="32">
        <v>10</v>
      </c>
      <c r="B9" s="33" t="s">
        <v>13</v>
      </c>
      <c r="C9" s="22">
        <v>0</v>
      </c>
      <c r="D9" s="22">
        <v>1</v>
      </c>
      <c r="E9" s="22">
        <v>2</v>
      </c>
      <c r="F9" s="22">
        <v>3</v>
      </c>
      <c r="G9" s="22">
        <v>4</v>
      </c>
    </row>
    <row r="10" spans="1:7" x14ac:dyDescent="0.5">
      <c r="A10" s="32">
        <v>11</v>
      </c>
      <c r="B10" s="34">
        <f>IRR(C10:G10)</f>
        <v>5.0000000000000488E-2</v>
      </c>
      <c r="C10" s="23">
        <f>+C6</f>
        <v>-100</v>
      </c>
      <c r="D10" s="23">
        <f t="shared" ref="D10:F10" si="1">+D6</f>
        <v>5</v>
      </c>
      <c r="E10" s="23">
        <f t="shared" si="1"/>
        <v>5</v>
      </c>
      <c r="F10" s="23">
        <f t="shared" si="1"/>
        <v>5</v>
      </c>
      <c r="G10" s="23">
        <f>+G6</f>
        <v>105</v>
      </c>
    </row>
    <row r="11" spans="1:7" ht="8.4499999999999993" customHeight="1" x14ac:dyDescent="0.5">
      <c r="B11" s="29"/>
      <c r="C11" s="28"/>
      <c r="D11" s="28"/>
      <c r="E11" s="28"/>
      <c r="F11" s="28"/>
      <c r="G11" s="28"/>
    </row>
    <row r="12" spans="1:7" x14ac:dyDescent="0.5">
      <c r="B12" s="30" t="s">
        <v>20</v>
      </c>
      <c r="C12" s="28"/>
      <c r="D12" s="28"/>
      <c r="E12" s="28"/>
      <c r="F12" s="28"/>
      <c r="G12" s="28"/>
    </row>
    <row r="13" spans="1:7" x14ac:dyDescent="0.5">
      <c r="B13" s="30"/>
      <c r="C13" s="28"/>
      <c r="D13" s="28"/>
      <c r="E13" s="28"/>
      <c r="F13" s="28"/>
      <c r="G13" s="28"/>
    </row>
    <row r="14" spans="1:7" ht="14.7" thickBot="1" x14ac:dyDescent="0.55000000000000004">
      <c r="B14" s="11" t="s">
        <v>282</v>
      </c>
    </row>
    <row r="15" spans="1:7" ht="15.35" thickBot="1" x14ac:dyDescent="0.55000000000000004">
      <c r="B15" s="17"/>
      <c r="C15" s="18">
        <v>0</v>
      </c>
      <c r="D15" s="18">
        <v>1</v>
      </c>
      <c r="E15" s="18">
        <v>2</v>
      </c>
      <c r="F15" s="18">
        <v>3</v>
      </c>
      <c r="G15" s="18">
        <v>4</v>
      </c>
    </row>
    <row r="16" spans="1:7" ht="15.35" thickBot="1" x14ac:dyDescent="0.55000000000000004">
      <c r="B16" s="19" t="s">
        <v>10</v>
      </c>
      <c r="C16" s="20">
        <v>-100</v>
      </c>
      <c r="D16" s="20">
        <v>-9</v>
      </c>
      <c r="E16" s="20">
        <v>-5</v>
      </c>
      <c r="F16" s="20">
        <v>26</v>
      </c>
      <c r="G16" s="20">
        <v>110</v>
      </c>
    </row>
    <row r="18" spans="1:10" ht="15.35" x14ac:dyDescent="0.5">
      <c r="B18" s="21" t="s">
        <v>11</v>
      </c>
    </row>
    <row r="20" spans="1:10" x14ac:dyDescent="0.5">
      <c r="B20" s="35" t="s">
        <v>12</v>
      </c>
      <c r="C20" s="31" t="s">
        <v>21</v>
      </c>
      <c r="D20" s="31" t="s">
        <v>22</v>
      </c>
      <c r="E20" s="31" t="s">
        <v>23</v>
      </c>
      <c r="F20" s="31" t="s">
        <v>24</v>
      </c>
      <c r="G20" s="31" t="s">
        <v>25</v>
      </c>
    </row>
    <row r="21" spans="1:10" x14ac:dyDescent="0.5">
      <c r="A21" s="32">
        <v>10</v>
      </c>
      <c r="B21" s="33" t="s">
        <v>13</v>
      </c>
      <c r="C21" s="22">
        <v>0</v>
      </c>
      <c r="D21" s="22">
        <v>1</v>
      </c>
      <c r="E21" s="22">
        <v>2</v>
      </c>
      <c r="F21" s="22">
        <v>3</v>
      </c>
      <c r="G21" s="22">
        <v>4</v>
      </c>
    </row>
    <row r="22" spans="1:10" x14ac:dyDescent="0.5">
      <c r="A22" s="32">
        <v>11</v>
      </c>
      <c r="B22" s="34">
        <f>IRR(C22:G22)</f>
        <v>4.9619014946056916E-2</v>
      </c>
      <c r="C22" s="23">
        <f>+C16</f>
        <v>-100</v>
      </c>
      <c r="D22" s="23">
        <f t="shared" ref="D22:G22" si="2">+D16</f>
        <v>-9</v>
      </c>
      <c r="E22" s="23">
        <f t="shared" si="2"/>
        <v>-5</v>
      </c>
      <c r="F22" s="23">
        <f t="shared" si="2"/>
        <v>26</v>
      </c>
      <c r="G22" s="23">
        <f t="shared" si="2"/>
        <v>110</v>
      </c>
    </row>
    <row r="23" spans="1:10" ht="8.4499999999999993" customHeight="1" x14ac:dyDescent="0.5">
      <c r="B23" s="29"/>
      <c r="C23" s="28"/>
      <c r="D23" s="28"/>
      <c r="E23" s="28"/>
      <c r="F23" s="28"/>
      <c r="G23" s="28"/>
    </row>
    <row r="24" spans="1:10" x14ac:dyDescent="0.5">
      <c r="B24" s="30" t="s">
        <v>20</v>
      </c>
      <c r="C24" s="28"/>
      <c r="D24" s="28"/>
      <c r="E24" s="28"/>
      <c r="F24" s="28"/>
      <c r="G24" s="28"/>
    </row>
    <row r="25" spans="1:10" ht="14.7" thickBot="1" x14ac:dyDescent="0.55000000000000004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 x14ac:dyDescent="0.5">
      <c r="J26" t="s">
        <v>19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9659-D356-4703-A915-B0BBA1CF0A23}">
  <dimension ref="A1:L14"/>
  <sheetViews>
    <sheetView showGridLines="0" workbookViewId="0">
      <selection activeCell="F19" sqref="F19"/>
    </sheetView>
  </sheetViews>
  <sheetFormatPr defaultRowHeight="14.35" x14ac:dyDescent="0.5"/>
  <sheetData>
    <row r="1" spans="1:12" ht="23.35" x14ac:dyDescent="0.8">
      <c r="A1" s="133" t="s">
        <v>168</v>
      </c>
    </row>
    <row r="3" spans="1:12" ht="24.35" customHeight="1" x14ac:dyDescent="0.55000000000000004">
      <c r="A3" s="36" t="s">
        <v>187</v>
      </c>
      <c r="B3" s="109"/>
      <c r="C3" s="111"/>
      <c r="D3" s="109"/>
      <c r="E3" s="109"/>
      <c r="F3" s="109"/>
      <c r="G3" s="109"/>
      <c r="H3" s="109"/>
      <c r="I3" s="109"/>
      <c r="J3" s="109"/>
      <c r="K3" s="109"/>
    </row>
    <row r="4" spans="1:12" s="64" customFormat="1" ht="10.45" customHeight="1" x14ac:dyDescent="0.5">
      <c r="A4" s="35"/>
      <c r="B4" s="35"/>
      <c r="C4" s="160"/>
      <c r="D4" s="35"/>
      <c r="E4" s="35"/>
      <c r="F4" s="35"/>
      <c r="G4" s="35"/>
      <c r="H4" s="35"/>
      <c r="I4" s="35"/>
      <c r="J4" s="35"/>
      <c r="K4" s="35"/>
      <c r="L4"/>
    </row>
    <row r="5" spans="1:12" s="64" customFormat="1" ht="15.35" customHeight="1" x14ac:dyDescent="0.5">
      <c r="A5" s="35" t="s">
        <v>255</v>
      </c>
      <c r="D5" s="35"/>
      <c r="E5" s="161"/>
      <c r="F5" s="162"/>
      <c r="G5" s="35"/>
      <c r="H5" s="35"/>
      <c r="I5" s="35"/>
      <c r="J5" s="35"/>
      <c r="K5" s="35"/>
      <c r="L5"/>
    </row>
    <row r="6" spans="1:12" s="64" customFormat="1" ht="55.35" customHeight="1" thickBot="1" x14ac:dyDescent="0.55000000000000004">
      <c r="A6" s="116" t="s">
        <v>101</v>
      </c>
      <c r="B6" s="116" t="s">
        <v>102</v>
      </c>
      <c r="C6" s="116" t="s">
        <v>103</v>
      </c>
      <c r="D6" s="2" t="s">
        <v>253</v>
      </c>
      <c r="E6" s="2" t="s">
        <v>252</v>
      </c>
      <c r="F6" s="2" t="s">
        <v>254</v>
      </c>
      <c r="G6" s="2" t="s">
        <v>189</v>
      </c>
      <c r="H6" s="2" t="s">
        <v>190</v>
      </c>
      <c r="I6" s="2" t="s">
        <v>191</v>
      </c>
      <c r="J6" s="2" t="s">
        <v>192</v>
      </c>
      <c r="K6" s="2" t="s">
        <v>193</v>
      </c>
      <c r="L6"/>
    </row>
    <row r="7" spans="1:12" s="64" customFormat="1" ht="15.35" customHeight="1" thickTop="1" x14ac:dyDescent="0.5">
      <c r="A7" s="169" t="s">
        <v>195</v>
      </c>
      <c r="B7" s="169" t="s">
        <v>196</v>
      </c>
      <c r="C7" s="169" t="s">
        <v>133</v>
      </c>
      <c r="D7" s="170">
        <v>1000</v>
      </c>
      <c r="E7" s="171">
        <v>45153</v>
      </c>
      <c r="F7" s="172" t="s">
        <v>197</v>
      </c>
      <c r="G7" s="172" t="s">
        <v>198</v>
      </c>
      <c r="H7" s="173">
        <v>5.2499999999999998E-2</v>
      </c>
      <c r="I7" s="171">
        <v>42781</v>
      </c>
      <c r="J7" s="171">
        <v>42962</v>
      </c>
      <c r="K7" s="174">
        <f t="shared" ref="K7:K12" si="0">+H7*D7</f>
        <v>52.5</v>
      </c>
      <c r="L7"/>
    </row>
    <row r="8" spans="1:12" s="64" customFormat="1" ht="15.35" customHeight="1" x14ac:dyDescent="0.5">
      <c r="A8" s="169" t="s">
        <v>199</v>
      </c>
      <c r="B8" s="169" t="s">
        <v>200</v>
      </c>
      <c r="C8" s="169" t="s">
        <v>127</v>
      </c>
      <c r="D8" s="170">
        <v>1000</v>
      </c>
      <c r="E8" s="171">
        <v>44013</v>
      </c>
      <c r="F8" s="172" t="s">
        <v>201</v>
      </c>
      <c r="G8" s="172" t="s">
        <v>202</v>
      </c>
      <c r="H8" s="173">
        <v>4.4999999999999998E-2</v>
      </c>
      <c r="I8" s="171">
        <v>42736</v>
      </c>
      <c r="J8" s="171">
        <v>42917</v>
      </c>
      <c r="K8" s="174">
        <f t="shared" si="0"/>
        <v>45</v>
      </c>
      <c r="L8"/>
    </row>
    <row r="9" spans="1:12" s="64" customFormat="1" ht="15.35" customHeight="1" x14ac:dyDescent="0.5">
      <c r="A9" s="169" t="s">
        <v>203</v>
      </c>
      <c r="B9" s="169" t="s">
        <v>204</v>
      </c>
      <c r="C9" s="169" t="s">
        <v>109</v>
      </c>
      <c r="D9" s="170">
        <v>1000</v>
      </c>
      <c r="E9" s="171">
        <v>45915</v>
      </c>
      <c r="F9" s="172" t="s">
        <v>21</v>
      </c>
      <c r="G9" s="172" t="s">
        <v>205</v>
      </c>
      <c r="H9" s="173">
        <v>7.0000000000000007E-2</v>
      </c>
      <c r="I9" s="171">
        <v>42809</v>
      </c>
      <c r="J9" s="171">
        <v>42993</v>
      </c>
      <c r="K9" s="174">
        <f t="shared" si="0"/>
        <v>70</v>
      </c>
      <c r="L9"/>
    </row>
    <row r="10" spans="1:12" s="64" customFormat="1" ht="15.35" customHeight="1" x14ac:dyDescent="0.5">
      <c r="A10" s="169" t="s">
        <v>206</v>
      </c>
      <c r="B10" s="169" t="s">
        <v>207</v>
      </c>
      <c r="C10" s="169" t="s">
        <v>115</v>
      </c>
      <c r="D10" s="170">
        <v>1000</v>
      </c>
      <c r="E10" s="171">
        <v>43661</v>
      </c>
      <c r="F10" s="172" t="s">
        <v>199</v>
      </c>
      <c r="G10" s="172" t="s">
        <v>208</v>
      </c>
      <c r="H10" s="173">
        <v>3.5000000000000003E-2</v>
      </c>
      <c r="I10" s="171">
        <v>42750</v>
      </c>
      <c r="J10" s="171">
        <v>42931</v>
      </c>
      <c r="K10" s="174">
        <f t="shared" si="0"/>
        <v>35</v>
      </c>
      <c r="L10"/>
    </row>
    <row r="11" spans="1:12" s="64" customFormat="1" ht="15.35" customHeight="1" x14ac:dyDescent="0.5">
      <c r="A11" s="169" t="s">
        <v>209</v>
      </c>
      <c r="B11" s="169" t="s">
        <v>210</v>
      </c>
      <c r="C11" s="169" t="s">
        <v>211</v>
      </c>
      <c r="D11" s="170">
        <v>1000</v>
      </c>
      <c r="E11" s="171">
        <v>46296</v>
      </c>
      <c r="F11" s="172" t="s">
        <v>212</v>
      </c>
      <c r="G11" s="172" t="s">
        <v>213</v>
      </c>
      <c r="H11" s="173">
        <v>4.7500000000000001E-2</v>
      </c>
      <c r="I11" s="171">
        <v>42826</v>
      </c>
      <c r="J11" s="171">
        <v>43009</v>
      </c>
      <c r="K11" s="174">
        <f t="shared" si="0"/>
        <v>47.5</v>
      </c>
      <c r="L11"/>
    </row>
    <row r="12" spans="1:12" s="64" customFormat="1" ht="15.35" customHeight="1" x14ac:dyDescent="0.5">
      <c r="A12" s="169" t="s">
        <v>214</v>
      </c>
      <c r="B12" s="169" t="s">
        <v>215</v>
      </c>
      <c r="C12" s="169" t="s">
        <v>127</v>
      </c>
      <c r="D12" s="170">
        <v>1000</v>
      </c>
      <c r="E12" s="171">
        <v>46249</v>
      </c>
      <c r="F12" s="172" t="s">
        <v>216</v>
      </c>
      <c r="G12" s="172" t="s">
        <v>217</v>
      </c>
      <c r="H12" s="173">
        <v>0.08</v>
      </c>
      <c r="I12" s="171">
        <v>42781</v>
      </c>
      <c r="J12" s="171">
        <v>42962</v>
      </c>
      <c r="K12" s="174">
        <f t="shared" si="0"/>
        <v>80</v>
      </c>
      <c r="L12"/>
    </row>
    <row r="13" spans="1:12" s="64" customFormat="1" ht="15.35" customHeight="1" x14ac:dyDescent="0.5">
      <c r="A13"/>
      <c r="B13" s="10"/>
      <c r="C13" s="176"/>
      <c r="D13" s="164"/>
      <c r="E13" s="138"/>
      <c r="F13" s="35"/>
      <c r="G13" s="35"/>
      <c r="H13" s="35"/>
      <c r="I13" s="35"/>
      <c r="J13" s="35"/>
      <c r="K13" s="35"/>
      <c r="L13"/>
    </row>
    <row r="14" spans="1:12" x14ac:dyDescent="0.5">
      <c r="K14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F9F89-88DB-463B-A8EE-4663A3A6DB2B}">
  <dimension ref="B1:M133"/>
  <sheetViews>
    <sheetView showGridLines="0" topLeftCell="A67" workbookViewId="0">
      <selection activeCell="B95" sqref="B95:L95"/>
    </sheetView>
  </sheetViews>
  <sheetFormatPr defaultRowHeight="14.35" x14ac:dyDescent="0.5"/>
  <cols>
    <col min="1" max="1" width="3.9375" customWidth="1"/>
    <col min="3" max="3" width="19.8203125" customWidth="1"/>
    <col min="4" max="4" width="12.29296875" customWidth="1"/>
  </cols>
  <sheetData>
    <row r="1" spans="2:12" ht="23.35" x14ac:dyDescent="0.8">
      <c r="B1" s="133" t="s">
        <v>168</v>
      </c>
    </row>
    <row r="2" spans="2:12" ht="8.6999999999999993" customHeight="1" x14ac:dyDescent="0.5"/>
    <row r="3" spans="2:12" ht="18.350000000000001" customHeight="1" x14ac:dyDescent="0.55000000000000004">
      <c r="B3" s="36" t="s">
        <v>99</v>
      </c>
      <c r="C3" s="110"/>
      <c r="D3" s="111"/>
      <c r="E3" s="109"/>
      <c r="F3" s="109"/>
      <c r="G3" s="109"/>
      <c r="H3" s="109"/>
      <c r="I3" s="109"/>
      <c r="J3" s="109"/>
      <c r="K3" s="109"/>
      <c r="L3" s="109"/>
    </row>
    <row r="4" spans="2:12" ht="10.7" customHeight="1" x14ac:dyDescent="0.5">
      <c r="C4" s="112"/>
      <c r="D4" s="113"/>
    </row>
    <row r="5" spans="2:12" x14ac:dyDescent="0.5">
      <c r="B5" s="11" t="s">
        <v>100</v>
      </c>
      <c r="C5" s="112"/>
      <c r="E5" s="114">
        <v>0</v>
      </c>
      <c r="F5" s="114">
        <v>1</v>
      </c>
      <c r="G5" s="114">
        <v>2</v>
      </c>
      <c r="H5" s="114">
        <v>3</v>
      </c>
      <c r="I5" s="114">
        <v>4</v>
      </c>
      <c r="J5" s="114">
        <v>5</v>
      </c>
      <c r="K5" s="114">
        <v>6</v>
      </c>
      <c r="L5" s="114">
        <v>7</v>
      </c>
    </row>
    <row r="6" spans="2:12" ht="24.35" thickBot="1" x14ac:dyDescent="0.55000000000000004">
      <c r="B6" s="152" t="s">
        <v>101</v>
      </c>
      <c r="C6" s="153" t="s">
        <v>102</v>
      </c>
      <c r="D6" s="153" t="s">
        <v>103</v>
      </c>
      <c r="E6" s="154" t="s">
        <v>173</v>
      </c>
      <c r="F6" s="154" t="s">
        <v>174</v>
      </c>
      <c r="G6" s="154" t="s">
        <v>175</v>
      </c>
      <c r="H6" s="154" t="s">
        <v>176</v>
      </c>
      <c r="I6" s="154" t="s">
        <v>177</v>
      </c>
      <c r="J6" s="154" t="s">
        <v>178</v>
      </c>
      <c r="K6" s="154" t="s">
        <v>179</v>
      </c>
      <c r="L6" s="154" t="s">
        <v>180</v>
      </c>
    </row>
    <row r="7" spans="2:12" ht="14.7" thickTop="1" x14ac:dyDescent="0.5">
      <c r="B7" s="118" t="s">
        <v>104</v>
      </c>
      <c r="C7" s="118" t="s">
        <v>105</v>
      </c>
      <c r="D7" s="118" t="s">
        <v>106</v>
      </c>
      <c r="E7" s="118">
        <v>23</v>
      </c>
      <c r="F7" s="118">
        <v>24</v>
      </c>
      <c r="G7" s="118">
        <v>22.5</v>
      </c>
      <c r="H7" s="118">
        <v>25</v>
      </c>
      <c r="I7" s="118">
        <v>26</v>
      </c>
      <c r="J7" s="118">
        <v>27</v>
      </c>
      <c r="K7" s="118">
        <v>28</v>
      </c>
      <c r="L7" s="118">
        <v>31</v>
      </c>
    </row>
    <row r="8" spans="2:12" x14ac:dyDescent="0.5">
      <c r="B8" s="118" t="s">
        <v>107</v>
      </c>
      <c r="C8" s="118" t="s">
        <v>108</v>
      </c>
      <c r="D8" s="118" t="s">
        <v>109</v>
      </c>
      <c r="E8" s="118">
        <v>12</v>
      </c>
      <c r="F8" s="118">
        <v>10</v>
      </c>
      <c r="G8" s="118">
        <v>12</v>
      </c>
      <c r="H8" s="118">
        <v>12</v>
      </c>
      <c r="I8" s="118">
        <v>15</v>
      </c>
      <c r="J8" s="118">
        <v>18</v>
      </c>
      <c r="K8" s="118">
        <v>19.5</v>
      </c>
      <c r="L8" s="118">
        <v>22</v>
      </c>
    </row>
    <row r="9" spans="2:12" x14ac:dyDescent="0.5">
      <c r="B9" s="118" t="s">
        <v>110</v>
      </c>
      <c r="C9" s="118" t="s">
        <v>111</v>
      </c>
      <c r="D9" s="118" t="s">
        <v>112</v>
      </c>
      <c r="E9" s="118">
        <v>18</v>
      </c>
      <c r="F9" s="118">
        <v>19</v>
      </c>
      <c r="G9" s="118">
        <v>18</v>
      </c>
      <c r="H9" s="118">
        <v>19</v>
      </c>
      <c r="I9" s="118">
        <v>21</v>
      </c>
      <c r="J9" s="118">
        <v>20</v>
      </c>
      <c r="K9" s="118">
        <v>19</v>
      </c>
      <c r="L9" s="118">
        <v>21</v>
      </c>
    </row>
    <row r="10" spans="2:12" x14ac:dyDescent="0.5">
      <c r="B10" s="118" t="s">
        <v>113</v>
      </c>
      <c r="C10" s="118" t="s">
        <v>114</v>
      </c>
      <c r="D10" s="118" t="s">
        <v>115</v>
      </c>
      <c r="E10" s="118">
        <v>40</v>
      </c>
      <c r="F10" s="118">
        <v>42</v>
      </c>
      <c r="G10" s="118">
        <v>43</v>
      </c>
      <c r="H10" s="118">
        <v>45</v>
      </c>
      <c r="I10" s="118">
        <v>45</v>
      </c>
      <c r="J10" s="118">
        <v>45</v>
      </c>
      <c r="K10" s="118">
        <v>46</v>
      </c>
      <c r="L10" s="118">
        <v>48</v>
      </c>
    </row>
    <row r="11" spans="2:12" x14ac:dyDescent="0.5">
      <c r="B11" s="118" t="s">
        <v>116</v>
      </c>
      <c r="C11" s="118" t="s">
        <v>117</v>
      </c>
      <c r="D11" s="118" t="s">
        <v>118</v>
      </c>
      <c r="E11" s="118">
        <v>52</v>
      </c>
      <c r="F11" s="118">
        <v>60</v>
      </c>
      <c r="G11" s="118">
        <v>60</v>
      </c>
      <c r="H11" s="118">
        <v>60</v>
      </c>
      <c r="I11" s="118">
        <v>62</v>
      </c>
      <c r="J11" s="118">
        <v>62</v>
      </c>
      <c r="K11" s="118">
        <v>61</v>
      </c>
      <c r="L11" s="118">
        <v>63</v>
      </c>
    </row>
    <row r="12" spans="2:12" x14ac:dyDescent="0.5">
      <c r="B12" s="118" t="s">
        <v>119</v>
      </c>
      <c r="C12" s="118" t="s">
        <v>120</v>
      </c>
      <c r="D12" s="118" t="s">
        <v>121</v>
      </c>
      <c r="E12" s="118">
        <v>31</v>
      </c>
      <c r="F12" s="118">
        <v>20</v>
      </c>
      <c r="G12" s="118">
        <v>25</v>
      </c>
      <c r="H12" s="118">
        <v>26</v>
      </c>
      <c r="I12" s="118">
        <v>20</v>
      </c>
      <c r="J12" s="118">
        <v>22</v>
      </c>
      <c r="K12" s="118">
        <v>24</v>
      </c>
      <c r="L12" s="118">
        <v>25</v>
      </c>
    </row>
    <row r="13" spans="2:12" x14ac:dyDescent="0.5">
      <c r="B13" s="118" t="s">
        <v>122</v>
      </c>
      <c r="C13" s="118" t="s">
        <v>123</v>
      </c>
      <c r="D13" s="118" t="s">
        <v>124</v>
      </c>
      <c r="E13" s="118">
        <v>15</v>
      </c>
      <c r="F13" s="118">
        <v>16</v>
      </c>
      <c r="G13" s="118">
        <v>17</v>
      </c>
      <c r="H13" s="118">
        <v>18</v>
      </c>
      <c r="I13" s="118">
        <v>19</v>
      </c>
      <c r="J13" s="118">
        <v>19</v>
      </c>
      <c r="K13" s="118">
        <v>18</v>
      </c>
      <c r="L13" s="118">
        <v>20</v>
      </c>
    </row>
    <row r="14" spans="2:12" x14ac:dyDescent="0.5">
      <c r="B14" s="118" t="s">
        <v>125</v>
      </c>
      <c r="C14" s="118" t="s">
        <v>126</v>
      </c>
      <c r="D14" s="118" t="s">
        <v>127</v>
      </c>
      <c r="E14" s="118">
        <v>8</v>
      </c>
      <c r="F14" s="118">
        <v>9.5</v>
      </c>
      <c r="G14" s="118">
        <v>10.5</v>
      </c>
      <c r="H14" s="118">
        <v>11</v>
      </c>
      <c r="I14" s="118">
        <v>11.5</v>
      </c>
      <c r="J14" s="118">
        <v>12</v>
      </c>
      <c r="K14" s="118">
        <v>14</v>
      </c>
      <c r="L14" s="118">
        <v>14.5</v>
      </c>
    </row>
    <row r="15" spans="2:12" x14ac:dyDescent="0.5">
      <c r="B15" s="118" t="s">
        <v>128</v>
      </c>
      <c r="C15" s="118" t="s">
        <v>129</v>
      </c>
      <c r="D15" s="118" t="s">
        <v>130</v>
      </c>
      <c r="E15" s="118">
        <v>15</v>
      </c>
      <c r="F15" s="118">
        <v>13</v>
      </c>
      <c r="G15" s="118">
        <v>12</v>
      </c>
      <c r="H15" s="118">
        <v>14</v>
      </c>
      <c r="I15" s="118">
        <v>15</v>
      </c>
      <c r="J15" s="118">
        <v>18</v>
      </c>
      <c r="K15" s="118">
        <v>22</v>
      </c>
      <c r="L15" s="118">
        <v>20</v>
      </c>
    </row>
    <row r="16" spans="2:12" x14ac:dyDescent="0.5">
      <c r="B16" s="118" t="s">
        <v>131</v>
      </c>
      <c r="C16" s="118" t="s">
        <v>132</v>
      </c>
      <c r="D16" s="118" t="s">
        <v>133</v>
      </c>
      <c r="E16" s="118">
        <v>25</v>
      </c>
      <c r="F16" s="118">
        <v>26</v>
      </c>
      <c r="G16" s="118">
        <v>26</v>
      </c>
      <c r="H16" s="118">
        <v>26</v>
      </c>
      <c r="I16" s="118">
        <v>26</v>
      </c>
      <c r="J16" s="118">
        <v>26</v>
      </c>
      <c r="K16" s="118">
        <v>27</v>
      </c>
      <c r="L16" s="118">
        <v>20</v>
      </c>
    </row>
    <row r="17" spans="2:12" x14ac:dyDescent="0.5">
      <c r="B17" s="118" t="s">
        <v>134</v>
      </c>
      <c r="C17" s="118" t="s">
        <v>135</v>
      </c>
      <c r="D17" s="118" t="s">
        <v>115</v>
      </c>
      <c r="E17" s="118">
        <v>26</v>
      </c>
      <c r="F17" s="118">
        <v>30</v>
      </c>
      <c r="G17" s="118">
        <v>32</v>
      </c>
      <c r="H17" s="118">
        <v>33</v>
      </c>
      <c r="I17" s="118">
        <v>35</v>
      </c>
      <c r="J17" s="118">
        <v>32</v>
      </c>
      <c r="K17" s="118">
        <v>34</v>
      </c>
      <c r="L17" s="118">
        <v>35</v>
      </c>
    </row>
    <row r="18" spans="2:12" x14ac:dyDescent="0.5">
      <c r="B18" s="118" t="s">
        <v>136</v>
      </c>
      <c r="C18" s="118" t="s">
        <v>137</v>
      </c>
      <c r="D18" s="118" t="s">
        <v>118</v>
      </c>
      <c r="E18" s="118">
        <v>19</v>
      </c>
      <c r="F18" s="118">
        <v>20</v>
      </c>
      <c r="G18" s="118">
        <v>19</v>
      </c>
      <c r="H18" s="118">
        <v>18</v>
      </c>
      <c r="I18" s="118">
        <v>18</v>
      </c>
      <c r="J18" s="118">
        <v>16</v>
      </c>
      <c r="K18" s="118">
        <v>20</v>
      </c>
      <c r="L18" s="118">
        <v>18</v>
      </c>
    </row>
    <row r="19" spans="2:12" x14ac:dyDescent="0.5">
      <c r="B19" s="118" t="s">
        <v>138</v>
      </c>
      <c r="C19" s="118" t="s">
        <v>139</v>
      </c>
      <c r="D19" s="118" t="s">
        <v>121</v>
      </c>
      <c r="E19" s="118">
        <v>53</v>
      </c>
      <c r="F19" s="118">
        <v>52</v>
      </c>
      <c r="G19" s="118">
        <v>55</v>
      </c>
      <c r="H19" s="118">
        <v>56</v>
      </c>
      <c r="I19" s="118">
        <v>58</v>
      </c>
      <c r="J19" s="118">
        <v>59</v>
      </c>
      <c r="K19" s="118">
        <v>59</v>
      </c>
      <c r="L19" s="118">
        <v>61</v>
      </c>
    </row>
    <row r="20" spans="2:12" x14ac:dyDescent="0.5">
      <c r="B20" s="118" t="s">
        <v>140</v>
      </c>
      <c r="C20" s="118" t="s">
        <v>141</v>
      </c>
      <c r="D20" s="118" t="s">
        <v>127</v>
      </c>
      <c r="E20" s="118">
        <v>11</v>
      </c>
      <c r="F20" s="118">
        <v>8.5</v>
      </c>
      <c r="G20" s="118">
        <v>11</v>
      </c>
      <c r="H20" s="118">
        <v>11</v>
      </c>
      <c r="I20" s="118">
        <v>11</v>
      </c>
      <c r="J20" s="118">
        <v>11</v>
      </c>
      <c r="K20" s="118">
        <f>+J20+0.5</f>
        <v>11.5</v>
      </c>
      <c r="L20" s="118">
        <v>12</v>
      </c>
    </row>
    <row r="21" spans="2:12" x14ac:dyDescent="0.5">
      <c r="B21" s="118" t="s">
        <v>142</v>
      </c>
      <c r="C21" s="118" t="s">
        <v>143</v>
      </c>
      <c r="D21" s="118" t="s">
        <v>106</v>
      </c>
      <c r="E21" s="118">
        <v>18</v>
      </c>
      <c r="F21" s="118">
        <v>17</v>
      </c>
      <c r="G21" s="118">
        <v>19</v>
      </c>
      <c r="H21" s="118">
        <v>19</v>
      </c>
      <c r="I21" s="118">
        <v>20</v>
      </c>
      <c r="J21" s="118">
        <v>22</v>
      </c>
      <c r="K21" s="118">
        <v>26</v>
      </c>
      <c r="L21" s="118">
        <v>24</v>
      </c>
    </row>
    <row r="22" spans="2:12" x14ac:dyDescent="0.5">
      <c r="C22" s="112"/>
    </row>
    <row r="23" spans="2:12" x14ac:dyDescent="0.5">
      <c r="B23" s="120" t="s">
        <v>181</v>
      </c>
      <c r="C23" s="112"/>
      <c r="E23" s="114">
        <v>0</v>
      </c>
      <c r="F23" s="114">
        <v>1</v>
      </c>
      <c r="G23" s="114">
        <v>2</v>
      </c>
      <c r="H23" s="114">
        <v>3</v>
      </c>
      <c r="I23" s="114">
        <v>4</v>
      </c>
      <c r="J23" s="114">
        <v>5</v>
      </c>
      <c r="K23" s="114">
        <v>6</v>
      </c>
      <c r="L23" s="114">
        <v>7</v>
      </c>
    </row>
    <row r="24" spans="2:12" ht="29.45" customHeight="1" thickBot="1" x14ac:dyDescent="0.55000000000000004">
      <c r="B24" s="115" t="s">
        <v>101</v>
      </c>
      <c r="C24" s="116" t="s">
        <v>102</v>
      </c>
      <c r="D24" s="116" t="s">
        <v>103</v>
      </c>
      <c r="E24" s="157" t="str">
        <f t="shared" ref="E24:L24" si="0">+E6</f>
        <v>June 1
20x1</v>
      </c>
      <c r="F24" s="157" t="str">
        <f t="shared" si="0"/>
        <v>July 1
20x1</v>
      </c>
      <c r="G24" s="157" t="str">
        <f t="shared" si="0"/>
        <v>Aug 1
20x1</v>
      </c>
      <c r="H24" s="157" t="str">
        <f t="shared" si="0"/>
        <v>Sep 1
20x1</v>
      </c>
      <c r="I24" s="157" t="str">
        <f t="shared" si="0"/>
        <v>Oct 1
20x1</v>
      </c>
      <c r="J24" s="157" t="str">
        <f t="shared" si="0"/>
        <v>Nov 1
20x1</v>
      </c>
      <c r="K24" s="157" t="str">
        <f t="shared" si="0"/>
        <v>Dec 1
20x1</v>
      </c>
      <c r="L24" s="157" t="str">
        <f t="shared" si="0"/>
        <v>Jan 2
20x2</v>
      </c>
    </row>
    <row r="25" spans="2:12" ht="14.7" thickTop="1" x14ac:dyDescent="0.5">
      <c r="B25" s="121" t="str">
        <f t="shared" ref="B25:D39" si="1">+B7</f>
        <v>ABC</v>
      </c>
      <c r="C25" s="121" t="str">
        <f t="shared" si="1"/>
        <v>ABC Chem Inc</v>
      </c>
      <c r="D25" s="121" t="str">
        <f t="shared" si="1"/>
        <v>Chemicals</v>
      </c>
      <c r="E25" s="122">
        <v>400</v>
      </c>
      <c r="F25">
        <f t="shared" ref="F25:K39" si="2">+E25+F43</f>
        <v>400</v>
      </c>
      <c r="G25">
        <f t="shared" si="2"/>
        <v>100</v>
      </c>
      <c r="H25">
        <f t="shared" si="2"/>
        <v>100</v>
      </c>
      <c r="I25">
        <f t="shared" si="2"/>
        <v>100</v>
      </c>
      <c r="J25">
        <f t="shared" si="2"/>
        <v>100</v>
      </c>
      <c r="K25">
        <f t="shared" si="2"/>
        <v>100</v>
      </c>
      <c r="L25">
        <f t="shared" ref="L25:L39" si="3">+J25+L43</f>
        <v>0</v>
      </c>
    </row>
    <row r="26" spans="2:12" x14ac:dyDescent="0.5">
      <c r="B26" s="121" t="str">
        <f t="shared" si="1"/>
        <v>BCD</v>
      </c>
      <c r="C26" s="121" t="str">
        <f t="shared" si="1"/>
        <v>BCD  Precision Inc</v>
      </c>
      <c r="D26" s="121" t="str">
        <f t="shared" si="1"/>
        <v>Industrial</v>
      </c>
      <c r="E26" s="122">
        <v>350</v>
      </c>
      <c r="F26">
        <f t="shared" si="2"/>
        <v>350</v>
      </c>
      <c r="G26">
        <f t="shared" si="2"/>
        <v>50</v>
      </c>
      <c r="H26">
        <f t="shared" si="2"/>
        <v>50</v>
      </c>
      <c r="I26">
        <f t="shared" si="2"/>
        <v>50</v>
      </c>
      <c r="J26">
        <f t="shared" si="2"/>
        <v>50</v>
      </c>
      <c r="K26">
        <f t="shared" si="2"/>
        <v>50</v>
      </c>
      <c r="L26">
        <f t="shared" si="3"/>
        <v>0</v>
      </c>
    </row>
    <row r="27" spans="2:12" x14ac:dyDescent="0.5">
      <c r="B27" s="121" t="str">
        <f t="shared" si="1"/>
        <v>CDE</v>
      </c>
      <c r="C27" s="121" t="str">
        <f t="shared" si="1"/>
        <v>CDE Inc</v>
      </c>
      <c r="D27" s="121" t="str">
        <f t="shared" si="1"/>
        <v>Publishing</v>
      </c>
      <c r="E27" s="122">
        <v>300</v>
      </c>
      <c r="F27">
        <f t="shared" si="2"/>
        <v>300</v>
      </c>
      <c r="G27">
        <f t="shared" si="2"/>
        <v>200</v>
      </c>
      <c r="H27">
        <f t="shared" si="2"/>
        <v>200</v>
      </c>
      <c r="I27">
        <f t="shared" si="2"/>
        <v>200</v>
      </c>
      <c r="J27">
        <f t="shared" si="2"/>
        <v>200</v>
      </c>
      <c r="K27">
        <f t="shared" si="2"/>
        <v>200</v>
      </c>
      <c r="L27">
        <f t="shared" si="3"/>
        <v>0</v>
      </c>
    </row>
    <row r="28" spans="2:12" x14ac:dyDescent="0.5">
      <c r="B28" s="121" t="str">
        <f t="shared" si="1"/>
        <v>DEF</v>
      </c>
      <c r="C28" s="121" t="str">
        <f t="shared" si="1"/>
        <v>DEF Inc</v>
      </c>
      <c r="D28" s="121" t="str">
        <f t="shared" si="1"/>
        <v>Hospitality</v>
      </c>
      <c r="E28" s="122">
        <v>300</v>
      </c>
      <c r="F28">
        <f t="shared" si="2"/>
        <v>300</v>
      </c>
      <c r="G28">
        <f t="shared" si="2"/>
        <v>300</v>
      </c>
      <c r="H28">
        <f t="shared" si="2"/>
        <v>200</v>
      </c>
      <c r="I28">
        <f t="shared" si="2"/>
        <v>200</v>
      </c>
      <c r="J28">
        <f t="shared" si="2"/>
        <v>200</v>
      </c>
      <c r="K28">
        <f t="shared" si="2"/>
        <v>200</v>
      </c>
      <c r="L28">
        <f t="shared" si="3"/>
        <v>0</v>
      </c>
    </row>
    <row r="29" spans="2:12" x14ac:dyDescent="0.5">
      <c r="B29" s="121" t="str">
        <f t="shared" si="1"/>
        <v>EFG</v>
      </c>
      <c r="C29" s="121" t="str">
        <f t="shared" si="1"/>
        <v>Effective Inc</v>
      </c>
      <c r="D29" s="121" t="str">
        <f t="shared" si="1"/>
        <v>TV/Cable</v>
      </c>
      <c r="E29" s="122">
        <v>200</v>
      </c>
      <c r="F29">
        <f t="shared" si="2"/>
        <v>200</v>
      </c>
      <c r="G29">
        <f t="shared" si="2"/>
        <v>200</v>
      </c>
      <c r="H29">
        <f t="shared" si="2"/>
        <v>200</v>
      </c>
      <c r="I29">
        <f t="shared" si="2"/>
        <v>200</v>
      </c>
      <c r="J29">
        <f t="shared" si="2"/>
        <v>200</v>
      </c>
      <c r="K29">
        <f t="shared" si="2"/>
        <v>200</v>
      </c>
      <c r="L29">
        <f t="shared" si="3"/>
        <v>0</v>
      </c>
    </row>
    <row r="30" spans="2:12" x14ac:dyDescent="0.5">
      <c r="B30" s="121" t="str">
        <f t="shared" si="1"/>
        <v>FGH</v>
      </c>
      <c r="C30" s="121" t="str">
        <f t="shared" si="1"/>
        <v>FGH Inc</v>
      </c>
      <c r="D30" s="121" t="str">
        <f t="shared" si="1"/>
        <v>Techonlogy</v>
      </c>
      <c r="E30" s="122">
        <v>400</v>
      </c>
      <c r="F30">
        <f t="shared" si="2"/>
        <v>400</v>
      </c>
      <c r="G30">
        <f t="shared" si="2"/>
        <v>400</v>
      </c>
      <c r="H30">
        <f t="shared" si="2"/>
        <v>400</v>
      </c>
      <c r="I30">
        <f t="shared" si="2"/>
        <v>100</v>
      </c>
      <c r="J30">
        <f t="shared" si="2"/>
        <v>100</v>
      </c>
      <c r="K30">
        <f t="shared" si="2"/>
        <v>100</v>
      </c>
      <c r="L30">
        <f t="shared" si="3"/>
        <v>0</v>
      </c>
    </row>
    <row r="31" spans="2:12" x14ac:dyDescent="0.5">
      <c r="B31" s="121" t="str">
        <f t="shared" si="1"/>
        <v>GHI</v>
      </c>
      <c r="C31" s="121" t="str">
        <f t="shared" si="1"/>
        <v>General HI</v>
      </c>
      <c r="D31" s="121" t="str">
        <f t="shared" si="1"/>
        <v>Service</v>
      </c>
      <c r="E31" s="122">
        <v>600</v>
      </c>
      <c r="F31">
        <f t="shared" si="2"/>
        <v>600</v>
      </c>
      <c r="G31">
        <f t="shared" si="2"/>
        <v>600</v>
      </c>
      <c r="H31">
        <f t="shared" si="2"/>
        <v>600</v>
      </c>
      <c r="I31">
        <f t="shared" si="2"/>
        <v>600</v>
      </c>
      <c r="J31">
        <f t="shared" si="2"/>
        <v>600</v>
      </c>
      <c r="K31">
        <f t="shared" si="2"/>
        <v>600</v>
      </c>
      <c r="L31">
        <f t="shared" si="3"/>
        <v>0</v>
      </c>
    </row>
    <row r="32" spans="2:12" x14ac:dyDescent="0.5">
      <c r="B32" s="121" t="str">
        <f t="shared" si="1"/>
        <v>HIK</v>
      </c>
      <c r="C32" s="121" t="str">
        <f t="shared" si="1"/>
        <v>Hicks Kental Inc</v>
      </c>
      <c r="D32" s="121" t="str">
        <f t="shared" si="1"/>
        <v>Retail</v>
      </c>
      <c r="E32" s="122">
        <v>1000</v>
      </c>
      <c r="F32">
        <f t="shared" si="2"/>
        <v>1000</v>
      </c>
      <c r="G32">
        <f t="shared" si="2"/>
        <v>1000</v>
      </c>
      <c r="H32">
        <f t="shared" si="2"/>
        <v>1000</v>
      </c>
      <c r="I32">
        <f t="shared" si="2"/>
        <v>1000</v>
      </c>
      <c r="J32">
        <f t="shared" si="2"/>
        <v>1000</v>
      </c>
      <c r="K32">
        <f t="shared" si="2"/>
        <v>1000</v>
      </c>
      <c r="L32">
        <f t="shared" si="3"/>
        <v>0</v>
      </c>
    </row>
    <row r="33" spans="2:12" x14ac:dyDescent="0.5">
      <c r="B33" s="121" t="str">
        <f t="shared" si="1"/>
        <v>IKL</v>
      </c>
      <c r="C33" s="121" t="str">
        <f t="shared" si="1"/>
        <v>IKL Inc</v>
      </c>
      <c r="D33" s="121" t="str">
        <f t="shared" si="1"/>
        <v>Pharmaceutical</v>
      </c>
      <c r="E33" s="122">
        <v>300</v>
      </c>
      <c r="F33">
        <f t="shared" si="2"/>
        <v>300</v>
      </c>
      <c r="G33">
        <f t="shared" si="2"/>
        <v>300</v>
      </c>
      <c r="H33">
        <f t="shared" si="2"/>
        <v>300</v>
      </c>
      <c r="I33">
        <f t="shared" si="2"/>
        <v>300</v>
      </c>
      <c r="J33">
        <f t="shared" si="2"/>
        <v>300</v>
      </c>
      <c r="K33">
        <f t="shared" si="2"/>
        <v>300</v>
      </c>
      <c r="L33">
        <f t="shared" si="3"/>
        <v>0</v>
      </c>
    </row>
    <row r="34" spans="2:12" x14ac:dyDescent="0.5">
      <c r="B34" s="121" t="str">
        <f t="shared" si="1"/>
        <v>KLM</v>
      </c>
      <c r="C34" s="121" t="str">
        <f t="shared" si="1"/>
        <v>KLM Health</v>
      </c>
      <c r="D34" s="121" t="str">
        <f t="shared" si="1"/>
        <v>Healthcare</v>
      </c>
      <c r="E34" s="122">
        <v>300</v>
      </c>
      <c r="F34">
        <f t="shared" si="2"/>
        <v>300</v>
      </c>
      <c r="G34">
        <f t="shared" si="2"/>
        <v>300</v>
      </c>
      <c r="H34">
        <f t="shared" si="2"/>
        <v>300</v>
      </c>
      <c r="I34">
        <f t="shared" si="2"/>
        <v>300</v>
      </c>
      <c r="J34">
        <f t="shared" si="2"/>
        <v>300</v>
      </c>
      <c r="K34">
        <f t="shared" si="2"/>
        <v>300</v>
      </c>
      <c r="L34">
        <f t="shared" si="3"/>
        <v>0</v>
      </c>
    </row>
    <row r="35" spans="2:12" x14ac:dyDescent="0.5">
      <c r="B35" s="121" t="str">
        <f t="shared" si="1"/>
        <v>LMN</v>
      </c>
      <c r="C35" s="121" t="str">
        <f t="shared" si="1"/>
        <v>LMN Hotel &amp; Resorts</v>
      </c>
      <c r="D35" s="121" t="str">
        <f t="shared" si="1"/>
        <v>Hospitality</v>
      </c>
      <c r="E35" s="122"/>
      <c r="F35">
        <f t="shared" si="2"/>
        <v>0</v>
      </c>
      <c r="G35">
        <f t="shared" si="2"/>
        <v>100</v>
      </c>
      <c r="H35">
        <f t="shared" si="2"/>
        <v>100</v>
      </c>
      <c r="I35">
        <f t="shared" si="2"/>
        <v>100</v>
      </c>
      <c r="J35">
        <f t="shared" si="2"/>
        <v>100</v>
      </c>
      <c r="K35">
        <f t="shared" si="2"/>
        <v>100</v>
      </c>
      <c r="L35">
        <f t="shared" si="3"/>
        <v>0</v>
      </c>
    </row>
    <row r="36" spans="2:12" x14ac:dyDescent="0.5">
      <c r="B36" s="121" t="str">
        <f t="shared" si="1"/>
        <v>MNO</v>
      </c>
      <c r="C36" s="121" t="str">
        <f t="shared" si="1"/>
        <v>MNO Cable Inc</v>
      </c>
      <c r="D36" s="121" t="str">
        <f t="shared" si="1"/>
        <v>TV/Cable</v>
      </c>
      <c r="E36" s="122"/>
      <c r="F36">
        <f t="shared" si="2"/>
        <v>0</v>
      </c>
      <c r="G36">
        <f t="shared" si="2"/>
        <v>100</v>
      </c>
      <c r="H36">
        <f t="shared" si="2"/>
        <v>100</v>
      </c>
      <c r="I36">
        <f t="shared" si="2"/>
        <v>100</v>
      </c>
      <c r="J36">
        <f t="shared" si="2"/>
        <v>100</v>
      </c>
      <c r="K36">
        <f t="shared" si="2"/>
        <v>100</v>
      </c>
      <c r="L36">
        <f t="shared" si="3"/>
        <v>0</v>
      </c>
    </row>
    <row r="37" spans="2:12" x14ac:dyDescent="0.5">
      <c r="B37" s="121" t="str">
        <f t="shared" si="1"/>
        <v>NOP</v>
      </c>
      <c r="C37" s="121" t="str">
        <f t="shared" si="1"/>
        <v>Norton Optimum</v>
      </c>
      <c r="D37" s="121" t="str">
        <f t="shared" si="1"/>
        <v>Techonlogy</v>
      </c>
      <c r="E37" s="122"/>
      <c r="F37">
        <f t="shared" si="2"/>
        <v>0</v>
      </c>
      <c r="G37">
        <f t="shared" si="2"/>
        <v>100</v>
      </c>
      <c r="H37">
        <f t="shared" si="2"/>
        <v>100</v>
      </c>
      <c r="I37">
        <f t="shared" si="2"/>
        <v>100</v>
      </c>
      <c r="J37">
        <f t="shared" si="2"/>
        <v>100</v>
      </c>
      <c r="K37">
        <f t="shared" si="2"/>
        <v>100</v>
      </c>
      <c r="L37">
        <f t="shared" si="3"/>
        <v>0</v>
      </c>
    </row>
    <row r="38" spans="2:12" x14ac:dyDescent="0.5">
      <c r="B38" s="121" t="str">
        <f t="shared" si="1"/>
        <v>OPQ</v>
      </c>
      <c r="C38" s="121" t="str">
        <f t="shared" si="1"/>
        <v>Odyssea PQ Inc</v>
      </c>
      <c r="D38" s="121" t="str">
        <f t="shared" si="1"/>
        <v>Retail</v>
      </c>
      <c r="E38" s="122"/>
      <c r="F38">
        <f t="shared" si="2"/>
        <v>0</v>
      </c>
      <c r="G38">
        <f t="shared" si="2"/>
        <v>0</v>
      </c>
      <c r="H38">
        <f t="shared" si="2"/>
        <v>200</v>
      </c>
      <c r="I38">
        <f t="shared" si="2"/>
        <v>200</v>
      </c>
      <c r="J38">
        <f t="shared" si="2"/>
        <v>200</v>
      </c>
      <c r="K38">
        <f t="shared" si="2"/>
        <v>200</v>
      </c>
      <c r="L38">
        <f t="shared" si="3"/>
        <v>0</v>
      </c>
    </row>
    <row r="39" spans="2:12" x14ac:dyDescent="0.5">
      <c r="B39" s="121" t="str">
        <f t="shared" si="1"/>
        <v>PQR</v>
      </c>
      <c r="C39" s="121" t="str">
        <f t="shared" si="1"/>
        <v>PQR Chemicals</v>
      </c>
      <c r="D39" s="121" t="str">
        <f t="shared" si="1"/>
        <v>Chemicals</v>
      </c>
      <c r="E39" s="122"/>
      <c r="F39">
        <f t="shared" si="2"/>
        <v>0</v>
      </c>
      <c r="G39">
        <f t="shared" si="2"/>
        <v>0</v>
      </c>
      <c r="H39">
        <f t="shared" si="2"/>
        <v>0</v>
      </c>
      <c r="I39">
        <f t="shared" si="2"/>
        <v>300</v>
      </c>
      <c r="J39">
        <f t="shared" si="2"/>
        <v>300</v>
      </c>
      <c r="K39">
        <f t="shared" si="2"/>
        <v>300</v>
      </c>
      <c r="L39">
        <f t="shared" si="3"/>
        <v>0</v>
      </c>
    </row>
    <row r="40" spans="2:12" x14ac:dyDescent="0.5">
      <c r="C40" s="112"/>
      <c r="D40" s="123"/>
    </row>
    <row r="41" spans="2:12" x14ac:dyDescent="0.5">
      <c r="B41" s="120" t="s">
        <v>182</v>
      </c>
      <c r="C41" s="112"/>
      <c r="E41" s="114">
        <v>0</v>
      </c>
      <c r="F41" s="114">
        <v>1</v>
      </c>
      <c r="G41" s="114">
        <v>2</v>
      </c>
      <c r="H41" s="114">
        <v>3</v>
      </c>
      <c r="I41" s="114">
        <v>4</v>
      </c>
      <c r="J41" s="114">
        <v>5</v>
      </c>
      <c r="K41" s="114">
        <v>6</v>
      </c>
      <c r="L41" s="114">
        <v>7</v>
      </c>
    </row>
    <row r="42" spans="2:12" ht="26.35" thickBot="1" x14ac:dyDescent="0.55000000000000004">
      <c r="B42" s="156" t="s">
        <v>101</v>
      </c>
      <c r="C42" s="156" t="s">
        <v>102</v>
      </c>
      <c r="D42" s="156" t="s">
        <v>103</v>
      </c>
      <c r="E42" s="157" t="str">
        <f t="shared" ref="E42:L42" si="4">+E24</f>
        <v>June 1
20x1</v>
      </c>
      <c r="F42" s="157" t="str">
        <f t="shared" si="4"/>
        <v>July 1
20x1</v>
      </c>
      <c r="G42" s="157" t="str">
        <f t="shared" si="4"/>
        <v>Aug 1
20x1</v>
      </c>
      <c r="H42" s="157" t="str">
        <f t="shared" si="4"/>
        <v>Sep 1
20x1</v>
      </c>
      <c r="I42" s="157" t="str">
        <f t="shared" si="4"/>
        <v>Oct 1
20x1</v>
      </c>
      <c r="J42" s="157" t="str">
        <f t="shared" si="4"/>
        <v>Nov 1
20x1</v>
      </c>
      <c r="K42" s="157" t="str">
        <f t="shared" si="4"/>
        <v>Dec 1
20x1</v>
      </c>
      <c r="L42" s="157" t="str">
        <f t="shared" si="4"/>
        <v>Jan 2
20x2</v>
      </c>
    </row>
    <row r="43" spans="2:12" ht="14.7" thickTop="1" x14ac:dyDescent="0.5">
      <c r="B43" s="80" t="str">
        <f>+B7</f>
        <v>ABC</v>
      </c>
      <c r="C43" s="124" t="str">
        <f t="shared" ref="C43:D57" si="5">+C25</f>
        <v>ABC Chem Inc</v>
      </c>
      <c r="D43" s="112" t="str">
        <f t="shared" si="5"/>
        <v>Chemicals</v>
      </c>
      <c r="E43" s="122"/>
      <c r="F43" s="122"/>
      <c r="G43" s="122">
        <v>-300</v>
      </c>
      <c r="H43" s="122"/>
      <c r="I43" s="122"/>
      <c r="J43" s="122"/>
      <c r="K43" s="122"/>
      <c r="L43">
        <f t="shared" ref="L43:L57" si="6">-J25</f>
        <v>-100</v>
      </c>
    </row>
    <row r="44" spans="2:12" x14ac:dyDescent="0.5">
      <c r="B44" s="3" t="str">
        <f t="shared" ref="B44:B57" si="7">+B26</f>
        <v>BCD</v>
      </c>
      <c r="C44" s="124" t="str">
        <f t="shared" si="5"/>
        <v>BCD  Precision Inc</v>
      </c>
      <c r="D44" s="112" t="str">
        <f t="shared" si="5"/>
        <v>Industrial</v>
      </c>
      <c r="E44" s="122"/>
      <c r="F44" s="122"/>
      <c r="G44" s="122">
        <v>-300</v>
      </c>
      <c r="H44" s="122"/>
      <c r="I44" s="122"/>
      <c r="J44" s="122"/>
      <c r="K44" s="122"/>
      <c r="L44">
        <f t="shared" si="6"/>
        <v>-50</v>
      </c>
    </row>
    <row r="45" spans="2:12" x14ac:dyDescent="0.5">
      <c r="B45" s="3" t="str">
        <f t="shared" si="7"/>
        <v>CDE</v>
      </c>
      <c r="C45" s="124" t="str">
        <f t="shared" si="5"/>
        <v>CDE Inc</v>
      </c>
      <c r="D45" s="112" t="str">
        <f t="shared" si="5"/>
        <v>Publishing</v>
      </c>
      <c r="E45" s="122"/>
      <c r="F45" s="122"/>
      <c r="G45" s="122">
        <v>-100</v>
      </c>
      <c r="H45" s="122"/>
      <c r="I45" s="122"/>
      <c r="J45" s="122"/>
      <c r="K45" s="122"/>
      <c r="L45">
        <f t="shared" si="6"/>
        <v>-200</v>
      </c>
    </row>
    <row r="46" spans="2:12" x14ac:dyDescent="0.5">
      <c r="B46" s="3" t="str">
        <f t="shared" si="7"/>
        <v>DEF</v>
      </c>
      <c r="C46" s="124" t="str">
        <f t="shared" si="5"/>
        <v>DEF Inc</v>
      </c>
      <c r="D46" s="112" t="str">
        <f t="shared" si="5"/>
        <v>Hospitality</v>
      </c>
      <c r="E46" s="122"/>
      <c r="F46" s="122"/>
      <c r="G46" s="122"/>
      <c r="H46" s="122">
        <v>-100</v>
      </c>
      <c r="I46" s="122"/>
      <c r="J46" s="122"/>
      <c r="K46" s="122"/>
      <c r="L46">
        <f t="shared" si="6"/>
        <v>-200</v>
      </c>
    </row>
    <row r="47" spans="2:12" x14ac:dyDescent="0.5">
      <c r="B47" s="3" t="str">
        <f t="shared" si="7"/>
        <v>EFG</v>
      </c>
      <c r="C47" s="124" t="str">
        <f t="shared" si="5"/>
        <v>Effective Inc</v>
      </c>
      <c r="D47" s="112" t="str">
        <f t="shared" si="5"/>
        <v>TV/Cable</v>
      </c>
      <c r="E47" s="122"/>
      <c r="F47" s="122"/>
      <c r="G47" s="122"/>
      <c r="H47" s="122"/>
      <c r="I47" s="122"/>
      <c r="J47" s="122"/>
      <c r="K47" s="122"/>
      <c r="L47">
        <f t="shared" si="6"/>
        <v>-200</v>
      </c>
    </row>
    <row r="48" spans="2:12" x14ac:dyDescent="0.5">
      <c r="B48" s="3" t="str">
        <f t="shared" si="7"/>
        <v>FGH</v>
      </c>
      <c r="C48" s="124" t="str">
        <f t="shared" si="5"/>
        <v>FGH Inc</v>
      </c>
      <c r="D48" s="112" t="str">
        <f t="shared" si="5"/>
        <v>Techonlogy</v>
      </c>
      <c r="E48" s="122"/>
      <c r="F48" s="122"/>
      <c r="G48" s="122"/>
      <c r="H48" s="122"/>
      <c r="I48" s="122">
        <v>-300</v>
      </c>
      <c r="J48" s="122"/>
      <c r="K48" s="122"/>
      <c r="L48">
        <f t="shared" si="6"/>
        <v>-100</v>
      </c>
    </row>
    <row r="49" spans="2:12" x14ac:dyDescent="0.5">
      <c r="B49" s="3" t="str">
        <f t="shared" si="7"/>
        <v>GHI</v>
      </c>
      <c r="C49" s="124" t="str">
        <f t="shared" si="5"/>
        <v>General HI</v>
      </c>
      <c r="D49" s="112" t="str">
        <f t="shared" si="5"/>
        <v>Service</v>
      </c>
      <c r="E49" s="122"/>
      <c r="F49" s="122"/>
      <c r="G49" s="122"/>
      <c r="H49" s="122"/>
      <c r="I49" s="122"/>
      <c r="J49" s="122"/>
      <c r="K49" s="122"/>
      <c r="L49">
        <f t="shared" si="6"/>
        <v>-600</v>
      </c>
    </row>
    <row r="50" spans="2:12" x14ac:dyDescent="0.5">
      <c r="B50" s="3" t="str">
        <f t="shared" si="7"/>
        <v>HIK</v>
      </c>
      <c r="C50" s="124" t="str">
        <f t="shared" si="5"/>
        <v>Hicks Kental Inc</v>
      </c>
      <c r="D50" s="112" t="str">
        <f t="shared" si="5"/>
        <v>Retail</v>
      </c>
      <c r="E50" s="122"/>
      <c r="F50" s="122"/>
      <c r="G50" s="122"/>
      <c r="H50" s="122"/>
      <c r="I50" s="122"/>
      <c r="J50" s="122"/>
      <c r="K50" s="122"/>
      <c r="L50">
        <f t="shared" si="6"/>
        <v>-1000</v>
      </c>
    </row>
    <row r="51" spans="2:12" x14ac:dyDescent="0.5">
      <c r="B51" s="3" t="str">
        <f t="shared" si="7"/>
        <v>IKL</v>
      </c>
      <c r="C51" s="124" t="str">
        <f t="shared" si="5"/>
        <v>IKL Inc</v>
      </c>
      <c r="D51" s="112" t="str">
        <f t="shared" si="5"/>
        <v>Pharmaceutical</v>
      </c>
      <c r="E51" s="122"/>
      <c r="F51" s="122"/>
      <c r="G51" s="122"/>
      <c r="H51" s="122"/>
      <c r="I51" s="122"/>
      <c r="J51" s="122"/>
      <c r="K51" s="122"/>
      <c r="L51">
        <f t="shared" si="6"/>
        <v>-300</v>
      </c>
    </row>
    <row r="52" spans="2:12" x14ac:dyDescent="0.5">
      <c r="B52" s="3" t="str">
        <f t="shared" si="7"/>
        <v>KLM</v>
      </c>
      <c r="C52" s="124" t="str">
        <f t="shared" si="5"/>
        <v>KLM Health</v>
      </c>
      <c r="D52" s="112" t="str">
        <f t="shared" si="5"/>
        <v>Healthcare</v>
      </c>
      <c r="E52" s="122"/>
      <c r="F52" s="122"/>
      <c r="G52" s="122"/>
      <c r="H52" s="122"/>
      <c r="I52" s="122"/>
      <c r="J52" s="122"/>
      <c r="K52" s="122"/>
      <c r="L52">
        <f t="shared" si="6"/>
        <v>-300</v>
      </c>
    </row>
    <row r="53" spans="2:12" x14ac:dyDescent="0.5">
      <c r="B53" s="3" t="str">
        <f t="shared" si="7"/>
        <v>LMN</v>
      </c>
      <c r="C53" s="124" t="str">
        <f t="shared" si="5"/>
        <v>LMN Hotel &amp; Resorts</v>
      </c>
      <c r="D53" s="112" t="str">
        <f t="shared" si="5"/>
        <v>Hospitality</v>
      </c>
      <c r="E53" s="122"/>
      <c r="F53" s="122"/>
      <c r="G53" s="122">
        <v>100</v>
      </c>
      <c r="H53" s="122"/>
      <c r="I53" s="122"/>
      <c r="J53" s="122"/>
      <c r="K53" s="122"/>
      <c r="L53">
        <f t="shared" si="6"/>
        <v>-100</v>
      </c>
    </row>
    <row r="54" spans="2:12" x14ac:dyDescent="0.5">
      <c r="B54" s="3" t="str">
        <f t="shared" si="7"/>
        <v>MNO</v>
      </c>
      <c r="C54" s="124" t="str">
        <f t="shared" si="5"/>
        <v>MNO Cable Inc</v>
      </c>
      <c r="D54" s="112" t="str">
        <f t="shared" si="5"/>
        <v>TV/Cable</v>
      </c>
      <c r="E54" s="122"/>
      <c r="F54" s="122"/>
      <c r="G54" s="122">
        <v>100</v>
      </c>
      <c r="H54" s="122"/>
      <c r="I54" s="122"/>
      <c r="J54" s="122"/>
      <c r="K54" s="122"/>
      <c r="L54">
        <f t="shared" si="6"/>
        <v>-100</v>
      </c>
    </row>
    <row r="55" spans="2:12" x14ac:dyDescent="0.5">
      <c r="B55" s="3" t="str">
        <f t="shared" si="7"/>
        <v>NOP</v>
      </c>
      <c r="C55" s="124" t="str">
        <f t="shared" si="5"/>
        <v>Norton Optimum</v>
      </c>
      <c r="D55" s="112" t="str">
        <f t="shared" si="5"/>
        <v>Techonlogy</v>
      </c>
      <c r="E55" s="122"/>
      <c r="F55" s="122"/>
      <c r="G55" s="122">
        <v>100</v>
      </c>
      <c r="H55" s="122"/>
      <c r="I55" s="122"/>
      <c r="J55" s="122"/>
      <c r="K55" s="122"/>
      <c r="L55">
        <f t="shared" si="6"/>
        <v>-100</v>
      </c>
    </row>
    <row r="56" spans="2:12" x14ac:dyDescent="0.5">
      <c r="B56" s="3" t="str">
        <f t="shared" si="7"/>
        <v>OPQ</v>
      </c>
      <c r="C56" s="124" t="str">
        <f t="shared" si="5"/>
        <v>Odyssea PQ Inc</v>
      </c>
      <c r="D56" s="112" t="str">
        <f t="shared" si="5"/>
        <v>Retail</v>
      </c>
      <c r="E56" s="122"/>
      <c r="F56" s="122"/>
      <c r="G56" s="122"/>
      <c r="H56" s="122">
        <v>200</v>
      </c>
      <c r="I56" s="122"/>
      <c r="J56" s="122"/>
      <c r="K56" s="122"/>
      <c r="L56">
        <f t="shared" si="6"/>
        <v>-200</v>
      </c>
    </row>
    <row r="57" spans="2:12" x14ac:dyDescent="0.5">
      <c r="B57" s="3" t="str">
        <f t="shared" si="7"/>
        <v>PQR</v>
      </c>
      <c r="C57" s="124" t="str">
        <f t="shared" si="5"/>
        <v>PQR Chemicals</v>
      </c>
      <c r="D57" s="112" t="str">
        <f t="shared" si="5"/>
        <v>Chemicals</v>
      </c>
      <c r="E57" s="122"/>
      <c r="F57" s="122"/>
      <c r="G57" s="122"/>
      <c r="H57" s="122"/>
      <c r="I57" s="122">
        <v>300</v>
      </c>
      <c r="J57" s="122"/>
      <c r="K57" s="122"/>
      <c r="L57">
        <f t="shared" si="6"/>
        <v>-300</v>
      </c>
    </row>
    <row r="58" spans="2:12" x14ac:dyDescent="0.5">
      <c r="B58" s="3"/>
      <c r="C58" s="112"/>
      <c r="D58" s="112"/>
    </row>
    <row r="59" spans="2:12" x14ac:dyDescent="0.5">
      <c r="B59" s="120" t="s">
        <v>183</v>
      </c>
      <c r="C59" s="112"/>
      <c r="E59" s="114">
        <v>0</v>
      </c>
      <c r="F59" s="114">
        <v>1</v>
      </c>
      <c r="G59" s="114">
        <v>2</v>
      </c>
      <c r="H59" s="114">
        <v>3</v>
      </c>
      <c r="I59" s="114">
        <v>4</v>
      </c>
      <c r="J59" s="114">
        <v>5</v>
      </c>
      <c r="K59" s="114">
        <v>6</v>
      </c>
      <c r="L59" s="114">
        <v>7</v>
      </c>
    </row>
    <row r="60" spans="2:12" ht="26.35" thickBot="1" x14ac:dyDescent="0.55000000000000004">
      <c r="B60" s="156" t="s">
        <v>101</v>
      </c>
      <c r="C60" s="156" t="s">
        <v>102</v>
      </c>
      <c r="D60" s="156" t="s">
        <v>103</v>
      </c>
      <c r="E60" s="157" t="str">
        <f>+E42</f>
        <v>June 1
20x1</v>
      </c>
      <c r="F60" s="157" t="str">
        <f t="shared" ref="F60:L60" si="8">+F42</f>
        <v>July 1
20x1</v>
      </c>
      <c r="G60" s="157" t="str">
        <f t="shared" si="8"/>
        <v>Aug 1
20x1</v>
      </c>
      <c r="H60" s="157" t="str">
        <f t="shared" si="8"/>
        <v>Sep 1
20x1</v>
      </c>
      <c r="I60" s="157" t="str">
        <f t="shared" si="8"/>
        <v>Oct 1
20x1</v>
      </c>
      <c r="J60" s="157" t="str">
        <f t="shared" si="8"/>
        <v>Nov 1
20x1</v>
      </c>
      <c r="K60" s="157" t="str">
        <f t="shared" si="8"/>
        <v>Dec 1
20x1</v>
      </c>
      <c r="L60" s="157" t="str">
        <f t="shared" si="8"/>
        <v>Jan 2
20x2</v>
      </c>
    </row>
    <row r="61" spans="2:12" ht="14.7" thickTop="1" x14ac:dyDescent="0.5">
      <c r="B61" s="112" t="str">
        <f t="shared" ref="B61:D75" si="9">+B43</f>
        <v>ABC</v>
      </c>
      <c r="C61" s="112" t="str">
        <f t="shared" si="9"/>
        <v>ABC Chem Inc</v>
      </c>
      <c r="D61" s="112" t="str">
        <f t="shared" si="9"/>
        <v>Chemicals</v>
      </c>
      <c r="E61" s="125">
        <f t="shared" ref="E61:L75" si="10">-E43*E7</f>
        <v>0</v>
      </c>
      <c r="F61" s="125">
        <f t="shared" si="10"/>
        <v>0</v>
      </c>
      <c r="G61" s="125">
        <f t="shared" si="10"/>
        <v>6750</v>
      </c>
      <c r="H61" s="125">
        <f t="shared" si="10"/>
        <v>0</v>
      </c>
      <c r="I61" s="125">
        <f t="shared" si="10"/>
        <v>0</v>
      </c>
      <c r="J61" s="125">
        <f t="shared" si="10"/>
        <v>0</v>
      </c>
      <c r="K61" s="125">
        <f t="shared" si="10"/>
        <v>0</v>
      </c>
      <c r="L61" s="125">
        <f t="shared" si="10"/>
        <v>3100</v>
      </c>
    </row>
    <row r="62" spans="2:12" x14ac:dyDescent="0.5">
      <c r="B62" s="112" t="str">
        <f t="shared" si="9"/>
        <v>BCD</v>
      </c>
      <c r="C62" s="112" t="str">
        <f t="shared" si="9"/>
        <v>BCD  Precision Inc</v>
      </c>
      <c r="D62" s="112" t="str">
        <f t="shared" si="9"/>
        <v>Industrial</v>
      </c>
      <c r="E62" s="125">
        <f t="shared" si="10"/>
        <v>0</v>
      </c>
      <c r="F62" s="125">
        <f t="shared" si="10"/>
        <v>0</v>
      </c>
      <c r="G62" s="125">
        <f t="shared" si="10"/>
        <v>3600</v>
      </c>
      <c r="H62" s="125">
        <f t="shared" si="10"/>
        <v>0</v>
      </c>
      <c r="I62" s="125">
        <f t="shared" si="10"/>
        <v>0</v>
      </c>
      <c r="J62" s="125">
        <f t="shared" si="10"/>
        <v>0</v>
      </c>
      <c r="K62" s="125">
        <f t="shared" si="10"/>
        <v>0</v>
      </c>
      <c r="L62" s="125">
        <f t="shared" si="10"/>
        <v>1100</v>
      </c>
    </row>
    <row r="63" spans="2:12" x14ac:dyDescent="0.5">
      <c r="B63" s="112" t="str">
        <f t="shared" si="9"/>
        <v>CDE</v>
      </c>
      <c r="C63" s="112" t="str">
        <f t="shared" si="9"/>
        <v>CDE Inc</v>
      </c>
      <c r="D63" s="112" t="str">
        <f t="shared" si="9"/>
        <v>Publishing</v>
      </c>
      <c r="E63" s="125">
        <f t="shared" si="10"/>
        <v>0</v>
      </c>
      <c r="F63" s="125">
        <f t="shared" si="10"/>
        <v>0</v>
      </c>
      <c r="G63" s="125">
        <f t="shared" si="10"/>
        <v>1800</v>
      </c>
      <c r="H63" s="125">
        <f t="shared" si="10"/>
        <v>0</v>
      </c>
      <c r="I63" s="125">
        <f t="shared" si="10"/>
        <v>0</v>
      </c>
      <c r="J63" s="125">
        <f t="shared" si="10"/>
        <v>0</v>
      </c>
      <c r="K63" s="125">
        <f t="shared" si="10"/>
        <v>0</v>
      </c>
      <c r="L63" s="125">
        <f t="shared" si="10"/>
        <v>4200</v>
      </c>
    </row>
    <row r="64" spans="2:12" x14ac:dyDescent="0.5">
      <c r="B64" s="112" t="str">
        <f t="shared" si="9"/>
        <v>DEF</v>
      </c>
      <c r="C64" s="112" t="str">
        <f t="shared" si="9"/>
        <v>DEF Inc</v>
      </c>
      <c r="D64" s="112" t="str">
        <f t="shared" si="9"/>
        <v>Hospitality</v>
      </c>
      <c r="E64" s="125">
        <f t="shared" si="10"/>
        <v>0</v>
      </c>
      <c r="F64" s="125">
        <f t="shared" si="10"/>
        <v>0</v>
      </c>
      <c r="G64" s="125">
        <f t="shared" si="10"/>
        <v>0</v>
      </c>
      <c r="H64" s="125">
        <f t="shared" si="10"/>
        <v>4500</v>
      </c>
      <c r="I64" s="125">
        <f t="shared" si="10"/>
        <v>0</v>
      </c>
      <c r="J64" s="125">
        <f t="shared" si="10"/>
        <v>0</v>
      </c>
      <c r="K64" s="125">
        <f t="shared" si="10"/>
        <v>0</v>
      </c>
      <c r="L64" s="125">
        <f t="shared" si="10"/>
        <v>9600</v>
      </c>
    </row>
    <row r="65" spans="2:12" x14ac:dyDescent="0.5">
      <c r="B65" s="112" t="str">
        <f t="shared" si="9"/>
        <v>EFG</v>
      </c>
      <c r="C65" s="112" t="str">
        <f t="shared" si="9"/>
        <v>Effective Inc</v>
      </c>
      <c r="D65" s="112" t="str">
        <f t="shared" si="9"/>
        <v>TV/Cable</v>
      </c>
      <c r="E65" s="125">
        <f t="shared" si="10"/>
        <v>0</v>
      </c>
      <c r="F65" s="125">
        <f t="shared" si="10"/>
        <v>0</v>
      </c>
      <c r="G65" s="125">
        <f t="shared" si="10"/>
        <v>0</v>
      </c>
      <c r="H65" s="125">
        <f t="shared" si="10"/>
        <v>0</v>
      </c>
      <c r="I65" s="125">
        <f t="shared" si="10"/>
        <v>0</v>
      </c>
      <c r="J65" s="125">
        <f t="shared" si="10"/>
        <v>0</v>
      </c>
      <c r="K65" s="125">
        <f t="shared" si="10"/>
        <v>0</v>
      </c>
      <c r="L65" s="125">
        <f t="shared" si="10"/>
        <v>12600</v>
      </c>
    </row>
    <row r="66" spans="2:12" x14ac:dyDescent="0.5">
      <c r="B66" s="112" t="str">
        <f t="shared" si="9"/>
        <v>FGH</v>
      </c>
      <c r="C66" s="112" t="str">
        <f t="shared" si="9"/>
        <v>FGH Inc</v>
      </c>
      <c r="D66" s="112" t="str">
        <f t="shared" si="9"/>
        <v>Techonlogy</v>
      </c>
      <c r="E66" s="125">
        <f t="shared" si="10"/>
        <v>0</v>
      </c>
      <c r="F66" s="125">
        <f t="shared" si="10"/>
        <v>0</v>
      </c>
      <c r="G66" s="125">
        <f t="shared" si="10"/>
        <v>0</v>
      </c>
      <c r="H66" s="125">
        <f t="shared" si="10"/>
        <v>0</v>
      </c>
      <c r="I66" s="125">
        <f t="shared" si="10"/>
        <v>6000</v>
      </c>
      <c r="J66" s="125">
        <f t="shared" si="10"/>
        <v>0</v>
      </c>
      <c r="K66" s="125">
        <f t="shared" si="10"/>
        <v>0</v>
      </c>
      <c r="L66" s="125">
        <f t="shared" si="10"/>
        <v>2500</v>
      </c>
    </row>
    <row r="67" spans="2:12" x14ac:dyDescent="0.5">
      <c r="B67" s="112" t="str">
        <f t="shared" si="9"/>
        <v>GHI</v>
      </c>
      <c r="C67" s="112" t="str">
        <f t="shared" si="9"/>
        <v>General HI</v>
      </c>
      <c r="D67" s="112" t="str">
        <f t="shared" si="9"/>
        <v>Service</v>
      </c>
      <c r="E67" s="125">
        <f t="shared" si="10"/>
        <v>0</v>
      </c>
      <c r="F67" s="125">
        <f t="shared" si="10"/>
        <v>0</v>
      </c>
      <c r="G67" s="125">
        <f t="shared" si="10"/>
        <v>0</v>
      </c>
      <c r="H67" s="125">
        <f t="shared" si="10"/>
        <v>0</v>
      </c>
      <c r="I67" s="125">
        <f t="shared" si="10"/>
        <v>0</v>
      </c>
      <c r="J67" s="125">
        <f t="shared" si="10"/>
        <v>0</v>
      </c>
      <c r="K67" s="125">
        <f t="shared" si="10"/>
        <v>0</v>
      </c>
      <c r="L67" s="125">
        <f t="shared" si="10"/>
        <v>12000</v>
      </c>
    </row>
    <row r="68" spans="2:12" x14ac:dyDescent="0.5">
      <c r="B68" s="112" t="str">
        <f t="shared" si="9"/>
        <v>HIK</v>
      </c>
      <c r="C68" s="112" t="str">
        <f t="shared" si="9"/>
        <v>Hicks Kental Inc</v>
      </c>
      <c r="D68" s="112" t="str">
        <f t="shared" si="9"/>
        <v>Retail</v>
      </c>
      <c r="E68" s="125">
        <f t="shared" si="10"/>
        <v>0</v>
      </c>
      <c r="F68" s="125">
        <f t="shared" si="10"/>
        <v>0</v>
      </c>
      <c r="G68" s="125">
        <f t="shared" si="10"/>
        <v>0</v>
      </c>
      <c r="H68" s="125">
        <f t="shared" si="10"/>
        <v>0</v>
      </c>
      <c r="I68" s="125">
        <f t="shared" si="10"/>
        <v>0</v>
      </c>
      <c r="J68" s="125">
        <f t="shared" si="10"/>
        <v>0</v>
      </c>
      <c r="K68" s="125">
        <f t="shared" si="10"/>
        <v>0</v>
      </c>
      <c r="L68" s="125">
        <f t="shared" si="10"/>
        <v>14500</v>
      </c>
    </row>
    <row r="69" spans="2:12" x14ac:dyDescent="0.5">
      <c r="B69" s="112" t="str">
        <f t="shared" si="9"/>
        <v>IKL</v>
      </c>
      <c r="C69" s="112" t="str">
        <f t="shared" si="9"/>
        <v>IKL Inc</v>
      </c>
      <c r="D69" s="112" t="str">
        <f t="shared" si="9"/>
        <v>Pharmaceutical</v>
      </c>
      <c r="E69" s="125">
        <f t="shared" si="10"/>
        <v>0</v>
      </c>
      <c r="F69" s="125">
        <f t="shared" si="10"/>
        <v>0</v>
      </c>
      <c r="G69" s="125">
        <f t="shared" si="10"/>
        <v>0</v>
      </c>
      <c r="H69" s="125">
        <f t="shared" si="10"/>
        <v>0</v>
      </c>
      <c r="I69" s="125">
        <f t="shared" si="10"/>
        <v>0</v>
      </c>
      <c r="J69" s="125">
        <f t="shared" si="10"/>
        <v>0</v>
      </c>
      <c r="K69" s="125">
        <f t="shared" si="10"/>
        <v>0</v>
      </c>
      <c r="L69" s="125">
        <f t="shared" si="10"/>
        <v>6000</v>
      </c>
    </row>
    <row r="70" spans="2:12" x14ac:dyDescent="0.5">
      <c r="B70" s="112" t="str">
        <f t="shared" si="9"/>
        <v>KLM</v>
      </c>
      <c r="C70" s="112" t="str">
        <f t="shared" si="9"/>
        <v>KLM Health</v>
      </c>
      <c r="D70" s="112" t="str">
        <f t="shared" si="9"/>
        <v>Healthcare</v>
      </c>
      <c r="E70" s="125">
        <f t="shared" si="10"/>
        <v>0</v>
      </c>
      <c r="F70" s="125">
        <f t="shared" si="10"/>
        <v>0</v>
      </c>
      <c r="G70" s="125">
        <f t="shared" si="10"/>
        <v>0</v>
      </c>
      <c r="H70" s="125">
        <f t="shared" si="10"/>
        <v>0</v>
      </c>
      <c r="I70" s="125">
        <f t="shared" si="10"/>
        <v>0</v>
      </c>
      <c r="J70" s="125">
        <f t="shared" si="10"/>
        <v>0</v>
      </c>
      <c r="K70" s="125">
        <f t="shared" si="10"/>
        <v>0</v>
      </c>
      <c r="L70" s="125">
        <f t="shared" si="10"/>
        <v>6000</v>
      </c>
    </row>
    <row r="71" spans="2:12" x14ac:dyDescent="0.5">
      <c r="B71" s="112" t="str">
        <f t="shared" si="9"/>
        <v>LMN</v>
      </c>
      <c r="C71" s="112" t="str">
        <f t="shared" si="9"/>
        <v>LMN Hotel &amp; Resorts</v>
      </c>
      <c r="D71" s="112" t="str">
        <f t="shared" si="9"/>
        <v>Hospitality</v>
      </c>
      <c r="E71" s="125">
        <f t="shared" si="10"/>
        <v>0</v>
      </c>
      <c r="F71" s="125">
        <f t="shared" si="10"/>
        <v>0</v>
      </c>
      <c r="G71" s="125">
        <f t="shared" si="10"/>
        <v>-3200</v>
      </c>
      <c r="H71" s="125">
        <f t="shared" si="10"/>
        <v>0</v>
      </c>
      <c r="I71" s="125">
        <f t="shared" si="10"/>
        <v>0</v>
      </c>
      <c r="J71" s="125">
        <f t="shared" si="10"/>
        <v>0</v>
      </c>
      <c r="K71" s="125">
        <f t="shared" si="10"/>
        <v>0</v>
      </c>
      <c r="L71" s="125">
        <f t="shared" si="10"/>
        <v>3500</v>
      </c>
    </row>
    <row r="72" spans="2:12" x14ac:dyDescent="0.5">
      <c r="B72" s="112" t="str">
        <f t="shared" si="9"/>
        <v>MNO</v>
      </c>
      <c r="C72" s="112" t="str">
        <f t="shared" si="9"/>
        <v>MNO Cable Inc</v>
      </c>
      <c r="D72" s="112" t="str">
        <f t="shared" si="9"/>
        <v>TV/Cable</v>
      </c>
      <c r="E72" s="125">
        <f t="shared" si="10"/>
        <v>0</v>
      </c>
      <c r="F72" s="125">
        <f t="shared" si="10"/>
        <v>0</v>
      </c>
      <c r="G72" s="125">
        <f t="shared" si="10"/>
        <v>-1900</v>
      </c>
      <c r="H72" s="125">
        <f t="shared" si="10"/>
        <v>0</v>
      </c>
      <c r="I72" s="125">
        <f t="shared" si="10"/>
        <v>0</v>
      </c>
      <c r="J72" s="125">
        <f t="shared" si="10"/>
        <v>0</v>
      </c>
      <c r="K72" s="125">
        <f t="shared" si="10"/>
        <v>0</v>
      </c>
      <c r="L72" s="125">
        <f t="shared" si="10"/>
        <v>1800</v>
      </c>
    </row>
    <row r="73" spans="2:12" x14ac:dyDescent="0.5">
      <c r="B73" s="112" t="str">
        <f t="shared" si="9"/>
        <v>NOP</v>
      </c>
      <c r="C73" s="112" t="str">
        <f t="shared" si="9"/>
        <v>Norton Optimum</v>
      </c>
      <c r="D73" s="112" t="str">
        <f t="shared" si="9"/>
        <v>Techonlogy</v>
      </c>
      <c r="E73" s="125">
        <f t="shared" si="10"/>
        <v>0</v>
      </c>
      <c r="F73" s="125">
        <f t="shared" si="10"/>
        <v>0</v>
      </c>
      <c r="G73" s="125">
        <f t="shared" si="10"/>
        <v>-5500</v>
      </c>
      <c r="H73" s="125">
        <f t="shared" si="10"/>
        <v>0</v>
      </c>
      <c r="I73" s="125">
        <f t="shared" si="10"/>
        <v>0</v>
      </c>
      <c r="J73" s="125">
        <f t="shared" si="10"/>
        <v>0</v>
      </c>
      <c r="K73" s="125">
        <f t="shared" si="10"/>
        <v>0</v>
      </c>
      <c r="L73" s="125">
        <f t="shared" si="10"/>
        <v>6100</v>
      </c>
    </row>
    <row r="74" spans="2:12" x14ac:dyDescent="0.5">
      <c r="B74" s="112" t="str">
        <f t="shared" si="9"/>
        <v>OPQ</v>
      </c>
      <c r="C74" s="112" t="str">
        <f t="shared" si="9"/>
        <v>Odyssea PQ Inc</v>
      </c>
      <c r="D74" s="112" t="str">
        <f t="shared" si="9"/>
        <v>Retail</v>
      </c>
      <c r="E74" s="125">
        <f t="shared" si="10"/>
        <v>0</v>
      </c>
      <c r="F74" s="125">
        <f t="shared" si="10"/>
        <v>0</v>
      </c>
      <c r="G74" s="125">
        <f t="shared" si="10"/>
        <v>0</v>
      </c>
      <c r="H74" s="125">
        <f t="shared" si="10"/>
        <v>-2200</v>
      </c>
      <c r="I74" s="125">
        <f t="shared" si="10"/>
        <v>0</v>
      </c>
      <c r="J74" s="125">
        <f t="shared" si="10"/>
        <v>0</v>
      </c>
      <c r="K74" s="125">
        <f t="shared" si="10"/>
        <v>0</v>
      </c>
      <c r="L74" s="125">
        <f t="shared" si="10"/>
        <v>2400</v>
      </c>
    </row>
    <row r="75" spans="2:12" x14ac:dyDescent="0.5">
      <c r="B75" s="112" t="str">
        <f t="shared" si="9"/>
        <v>PQR</v>
      </c>
      <c r="C75" s="112" t="str">
        <f t="shared" si="9"/>
        <v>PQR Chemicals</v>
      </c>
      <c r="D75" s="112" t="str">
        <f t="shared" si="9"/>
        <v>Chemicals</v>
      </c>
      <c r="E75" s="125">
        <f t="shared" si="10"/>
        <v>0</v>
      </c>
      <c r="F75" s="125">
        <f t="shared" si="10"/>
        <v>0</v>
      </c>
      <c r="G75" s="125">
        <f t="shared" si="10"/>
        <v>0</v>
      </c>
      <c r="H75" s="125">
        <f t="shared" si="10"/>
        <v>0</v>
      </c>
      <c r="I75" s="125">
        <f t="shared" si="10"/>
        <v>-6000</v>
      </c>
      <c r="J75" s="125">
        <f t="shared" si="10"/>
        <v>0</v>
      </c>
      <c r="K75" s="125">
        <f t="shared" si="10"/>
        <v>0</v>
      </c>
      <c r="L75" s="125">
        <f t="shared" si="10"/>
        <v>7200</v>
      </c>
    </row>
    <row r="76" spans="2:12" ht="14.7" thickBot="1" x14ac:dyDescent="0.55000000000000004">
      <c r="B76" s="199" t="s">
        <v>184</v>
      </c>
      <c r="C76" s="199"/>
      <c r="D76" s="199"/>
      <c r="E76" s="200">
        <f t="shared" ref="E76:L76" si="11">SUM(E61:E75)</f>
        <v>0</v>
      </c>
      <c r="F76" s="200">
        <f t="shared" si="11"/>
        <v>0</v>
      </c>
      <c r="G76" s="200">
        <f t="shared" si="11"/>
        <v>1550</v>
      </c>
      <c r="H76" s="200">
        <f t="shared" si="11"/>
        <v>2300</v>
      </c>
      <c r="I76" s="200">
        <f t="shared" si="11"/>
        <v>0</v>
      </c>
      <c r="J76" s="200">
        <f t="shared" si="11"/>
        <v>0</v>
      </c>
      <c r="K76" s="200">
        <f t="shared" si="11"/>
        <v>0</v>
      </c>
      <c r="L76" s="200">
        <f t="shared" si="11"/>
        <v>92600</v>
      </c>
    </row>
    <row r="77" spans="2:12" ht="14.7" thickTop="1" x14ac:dyDescent="0.5">
      <c r="B77" s="3"/>
      <c r="C77" s="112"/>
      <c r="D77" s="112"/>
    </row>
    <row r="78" spans="2:12" x14ac:dyDescent="0.5">
      <c r="B78" s="120" t="s">
        <v>185</v>
      </c>
      <c r="C78" s="112"/>
      <c r="E78" s="114">
        <v>0</v>
      </c>
      <c r="F78" s="114">
        <v>1</v>
      </c>
      <c r="G78" s="114">
        <v>2</v>
      </c>
      <c r="H78" s="114">
        <v>3</v>
      </c>
      <c r="I78" s="114">
        <v>4</v>
      </c>
      <c r="J78" s="114">
        <v>5</v>
      </c>
      <c r="K78" s="114">
        <v>6</v>
      </c>
      <c r="L78" s="114">
        <v>7</v>
      </c>
    </row>
    <row r="79" spans="2:12" ht="26.35" thickBot="1" x14ac:dyDescent="0.55000000000000004">
      <c r="B79" s="156" t="s">
        <v>101</v>
      </c>
      <c r="C79" s="156" t="s">
        <v>102</v>
      </c>
      <c r="D79" s="156" t="s">
        <v>103</v>
      </c>
      <c r="E79" s="157" t="str">
        <f>+E60</f>
        <v>June 1
20x1</v>
      </c>
      <c r="F79" s="157" t="str">
        <f t="shared" ref="F79:L79" si="12">+F60</f>
        <v>July 1
20x1</v>
      </c>
      <c r="G79" s="157" t="str">
        <f t="shared" si="12"/>
        <v>Aug 1
20x1</v>
      </c>
      <c r="H79" s="157" t="str">
        <f t="shared" si="12"/>
        <v>Sep 1
20x1</v>
      </c>
      <c r="I79" s="157" t="str">
        <f t="shared" si="12"/>
        <v>Oct 1
20x1</v>
      </c>
      <c r="J79" s="157" t="str">
        <f t="shared" si="12"/>
        <v>Nov 1
20x1</v>
      </c>
      <c r="K79" s="157" t="str">
        <f t="shared" si="12"/>
        <v>Dec 1
20x1</v>
      </c>
      <c r="L79" s="157" t="str">
        <f t="shared" si="12"/>
        <v>Jan 2
20x2</v>
      </c>
    </row>
    <row r="80" spans="2:12" ht="14.7" thickTop="1" x14ac:dyDescent="0.5">
      <c r="B80" s="112" t="str">
        <f t="shared" ref="B80:D94" si="13">+B61</f>
        <v>ABC</v>
      </c>
      <c r="C80" s="112" t="str">
        <f t="shared" si="13"/>
        <v>ABC Chem Inc</v>
      </c>
      <c r="D80" s="112" t="str">
        <f t="shared" si="13"/>
        <v>Chemicals</v>
      </c>
      <c r="E80" s="128">
        <f t="shared" ref="E80:L94" si="14">+E7*E25</f>
        <v>9200</v>
      </c>
      <c r="F80" s="125">
        <f t="shared" si="14"/>
        <v>9600</v>
      </c>
      <c r="G80" s="125">
        <f t="shared" si="14"/>
        <v>2250</v>
      </c>
      <c r="H80" s="125">
        <f t="shared" si="14"/>
        <v>2500</v>
      </c>
      <c r="I80" s="125">
        <f t="shared" si="14"/>
        <v>2600</v>
      </c>
      <c r="J80" s="125">
        <f t="shared" si="14"/>
        <v>2700</v>
      </c>
      <c r="K80" s="125">
        <f t="shared" si="14"/>
        <v>2800</v>
      </c>
      <c r="L80" s="125">
        <f t="shared" si="14"/>
        <v>0</v>
      </c>
    </row>
    <row r="81" spans="2:12" x14ac:dyDescent="0.5">
      <c r="B81" s="112" t="str">
        <f t="shared" si="13"/>
        <v>BCD</v>
      </c>
      <c r="C81" s="112" t="str">
        <f t="shared" si="13"/>
        <v>BCD  Precision Inc</v>
      </c>
      <c r="D81" s="112" t="str">
        <f t="shared" si="13"/>
        <v>Industrial</v>
      </c>
      <c r="E81" s="128">
        <f t="shared" si="14"/>
        <v>4200</v>
      </c>
      <c r="F81" s="125">
        <f t="shared" si="14"/>
        <v>3500</v>
      </c>
      <c r="G81" s="125">
        <f t="shared" si="14"/>
        <v>600</v>
      </c>
      <c r="H81" s="125">
        <f t="shared" si="14"/>
        <v>600</v>
      </c>
      <c r="I81" s="125">
        <f t="shared" si="14"/>
        <v>750</v>
      </c>
      <c r="J81" s="125">
        <f t="shared" si="14"/>
        <v>900</v>
      </c>
      <c r="K81" s="125">
        <f t="shared" si="14"/>
        <v>975</v>
      </c>
      <c r="L81" s="125">
        <f t="shared" si="14"/>
        <v>0</v>
      </c>
    </row>
    <row r="82" spans="2:12" x14ac:dyDescent="0.5">
      <c r="B82" s="112" t="str">
        <f t="shared" si="13"/>
        <v>CDE</v>
      </c>
      <c r="C82" s="112" t="str">
        <f t="shared" si="13"/>
        <v>CDE Inc</v>
      </c>
      <c r="D82" s="112" t="str">
        <f t="shared" si="13"/>
        <v>Publishing</v>
      </c>
      <c r="E82" s="128">
        <f t="shared" si="14"/>
        <v>5400</v>
      </c>
      <c r="F82" s="125">
        <f t="shared" si="14"/>
        <v>5700</v>
      </c>
      <c r="G82" s="125">
        <f t="shared" si="14"/>
        <v>3600</v>
      </c>
      <c r="H82" s="125">
        <f t="shared" si="14"/>
        <v>3800</v>
      </c>
      <c r="I82" s="125">
        <f t="shared" si="14"/>
        <v>4200</v>
      </c>
      <c r="J82" s="125">
        <f t="shared" si="14"/>
        <v>4000</v>
      </c>
      <c r="K82" s="125">
        <f t="shared" si="14"/>
        <v>3800</v>
      </c>
      <c r="L82" s="125">
        <f t="shared" si="14"/>
        <v>0</v>
      </c>
    </row>
    <row r="83" spans="2:12" x14ac:dyDescent="0.5">
      <c r="B83" s="112" t="str">
        <f t="shared" si="13"/>
        <v>DEF</v>
      </c>
      <c r="C83" s="112" t="str">
        <f t="shared" si="13"/>
        <v>DEF Inc</v>
      </c>
      <c r="D83" s="112" t="str">
        <f t="shared" si="13"/>
        <v>Hospitality</v>
      </c>
      <c r="E83" s="128">
        <f t="shared" si="14"/>
        <v>12000</v>
      </c>
      <c r="F83" s="125">
        <f t="shared" si="14"/>
        <v>12600</v>
      </c>
      <c r="G83" s="125">
        <f t="shared" si="14"/>
        <v>12900</v>
      </c>
      <c r="H83" s="125">
        <f t="shared" si="14"/>
        <v>9000</v>
      </c>
      <c r="I83" s="125">
        <f t="shared" si="14"/>
        <v>9000</v>
      </c>
      <c r="J83" s="125">
        <f t="shared" si="14"/>
        <v>9000</v>
      </c>
      <c r="K83" s="125">
        <f t="shared" si="14"/>
        <v>9200</v>
      </c>
      <c r="L83" s="125">
        <f t="shared" si="14"/>
        <v>0</v>
      </c>
    </row>
    <row r="84" spans="2:12" x14ac:dyDescent="0.5">
      <c r="B84" s="112" t="str">
        <f t="shared" si="13"/>
        <v>EFG</v>
      </c>
      <c r="C84" s="112" t="str">
        <f t="shared" si="13"/>
        <v>Effective Inc</v>
      </c>
      <c r="D84" s="112" t="str">
        <f t="shared" si="13"/>
        <v>TV/Cable</v>
      </c>
      <c r="E84" s="128">
        <f t="shared" si="14"/>
        <v>10400</v>
      </c>
      <c r="F84" s="125">
        <f t="shared" si="14"/>
        <v>12000</v>
      </c>
      <c r="G84" s="125">
        <f t="shared" si="14"/>
        <v>12000</v>
      </c>
      <c r="H84" s="125">
        <f t="shared" si="14"/>
        <v>12000</v>
      </c>
      <c r="I84" s="125">
        <f t="shared" si="14"/>
        <v>12400</v>
      </c>
      <c r="J84" s="125">
        <f t="shared" si="14"/>
        <v>12400</v>
      </c>
      <c r="K84" s="125">
        <f t="shared" si="14"/>
        <v>12200</v>
      </c>
      <c r="L84" s="125">
        <f t="shared" si="14"/>
        <v>0</v>
      </c>
    </row>
    <row r="85" spans="2:12" x14ac:dyDescent="0.5">
      <c r="B85" s="112" t="str">
        <f t="shared" si="13"/>
        <v>FGH</v>
      </c>
      <c r="C85" s="112" t="str">
        <f t="shared" si="13"/>
        <v>FGH Inc</v>
      </c>
      <c r="D85" s="112" t="str">
        <f t="shared" si="13"/>
        <v>Techonlogy</v>
      </c>
      <c r="E85" s="128">
        <f t="shared" si="14"/>
        <v>12400</v>
      </c>
      <c r="F85" s="125">
        <f t="shared" si="14"/>
        <v>8000</v>
      </c>
      <c r="G85" s="125">
        <f t="shared" si="14"/>
        <v>10000</v>
      </c>
      <c r="H85" s="125">
        <f t="shared" si="14"/>
        <v>10400</v>
      </c>
      <c r="I85" s="125">
        <f t="shared" si="14"/>
        <v>2000</v>
      </c>
      <c r="J85" s="125">
        <f t="shared" si="14"/>
        <v>2200</v>
      </c>
      <c r="K85" s="125">
        <f t="shared" si="14"/>
        <v>2400</v>
      </c>
      <c r="L85" s="125">
        <f t="shared" si="14"/>
        <v>0</v>
      </c>
    </row>
    <row r="86" spans="2:12" x14ac:dyDescent="0.5">
      <c r="B86" s="112" t="str">
        <f t="shared" si="13"/>
        <v>GHI</v>
      </c>
      <c r="C86" s="112" t="str">
        <f t="shared" si="13"/>
        <v>General HI</v>
      </c>
      <c r="D86" s="112" t="str">
        <f t="shared" si="13"/>
        <v>Service</v>
      </c>
      <c r="E86" s="128">
        <f t="shared" si="14"/>
        <v>9000</v>
      </c>
      <c r="F86" s="125">
        <f t="shared" si="14"/>
        <v>9600</v>
      </c>
      <c r="G86" s="125">
        <f t="shared" si="14"/>
        <v>10200</v>
      </c>
      <c r="H86" s="125">
        <f t="shared" si="14"/>
        <v>10800</v>
      </c>
      <c r="I86" s="125">
        <f t="shared" si="14"/>
        <v>11400</v>
      </c>
      <c r="J86" s="125">
        <f t="shared" si="14"/>
        <v>11400</v>
      </c>
      <c r="K86" s="125">
        <f t="shared" si="14"/>
        <v>10800</v>
      </c>
      <c r="L86" s="125">
        <f t="shared" si="14"/>
        <v>0</v>
      </c>
    </row>
    <row r="87" spans="2:12" x14ac:dyDescent="0.5">
      <c r="B87" s="112" t="str">
        <f t="shared" si="13"/>
        <v>HIK</v>
      </c>
      <c r="C87" s="112" t="str">
        <f t="shared" si="13"/>
        <v>Hicks Kental Inc</v>
      </c>
      <c r="D87" s="112" t="str">
        <f t="shared" si="13"/>
        <v>Retail</v>
      </c>
      <c r="E87" s="128">
        <f t="shared" si="14"/>
        <v>8000</v>
      </c>
      <c r="F87" s="125">
        <f t="shared" si="14"/>
        <v>9500</v>
      </c>
      <c r="G87" s="125">
        <f t="shared" si="14"/>
        <v>10500</v>
      </c>
      <c r="H87" s="125">
        <f t="shared" si="14"/>
        <v>11000</v>
      </c>
      <c r="I87" s="125">
        <f t="shared" si="14"/>
        <v>11500</v>
      </c>
      <c r="J87" s="125">
        <f t="shared" si="14"/>
        <v>12000</v>
      </c>
      <c r="K87" s="125">
        <f t="shared" si="14"/>
        <v>14000</v>
      </c>
      <c r="L87" s="125">
        <f t="shared" si="14"/>
        <v>0</v>
      </c>
    </row>
    <row r="88" spans="2:12" x14ac:dyDescent="0.5">
      <c r="B88" s="112" t="str">
        <f t="shared" si="13"/>
        <v>IKL</v>
      </c>
      <c r="C88" s="112" t="str">
        <f t="shared" si="13"/>
        <v>IKL Inc</v>
      </c>
      <c r="D88" s="112" t="str">
        <f t="shared" si="13"/>
        <v>Pharmaceutical</v>
      </c>
      <c r="E88" s="128">
        <f t="shared" si="14"/>
        <v>4500</v>
      </c>
      <c r="F88" s="125">
        <f t="shared" si="14"/>
        <v>3900</v>
      </c>
      <c r="G88" s="125">
        <f t="shared" si="14"/>
        <v>3600</v>
      </c>
      <c r="H88" s="125">
        <f t="shared" si="14"/>
        <v>4200</v>
      </c>
      <c r="I88" s="125">
        <f t="shared" si="14"/>
        <v>4500</v>
      </c>
      <c r="J88" s="125">
        <f t="shared" si="14"/>
        <v>5400</v>
      </c>
      <c r="K88" s="125">
        <f t="shared" si="14"/>
        <v>6600</v>
      </c>
      <c r="L88" s="125">
        <f t="shared" si="14"/>
        <v>0</v>
      </c>
    </row>
    <row r="89" spans="2:12" x14ac:dyDescent="0.5">
      <c r="B89" s="112" t="str">
        <f t="shared" si="13"/>
        <v>KLM</v>
      </c>
      <c r="C89" s="112" t="str">
        <f t="shared" si="13"/>
        <v>KLM Health</v>
      </c>
      <c r="D89" s="112" t="str">
        <f t="shared" si="13"/>
        <v>Healthcare</v>
      </c>
      <c r="E89" s="128">
        <f t="shared" si="14"/>
        <v>7500</v>
      </c>
      <c r="F89" s="125">
        <f t="shared" si="14"/>
        <v>7800</v>
      </c>
      <c r="G89" s="125">
        <f t="shared" si="14"/>
        <v>7800</v>
      </c>
      <c r="H89" s="125">
        <f t="shared" si="14"/>
        <v>7800</v>
      </c>
      <c r="I89" s="125">
        <f t="shared" si="14"/>
        <v>7800</v>
      </c>
      <c r="J89" s="125">
        <f t="shared" si="14"/>
        <v>7800</v>
      </c>
      <c r="K89" s="125">
        <f t="shared" si="14"/>
        <v>8100</v>
      </c>
      <c r="L89" s="125">
        <f t="shared" si="14"/>
        <v>0</v>
      </c>
    </row>
    <row r="90" spans="2:12" x14ac:dyDescent="0.5">
      <c r="B90" s="112" t="str">
        <f t="shared" si="13"/>
        <v>LMN</v>
      </c>
      <c r="C90" s="112" t="str">
        <f t="shared" si="13"/>
        <v>LMN Hotel &amp; Resorts</v>
      </c>
      <c r="D90" s="112" t="str">
        <f t="shared" si="13"/>
        <v>Hospitality</v>
      </c>
      <c r="E90" s="128">
        <f t="shared" si="14"/>
        <v>0</v>
      </c>
      <c r="F90" s="125">
        <f t="shared" si="14"/>
        <v>0</v>
      </c>
      <c r="G90" s="125">
        <f t="shared" si="14"/>
        <v>3200</v>
      </c>
      <c r="H90" s="125">
        <f t="shared" si="14"/>
        <v>3300</v>
      </c>
      <c r="I90" s="125">
        <f t="shared" si="14"/>
        <v>3500</v>
      </c>
      <c r="J90" s="125">
        <f t="shared" si="14"/>
        <v>3200</v>
      </c>
      <c r="K90" s="125">
        <f t="shared" si="14"/>
        <v>3400</v>
      </c>
      <c r="L90" s="125">
        <f t="shared" si="14"/>
        <v>0</v>
      </c>
    </row>
    <row r="91" spans="2:12" x14ac:dyDescent="0.5">
      <c r="B91" s="112" t="str">
        <f t="shared" si="13"/>
        <v>MNO</v>
      </c>
      <c r="C91" s="112" t="str">
        <f t="shared" si="13"/>
        <v>MNO Cable Inc</v>
      </c>
      <c r="D91" s="112" t="str">
        <f t="shared" si="13"/>
        <v>TV/Cable</v>
      </c>
      <c r="E91" s="128">
        <f t="shared" si="14"/>
        <v>0</v>
      </c>
      <c r="F91" s="125">
        <f t="shared" si="14"/>
        <v>0</v>
      </c>
      <c r="G91" s="125">
        <f t="shared" si="14"/>
        <v>1900</v>
      </c>
      <c r="H91" s="125">
        <f t="shared" si="14"/>
        <v>1800</v>
      </c>
      <c r="I91" s="125">
        <f t="shared" si="14"/>
        <v>1800</v>
      </c>
      <c r="J91" s="125">
        <f t="shared" si="14"/>
        <v>1600</v>
      </c>
      <c r="K91" s="125">
        <f t="shared" si="14"/>
        <v>2000</v>
      </c>
      <c r="L91" s="125">
        <f t="shared" si="14"/>
        <v>0</v>
      </c>
    </row>
    <row r="92" spans="2:12" x14ac:dyDescent="0.5">
      <c r="B92" s="112" t="str">
        <f t="shared" si="13"/>
        <v>NOP</v>
      </c>
      <c r="C92" s="112" t="str">
        <f t="shared" si="13"/>
        <v>Norton Optimum</v>
      </c>
      <c r="D92" s="112" t="str">
        <f t="shared" si="13"/>
        <v>Techonlogy</v>
      </c>
      <c r="E92" s="128">
        <f t="shared" si="14"/>
        <v>0</v>
      </c>
      <c r="F92" s="125">
        <f t="shared" si="14"/>
        <v>0</v>
      </c>
      <c r="G92" s="125">
        <f t="shared" si="14"/>
        <v>5500</v>
      </c>
      <c r="H92" s="125">
        <f t="shared" si="14"/>
        <v>5600</v>
      </c>
      <c r="I92" s="125">
        <f t="shared" si="14"/>
        <v>5800</v>
      </c>
      <c r="J92" s="125">
        <f t="shared" si="14"/>
        <v>5900</v>
      </c>
      <c r="K92" s="125">
        <f t="shared" si="14"/>
        <v>5900</v>
      </c>
      <c r="L92" s="125">
        <f t="shared" si="14"/>
        <v>0</v>
      </c>
    </row>
    <row r="93" spans="2:12" x14ac:dyDescent="0.5">
      <c r="B93" s="112" t="str">
        <f t="shared" si="13"/>
        <v>OPQ</v>
      </c>
      <c r="C93" s="112" t="str">
        <f t="shared" si="13"/>
        <v>Odyssea PQ Inc</v>
      </c>
      <c r="D93" s="112" t="str">
        <f t="shared" si="13"/>
        <v>Retail</v>
      </c>
      <c r="E93" s="128">
        <f t="shared" si="14"/>
        <v>0</v>
      </c>
      <c r="F93" s="125">
        <f t="shared" si="14"/>
        <v>0</v>
      </c>
      <c r="G93" s="125">
        <f t="shared" si="14"/>
        <v>0</v>
      </c>
      <c r="H93" s="125">
        <f t="shared" si="14"/>
        <v>2200</v>
      </c>
      <c r="I93" s="125">
        <f t="shared" si="14"/>
        <v>2200</v>
      </c>
      <c r="J93" s="125">
        <f t="shared" si="14"/>
        <v>2200</v>
      </c>
      <c r="K93" s="125">
        <f t="shared" si="14"/>
        <v>2300</v>
      </c>
      <c r="L93" s="125">
        <f t="shared" si="14"/>
        <v>0</v>
      </c>
    </row>
    <row r="94" spans="2:12" x14ac:dyDescent="0.5">
      <c r="B94" s="112" t="str">
        <f t="shared" si="13"/>
        <v>PQR</v>
      </c>
      <c r="C94" s="112" t="str">
        <f t="shared" si="13"/>
        <v>PQR Chemicals</v>
      </c>
      <c r="D94" s="112" t="str">
        <f t="shared" si="13"/>
        <v>Chemicals</v>
      </c>
      <c r="E94" s="128">
        <f t="shared" si="14"/>
        <v>0</v>
      </c>
      <c r="F94" s="125">
        <f t="shared" si="14"/>
        <v>0</v>
      </c>
      <c r="G94" s="125">
        <f t="shared" si="14"/>
        <v>0</v>
      </c>
      <c r="H94" s="125">
        <f t="shared" si="14"/>
        <v>0</v>
      </c>
      <c r="I94" s="125">
        <f t="shared" si="14"/>
        <v>6000</v>
      </c>
      <c r="J94" s="125">
        <f t="shared" si="14"/>
        <v>6600</v>
      </c>
      <c r="K94" s="125">
        <f t="shared" si="14"/>
        <v>7800</v>
      </c>
      <c r="L94" s="125">
        <f t="shared" si="14"/>
        <v>0</v>
      </c>
    </row>
    <row r="95" spans="2:12" ht="14.7" thickBot="1" x14ac:dyDescent="0.55000000000000004">
      <c r="B95" s="201" t="s">
        <v>146</v>
      </c>
      <c r="C95" s="199"/>
      <c r="D95" s="202"/>
      <c r="E95" s="203">
        <f t="shared" ref="E95:L95" si="15">SUM(E80:E94)</f>
        <v>82600</v>
      </c>
      <c r="F95" s="203">
        <f t="shared" si="15"/>
        <v>82200</v>
      </c>
      <c r="G95" s="203">
        <f t="shared" si="15"/>
        <v>84050</v>
      </c>
      <c r="H95" s="203">
        <f t="shared" si="15"/>
        <v>85000</v>
      </c>
      <c r="I95" s="203">
        <f t="shared" si="15"/>
        <v>85450</v>
      </c>
      <c r="J95" s="203">
        <f t="shared" si="15"/>
        <v>87300</v>
      </c>
      <c r="K95" s="203">
        <f t="shared" si="15"/>
        <v>92275</v>
      </c>
      <c r="L95" s="203">
        <f t="shared" si="15"/>
        <v>0</v>
      </c>
    </row>
    <row r="96" spans="2:12" ht="8.4499999999999993" customHeight="1" thickTop="1" x14ac:dyDescent="0.5">
      <c r="C96" s="112"/>
      <c r="D96" s="123"/>
    </row>
    <row r="97" spans="12:12" x14ac:dyDescent="0.5">
      <c r="L97" t="s">
        <v>251</v>
      </c>
    </row>
    <row r="116" spans="13:13" x14ac:dyDescent="0.5">
      <c r="M116" s="158"/>
    </row>
    <row r="133" spans="2:12" x14ac:dyDescent="0.5">
      <c r="B133" s="3"/>
      <c r="C133" s="112"/>
      <c r="D133" s="112"/>
      <c r="E133" s="131"/>
      <c r="F133" s="131"/>
      <c r="G133" s="131"/>
      <c r="H133" s="131"/>
      <c r="I133" s="131"/>
      <c r="J133" s="131"/>
      <c r="K133" s="131"/>
      <c r="L133" s="131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4659-966E-42F7-A74F-B3923E2CA91C}">
  <dimension ref="B1:L42"/>
  <sheetViews>
    <sheetView showGridLines="0" workbookViewId="0">
      <selection activeCell="O24" sqref="O24"/>
    </sheetView>
  </sheetViews>
  <sheetFormatPr defaultRowHeight="14.35" x14ac:dyDescent="0.5"/>
  <cols>
    <col min="1" max="1" width="5" customWidth="1"/>
    <col min="2" max="2" width="7.46875" customWidth="1"/>
    <col min="3" max="3" width="19.29296875" customWidth="1"/>
  </cols>
  <sheetData>
    <row r="1" spans="2:12" ht="23.35" x14ac:dyDescent="0.8">
      <c r="B1" s="133" t="s">
        <v>168</v>
      </c>
    </row>
    <row r="2" spans="2:12" ht="8.6999999999999993" customHeight="1" x14ac:dyDescent="0.5"/>
    <row r="3" spans="2:12" ht="18.350000000000001" customHeight="1" x14ac:dyDescent="0.55000000000000004">
      <c r="B3" s="36" t="s">
        <v>99</v>
      </c>
      <c r="C3" s="110"/>
      <c r="D3" s="111"/>
      <c r="E3" s="109"/>
      <c r="F3" s="109"/>
      <c r="G3" s="109"/>
      <c r="H3" s="109"/>
      <c r="I3" s="109"/>
      <c r="J3" s="109"/>
      <c r="K3" s="109"/>
      <c r="L3" s="109"/>
    </row>
    <row r="4" spans="2:12" ht="10.7" customHeight="1" x14ac:dyDescent="0.5">
      <c r="C4" s="112"/>
      <c r="D4" s="113"/>
    </row>
    <row r="5" spans="2:12" x14ac:dyDescent="0.5">
      <c r="B5" s="120" t="s">
        <v>147</v>
      </c>
      <c r="C5" s="112"/>
      <c r="E5" s="114">
        <v>0</v>
      </c>
      <c r="F5" s="114">
        <v>1</v>
      </c>
      <c r="G5" s="114">
        <v>2</v>
      </c>
      <c r="H5" s="114">
        <v>3</v>
      </c>
      <c r="I5" s="114">
        <v>4</v>
      </c>
      <c r="J5" s="114">
        <v>5</v>
      </c>
      <c r="K5" s="114">
        <v>6</v>
      </c>
      <c r="L5" s="114">
        <v>7</v>
      </c>
    </row>
    <row r="6" spans="2:12" ht="26.35" thickBot="1" x14ac:dyDescent="0.55000000000000004">
      <c r="B6" s="156" t="s">
        <v>101</v>
      </c>
      <c r="C6" s="156" t="s">
        <v>102</v>
      </c>
      <c r="D6" s="156" t="s">
        <v>103</v>
      </c>
      <c r="E6" s="157" t="str">
        <f>+'Fig 1.11'!E79</f>
        <v>June 1
20x1</v>
      </c>
      <c r="F6" s="157" t="str">
        <f>+'Fig 1.11'!F79</f>
        <v>July 1
20x1</v>
      </c>
      <c r="G6" s="157" t="str">
        <f>+'Fig 1.11'!G79</f>
        <v>Aug 1
20x1</v>
      </c>
      <c r="H6" s="157" t="str">
        <f>+'Fig 1.11'!H79</f>
        <v>Sep 1
20x1</v>
      </c>
      <c r="I6" s="157" t="str">
        <f>+'Fig 1.11'!I79</f>
        <v>Oct 1
20x1</v>
      </c>
      <c r="J6" s="157" t="str">
        <f>+'Fig 1.11'!J79</f>
        <v>Nov 1
20x1</v>
      </c>
      <c r="K6" s="157" t="str">
        <f>+'Fig 1.11'!K79</f>
        <v>Dec 1
20x1</v>
      </c>
      <c r="L6" s="157" t="str">
        <f>+'Fig 1.11'!L79</f>
        <v>Jan 2
20x2</v>
      </c>
    </row>
    <row r="7" spans="2:12" ht="14.7" thickTop="1" x14ac:dyDescent="0.5">
      <c r="B7" s="112" t="str">
        <f>+'Fig 1.11'!B80</f>
        <v>ABC</v>
      </c>
      <c r="C7" s="112" t="str">
        <f>+'Fig 1.11'!C80</f>
        <v>ABC Chem Inc</v>
      </c>
      <c r="D7" s="112" t="str">
        <f>+'Fig 1.11'!D80</f>
        <v>Chemicals</v>
      </c>
      <c r="E7" s="130"/>
      <c r="F7" s="130">
        <v>0.1</v>
      </c>
      <c r="G7" s="130"/>
      <c r="H7" s="130"/>
      <c r="I7" s="130"/>
      <c r="J7" s="130">
        <v>0.1</v>
      </c>
      <c r="K7" s="130"/>
      <c r="L7" s="130"/>
    </row>
    <row r="8" spans="2:12" x14ac:dyDescent="0.5">
      <c r="B8" s="112" t="str">
        <f>+'Fig 1.11'!B81</f>
        <v>BCD</v>
      </c>
      <c r="C8" s="112" t="str">
        <f>+'Fig 1.11'!C81</f>
        <v>BCD  Precision Inc</v>
      </c>
      <c r="D8" s="112" t="str">
        <f>+'Fig 1.11'!D81</f>
        <v>Industrial</v>
      </c>
      <c r="E8" s="130"/>
      <c r="F8" s="130">
        <v>0.15</v>
      </c>
      <c r="G8" s="130"/>
      <c r="H8" s="130"/>
      <c r="I8" s="130"/>
      <c r="J8" s="130">
        <v>0.15</v>
      </c>
      <c r="K8" s="130"/>
      <c r="L8" s="130"/>
    </row>
    <row r="9" spans="2:12" x14ac:dyDescent="0.5">
      <c r="B9" s="112" t="str">
        <f>+'Fig 1.11'!B82</f>
        <v>CDE</v>
      </c>
      <c r="C9" s="112" t="str">
        <f>+'Fig 1.11'!C82</f>
        <v>CDE Inc</v>
      </c>
      <c r="D9" s="112" t="str">
        <f>+'Fig 1.11'!D82</f>
        <v>Publishing</v>
      </c>
      <c r="E9" s="130"/>
      <c r="F9" s="130"/>
      <c r="G9" s="130"/>
      <c r="H9" s="130"/>
      <c r="I9" s="130"/>
      <c r="J9" s="130"/>
      <c r="K9" s="130"/>
      <c r="L9" s="130"/>
    </row>
    <row r="10" spans="2:12" x14ac:dyDescent="0.5">
      <c r="B10" s="112" t="str">
        <f>+'Fig 1.11'!B83</f>
        <v>DEF</v>
      </c>
      <c r="C10" s="112" t="str">
        <f>+'Fig 1.11'!C83</f>
        <v>DEF Inc</v>
      </c>
      <c r="D10" s="112" t="str">
        <f>+'Fig 1.11'!D83</f>
        <v>Hospitality</v>
      </c>
      <c r="E10" s="130"/>
      <c r="F10" s="130"/>
      <c r="G10" s="130">
        <v>0.3</v>
      </c>
      <c r="H10" s="130"/>
      <c r="I10" s="130"/>
      <c r="J10" s="130"/>
      <c r="K10" s="130"/>
      <c r="L10" s="130"/>
    </row>
    <row r="11" spans="2:12" x14ac:dyDescent="0.5">
      <c r="B11" s="112" t="str">
        <f>+'Fig 1.11'!B84</f>
        <v>EFG</v>
      </c>
      <c r="C11" s="112" t="str">
        <f>+'Fig 1.11'!C84</f>
        <v>Effective Inc</v>
      </c>
      <c r="D11" s="112" t="str">
        <f>+'Fig 1.11'!D84</f>
        <v>TV/Cable</v>
      </c>
      <c r="E11" s="130"/>
      <c r="F11" s="130"/>
      <c r="G11" s="130"/>
      <c r="H11" s="130">
        <v>0.3</v>
      </c>
      <c r="I11" s="130"/>
      <c r="J11" s="130"/>
      <c r="K11" s="130"/>
      <c r="L11" s="130"/>
    </row>
    <row r="12" spans="2:12" x14ac:dyDescent="0.5">
      <c r="B12" s="112" t="str">
        <f>+'Fig 1.11'!B85</f>
        <v>FGH</v>
      </c>
      <c r="C12" s="112" t="str">
        <f>+'Fig 1.11'!C85</f>
        <v>FGH Inc</v>
      </c>
      <c r="D12" s="112" t="str">
        <f>+'Fig 1.11'!D85</f>
        <v>Techonlogy</v>
      </c>
      <c r="E12" s="130"/>
      <c r="F12" s="130"/>
      <c r="G12" s="130"/>
      <c r="H12" s="130"/>
      <c r="I12" s="130"/>
      <c r="J12" s="130"/>
      <c r="K12" s="130"/>
      <c r="L12" s="130"/>
    </row>
    <row r="13" spans="2:12" x14ac:dyDescent="0.5">
      <c r="B13" s="112" t="str">
        <f>+'Fig 1.11'!B86</f>
        <v>GHI</v>
      </c>
      <c r="C13" s="112" t="str">
        <f>+'Fig 1.11'!C86</f>
        <v>General HI</v>
      </c>
      <c r="D13" s="112" t="str">
        <f>+'Fig 1.11'!D86</f>
        <v>Service</v>
      </c>
      <c r="E13" s="130"/>
      <c r="F13" s="130"/>
      <c r="G13" s="130"/>
      <c r="H13" s="130">
        <v>0.15</v>
      </c>
      <c r="I13" s="130"/>
      <c r="J13" s="130"/>
      <c r="K13" s="130"/>
      <c r="L13" s="130"/>
    </row>
    <row r="14" spans="2:12" x14ac:dyDescent="0.5">
      <c r="B14" s="112" t="str">
        <f>+'Fig 1.11'!B87</f>
        <v>HIK</v>
      </c>
      <c r="C14" s="112" t="str">
        <f>+'Fig 1.11'!C87</f>
        <v>Hicks Kental Inc</v>
      </c>
      <c r="D14" s="112" t="str">
        <f>+'Fig 1.11'!D87</f>
        <v>Retail</v>
      </c>
      <c r="E14" s="130"/>
      <c r="F14" s="130"/>
      <c r="G14" s="130"/>
      <c r="H14" s="130"/>
      <c r="I14" s="130">
        <v>0.2</v>
      </c>
      <c r="J14" s="130"/>
      <c r="K14" s="130"/>
      <c r="L14" s="130"/>
    </row>
    <row r="15" spans="2:12" x14ac:dyDescent="0.5">
      <c r="B15" s="112" t="str">
        <f>+'Fig 1.11'!B88</f>
        <v>IKL</v>
      </c>
      <c r="C15" s="112" t="str">
        <f>+'Fig 1.11'!C88</f>
        <v>IKL Inc</v>
      </c>
      <c r="D15" s="112" t="str">
        <f>+'Fig 1.11'!D88</f>
        <v>Pharmaceutical</v>
      </c>
      <c r="E15" s="130"/>
      <c r="F15" s="130"/>
      <c r="G15" s="130"/>
      <c r="H15" s="130"/>
      <c r="I15" s="130">
        <v>0.15</v>
      </c>
      <c r="J15" s="130"/>
      <c r="K15" s="130"/>
      <c r="L15" s="130"/>
    </row>
    <row r="16" spans="2:12" x14ac:dyDescent="0.5">
      <c r="B16" s="112" t="str">
        <f>+'Fig 1.11'!B89</f>
        <v>KLM</v>
      </c>
      <c r="C16" s="112" t="str">
        <f>+'Fig 1.11'!C89</f>
        <v>KLM Health</v>
      </c>
      <c r="D16" s="112" t="str">
        <f>+'Fig 1.11'!D89</f>
        <v>Healthcare</v>
      </c>
      <c r="E16" s="130"/>
      <c r="F16" s="130"/>
      <c r="G16" s="130"/>
      <c r="H16" s="130"/>
      <c r="I16" s="130"/>
      <c r="J16" s="130">
        <v>0.15</v>
      </c>
      <c r="K16" s="130"/>
      <c r="L16" s="130"/>
    </row>
    <row r="17" spans="2:12" x14ac:dyDescent="0.5">
      <c r="B17" s="112" t="str">
        <f>+'Fig 1.11'!B90</f>
        <v>LMN</v>
      </c>
      <c r="C17" s="112" t="str">
        <f>+'Fig 1.11'!C90</f>
        <v>LMN Hotel &amp; Resorts</v>
      </c>
      <c r="D17" s="112" t="str">
        <f>+'Fig 1.11'!D90</f>
        <v>Hospitality</v>
      </c>
      <c r="E17" s="130"/>
      <c r="F17" s="130"/>
      <c r="G17" s="130"/>
      <c r="H17" s="130"/>
      <c r="I17" s="130"/>
      <c r="J17" s="130"/>
      <c r="K17" s="130"/>
      <c r="L17" s="130"/>
    </row>
    <row r="18" spans="2:12" x14ac:dyDescent="0.5">
      <c r="B18" s="112" t="str">
        <f>+'Fig 1.11'!B91</f>
        <v>MNO</v>
      </c>
      <c r="C18" s="112" t="str">
        <f>+'Fig 1.11'!C91</f>
        <v>MNO Cable Inc</v>
      </c>
      <c r="D18" s="112" t="str">
        <f>+'Fig 1.11'!D91</f>
        <v>TV/Cable</v>
      </c>
      <c r="E18" s="130"/>
      <c r="F18" s="130"/>
      <c r="G18" s="130"/>
      <c r="H18" s="130"/>
      <c r="I18" s="130"/>
      <c r="J18" s="130"/>
      <c r="K18" s="130"/>
      <c r="L18" s="130"/>
    </row>
    <row r="19" spans="2:12" x14ac:dyDescent="0.5">
      <c r="B19" s="112" t="str">
        <f>+'Fig 1.11'!B92</f>
        <v>NOP</v>
      </c>
      <c r="C19" s="112" t="str">
        <f>+'Fig 1.11'!C92</f>
        <v>Norton Optimum</v>
      </c>
      <c r="D19" s="112" t="str">
        <f>+'Fig 1.11'!D92</f>
        <v>Techonlogy</v>
      </c>
      <c r="E19" s="130"/>
      <c r="F19" s="130"/>
      <c r="G19" s="130"/>
      <c r="H19" s="130"/>
      <c r="I19" s="130"/>
      <c r="J19" s="130"/>
      <c r="K19" s="130"/>
      <c r="L19" s="130"/>
    </row>
    <row r="20" spans="2:12" x14ac:dyDescent="0.5">
      <c r="B20" s="112" t="str">
        <f>+'Fig 1.11'!B93</f>
        <v>OPQ</v>
      </c>
      <c r="C20" s="112" t="str">
        <f>+'Fig 1.11'!C93</f>
        <v>Odyssea PQ Inc</v>
      </c>
      <c r="D20" s="112" t="str">
        <f>+'Fig 1.11'!D93</f>
        <v>Retail</v>
      </c>
      <c r="E20" s="130"/>
      <c r="F20" s="130"/>
      <c r="G20" s="130"/>
      <c r="H20" s="130"/>
      <c r="I20" s="130"/>
      <c r="J20" s="130"/>
      <c r="K20" s="130"/>
      <c r="L20" s="130"/>
    </row>
    <row r="21" spans="2:12" x14ac:dyDescent="0.5">
      <c r="B21" s="112" t="str">
        <f>+'Fig 1.11'!B94</f>
        <v>PQR</v>
      </c>
      <c r="C21" s="112" t="str">
        <f>+'Fig 1.11'!C94</f>
        <v>PQR Chemicals</v>
      </c>
      <c r="D21" s="112" t="str">
        <f>+'Fig 1.11'!D94</f>
        <v>Chemicals</v>
      </c>
      <c r="E21" s="130"/>
      <c r="F21" s="130"/>
      <c r="G21" s="130"/>
      <c r="H21" s="130"/>
      <c r="I21" s="130"/>
      <c r="J21" s="130"/>
      <c r="K21" s="130"/>
      <c r="L21" s="130"/>
    </row>
    <row r="22" spans="2:12" x14ac:dyDescent="0.5">
      <c r="C22" s="112"/>
    </row>
    <row r="23" spans="2:12" x14ac:dyDescent="0.5">
      <c r="B23" s="120" t="s">
        <v>186</v>
      </c>
      <c r="C23" s="112"/>
      <c r="E23" s="114">
        <v>0</v>
      </c>
      <c r="F23" s="114">
        <v>1</v>
      </c>
      <c r="G23" s="114">
        <v>2</v>
      </c>
      <c r="H23" s="114">
        <v>3</v>
      </c>
      <c r="I23" s="114">
        <v>4</v>
      </c>
      <c r="J23" s="114">
        <v>5</v>
      </c>
      <c r="K23" s="114">
        <v>6</v>
      </c>
      <c r="L23" s="114">
        <v>7</v>
      </c>
    </row>
    <row r="24" spans="2:12" ht="26.35" thickBot="1" x14ac:dyDescent="0.55000000000000004">
      <c r="B24" s="156" t="s">
        <v>101</v>
      </c>
      <c r="C24" s="156" t="s">
        <v>102</v>
      </c>
      <c r="D24" s="156" t="s">
        <v>103</v>
      </c>
      <c r="E24" s="157" t="str">
        <f t="shared" ref="E24:L24" si="0">+E6</f>
        <v>June 1
20x1</v>
      </c>
      <c r="F24" s="157" t="str">
        <f t="shared" si="0"/>
        <v>July 1
20x1</v>
      </c>
      <c r="G24" s="157" t="str">
        <f t="shared" si="0"/>
        <v>Aug 1
20x1</v>
      </c>
      <c r="H24" s="157" t="str">
        <f t="shared" si="0"/>
        <v>Sep 1
20x1</v>
      </c>
      <c r="I24" s="157" t="str">
        <f t="shared" si="0"/>
        <v>Oct 1
20x1</v>
      </c>
      <c r="J24" s="157" t="str">
        <f t="shared" si="0"/>
        <v>Nov 1
20x1</v>
      </c>
      <c r="K24" s="157" t="str">
        <f t="shared" si="0"/>
        <v>Dec 1
20x1</v>
      </c>
      <c r="L24" s="157" t="str">
        <f t="shared" si="0"/>
        <v>Jan 2
20x2</v>
      </c>
    </row>
    <row r="25" spans="2:12" ht="14.7" thickTop="1" x14ac:dyDescent="0.5">
      <c r="B25" s="112" t="str">
        <f t="shared" ref="B25:D39" si="1">+B7</f>
        <v>ABC</v>
      </c>
      <c r="C25" s="112" t="str">
        <f t="shared" si="1"/>
        <v>ABC Chem Inc</v>
      </c>
      <c r="D25" s="112" t="str">
        <f t="shared" si="1"/>
        <v>Chemicals</v>
      </c>
      <c r="E25" s="131"/>
      <c r="F25" s="125">
        <f>+F7*'Fig 1.11'!F25</f>
        <v>40</v>
      </c>
      <c r="G25" s="125">
        <f>+G7*'Fig 1.11'!G25</f>
        <v>0</v>
      </c>
      <c r="H25" s="125">
        <f>+H7*'Fig 1.11'!H25</f>
        <v>0</v>
      </c>
      <c r="I25" s="125">
        <f>+I7*'Fig 1.11'!I25</f>
        <v>0</v>
      </c>
      <c r="J25" s="125">
        <f>+J7*'Fig 1.11'!J25</f>
        <v>10</v>
      </c>
      <c r="K25" s="125">
        <f>+K7*'Fig 1.11'!K25</f>
        <v>0</v>
      </c>
      <c r="L25" s="125">
        <f>+L7*'Fig 1.11'!L25</f>
        <v>0</v>
      </c>
    </row>
    <row r="26" spans="2:12" x14ac:dyDescent="0.5">
      <c r="B26" s="112" t="str">
        <f t="shared" si="1"/>
        <v>BCD</v>
      </c>
      <c r="C26" s="112" t="str">
        <f t="shared" si="1"/>
        <v>BCD  Precision Inc</v>
      </c>
      <c r="D26" s="112" t="str">
        <f t="shared" si="1"/>
        <v>Industrial</v>
      </c>
      <c r="E26" s="131"/>
      <c r="F26" s="125">
        <f>+F8*'Fig 1.11'!F26</f>
        <v>52.5</v>
      </c>
      <c r="G26" s="125">
        <f>+G8*'Fig 1.11'!G26</f>
        <v>0</v>
      </c>
      <c r="H26" s="125">
        <f>+H8*'Fig 1.11'!H26</f>
        <v>0</v>
      </c>
      <c r="I26" s="125">
        <f>+I8*'Fig 1.11'!I26</f>
        <v>0</v>
      </c>
      <c r="J26" s="125">
        <f>+J8*'Fig 1.11'!J26</f>
        <v>7.5</v>
      </c>
      <c r="K26" s="125">
        <f>+K8*'Fig 1.11'!K26</f>
        <v>0</v>
      </c>
      <c r="L26" s="125">
        <f>+L8*'Fig 1.11'!L26</f>
        <v>0</v>
      </c>
    </row>
    <row r="27" spans="2:12" x14ac:dyDescent="0.5">
      <c r="B27" s="112" t="str">
        <f t="shared" si="1"/>
        <v>CDE</v>
      </c>
      <c r="C27" s="112" t="str">
        <f t="shared" si="1"/>
        <v>CDE Inc</v>
      </c>
      <c r="D27" s="112" t="str">
        <f t="shared" si="1"/>
        <v>Publishing</v>
      </c>
      <c r="E27" s="131"/>
      <c r="F27" s="125">
        <f>+F9*'Fig 1.11'!F27</f>
        <v>0</v>
      </c>
      <c r="G27" s="125">
        <f>+G9*'Fig 1.11'!G27</f>
        <v>0</v>
      </c>
      <c r="H27" s="125">
        <f>+H9*'Fig 1.11'!H27</f>
        <v>0</v>
      </c>
      <c r="I27" s="125">
        <f>+I9*'Fig 1.11'!I27</f>
        <v>0</v>
      </c>
      <c r="J27" s="125">
        <f>+J9*'Fig 1.11'!J27</f>
        <v>0</v>
      </c>
      <c r="K27" s="125">
        <f>+K9*'Fig 1.11'!K27</f>
        <v>0</v>
      </c>
      <c r="L27" s="125">
        <f>+L9*'Fig 1.11'!L27</f>
        <v>0</v>
      </c>
    </row>
    <row r="28" spans="2:12" x14ac:dyDescent="0.5">
      <c r="B28" s="112" t="str">
        <f t="shared" si="1"/>
        <v>DEF</v>
      </c>
      <c r="C28" s="112" t="str">
        <f t="shared" si="1"/>
        <v>DEF Inc</v>
      </c>
      <c r="D28" s="112" t="str">
        <f t="shared" si="1"/>
        <v>Hospitality</v>
      </c>
      <c r="E28" s="131"/>
      <c r="F28" s="125">
        <f>+F10*'Fig 1.11'!F28</f>
        <v>0</v>
      </c>
      <c r="G28" s="125">
        <f>+G10*'Fig 1.11'!G28</f>
        <v>90</v>
      </c>
      <c r="H28" s="125">
        <f>+H10*'Fig 1.11'!H28</f>
        <v>0</v>
      </c>
      <c r="I28" s="125">
        <f>+I10*'Fig 1.11'!I28</f>
        <v>0</v>
      </c>
      <c r="J28" s="125">
        <f>+J10*'Fig 1.11'!J28</f>
        <v>0</v>
      </c>
      <c r="K28" s="125">
        <f>+K10*'Fig 1.11'!K28</f>
        <v>0</v>
      </c>
      <c r="L28" s="125">
        <f>+L10*'Fig 1.11'!L28</f>
        <v>0</v>
      </c>
    </row>
    <row r="29" spans="2:12" x14ac:dyDescent="0.5">
      <c r="B29" s="112" t="str">
        <f t="shared" si="1"/>
        <v>EFG</v>
      </c>
      <c r="C29" s="112" t="str">
        <f t="shared" si="1"/>
        <v>Effective Inc</v>
      </c>
      <c r="D29" s="112" t="str">
        <f t="shared" si="1"/>
        <v>TV/Cable</v>
      </c>
      <c r="E29" s="131"/>
      <c r="F29" s="125">
        <f>+F11*'Fig 1.11'!F29</f>
        <v>0</v>
      </c>
      <c r="G29" s="125">
        <f>+G11*'Fig 1.11'!G29</f>
        <v>0</v>
      </c>
      <c r="H29" s="125">
        <f>+H11*'Fig 1.11'!H29</f>
        <v>60</v>
      </c>
      <c r="I29" s="125">
        <f>+I11*'Fig 1.11'!I29</f>
        <v>0</v>
      </c>
      <c r="J29" s="125">
        <f>+J11*'Fig 1.11'!J29</f>
        <v>0</v>
      </c>
      <c r="K29" s="125">
        <f>+K11*'Fig 1.11'!K29</f>
        <v>0</v>
      </c>
      <c r="L29" s="125">
        <f>+L11*'Fig 1.11'!L29</f>
        <v>0</v>
      </c>
    </row>
    <row r="30" spans="2:12" x14ac:dyDescent="0.5">
      <c r="B30" s="112" t="str">
        <f t="shared" si="1"/>
        <v>FGH</v>
      </c>
      <c r="C30" s="112" t="str">
        <f t="shared" si="1"/>
        <v>FGH Inc</v>
      </c>
      <c r="D30" s="112" t="str">
        <f t="shared" si="1"/>
        <v>Techonlogy</v>
      </c>
      <c r="E30" s="131"/>
      <c r="F30" s="125">
        <f>+F12*'Fig 1.11'!F30</f>
        <v>0</v>
      </c>
      <c r="G30" s="125">
        <f>+G12*'Fig 1.11'!G30</f>
        <v>0</v>
      </c>
      <c r="H30" s="125">
        <f>+H12*'Fig 1.11'!H30</f>
        <v>0</v>
      </c>
      <c r="I30" s="125">
        <f>+I12*'Fig 1.11'!I30</f>
        <v>0</v>
      </c>
      <c r="J30" s="125">
        <f>+J12*'Fig 1.11'!J30</f>
        <v>0</v>
      </c>
      <c r="K30" s="125">
        <f>+K12*'Fig 1.11'!K30</f>
        <v>0</v>
      </c>
      <c r="L30" s="125">
        <f>+L12*'Fig 1.11'!L30</f>
        <v>0</v>
      </c>
    </row>
    <row r="31" spans="2:12" x14ac:dyDescent="0.5">
      <c r="B31" s="112" t="str">
        <f t="shared" si="1"/>
        <v>GHI</v>
      </c>
      <c r="C31" s="112" t="str">
        <f t="shared" si="1"/>
        <v>General HI</v>
      </c>
      <c r="D31" s="112" t="str">
        <f t="shared" si="1"/>
        <v>Service</v>
      </c>
      <c r="E31" s="131"/>
      <c r="F31" s="125">
        <f>+F13*'Fig 1.11'!F31</f>
        <v>0</v>
      </c>
      <c r="G31" s="125">
        <f>+G13*'Fig 1.11'!G31</f>
        <v>0</v>
      </c>
      <c r="H31" s="125">
        <f>+H13*'Fig 1.11'!H31</f>
        <v>90</v>
      </c>
      <c r="I31" s="125">
        <f>+I13*'Fig 1.11'!I31</f>
        <v>0</v>
      </c>
      <c r="J31" s="125">
        <f>+J13*'Fig 1.11'!J31</f>
        <v>0</v>
      </c>
      <c r="K31" s="125">
        <f>+K13*'Fig 1.11'!K31</f>
        <v>0</v>
      </c>
      <c r="L31" s="125">
        <f>+L13*'Fig 1.11'!L31</f>
        <v>0</v>
      </c>
    </row>
    <row r="32" spans="2:12" x14ac:dyDescent="0.5">
      <c r="B32" s="112" t="str">
        <f t="shared" si="1"/>
        <v>HIK</v>
      </c>
      <c r="C32" s="112" t="str">
        <f t="shared" si="1"/>
        <v>Hicks Kental Inc</v>
      </c>
      <c r="D32" s="112" t="str">
        <f t="shared" si="1"/>
        <v>Retail</v>
      </c>
      <c r="E32" s="131"/>
      <c r="F32" s="125">
        <f>+F14*'Fig 1.11'!F32</f>
        <v>0</v>
      </c>
      <c r="G32" s="125">
        <f>+G14*'Fig 1.11'!G32</f>
        <v>0</v>
      </c>
      <c r="H32" s="125">
        <f>+H14*'Fig 1.11'!H32</f>
        <v>0</v>
      </c>
      <c r="I32" s="125">
        <f>+I14*'Fig 1.11'!I32</f>
        <v>200</v>
      </c>
      <c r="J32" s="125">
        <f>+J14*'Fig 1.11'!J32</f>
        <v>0</v>
      </c>
      <c r="K32" s="125">
        <f>+K14*'Fig 1.11'!K32</f>
        <v>0</v>
      </c>
      <c r="L32" s="125">
        <f>+L14*'Fig 1.11'!L32</f>
        <v>0</v>
      </c>
    </row>
    <row r="33" spans="2:12" x14ac:dyDescent="0.5">
      <c r="B33" s="112" t="str">
        <f t="shared" si="1"/>
        <v>IKL</v>
      </c>
      <c r="C33" s="112" t="str">
        <f t="shared" si="1"/>
        <v>IKL Inc</v>
      </c>
      <c r="D33" s="112" t="str">
        <f t="shared" si="1"/>
        <v>Pharmaceutical</v>
      </c>
      <c r="E33" s="131"/>
      <c r="F33" s="125">
        <f>+F15*'Fig 1.11'!F33</f>
        <v>0</v>
      </c>
      <c r="G33" s="125">
        <f>+G15*'Fig 1.11'!G33</f>
        <v>0</v>
      </c>
      <c r="H33" s="125">
        <f>+H15*'Fig 1.11'!H33</f>
        <v>0</v>
      </c>
      <c r="I33" s="125">
        <f>+I15*'Fig 1.11'!I33</f>
        <v>45</v>
      </c>
      <c r="J33" s="125">
        <f>+J15*'Fig 1.11'!J33</f>
        <v>0</v>
      </c>
      <c r="K33" s="125">
        <f>+K15*'Fig 1.11'!K33</f>
        <v>0</v>
      </c>
      <c r="L33" s="125">
        <f>+L15*'Fig 1.11'!L33</f>
        <v>0</v>
      </c>
    </row>
    <row r="34" spans="2:12" x14ac:dyDescent="0.5">
      <c r="B34" s="112" t="str">
        <f t="shared" si="1"/>
        <v>KLM</v>
      </c>
      <c r="C34" s="112" t="str">
        <f t="shared" si="1"/>
        <v>KLM Health</v>
      </c>
      <c r="D34" s="112" t="str">
        <f t="shared" si="1"/>
        <v>Healthcare</v>
      </c>
      <c r="E34" s="131"/>
      <c r="F34" s="125">
        <f>+F16*'Fig 1.11'!F34</f>
        <v>0</v>
      </c>
      <c r="G34" s="125">
        <f>+G16*'Fig 1.11'!G34</f>
        <v>0</v>
      </c>
      <c r="H34" s="125">
        <f>+H16*'Fig 1.11'!H34</f>
        <v>0</v>
      </c>
      <c r="I34" s="125">
        <f>+I16*'Fig 1.11'!I34</f>
        <v>0</v>
      </c>
      <c r="J34" s="125">
        <f>+J16*'Fig 1.11'!J34</f>
        <v>45</v>
      </c>
      <c r="K34" s="125">
        <f>+K16*'Fig 1.11'!K34</f>
        <v>0</v>
      </c>
      <c r="L34" s="125">
        <f>+L16*'Fig 1.11'!L34</f>
        <v>0</v>
      </c>
    </row>
    <row r="35" spans="2:12" x14ac:dyDescent="0.5">
      <c r="B35" s="112" t="str">
        <f t="shared" si="1"/>
        <v>LMN</v>
      </c>
      <c r="C35" s="112" t="str">
        <f t="shared" si="1"/>
        <v>LMN Hotel &amp; Resorts</v>
      </c>
      <c r="D35" s="112" t="str">
        <f t="shared" si="1"/>
        <v>Hospitality</v>
      </c>
      <c r="E35" s="131"/>
      <c r="F35" s="125">
        <f>+F17*'Fig 1.11'!F35</f>
        <v>0</v>
      </c>
      <c r="G35" s="125">
        <f>+G17*'Fig 1.11'!G35</f>
        <v>0</v>
      </c>
      <c r="H35" s="125">
        <f>+H17*'Fig 1.11'!H35</f>
        <v>0</v>
      </c>
      <c r="I35" s="125">
        <f>+I17*'Fig 1.11'!I35</f>
        <v>0</v>
      </c>
      <c r="J35" s="125">
        <f>+J17*'Fig 1.11'!J35</f>
        <v>0</v>
      </c>
      <c r="K35" s="125">
        <f>+K17*'Fig 1.11'!K35</f>
        <v>0</v>
      </c>
      <c r="L35" s="125">
        <f>+L17*'Fig 1.11'!L35</f>
        <v>0</v>
      </c>
    </row>
    <row r="36" spans="2:12" x14ac:dyDescent="0.5">
      <c r="B36" s="112" t="str">
        <f t="shared" si="1"/>
        <v>MNO</v>
      </c>
      <c r="C36" s="112" t="str">
        <f t="shared" si="1"/>
        <v>MNO Cable Inc</v>
      </c>
      <c r="D36" s="112" t="str">
        <f t="shared" si="1"/>
        <v>TV/Cable</v>
      </c>
      <c r="E36" s="131"/>
      <c r="F36" s="125">
        <f>+F18*'Fig 1.11'!F36</f>
        <v>0</v>
      </c>
      <c r="G36" s="125">
        <f>+G18*'Fig 1.11'!G36</f>
        <v>0</v>
      </c>
      <c r="H36" s="125">
        <f>+H18*'Fig 1.11'!H36</f>
        <v>0</v>
      </c>
      <c r="I36" s="125">
        <f>+I18*'Fig 1.11'!I36</f>
        <v>0</v>
      </c>
      <c r="J36" s="125">
        <f>+J18*'Fig 1.11'!J36</f>
        <v>0</v>
      </c>
      <c r="K36" s="125">
        <f>+K18*'Fig 1.11'!K36</f>
        <v>0</v>
      </c>
      <c r="L36" s="125">
        <f>+L18*'Fig 1.11'!L36</f>
        <v>0</v>
      </c>
    </row>
    <row r="37" spans="2:12" x14ac:dyDescent="0.5">
      <c r="B37" s="112" t="str">
        <f t="shared" si="1"/>
        <v>NOP</v>
      </c>
      <c r="C37" s="112" t="str">
        <f t="shared" si="1"/>
        <v>Norton Optimum</v>
      </c>
      <c r="D37" s="112" t="str">
        <f t="shared" si="1"/>
        <v>Techonlogy</v>
      </c>
      <c r="E37" s="131"/>
      <c r="F37" s="125">
        <f>+F19*'Fig 1.11'!F37</f>
        <v>0</v>
      </c>
      <c r="G37" s="125">
        <f>+G19*'Fig 1.11'!G37</f>
        <v>0</v>
      </c>
      <c r="H37" s="125">
        <f>+H19*'Fig 1.11'!H37</f>
        <v>0</v>
      </c>
      <c r="I37" s="125">
        <f>+I19*'Fig 1.11'!I37</f>
        <v>0</v>
      </c>
      <c r="J37" s="125">
        <f>+J19*'Fig 1.11'!J37</f>
        <v>0</v>
      </c>
      <c r="K37" s="125">
        <f>+K19*'Fig 1.11'!K37</f>
        <v>0</v>
      </c>
      <c r="L37" s="125">
        <f>+L19*'Fig 1.11'!L37</f>
        <v>0</v>
      </c>
    </row>
    <row r="38" spans="2:12" x14ac:dyDescent="0.5">
      <c r="B38" s="112" t="str">
        <f t="shared" si="1"/>
        <v>OPQ</v>
      </c>
      <c r="C38" s="112" t="str">
        <f t="shared" si="1"/>
        <v>Odyssea PQ Inc</v>
      </c>
      <c r="D38" s="112" t="str">
        <f t="shared" si="1"/>
        <v>Retail</v>
      </c>
      <c r="E38" s="131"/>
      <c r="F38" s="125">
        <f>+F20*'Fig 1.11'!F38</f>
        <v>0</v>
      </c>
      <c r="G38" s="125">
        <f>+G20*'Fig 1.11'!G38</f>
        <v>0</v>
      </c>
      <c r="H38" s="125">
        <f>+H20*'Fig 1.11'!H38</f>
        <v>0</v>
      </c>
      <c r="I38" s="125">
        <f>+I20*'Fig 1.11'!I38</f>
        <v>0</v>
      </c>
      <c r="J38" s="125">
        <f>+J20*'Fig 1.11'!J38</f>
        <v>0</v>
      </c>
      <c r="K38" s="125">
        <f>+K20*'Fig 1.11'!K38</f>
        <v>0</v>
      </c>
      <c r="L38" s="125">
        <f>+L20*'Fig 1.11'!L38</f>
        <v>0</v>
      </c>
    </row>
    <row r="39" spans="2:12" x14ac:dyDescent="0.5">
      <c r="B39" s="112" t="str">
        <f t="shared" si="1"/>
        <v>PQR</v>
      </c>
      <c r="C39" s="112" t="str">
        <f t="shared" si="1"/>
        <v>PQR Chemicals</v>
      </c>
      <c r="D39" s="112" t="str">
        <f t="shared" si="1"/>
        <v>Chemicals</v>
      </c>
      <c r="E39" s="131"/>
      <c r="F39" s="125">
        <f>+F21*'Fig 1.11'!F39</f>
        <v>0</v>
      </c>
      <c r="G39" s="125">
        <f>+G21*'Fig 1.11'!G39</f>
        <v>0</v>
      </c>
      <c r="H39" s="125">
        <f>+H21*'Fig 1.11'!H39</f>
        <v>0</v>
      </c>
      <c r="I39" s="125">
        <f>+I21*'Fig 1.11'!I39</f>
        <v>0</v>
      </c>
      <c r="J39" s="125">
        <f>+J21*'Fig 1.11'!J39</f>
        <v>0</v>
      </c>
      <c r="K39" s="125">
        <f>+K21*'Fig 1.11'!K39</f>
        <v>0</v>
      </c>
      <c r="L39" s="125">
        <f>+L21*'Fig 1.11'!L39</f>
        <v>0</v>
      </c>
    </row>
    <row r="40" spans="2:12" ht="14.7" thickBot="1" x14ac:dyDescent="0.55000000000000004">
      <c r="B40" s="3"/>
      <c r="C40" s="112"/>
      <c r="D40" s="126" t="s">
        <v>148</v>
      </c>
      <c r="E40" s="132"/>
      <c r="F40" s="127">
        <f t="shared" ref="F40:L40" si="2">SUM(F25:F39)</f>
        <v>92.5</v>
      </c>
      <c r="G40" s="127">
        <f t="shared" si="2"/>
        <v>90</v>
      </c>
      <c r="H40" s="127">
        <f t="shared" si="2"/>
        <v>150</v>
      </c>
      <c r="I40" s="127">
        <f t="shared" si="2"/>
        <v>245</v>
      </c>
      <c r="J40" s="127">
        <f t="shared" si="2"/>
        <v>62.5</v>
      </c>
      <c r="K40" s="127">
        <f t="shared" si="2"/>
        <v>0</v>
      </c>
      <c r="L40" s="127">
        <f t="shared" si="2"/>
        <v>0</v>
      </c>
    </row>
    <row r="41" spans="2:12" ht="8" customHeight="1" thickTop="1" x14ac:dyDescent="0.5"/>
    <row r="42" spans="2:12" x14ac:dyDescent="0.5">
      <c r="L42" t="s">
        <v>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E24E-29DE-499C-B06E-CC3EF126787F}">
  <dimension ref="A1:K54"/>
  <sheetViews>
    <sheetView showGridLines="0" workbookViewId="0">
      <selection activeCell="O17" sqref="O17"/>
    </sheetView>
  </sheetViews>
  <sheetFormatPr defaultRowHeight="14.35" x14ac:dyDescent="0.5"/>
  <cols>
    <col min="1" max="1" width="13.41015625" customWidth="1"/>
    <col min="2" max="2" width="17.703125" customWidth="1"/>
    <col min="3" max="3" width="10.41015625" customWidth="1"/>
    <col min="4" max="11" width="10.87890625" customWidth="1"/>
    <col min="12" max="12" width="10" customWidth="1"/>
    <col min="255" max="255" width="13.41015625" customWidth="1"/>
    <col min="256" max="256" width="17.703125" customWidth="1"/>
    <col min="257" max="257" width="10.41015625" customWidth="1"/>
    <col min="258" max="265" width="11.8203125" customWidth="1"/>
    <col min="266" max="266" width="10.8203125" customWidth="1"/>
    <col min="267" max="267" width="9.76171875" customWidth="1"/>
    <col min="268" max="268" width="10" customWidth="1"/>
    <col min="511" max="511" width="13.41015625" customWidth="1"/>
    <col min="512" max="512" width="17.703125" customWidth="1"/>
    <col min="513" max="513" width="10.41015625" customWidth="1"/>
    <col min="514" max="521" width="11.8203125" customWidth="1"/>
    <col min="522" max="522" width="10.8203125" customWidth="1"/>
    <col min="523" max="523" width="9.76171875" customWidth="1"/>
    <col min="524" max="524" width="10" customWidth="1"/>
    <col min="767" max="767" width="13.41015625" customWidth="1"/>
    <col min="768" max="768" width="17.703125" customWidth="1"/>
    <col min="769" max="769" width="10.41015625" customWidth="1"/>
    <col min="770" max="777" width="11.8203125" customWidth="1"/>
    <col min="778" max="778" width="10.8203125" customWidth="1"/>
    <col min="779" max="779" width="9.76171875" customWidth="1"/>
    <col min="780" max="780" width="10" customWidth="1"/>
    <col min="1023" max="1023" width="13.41015625" customWidth="1"/>
    <col min="1024" max="1024" width="17.703125" customWidth="1"/>
    <col min="1025" max="1025" width="10.41015625" customWidth="1"/>
    <col min="1026" max="1033" width="11.8203125" customWidth="1"/>
    <col min="1034" max="1034" width="10.8203125" customWidth="1"/>
    <col min="1035" max="1035" width="9.76171875" customWidth="1"/>
    <col min="1036" max="1036" width="10" customWidth="1"/>
    <col min="1279" max="1279" width="13.41015625" customWidth="1"/>
    <col min="1280" max="1280" width="17.703125" customWidth="1"/>
    <col min="1281" max="1281" width="10.41015625" customWidth="1"/>
    <col min="1282" max="1289" width="11.8203125" customWidth="1"/>
    <col min="1290" max="1290" width="10.8203125" customWidth="1"/>
    <col min="1291" max="1291" width="9.76171875" customWidth="1"/>
    <col min="1292" max="1292" width="10" customWidth="1"/>
    <col min="1535" max="1535" width="13.41015625" customWidth="1"/>
    <col min="1536" max="1536" width="17.703125" customWidth="1"/>
    <col min="1537" max="1537" width="10.41015625" customWidth="1"/>
    <col min="1538" max="1545" width="11.8203125" customWidth="1"/>
    <col min="1546" max="1546" width="10.8203125" customWidth="1"/>
    <col min="1547" max="1547" width="9.76171875" customWidth="1"/>
    <col min="1548" max="1548" width="10" customWidth="1"/>
    <col min="1791" max="1791" width="13.41015625" customWidth="1"/>
    <col min="1792" max="1792" width="17.703125" customWidth="1"/>
    <col min="1793" max="1793" width="10.41015625" customWidth="1"/>
    <col min="1794" max="1801" width="11.8203125" customWidth="1"/>
    <col min="1802" max="1802" width="10.8203125" customWidth="1"/>
    <col min="1803" max="1803" width="9.76171875" customWidth="1"/>
    <col min="1804" max="1804" width="10" customWidth="1"/>
    <col min="2047" max="2047" width="13.41015625" customWidth="1"/>
    <col min="2048" max="2048" width="17.703125" customWidth="1"/>
    <col min="2049" max="2049" width="10.41015625" customWidth="1"/>
    <col min="2050" max="2057" width="11.8203125" customWidth="1"/>
    <col min="2058" max="2058" width="10.8203125" customWidth="1"/>
    <col min="2059" max="2059" width="9.76171875" customWidth="1"/>
    <col min="2060" max="2060" width="10" customWidth="1"/>
    <col min="2303" max="2303" width="13.41015625" customWidth="1"/>
    <col min="2304" max="2304" width="17.703125" customWidth="1"/>
    <col min="2305" max="2305" width="10.41015625" customWidth="1"/>
    <col min="2306" max="2313" width="11.8203125" customWidth="1"/>
    <col min="2314" max="2314" width="10.8203125" customWidth="1"/>
    <col min="2315" max="2315" width="9.76171875" customWidth="1"/>
    <col min="2316" max="2316" width="10" customWidth="1"/>
    <col min="2559" max="2559" width="13.41015625" customWidth="1"/>
    <col min="2560" max="2560" width="17.703125" customWidth="1"/>
    <col min="2561" max="2561" width="10.41015625" customWidth="1"/>
    <col min="2562" max="2569" width="11.8203125" customWidth="1"/>
    <col min="2570" max="2570" width="10.8203125" customWidth="1"/>
    <col min="2571" max="2571" width="9.76171875" customWidth="1"/>
    <col min="2572" max="2572" width="10" customWidth="1"/>
    <col min="2815" max="2815" width="13.41015625" customWidth="1"/>
    <col min="2816" max="2816" width="17.703125" customWidth="1"/>
    <col min="2817" max="2817" width="10.41015625" customWidth="1"/>
    <col min="2818" max="2825" width="11.8203125" customWidth="1"/>
    <col min="2826" max="2826" width="10.8203125" customWidth="1"/>
    <col min="2827" max="2827" width="9.76171875" customWidth="1"/>
    <col min="2828" max="2828" width="10" customWidth="1"/>
    <col min="3071" max="3071" width="13.41015625" customWidth="1"/>
    <col min="3072" max="3072" width="17.703125" customWidth="1"/>
    <col min="3073" max="3073" width="10.41015625" customWidth="1"/>
    <col min="3074" max="3081" width="11.8203125" customWidth="1"/>
    <col min="3082" max="3082" width="10.8203125" customWidth="1"/>
    <col min="3083" max="3083" width="9.76171875" customWidth="1"/>
    <col min="3084" max="3084" width="10" customWidth="1"/>
    <col min="3327" max="3327" width="13.41015625" customWidth="1"/>
    <col min="3328" max="3328" width="17.703125" customWidth="1"/>
    <col min="3329" max="3329" width="10.41015625" customWidth="1"/>
    <col min="3330" max="3337" width="11.8203125" customWidth="1"/>
    <col min="3338" max="3338" width="10.8203125" customWidth="1"/>
    <col min="3339" max="3339" width="9.76171875" customWidth="1"/>
    <col min="3340" max="3340" width="10" customWidth="1"/>
    <col min="3583" max="3583" width="13.41015625" customWidth="1"/>
    <col min="3584" max="3584" width="17.703125" customWidth="1"/>
    <col min="3585" max="3585" width="10.41015625" customWidth="1"/>
    <col min="3586" max="3593" width="11.8203125" customWidth="1"/>
    <col min="3594" max="3594" width="10.8203125" customWidth="1"/>
    <col min="3595" max="3595" width="9.76171875" customWidth="1"/>
    <col min="3596" max="3596" width="10" customWidth="1"/>
    <col min="3839" max="3839" width="13.41015625" customWidth="1"/>
    <col min="3840" max="3840" width="17.703125" customWidth="1"/>
    <col min="3841" max="3841" width="10.41015625" customWidth="1"/>
    <col min="3842" max="3849" width="11.8203125" customWidth="1"/>
    <col min="3850" max="3850" width="10.8203125" customWidth="1"/>
    <col min="3851" max="3851" width="9.76171875" customWidth="1"/>
    <col min="3852" max="3852" width="10" customWidth="1"/>
    <col min="4095" max="4095" width="13.41015625" customWidth="1"/>
    <col min="4096" max="4096" width="17.703125" customWidth="1"/>
    <col min="4097" max="4097" width="10.41015625" customWidth="1"/>
    <col min="4098" max="4105" width="11.8203125" customWidth="1"/>
    <col min="4106" max="4106" width="10.8203125" customWidth="1"/>
    <col min="4107" max="4107" width="9.76171875" customWidth="1"/>
    <col min="4108" max="4108" width="10" customWidth="1"/>
    <col min="4351" max="4351" width="13.41015625" customWidth="1"/>
    <col min="4352" max="4352" width="17.703125" customWidth="1"/>
    <col min="4353" max="4353" width="10.41015625" customWidth="1"/>
    <col min="4354" max="4361" width="11.8203125" customWidth="1"/>
    <col min="4362" max="4362" width="10.8203125" customWidth="1"/>
    <col min="4363" max="4363" width="9.76171875" customWidth="1"/>
    <col min="4364" max="4364" width="10" customWidth="1"/>
    <col min="4607" max="4607" width="13.41015625" customWidth="1"/>
    <col min="4608" max="4608" width="17.703125" customWidth="1"/>
    <col min="4609" max="4609" width="10.41015625" customWidth="1"/>
    <col min="4610" max="4617" width="11.8203125" customWidth="1"/>
    <col min="4618" max="4618" width="10.8203125" customWidth="1"/>
    <col min="4619" max="4619" width="9.76171875" customWidth="1"/>
    <col min="4620" max="4620" width="10" customWidth="1"/>
    <col min="4863" max="4863" width="13.41015625" customWidth="1"/>
    <col min="4864" max="4864" width="17.703125" customWidth="1"/>
    <col min="4865" max="4865" width="10.41015625" customWidth="1"/>
    <col min="4866" max="4873" width="11.8203125" customWidth="1"/>
    <col min="4874" max="4874" width="10.8203125" customWidth="1"/>
    <col min="4875" max="4875" width="9.76171875" customWidth="1"/>
    <col min="4876" max="4876" width="10" customWidth="1"/>
    <col min="5119" max="5119" width="13.41015625" customWidth="1"/>
    <col min="5120" max="5120" width="17.703125" customWidth="1"/>
    <col min="5121" max="5121" width="10.41015625" customWidth="1"/>
    <col min="5122" max="5129" width="11.8203125" customWidth="1"/>
    <col min="5130" max="5130" width="10.8203125" customWidth="1"/>
    <col min="5131" max="5131" width="9.76171875" customWidth="1"/>
    <col min="5132" max="5132" width="10" customWidth="1"/>
    <col min="5375" max="5375" width="13.41015625" customWidth="1"/>
    <col min="5376" max="5376" width="17.703125" customWidth="1"/>
    <col min="5377" max="5377" width="10.41015625" customWidth="1"/>
    <col min="5378" max="5385" width="11.8203125" customWidth="1"/>
    <col min="5386" max="5386" width="10.8203125" customWidth="1"/>
    <col min="5387" max="5387" width="9.76171875" customWidth="1"/>
    <col min="5388" max="5388" width="10" customWidth="1"/>
    <col min="5631" max="5631" width="13.41015625" customWidth="1"/>
    <col min="5632" max="5632" width="17.703125" customWidth="1"/>
    <col min="5633" max="5633" width="10.41015625" customWidth="1"/>
    <col min="5634" max="5641" width="11.8203125" customWidth="1"/>
    <col min="5642" max="5642" width="10.8203125" customWidth="1"/>
    <col min="5643" max="5643" width="9.76171875" customWidth="1"/>
    <col min="5644" max="5644" width="10" customWidth="1"/>
    <col min="5887" max="5887" width="13.41015625" customWidth="1"/>
    <col min="5888" max="5888" width="17.703125" customWidth="1"/>
    <col min="5889" max="5889" width="10.41015625" customWidth="1"/>
    <col min="5890" max="5897" width="11.8203125" customWidth="1"/>
    <col min="5898" max="5898" width="10.8203125" customWidth="1"/>
    <col min="5899" max="5899" width="9.76171875" customWidth="1"/>
    <col min="5900" max="5900" width="10" customWidth="1"/>
    <col min="6143" max="6143" width="13.41015625" customWidth="1"/>
    <col min="6144" max="6144" width="17.703125" customWidth="1"/>
    <col min="6145" max="6145" width="10.41015625" customWidth="1"/>
    <col min="6146" max="6153" width="11.8203125" customWidth="1"/>
    <col min="6154" max="6154" width="10.8203125" customWidth="1"/>
    <col min="6155" max="6155" width="9.76171875" customWidth="1"/>
    <col min="6156" max="6156" width="10" customWidth="1"/>
    <col min="6399" max="6399" width="13.41015625" customWidth="1"/>
    <col min="6400" max="6400" width="17.703125" customWidth="1"/>
    <col min="6401" max="6401" width="10.41015625" customWidth="1"/>
    <col min="6402" max="6409" width="11.8203125" customWidth="1"/>
    <col min="6410" max="6410" width="10.8203125" customWidth="1"/>
    <col min="6411" max="6411" width="9.76171875" customWidth="1"/>
    <col min="6412" max="6412" width="10" customWidth="1"/>
    <col min="6655" max="6655" width="13.41015625" customWidth="1"/>
    <col min="6656" max="6656" width="17.703125" customWidth="1"/>
    <col min="6657" max="6657" width="10.41015625" customWidth="1"/>
    <col min="6658" max="6665" width="11.8203125" customWidth="1"/>
    <col min="6666" max="6666" width="10.8203125" customWidth="1"/>
    <col min="6667" max="6667" width="9.76171875" customWidth="1"/>
    <col min="6668" max="6668" width="10" customWidth="1"/>
    <col min="6911" max="6911" width="13.41015625" customWidth="1"/>
    <col min="6912" max="6912" width="17.703125" customWidth="1"/>
    <col min="6913" max="6913" width="10.41015625" customWidth="1"/>
    <col min="6914" max="6921" width="11.8203125" customWidth="1"/>
    <col min="6922" max="6922" width="10.8203125" customWidth="1"/>
    <col min="6923" max="6923" width="9.76171875" customWidth="1"/>
    <col min="6924" max="6924" width="10" customWidth="1"/>
    <col min="7167" max="7167" width="13.41015625" customWidth="1"/>
    <col min="7168" max="7168" width="17.703125" customWidth="1"/>
    <col min="7169" max="7169" width="10.41015625" customWidth="1"/>
    <col min="7170" max="7177" width="11.8203125" customWidth="1"/>
    <col min="7178" max="7178" width="10.8203125" customWidth="1"/>
    <col min="7179" max="7179" width="9.76171875" customWidth="1"/>
    <col min="7180" max="7180" width="10" customWidth="1"/>
    <col min="7423" max="7423" width="13.41015625" customWidth="1"/>
    <col min="7424" max="7424" width="17.703125" customWidth="1"/>
    <col min="7425" max="7425" width="10.41015625" customWidth="1"/>
    <col min="7426" max="7433" width="11.8203125" customWidth="1"/>
    <col min="7434" max="7434" width="10.8203125" customWidth="1"/>
    <col min="7435" max="7435" width="9.76171875" customWidth="1"/>
    <col min="7436" max="7436" width="10" customWidth="1"/>
    <col min="7679" max="7679" width="13.41015625" customWidth="1"/>
    <col min="7680" max="7680" width="17.703125" customWidth="1"/>
    <col min="7681" max="7681" width="10.41015625" customWidth="1"/>
    <col min="7682" max="7689" width="11.8203125" customWidth="1"/>
    <col min="7690" max="7690" width="10.8203125" customWidth="1"/>
    <col min="7691" max="7691" width="9.76171875" customWidth="1"/>
    <col min="7692" max="7692" width="10" customWidth="1"/>
    <col min="7935" max="7935" width="13.41015625" customWidth="1"/>
    <col min="7936" max="7936" width="17.703125" customWidth="1"/>
    <col min="7937" max="7937" width="10.41015625" customWidth="1"/>
    <col min="7938" max="7945" width="11.8203125" customWidth="1"/>
    <col min="7946" max="7946" width="10.8203125" customWidth="1"/>
    <col min="7947" max="7947" width="9.76171875" customWidth="1"/>
    <col min="7948" max="7948" width="10" customWidth="1"/>
    <col min="8191" max="8191" width="13.41015625" customWidth="1"/>
    <col min="8192" max="8192" width="17.703125" customWidth="1"/>
    <col min="8193" max="8193" width="10.41015625" customWidth="1"/>
    <col min="8194" max="8201" width="11.8203125" customWidth="1"/>
    <col min="8202" max="8202" width="10.8203125" customWidth="1"/>
    <col min="8203" max="8203" width="9.76171875" customWidth="1"/>
    <col min="8204" max="8204" width="10" customWidth="1"/>
    <col min="8447" max="8447" width="13.41015625" customWidth="1"/>
    <col min="8448" max="8448" width="17.703125" customWidth="1"/>
    <col min="8449" max="8449" width="10.41015625" customWidth="1"/>
    <col min="8450" max="8457" width="11.8203125" customWidth="1"/>
    <col min="8458" max="8458" width="10.8203125" customWidth="1"/>
    <col min="8459" max="8459" width="9.76171875" customWidth="1"/>
    <col min="8460" max="8460" width="10" customWidth="1"/>
    <col min="8703" max="8703" width="13.41015625" customWidth="1"/>
    <col min="8704" max="8704" width="17.703125" customWidth="1"/>
    <col min="8705" max="8705" width="10.41015625" customWidth="1"/>
    <col min="8706" max="8713" width="11.8203125" customWidth="1"/>
    <col min="8714" max="8714" width="10.8203125" customWidth="1"/>
    <col min="8715" max="8715" width="9.76171875" customWidth="1"/>
    <col min="8716" max="8716" width="10" customWidth="1"/>
    <col min="8959" max="8959" width="13.41015625" customWidth="1"/>
    <col min="8960" max="8960" width="17.703125" customWidth="1"/>
    <col min="8961" max="8961" width="10.41015625" customWidth="1"/>
    <col min="8962" max="8969" width="11.8203125" customWidth="1"/>
    <col min="8970" max="8970" width="10.8203125" customWidth="1"/>
    <col min="8971" max="8971" width="9.76171875" customWidth="1"/>
    <col min="8972" max="8972" width="10" customWidth="1"/>
    <col min="9215" max="9215" width="13.41015625" customWidth="1"/>
    <col min="9216" max="9216" width="17.703125" customWidth="1"/>
    <col min="9217" max="9217" width="10.41015625" customWidth="1"/>
    <col min="9218" max="9225" width="11.8203125" customWidth="1"/>
    <col min="9226" max="9226" width="10.8203125" customWidth="1"/>
    <col min="9227" max="9227" width="9.76171875" customWidth="1"/>
    <col min="9228" max="9228" width="10" customWidth="1"/>
    <col min="9471" max="9471" width="13.41015625" customWidth="1"/>
    <col min="9472" max="9472" width="17.703125" customWidth="1"/>
    <col min="9473" max="9473" width="10.41015625" customWidth="1"/>
    <col min="9474" max="9481" width="11.8203125" customWidth="1"/>
    <col min="9482" max="9482" width="10.8203125" customWidth="1"/>
    <col min="9483" max="9483" width="9.76171875" customWidth="1"/>
    <col min="9484" max="9484" width="10" customWidth="1"/>
    <col min="9727" max="9727" width="13.41015625" customWidth="1"/>
    <col min="9728" max="9728" width="17.703125" customWidth="1"/>
    <col min="9729" max="9729" width="10.41015625" customWidth="1"/>
    <col min="9730" max="9737" width="11.8203125" customWidth="1"/>
    <col min="9738" max="9738" width="10.8203125" customWidth="1"/>
    <col min="9739" max="9739" width="9.76171875" customWidth="1"/>
    <col min="9740" max="9740" width="10" customWidth="1"/>
    <col min="9983" max="9983" width="13.41015625" customWidth="1"/>
    <col min="9984" max="9984" width="17.703125" customWidth="1"/>
    <col min="9985" max="9985" width="10.41015625" customWidth="1"/>
    <col min="9986" max="9993" width="11.8203125" customWidth="1"/>
    <col min="9994" max="9994" width="10.8203125" customWidth="1"/>
    <col min="9995" max="9995" width="9.76171875" customWidth="1"/>
    <col min="9996" max="9996" width="10" customWidth="1"/>
    <col min="10239" max="10239" width="13.41015625" customWidth="1"/>
    <col min="10240" max="10240" width="17.703125" customWidth="1"/>
    <col min="10241" max="10241" width="10.41015625" customWidth="1"/>
    <col min="10242" max="10249" width="11.8203125" customWidth="1"/>
    <col min="10250" max="10250" width="10.8203125" customWidth="1"/>
    <col min="10251" max="10251" width="9.76171875" customWidth="1"/>
    <col min="10252" max="10252" width="10" customWidth="1"/>
    <col min="10495" max="10495" width="13.41015625" customWidth="1"/>
    <col min="10496" max="10496" width="17.703125" customWidth="1"/>
    <col min="10497" max="10497" width="10.41015625" customWidth="1"/>
    <col min="10498" max="10505" width="11.8203125" customWidth="1"/>
    <col min="10506" max="10506" width="10.8203125" customWidth="1"/>
    <col min="10507" max="10507" width="9.76171875" customWidth="1"/>
    <col min="10508" max="10508" width="10" customWidth="1"/>
    <col min="10751" max="10751" width="13.41015625" customWidth="1"/>
    <col min="10752" max="10752" width="17.703125" customWidth="1"/>
    <col min="10753" max="10753" width="10.41015625" customWidth="1"/>
    <col min="10754" max="10761" width="11.8203125" customWidth="1"/>
    <col min="10762" max="10762" width="10.8203125" customWidth="1"/>
    <col min="10763" max="10763" width="9.76171875" customWidth="1"/>
    <col min="10764" max="10764" width="10" customWidth="1"/>
    <col min="11007" max="11007" width="13.41015625" customWidth="1"/>
    <col min="11008" max="11008" width="17.703125" customWidth="1"/>
    <col min="11009" max="11009" width="10.41015625" customWidth="1"/>
    <col min="11010" max="11017" width="11.8203125" customWidth="1"/>
    <col min="11018" max="11018" width="10.8203125" customWidth="1"/>
    <col min="11019" max="11019" width="9.76171875" customWidth="1"/>
    <col min="11020" max="11020" width="10" customWidth="1"/>
    <col min="11263" max="11263" width="13.41015625" customWidth="1"/>
    <col min="11264" max="11264" width="17.703125" customWidth="1"/>
    <col min="11265" max="11265" width="10.41015625" customWidth="1"/>
    <col min="11266" max="11273" width="11.8203125" customWidth="1"/>
    <col min="11274" max="11274" width="10.8203125" customWidth="1"/>
    <col min="11275" max="11275" width="9.76171875" customWidth="1"/>
    <col min="11276" max="11276" width="10" customWidth="1"/>
    <col min="11519" max="11519" width="13.41015625" customWidth="1"/>
    <col min="11520" max="11520" width="17.703125" customWidth="1"/>
    <col min="11521" max="11521" width="10.41015625" customWidth="1"/>
    <col min="11522" max="11529" width="11.8203125" customWidth="1"/>
    <col min="11530" max="11530" width="10.8203125" customWidth="1"/>
    <col min="11531" max="11531" width="9.76171875" customWidth="1"/>
    <col min="11532" max="11532" width="10" customWidth="1"/>
    <col min="11775" max="11775" width="13.41015625" customWidth="1"/>
    <col min="11776" max="11776" width="17.703125" customWidth="1"/>
    <col min="11777" max="11777" width="10.41015625" customWidth="1"/>
    <col min="11778" max="11785" width="11.8203125" customWidth="1"/>
    <col min="11786" max="11786" width="10.8203125" customWidth="1"/>
    <col min="11787" max="11787" width="9.76171875" customWidth="1"/>
    <col min="11788" max="11788" width="10" customWidth="1"/>
    <col min="12031" max="12031" width="13.41015625" customWidth="1"/>
    <col min="12032" max="12032" width="17.703125" customWidth="1"/>
    <col min="12033" max="12033" width="10.41015625" customWidth="1"/>
    <col min="12034" max="12041" width="11.8203125" customWidth="1"/>
    <col min="12042" max="12042" width="10.8203125" customWidth="1"/>
    <col min="12043" max="12043" width="9.76171875" customWidth="1"/>
    <col min="12044" max="12044" width="10" customWidth="1"/>
    <col min="12287" max="12287" width="13.41015625" customWidth="1"/>
    <col min="12288" max="12288" width="17.703125" customWidth="1"/>
    <col min="12289" max="12289" width="10.41015625" customWidth="1"/>
    <col min="12290" max="12297" width="11.8203125" customWidth="1"/>
    <col min="12298" max="12298" width="10.8203125" customWidth="1"/>
    <col min="12299" max="12299" width="9.76171875" customWidth="1"/>
    <col min="12300" max="12300" width="10" customWidth="1"/>
    <col min="12543" max="12543" width="13.41015625" customWidth="1"/>
    <col min="12544" max="12544" width="17.703125" customWidth="1"/>
    <col min="12545" max="12545" width="10.41015625" customWidth="1"/>
    <col min="12546" max="12553" width="11.8203125" customWidth="1"/>
    <col min="12554" max="12554" width="10.8203125" customWidth="1"/>
    <col min="12555" max="12555" width="9.76171875" customWidth="1"/>
    <col min="12556" max="12556" width="10" customWidth="1"/>
    <col min="12799" max="12799" width="13.41015625" customWidth="1"/>
    <col min="12800" max="12800" width="17.703125" customWidth="1"/>
    <col min="12801" max="12801" width="10.41015625" customWidth="1"/>
    <col min="12802" max="12809" width="11.8203125" customWidth="1"/>
    <col min="12810" max="12810" width="10.8203125" customWidth="1"/>
    <col min="12811" max="12811" width="9.76171875" customWidth="1"/>
    <col min="12812" max="12812" width="10" customWidth="1"/>
    <col min="13055" max="13055" width="13.41015625" customWidth="1"/>
    <col min="13056" max="13056" width="17.703125" customWidth="1"/>
    <col min="13057" max="13057" width="10.41015625" customWidth="1"/>
    <col min="13058" max="13065" width="11.8203125" customWidth="1"/>
    <col min="13066" max="13066" width="10.8203125" customWidth="1"/>
    <col min="13067" max="13067" width="9.76171875" customWidth="1"/>
    <col min="13068" max="13068" width="10" customWidth="1"/>
    <col min="13311" max="13311" width="13.41015625" customWidth="1"/>
    <col min="13312" max="13312" width="17.703125" customWidth="1"/>
    <col min="13313" max="13313" width="10.41015625" customWidth="1"/>
    <col min="13314" max="13321" width="11.8203125" customWidth="1"/>
    <col min="13322" max="13322" width="10.8203125" customWidth="1"/>
    <col min="13323" max="13323" width="9.76171875" customWidth="1"/>
    <col min="13324" max="13324" width="10" customWidth="1"/>
    <col min="13567" max="13567" width="13.41015625" customWidth="1"/>
    <col min="13568" max="13568" width="17.703125" customWidth="1"/>
    <col min="13569" max="13569" width="10.41015625" customWidth="1"/>
    <col min="13570" max="13577" width="11.8203125" customWidth="1"/>
    <col min="13578" max="13578" width="10.8203125" customWidth="1"/>
    <col min="13579" max="13579" width="9.76171875" customWidth="1"/>
    <col min="13580" max="13580" width="10" customWidth="1"/>
    <col min="13823" max="13823" width="13.41015625" customWidth="1"/>
    <col min="13824" max="13824" width="17.703125" customWidth="1"/>
    <col min="13825" max="13825" width="10.41015625" customWidth="1"/>
    <col min="13826" max="13833" width="11.8203125" customWidth="1"/>
    <col min="13834" max="13834" width="10.8203125" customWidth="1"/>
    <col min="13835" max="13835" width="9.76171875" customWidth="1"/>
    <col min="13836" max="13836" width="10" customWidth="1"/>
    <col min="14079" max="14079" width="13.41015625" customWidth="1"/>
    <col min="14080" max="14080" width="17.703125" customWidth="1"/>
    <col min="14081" max="14081" width="10.41015625" customWidth="1"/>
    <col min="14082" max="14089" width="11.8203125" customWidth="1"/>
    <col min="14090" max="14090" width="10.8203125" customWidth="1"/>
    <col min="14091" max="14091" width="9.76171875" customWidth="1"/>
    <col min="14092" max="14092" width="10" customWidth="1"/>
    <col min="14335" max="14335" width="13.41015625" customWidth="1"/>
    <col min="14336" max="14336" width="17.703125" customWidth="1"/>
    <col min="14337" max="14337" width="10.41015625" customWidth="1"/>
    <col min="14338" max="14345" width="11.8203125" customWidth="1"/>
    <col min="14346" max="14346" width="10.8203125" customWidth="1"/>
    <col min="14347" max="14347" width="9.76171875" customWidth="1"/>
    <col min="14348" max="14348" width="10" customWidth="1"/>
    <col min="14591" max="14591" width="13.41015625" customWidth="1"/>
    <col min="14592" max="14592" width="17.703125" customWidth="1"/>
    <col min="14593" max="14593" width="10.41015625" customWidth="1"/>
    <col min="14594" max="14601" width="11.8203125" customWidth="1"/>
    <col min="14602" max="14602" width="10.8203125" customWidth="1"/>
    <col min="14603" max="14603" width="9.76171875" customWidth="1"/>
    <col min="14604" max="14604" width="10" customWidth="1"/>
    <col min="14847" max="14847" width="13.41015625" customWidth="1"/>
    <col min="14848" max="14848" width="17.703125" customWidth="1"/>
    <col min="14849" max="14849" width="10.41015625" customWidth="1"/>
    <col min="14850" max="14857" width="11.8203125" customWidth="1"/>
    <col min="14858" max="14858" width="10.8203125" customWidth="1"/>
    <col min="14859" max="14859" width="9.76171875" customWidth="1"/>
    <col min="14860" max="14860" width="10" customWidth="1"/>
    <col min="15103" max="15103" width="13.41015625" customWidth="1"/>
    <col min="15104" max="15104" width="17.703125" customWidth="1"/>
    <col min="15105" max="15105" width="10.41015625" customWidth="1"/>
    <col min="15106" max="15113" width="11.8203125" customWidth="1"/>
    <col min="15114" max="15114" width="10.8203125" customWidth="1"/>
    <col min="15115" max="15115" width="9.76171875" customWidth="1"/>
    <col min="15116" max="15116" width="10" customWidth="1"/>
    <col min="15359" max="15359" width="13.41015625" customWidth="1"/>
    <col min="15360" max="15360" width="17.703125" customWidth="1"/>
    <col min="15361" max="15361" width="10.41015625" customWidth="1"/>
    <col min="15362" max="15369" width="11.8203125" customWidth="1"/>
    <col min="15370" max="15370" width="10.8203125" customWidth="1"/>
    <col min="15371" max="15371" width="9.76171875" customWidth="1"/>
    <col min="15372" max="15372" width="10" customWidth="1"/>
    <col min="15615" max="15615" width="13.41015625" customWidth="1"/>
    <col min="15616" max="15616" width="17.703125" customWidth="1"/>
    <col min="15617" max="15617" width="10.41015625" customWidth="1"/>
    <col min="15618" max="15625" width="11.8203125" customWidth="1"/>
    <col min="15626" max="15626" width="10.8203125" customWidth="1"/>
    <col min="15627" max="15627" width="9.76171875" customWidth="1"/>
    <col min="15628" max="15628" width="10" customWidth="1"/>
    <col min="15871" max="15871" width="13.41015625" customWidth="1"/>
    <col min="15872" max="15872" width="17.703125" customWidth="1"/>
    <col min="15873" max="15873" width="10.41015625" customWidth="1"/>
    <col min="15874" max="15881" width="11.8203125" customWidth="1"/>
    <col min="15882" max="15882" width="10.8203125" customWidth="1"/>
    <col min="15883" max="15883" width="9.76171875" customWidth="1"/>
    <col min="15884" max="15884" width="10" customWidth="1"/>
    <col min="16127" max="16127" width="13.41015625" customWidth="1"/>
    <col min="16128" max="16128" width="17.703125" customWidth="1"/>
    <col min="16129" max="16129" width="10.41015625" customWidth="1"/>
    <col min="16130" max="16137" width="11.8203125" customWidth="1"/>
    <col min="16138" max="16138" width="10.8203125" customWidth="1"/>
    <col min="16139" max="16139" width="9.76171875" customWidth="1"/>
    <col min="16140" max="16140" width="10" customWidth="1"/>
  </cols>
  <sheetData>
    <row r="1" spans="1:11" ht="23.35" x14ac:dyDescent="0.8">
      <c r="A1" s="133" t="s">
        <v>168</v>
      </c>
    </row>
    <row r="3" spans="1:11" ht="24.35" customHeight="1" x14ac:dyDescent="0.55000000000000004">
      <c r="A3" s="36" t="s">
        <v>187</v>
      </c>
      <c r="B3" s="109"/>
      <c r="C3" s="111"/>
      <c r="D3" s="109"/>
      <c r="E3" s="109"/>
      <c r="F3" s="109"/>
      <c r="G3" s="109"/>
      <c r="H3" s="109"/>
      <c r="I3" s="109"/>
      <c r="J3" s="109"/>
      <c r="K3" s="109"/>
    </row>
    <row r="4" spans="1:11" s="64" customFormat="1" ht="15.35" customHeight="1" x14ac:dyDescent="0.5">
      <c r="A4" s="35"/>
      <c r="B4" s="35"/>
      <c r="C4" s="160"/>
      <c r="D4" s="35"/>
      <c r="E4" s="35"/>
      <c r="F4" s="35"/>
      <c r="G4" s="35"/>
      <c r="H4" s="35"/>
      <c r="I4" s="35"/>
      <c r="J4" s="35"/>
    </row>
    <row r="5" spans="1:11" x14ac:dyDescent="0.5">
      <c r="A5" s="11" t="s">
        <v>221</v>
      </c>
      <c r="B5" s="86"/>
      <c r="C5" s="86"/>
      <c r="D5" s="114">
        <v>0</v>
      </c>
      <c r="E5" s="114">
        <v>1</v>
      </c>
      <c r="F5" s="114">
        <v>2</v>
      </c>
      <c r="G5" s="114">
        <v>3</v>
      </c>
      <c r="H5" s="114">
        <v>4</v>
      </c>
      <c r="I5" s="114">
        <v>5</v>
      </c>
      <c r="J5" s="114">
        <v>6</v>
      </c>
      <c r="K5" s="114">
        <v>7</v>
      </c>
    </row>
    <row r="6" spans="1:11" s="75" customFormat="1" ht="29" customHeight="1" thickBot="1" x14ac:dyDescent="0.55000000000000004">
      <c r="A6" s="204" t="s">
        <v>101</v>
      </c>
      <c r="B6" s="204" t="s">
        <v>102</v>
      </c>
      <c r="C6" s="204" t="s">
        <v>103</v>
      </c>
      <c r="D6" s="154" t="s">
        <v>173</v>
      </c>
      <c r="E6" s="154" t="s">
        <v>174</v>
      </c>
      <c r="F6" s="154" t="s">
        <v>175</v>
      </c>
      <c r="G6" s="154" t="s">
        <v>176</v>
      </c>
      <c r="H6" s="154" t="s">
        <v>177</v>
      </c>
      <c r="I6" s="154" t="s">
        <v>178</v>
      </c>
      <c r="J6" s="154" t="s">
        <v>179</v>
      </c>
      <c r="K6" s="154" t="s">
        <v>180</v>
      </c>
    </row>
    <row r="7" spans="1:11" ht="14.7" thickTop="1" x14ac:dyDescent="0.5">
      <c r="A7" s="169" t="s">
        <v>195</v>
      </c>
      <c r="B7" s="169" t="s">
        <v>196</v>
      </c>
      <c r="C7" s="169" t="s">
        <v>133</v>
      </c>
      <c r="D7">
        <v>890</v>
      </c>
      <c r="E7">
        <v>893</v>
      </c>
      <c r="F7">
        <v>895</v>
      </c>
      <c r="G7">
        <v>905</v>
      </c>
      <c r="H7">
        <v>910</v>
      </c>
      <c r="I7">
        <v>912</v>
      </c>
      <c r="J7">
        <v>915</v>
      </c>
      <c r="K7">
        <v>910</v>
      </c>
    </row>
    <row r="8" spans="1:11" x14ac:dyDescent="0.5">
      <c r="A8" s="169" t="s">
        <v>199</v>
      </c>
      <c r="B8" s="169" t="s">
        <v>200</v>
      </c>
      <c r="C8" s="169" t="s">
        <v>127</v>
      </c>
      <c r="D8">
        <v>910</v>
      </c>
      <c r="E8">
        <v>925</v>
      </c>
      <c r="F8">
        <v>915</v>
      </c>
      <c r="G8">
        <v>925</v>
      </c>
      <c r="H8">
        <v>915</v>
      </c>
      <c r="I8">
        <v>922</v>
      </c>
      <c r="J8">
        <v>935</v>
      </c>
      <c r="K8">
        <v>930</v>
      </c>
    </row>
    <row r="9" spans="1:11" x14ac:dyDescent="0.5">
      <c r="A9" s="169" t="s">
        <v>203</v>
      </c>
      <c r="B9" s="169" t="s">
        <v>204</v>
      </c>
      <c r="C9" s="169" t="s">
        <v>109</v>
      </c>
      <c r="D9">
        <v>790</v>
      </c>
      <c r="E9">
        <v>800</v>
      </c>
      <c r="F9">
        <v>810</v>
      </c>
      <c r="G9">
        <v>815</v>
      </c>
      <c r="H9">
        <v>820</v>
      </c>
      <c r="I9">
        <v>822</v>
      </c>
      <c r="J9">
        <v>815</v>
      </c>
      <c r="K9">
        <v>800</v>
      </c>
    </row>
    <row r="10" spans="1:11" x14ac:dyDescent="0.5">
      <c r="A10" s="169" t="s">
        <v>206</v>
      </c>
      <c r="B10" s="169" t="s">
        <v>207</v>
      </c>
      <c r="C10" s="169" t="s">
        <v>115</v>
      </c>
      <c r="D10">
        <v>1010</v>
      </c>
      <c r="E10">
        <v>1015</v>
      </c>
      <c r="F10">
        <v>1020</v>
      </c>
      <c r="G10">
        <v>1022</v>
      </c>
      <c r="H10">
        <v>1026</v>
      </c>
      <c r="I10">
        <v>1025</v>
      </c>
      <c r="J10">
        <v>1020</v>
      </c>
      <c r="K10">
        <v>1027</v>
      </c>
    </row>
    <row r="11" spans="1:11" x14ac:dyDescent="0.5">
      <c r="A11" s="169" t="s">
        <v>209</v>
      </c>
      <c r="B11" s="169" t="s">
        <v>210</v>
      </c>
      <c r="C11" s="169" t="s">
        <v>211</v>
      </c>
      <c r="D11">
        <v>950</v>
      </c>
      <c r="E11">
        <v>965</v>
      </c>
      <c r="F11">
        <v>975</v>
      </c>
      <c r="G11">
        <v>980</v>
      </c>
      <c r="H11">
        <v>982</v>
      </c>
      <c r="I11">
        <v>995</v>
      </c>
      <c r="J11">
        <v>1000</v>
      </c>
      <c r="K11">
        <v>1010</v>
      </c>
    </row>
    <row r="12" spans="1:11" x14ac:dyDescent="0.5">
      <c r="A12" s="169" t="s">
        <v>214</v>
      </c>
      <c r="B12" s="169" t="s">
        <v>215</v>
      </c>
      <c r="C12" s="169" t="s">
        <v>127</v>
      </c>
      <c r="D12">
        <v>640</v>
      </c>
      <c r="E12">
        <v>680</v>
      </c>
      <c r="F12">
        <v>687</v>
      </c>
      <c r="G12">
        <v>695</v>
      </c>
      <c r="H12">
        <v>710</v>
      </c>
      <c r="I12">
        <v>720</v>
      </c>
      <c r="J12">
        <v>710</v>
      </c>
      <c r="K12">
        <v>700</v>
      </c>
    </row>
    <row r="13" spans="1:11" ht="14.7" thickBot="1" x14ac:dyDescent="0.55000000000000004">
      <c r="A13" s="177"/>
      <c r="B13" s="177"/>
      <c r="C13" s="177"/>
      <c r="D13" s="159">
        <f t="shared" ref="D13:K13" si="0">SUM(D7:D12)</f>
        <v>5190</v>
      </c>
      <c r="E13" s="159">
        <f t="shared" si="0"/>
        <v>5278</v>
      </c>
      <c r="F13" s="159">
        <f t="shared" si="0"/>
        <v>5302</v>
      </c>
      <c r="G13" s="159">
        <f t="shared" si="0"/>
        <v>5342</v>
      </c>
      <c r="H13" s="159">
        <f t="shared" si="0"/>
        <v>5363</v>
      </c>
      <c r="I13" s="159">
        <f t="shared" si="0"/>
        <v>5396</v>
      </c>
      <c r="J13" s="159">
        <f t="shared" si="0"/>
        <v>5395</v>
      </c>
      <c r="K13" s="159">
        <f t="shared" si="0"/>
        <v>5377</v>
      </c>
    </row>
    <row r="14" spans="1:11" ht="14.7" thickTop="1" x14ac:dyDescent="0.5">
      <c r="C14" s="113"/>
    </row>
    <row r="15" spans="1:11" x14ac:dyDescent="0.5">
      <c r="A15" s="120" t="s">
        <v>225</v>
      </c>
      <c r="D15" s="114">
        <v>0</v>
      </c>
      <c r="E15" s="114">
        <v>1</v>
      </c>
      <c r="F15" s="114">
        <v>2</v>
      </c>
      <c r="G15" s="114">
        <v>3</v>
      </c>
      <c r="H15" s="114">
        <v>4</v>
      </c>
      <c r="I15" s="114">
        <v>5</v>
      </c>
      <c r="J15" s="114">
        <v>6</v>
      </c>
      <c r="K15" s="114">
        <v>7</v>
      </c>
    </row>
    <row r="16" spans="1:11" s="75" customFormat="1" ht="26.7" customHeight="1" thickBot="1" x14ac:dyDescent="0.55000000000000004">
      <c r="A16" s="204" t="s">
        <v>101</v>
      </c>
      <c r="B16" s="204" t="s">
        <v>102</v>
      </c>
      <c r="C16" s="204" t="s">
        <v>103</v>
      </c>
      <c r="D16" s="155" t="str">
        <f t="shared" ref="D16:K16" si="1">+D6</f>
        <v>June 1
20x1</v>
      </c>
      <c r="E16" s="155" t="str">
        <f t="shared" si="1"/>
        <v>July 1
20x1</v>
      </c>
      <c r="F16" s="155" t="str">
        <f t="shared" si="1"/>
        <v>Aug 1
20x1</v>
      </c>
      <c r="G16" s="155" t="str">
        <f t="shared" si="1"/>
        <v>Sep 1
20x1</v>
      </c>
      <c r="H16" s="155" t="str">
        <f t="shared" si="1"/>
        <v>Oct 1
20x1</v>
      </c>
      <c r="I16" s="155" t="str">
        <f t="shared" si="1"/>
        <v>Nov 1
20x1</v>
      </c>
      <c r="J16" s="155" t="str">
        <f t="shared" si="1"/>
        <v>Dec 1
20x1</v>
      </c>
      <c r="K16" s="155" t="str">
        <f t="shared" si="1"/>
        <v>Jan 2
20x2</v>
      </c>
    </row>
    <row r="17" spans="1:11" ht="14.7" thickTop="1" x14ac:dyDescent="0.5">
      <c r="A17" s="177" t="str">
        <f t="shared" ref="A17:C22" si="2">+A7</f>
        <v>AAA</v>
      </c>
      <c r="B17" s="177" t="str">
        <f t="shared" si="2"/>
        <v>Alpha Inc.</v>
      </c>
      <c r="C17" s="177" t="str">
        <f t="shared" si="2"/>
        <v>Healthcare</v>
      </c>
      <c r="D17" s="182">
        <v>15</v>
      </c>
      <c r="E17">
        <f t="shared" ref="E17:K22" si="3">+D17+E26</f>
        <v>15</v>
      </c>
      <c r="F17">
        <f t="shared" si="3"/>
        <v>15</v>
      </c>
      <c r="G17">
        <f t="shared" si="3"/>
        <v>15</v>
      </c>
      <c r="H17">
        <f t="shared" si="3"/>
        <v>15</v>
      </c>
      <c r="I17">
        <f t="shared" si="3"/>
        <v>15</v>
      </c>
      <c r="J17">
        <f t="shared" si="3"/>
        <v>15</v>
      </c>
      <c r="K17">
        <f t="shared" si="3"/>
        <v>0</v>
      </c>
    </row>
    <row r="18" spans="1:11" x14ac:dyDescent="0.5">
      <c r="A18" s="177" t="str">
        <f t="shared" si="2"/>
        <v>BBB</v>
      </c>
      <c r="B18" s="177" t="str">
        <f t="shared" si="2"/>
        <v>Beta Inc.</v>
      </c>
      <c r="C18" s="177" t="str">
        <f t="shared" si="2"/>
        <v>Retail</v>
      </c>
      <c r="D18" s="182">
        <v>20</v>
      </c>
      <c r="E18">
        <f t="shared" si="3"/>
        <v>8</v>
      </c>
      <c r="F18">
        <f t="shared" si="3"/>
        <v>0</v>
      </c>
      <c r="G18">
        <f t="shared" si="3"/>
        <v>0</v>
      </c>
      <c r="H18">
        <f t="shared" si="3"/>
        <v>0</v>
      </c>
      <c r="I18">
        <f t="shared" si="3"/>
        <v>0</v>
      </c>
      <c r="J18">
        <f t="shared" si="3"/>
        <v>0</v>
      </c>
      <c r="K18">
        <f t="shared" si="3"/>
        <v>0</v>
      </c>
    </row>
    <row r="19" spans="1:11" x14ac:dyDescent="0.5">
      <c r="A19" s="177" t="str">
        <f t="shared" si="2"/>
        <v>CCC</v>
      </c>
      <c r="B19" s="177" t="str">
        <f t="shared" si="2"/>
        <v>CC Corporation</v>
      </c>
      <c r="C19" s="177" t="str">
        <f t="shared" si="2"/>
        <v>Industrial</v>
      </c>
      <c r="D19" s="182">
        <v>30</v>
      </c>
      <c r="E19">
        <f t="shared" si="3"/>
        <v>30</v>
      </c>
      <c r="F19">
        <f t="shared" si="3"/>
        <v>30</v>
      </c>
      <c r="G19">
        <f t="shared" si="3"/>
        <v>35</v>
      </c>
      <c r="H19">
        <f t="shared" si="3"/>
        <v>35</v>
      </c>
      <c r="I19">
        <f t="shared" si="3"/>
        <v>40</v>
      </c>
      <c r="J19">
        <f t="shared" si="3"/>
        <v>40</v>
      </c>
      <c r="K19">
        <f t="shared" si="3"/>
        <v>0</v>
      </c>
    </row>
    <row r="20" spans="1:11" x14ac:dyDescent="0.5">
      <c r="A20" s="177" t="str">
        <f t="shared" si="2"/>
        <v>DDD</v>
      </c>
      <c r="B20" s="177" t="str">
        <f t="shared" si="2"/>
        <v>Delta D Inc.</v>
      </c>
      <c r="C20" s="177" t="str">
        <f t="shared" si="2"/>
        <v>Hospitality</v>
      </c>
      <c r="D20" s="182">
        <v>40</v>
      </c>
      <c r="E20">
        <f t="shared" si="3"/>
        <v>40</v>
      </c>
      <c r="F20">
        <f t="shared" si="3"/>
        <v>50</v>
      </c>
      <c r="G20">
        <f t="shared" si="3"/>
        <v>50</v>
      </c>
      <c r="H20">
        <f t="shared" si="3"/>
        <v>50</v>
      </c>
      <c r="I20">
        <f t="shared" si="3"/>
        <v>50</v>
      </c>
      <c r="J20">
        <f t="shared" si="3"/>
        <v>50</v>
      </c>
      <c r="K20">
        <f t="shared" si="3"/>
        <v>0</v>
      </c>
    </row>
    <row r="21" spans="1:11" x14ac:dyDescent="0.5">
      <c r="A21" s="177" t="str">
        <f t="shared" si="2"/>
        <v>EEE</v>
      </c>
      <c r="B21" s="177" t="str">
        <f t="shared" si="2"/>
        <v>Epsilon Inc</v>
      </c>
      <c r="C21" s="177" t="str">
        <f t="shared" si="2"/>
        <v>Technology</v>
      </c>
      <c r="D21" s="182">
        <v>0</v>
      </c>
      <c r="E21">
        <f t="shared" si="3"/>
        <v>5</v>
      </c>
      <c r="F21">
        <f t="shared" si="3"/>
        <v>5</v>
      </c>
      <c r="G21">
        <f t="shared" si="3"/>
        <v>5</v>
      </c>
      <c r="H21">
        <f t="shared" si="3"/>
        <v>5</v>
      </c>
      <c r="I21">
        <f t="shared" si="3"/>
        <v>0</v>
      </c>
      <c r="J21">
        <f t="shared" si="3"/>
        <v>0</v>
      </c>
      <c r="K21">
        <f t="shared" si="3"/>
        <v>0</v>
      </c>
    </row>
    <row r="22" spans="1:11" x14ac:dyDescent="0.5">
      <c r="A22" s="177" t="str">
        <f t="shared" si="2"/>
        <v>FFF</v>
      </c>
      <c r="B22" s="177" t="str">
        <f t="shared" si="2"/>
        <v>Fusbol For Friends</v>
      </c>
      <c r="C22" s="177" t="str">
        <f t="shared" si="2"/>
        <v>Retail</v>
      </c>
      <c r="D22" s="182">
        <v>0</v>
      </c>
      <c r="E22">
        <f t="shared" si="3"/>
        <v>5</v>
      </c>
      <c r="F22">
        <f t="shared" si="3"/>
        <v>5</v>
      </c>
      <c r="G22">
        <f t="shared" si="3"/>
        <v>5</v>
      </c>
      <c r="H22">
        <f t="shared" si="3"/>
        <v>5</v>
      </c>
      <c r="I22">
        <f t="shared" si="3"/>
        <v>5</v>
      </c>
      <c r="J22">
        <f t="shared" si="3"/>
        <v>0</v>
      </c>
      <c r="K22">
        <f t="shared" si="3"/>
        <v>0</v>
      </c>
    </row>
    <row r="23" spans="1:11" x14ac:dyDescent="0.5">
      <c r="C23" s="113"/>
    </row>
    <row r="24" spans="1:11" x14ac:dyDescent="0.5">
      <c r="A24" s="120" t="s">
        <v>145</v>
      </c>
      <c r="C24" s="113"/>
      <c r="D24" s="114"/>
      <c r="E24" s="114"/>
      <c r="F24" s="114"/>
      <c r="G24" s="114"/>
      <c r="H24" s="114"/>
      <c r="I24" s="114"/>
      <c r="J24" s="114"/>
      <c r="K24" s="114"/>
    </row>
    <row r="25" spans="1:11" s="75" customFormat="1" ht="27.45" customHeight="1" thickBot="1" x14ac:dyDescent="0.55000000000000004">
      <c r="A25" s="204" t="s">
        <v>101</v>
      </c>
      <c r="B25" s="204" t="s">
        <v>102</v>
      </c>
      <c r="C25" s="204" t="s">
        <v>103</v>
      </c>
      <c r="D25" s="155" t="str">
        <f t="shared" ref="D25:K25" si="4">+D16</f>
        <v>June 1
20x1</v>
      </c>
      <c r="E25" s="155" t="str">
        <f t="shared" si="4"/>
        <v>July 1
20x1</v>
      </c>
      <c r="F25" s="155" t="str">
        <f t="shared" si="4"/>
        <v>Aug 1
20x1</v>
      </c>
      <c r="G25" s="155" t="str">
        <f t="shared" si="4"/>
        <v>Sep 1
20x1</v>
      </c>
      <c r="H25" s="155" t="str">
        <f t="shared" si="4"/>
        <v>Oct 1
20x1</v>
      </c>
      <c r="I25" s="155" t="str">
        <f t="shared" si="4"/>
        <v>Nov 1
20x1</v>
      </c>
      <c r="J25" s="155" t="str">
        <f t="shared" si="4"/>
        <v>Dec 1
20x1</v>
      </c>
      <c r="K25" s="155" t="str">
        <f t="shared" si="4"/>
        <v>Jan 2
20x2</v>
      </c>
    </row>
    <row r="26" spans="1:11" ht="14.7" thickTop="1" x14ac:dyDescent="0.5">
      <c r="A26" s="177" t="str">
        <f t="shared" ref="A26:C31" si="5">+A17</f>
        <v>AAA</v>
      </c>
      <c r="B26" s="177" t="str">
        <f t="shared" si="5"/>
        <v>Alpha Inc.</v>
      </c>
      <c r="C26" s="177" t="str">
        <f t="shared" si="5"/>
        <v>Healthcare</v>
      </c>
      <c r="D26">
        <f t="shared" ref="D26:D31" si="6">D17</f>
        <v>15</v>
      </c>
      <c r="E26" s="182"/>
      <c r="F26" s="182"/>
      <c r="G26" s="182"/>
      <c r="H26" s="182"/>
      <c r="I26" s="182"/>
      <c r="J26" s="182"/>
      <c r="K26" s="182">
        <f t="shared" ref="K26:K31" si="7">-J17</f>
        <v>-15</v>
      </c>
    </row>
    <row r="27" spans="1:11" x14ac:dyDescent="0.5">
      <c r="A27" s="177" t="str">
        <f t="shared" si="5"/>
        <v>BBB</v>
      </c>
      <c r="B27" s="177" t="str">
        <f t="shared" si="5"/>
        <v>Beta Inc.</v>
      </c>
      <c r="C27" s="177" t="str">
        <f t="shared" si="5"/>
        <v>Retail</v>
      </c>
      <c r="D27">
        <f t="shared" si="6"/>
        <v>20</v>
      </c>
      <c r="E27" s="182">
        <v>-12</v>
      </c>
      <c r="F27" s="182">
        <v>-8</v>
      </c>
      <c r="G27" s="182"/>
      <c r="H27" s="182"/>
      <c r="I27" s="182"/>
      <c r="J27" s="182"/>
      <c r="K27" s="182">
        <f t="shared" si="7"/>
        <v>0</v>
      </c>
    </row>
    <row r="28" spans="1:11" x14ac:dyDescent="0.5">
      <c r="A28" s="177" t="str">
        <f t="shared" si="5"/>
        <v>CCC</v>
      </c>
      <c r="B28" s="177" t="str">
        <f t="shared" si="5"/>
        <v>CC Corporation</v>
      </c>
      <c r="C28" s="177" t="str">
        <f t="shared" si="5"/>
        <v>Industrial</v>
      </c>
      <c r="D28">
        <f t="shared" si="6"/>
        <v>30</v>
      </c>
      <c r="E28" s="182"/>
      <c r="F28" s="182"/>
      <c r="G28" s="182">
        <v>5</v>
      </c>
      <c r="H28" s="182"/>
      <c r="I28" s="182">
        <v>5</v>
      </c>
      <c r="J28" s="182"/>
      <c r="K28" s="182">
        <f t="shared" si="7"/>
        <v>-40</v>
      </c>
    </row>
    <row r="29" spans="1:11" x14ac:dyDescent="0.5">
      <c r="A29" s="177" t="str">
        <f t="shared" si="5"/>
        <v>DDD</v>
      </c>
      <c r="B29" s="177" t="str">
        <f t="shared" si="5"/>
        <v>Delta D Inc.</v>
      </c>
      <c r="C29" s="177" t="str">
        <f t="shared" si="5"/>
        <v>Hospitality</v>
      </c>
      <c r="D29">
        <f t="shared" si="6"/>
        <v>40</v>
      </c>
      <c r="E29" s="182"/>
      <c r="F29" s="182">
        <v>10</v>
      </c>
      <c r="G29" s="182"/>
      <c r="H29" s="182"/>
      <c r="I29" s="182"/>
      <c r="J29" s="182"/>
      <c r="K29" s="182">
        <f t="shared" si="7"/>
        <v>-50</v>
      </c>
    </row>
    <row r="30" spans="1:11" x14ac:dyDescent="0.5">
      <c r="A30" s="177" t="str">
        <f t="shared" si="5"/>
        <v>EEE</v>
      </c>
      <c r="B30" s="177" t="str">
        <f t="shared" si="5"/>
        <v>Epsilon Inc</v>
      </c>
      <c r="C30" s="177" t="str">
        <f t="shared" si="5"/>
        <v>Technology</v>
      </c>
      <c r="D30">
        <f t="shared" si="6"/>
        <v>0</v>
      </c>
      <c r="E30" s="182">
        <v>5</v>
      </c>
      <c r="F30" s="182"/>
      <c r="G30" s="182"/>
      <c r="H30" s="182"/>
      <c r="I30" s="182">
        <v>-5</v>
      </c>
      <c r="J30" s="182"/>
      <c r="K30" s="182">
        <f t="shared" si="7"/>
        <v>0</v>
      </c>
    </row>
    <row r="31" spans="1:11" x14ac:dyDescent="0.5">
      <c r="A31" s="177" t="str">
        <f t="shared" si="5"/>
        <v>FFF</v>
      </c>
      <c r="B31" s="177" t="str">
        <f t="shared" si="5"/>
        <v>Fusbol For Friends</v>
      </c>
      <c r="C31" s="177" t="str">
        <f t="shared" si="5"/>
        <v>Retail</v>
      </c>
      <c r="D31">
        <f t="shared" si="6"/>
        <v>0</v>
      </c>
      <c r="E31" s="182">
        <v>5</v>
      </c>
      <c r="F31" s="182"/>
      <c r="G31" s="182"/>
      <c r="H31" s="182"/>
      <c r="I31" s="182"/>
      <c r="J31" s="182">
        <v>-5</v>
      </c>
      <c r="K31" s="182">
        <f t="shared" si="7"/>
        <v>0</v>
      </c>
    </row>
    <row r="32" spans="1:11" x14ac:dyDescent="0.5">
      <c r="C32" s="113"/>
      <c r="D32" s="183"/>
      <c r="E32" s="183"/>
      <c r="F32" s="183"/>
      <c r="G32" s="183"/>
      <c r="H32" s="183"/>
      <c r="I32" s="183"/>
      <c r="J32" s="183"/>
      <c r="K32" s="183"/>
    </row>
    <row r="33" spans="1:11" x14ac:dyDescent="0.5">
      <c r="A33" s="120" t="s">
        <v>145</v>
      </c>
      <c r="C33" s="113"/>
      <c r="D33" s="114"/>
      <c r="E33" s="114"/>
      <c r="F33" s="114"/>
      <c r="G33" s="114"/>
      <c r="H33" s="114"/>
      <c r="I33" s="114"/>
      <c r="J33" s="114"/>
      <c r="K33" s="114"/>
    </row>
    <row r="34" spans="1:11" s="75" customFormat="1" ht="27" customHeight="1" thickBot="1" x14ac:dyDescent="0.55000000000000004">
      <c r="A34" s="204" t="s">
        <v>101</v>
      </c>
      <c r="B34" s="204" t="s">
        <v>102</v>
      </c>
      <c r="C34" s="204" t="s">
        <v>103</v>
      </c>
      <c r="D34" s="155" t="str">
        <f t="shared" ref="D34:K34" si="8">+D25</f>
        <v>June 1
20x1</v>
      </c>
      <c r="E34" s="155" t="str">
        <f t="shared" si="8"/>
        <v>July 1
20x1</v>
      </c>
      <c r="F34" s="155" t="str">
        <f t="shared" si="8"/>
        <v>Aug 1
20x1</v>
      </c>
      <c r="G34" s="155" t="str">
        <f t="shared" si="8"/>
        <v>Sep 1
20x1</v>
      </c>
      <c r="H34" s="155" t="str">
        <f t="shared" si="8"/>
        <v>Oct 1
20x1</v>
      </c>
      <c r="I34" s="155" t="str">
        <f t="shared" si="8"/>
        <v>Nov 1
20x1</v>
      </c>
      <c r="J34" s="155" t="str">
        <f t="shared" si="8"/>
        <v>Dec 1
20x1</v>
      </c>
      <c r="K34" s="155" t="str">
        <f t="shared" si="8"/>
        <v>Jan 2
20x2</v>
      </c>
    </row>
    <row r="35" spans="1:11" ht="14.7" thickTop="1" x14ac:dyDescent="0.5">
      <c r="A35" s="177" t="str">
        <f t="shared" ref="A35:C40" si="9">+A26</f>
        <v>AAA</v>
      </c>
      <c r="B35" s="177" t="str">
        <f t="shared" si="9"/>
        <v>Alpha Inc.</v>
      </c>
      <c r="C35" s="177" t="str">
        <f t="shared" si="9"/>
        <v>Healthcare</v>
      </c>
      <c r="E35" s="10">
        <f t="shared" ref="E35:K40" si="10">-E26*E7</f>
        <v>0</v>
      </c>
      <c r="F35" s="10">
        <f t="shared" si="10"/>
        <v>0</v>
      </c>
      <c r="G35" s="10">
        <f t="shared" si="10"/>
        <v>0</v>
      </c>
      <c r="H35" s="10">
        <f t="shared" si="10"/>
        <v>0</v>
      </c>
      <c r="I35" s="10">
        <f t="shared" si="10"/>
        <v>0</v>
      </c>
      <c r="J35" s="10">
        <f t="shared" si="10"/>
        <v>0</v>
      </c>
      <c r="K35" s="10">
        <f t="shared" si="10"/>
        <v>13650</v>
      </c>
    </row>
    <row r="36" spans="1:11" x14ac:dyDescent="0.5">
      <c r="A36" s="177" t="str">
        <f t="shared" si="9"/>
        <v>BBB</v>
      </c>
      <c r="B36" s="177" t="str">
        <f t="shared" si="9"/>
        <v>Beta Inc.</v>
      </c>
      <c r="C36" s="177" t="str">
        <f t="shared" si="9"/>
        <v>Retail</v>
      </c>
      <c r="E36" s="10">
        <f t="shared" si="10"/>
        <v>11100</v>
      </c>
      <c r="F36" s="10">
        <f t="shared" si="10"/>
        <v>7320</v>
      </c>
      <c r="G36" s="10">
        <f t="shared" si="10"/>
        <v>0</v>
      </c>
      <c r="H36" s="10">
        <f t="shared" si="10"/>
        <v>0</v>
      </c>
      <c r="I36" s="10">
        <f t="shared" si="10"/>
        <v>0</v>
      </c>
      <c r="J36" s="10">
        <f t="shared" si="10"/>
        <v>0</v>
      </c>
      <c r="K36" s="10">
        <f t="shared" si="10"/>
        <v>0</v>
      </c>
    </row>
    <row r="37" spans="1:11" x14ac:dyDescent="0.5">
      <c r="A37" s="177" t="str">
        <f t="shared" si="9"/>
        <v>CCC</v>
      </c>
      <c r="B37" s="177" t="str">
        <f t="shared" si="9"/>
        <v>CC Corporation</v>
      </c>
      <c r="C37" s="177" t="str">
        <f t="shared" si="9"/>
        <v>Industrial</v>
      </c>
      <c r="E37" s="10">
        <f t="shared" si="10"/>
        <v>0</v>
      </c>
      <c r="F37" s="10">
        <f t="shared" si="10"/>
        <v>0</v>
      </c>
      <c r="G37" s="10">
        <f t="shared" si="10"/>
        <v>-4075</v>
      </c>
      <c r="H37" s="10">
        <f t="shared" si="10"/>
        <v>0</v>
      </c>
      <c r="I37" s="10">
        <f t="shared" si="10"/>
        <v>-4110</v>
      </c>
      <c r="J37" s="10">
        <f t="shared" si="10"/>
        <v>0</v>
      </c>
      <c r="K37" s="10">
        <f t="shared" si="10"/>
        <v>32000</v>
      </c>
    </row>
    <row r="38" spans="1:11" x14ac:dyDescent="0.5">
      <c r="A38" s="177" t="str">
        <f t="shared" si="9"/>
        <v>DDD</v>
      </c>
      <c r="B38" s="177" t="str">
        <f t="shared" si="9"/>
        <v>Delta D Inc.</v>
      </c>
      <c r="C38" s="177" t="str">
        <f t="shared" si="9"/>
        <v>Hospitality</v>
      </c>
      <c r="E38" s="10">
        <f t="shared" si="10"/>
        <v>0</v>
      </c>
      <c r="F38" s="10">
        <f t="shared" si="10"/>
        <v>-10200</v>
      </c>
      <c r="G38" s="10">
        <f t="shared" si="10"/>
        <v>0</v>
      </c>
      <c r="H38" s="10">
        <f t="shared" si="10"/>
        <v>0</v>
      </c>
      <c r="I38" s="10">
        <f t="shared" si="10"/>
        <v>0</v>
      </c>
      <c r="J38" s="10">
        <f t="shared" si="10"/>
        <v>0</v>
      </c>
      <c r="K38" s="10">
        <f t="shared" si="10"/>
        <v>51350</v>
      </c>
    </row>
    <row r="39" spans="1:11" x14ac:dyDescent="0.5">
      <c r="A39" s="177" t="str">
        <f t="shared" si="9"/>
        <v>EEE</v>
      </c>
      <c r="B39" s="177" t="str">
        <f t="shared" si="9"/>
        <v>Epsilon Inc</v>
      </c>
      <c r="C39" s="177" t="str">
        <f t="shared" si="9"/>
        <v>Technology</v>
      </c>
      <c r="E39" s="10">
        <f t="shared" si="10"/>
        <v>-4825</v>
      </c>
      <c r="F39" s="10">
        <f t="shared" si="10"/>
        <v>0</v>
      </c>
      <c r="G39" s="10">
        <f t="shared" si="10"/>
        <v>0</v>
      </c>
      <c r="H39" s="10">
        <f t="shared" si="10"/>
        <v>0</v>
      </c>
      <c r="I39" s="10">
        <f t="shared" si="10"/>
        <v>4975</v>
      </c>
      <c r="J39" s="10">
        <f t="shared" si="10"/>
        <v>0</v>
      </c>
      <c r="K39" s="10">
        <f t="shared" si="10"/>
        <v>0</v>
      </c>
    </row>
    <row r="40" spans="1:11" x14ac:dyDescent="0.5">
      <c r="A40" s="177" t="str">
        <f t="shared" si="9"/>
        <v>FFF</v>
      </c>
      <c r="B40" s="177" t="str">
        <f t="shared" si="9"/>
        <v>Fusbol For Friends</v>
      </c>
      <c r="C40" s="177" t="str">
        <f t="shared" si="9"/>
        <v>Retail</v>
      </c>
      <c r="E40" s="10">
        <f t="shared" si="10"/>
        <v>-3400</v>
      </c>
      <c r="F40" s="10">
        <f t="shared" si="10"/>
        <v>0</v>
      </c>
      <c r="G40" s="10">
        <f t="shared" si="10"/>
        <v>0</v>
      </c>
      <c r="H40" s="10">
        <f t="shared" si="10"/>
        <v>0</v>
      </c>
      <c r="I40" s="10">
        <f t="shared" si="10"/>
        <v>0</v>
      </c>
      <c r="J40" s="10">
        <f t="shared" si="10"/>
        <v>3550</v>
      </c>
      <c r="K40" s="10">
        <f t="shared" si="10"/>
        <v>0</v>
      </c>
    </row>
    <row r="41" spans="1:11" ht="14.7" thickBot="1" x14ac:dyDescent="0.55000000000000004">
      <c r="A41" s="86" t="s">
        <v>226</v>
      </c>
      <c r="C41" s="113"/>
      <c r="D41" s="184">
        <f t="shared" ref="D41:K41" si="11">SUM(D35:D40)</f>
        <v>0</v>
      </c>
      <c r="E41" s="184">
        <f t="shared" si="11"/>
        <v>2875</v>
      </c>
      <c r="F41" s="184">
        <f t="shared" si="11"/>
        <v>-2880</v>
      </c>
      <c r="G41" s="184">
        <f t="shared" si="11"/>
        <v>-4075</v>
      </c>
      <c r="H41" s="184">
        <f t="shared" si="11"/>
        <v>0</v>
      </c>
      <c r="I41" s="184">
        <f t="shared" si="11"/>
        <v>865</v>
      </c>
      <c r="J41" s="184">
        <f t="shared" si="11"/>
        <v>3550</v>
      </c>
      <c r="K41" s="184">
        <f t="shared" si="11"/>
        <v>97000</v>
      </c>
    </row>
    <row r="42" spans="1:11" ht="14.7" thickTop="1" x14ac:dyDescent="0.5">
      <c r="C42" s="113"/>
    </row>
    <row r="44" spans="1:11" x14ac:dyDescent="0.5">
      <c r="A44" s="120" t="s">
        <v>227</v>
      </c>
      <c r="C44" s="113"/>
    </row>
    <row r="45" spans="1:11" s="75" customFormat="1" ht="25.45" customHeight="1" thickBot="1" x14ac:dyDescent="0.55000000000000004">
      <c r="A45" s="204" t="s">
        <v>101</v>
      </c>
      <c r="B45" s="204" t="s">
        <v>102</v>
      </c>
      <c r="C45" s="204" t="s">
        <v>103</v>
      </c>
      <c r="D45" s="155" t="str">
        <f t="shared" ref="D45:K45" si="12">+D34</f>
        <v>June 1
20x1</v>
      </c>
      <c r="E45" s="155" t="str">
        <f t="shared" si="12"/>
        <v>July 1
20x1</v>
      </c>
      <c r="F45" s="155" t="str">
        <f t="shared" si="12"/>
        <v>Aug 1
20x1</v>
      </c>
      <c r="G45" s="155" t="str">
        <f t="shared" si="12"/>
        <v>Sep 1
20x1</v>
      </c>
      <c r="H45" s="155" t="str">
        <f t="shared" si="12"/>
        <v>Oct 1
20x1</v>
      </c>
      <c r="I45" s="155" t="str">
        <f t="shared" si="12"/>
        <v>Nov 1
20x1</v>
      </c>
      <c r="J45" s="155" t="str">
        <f t="shared" si="12"/>
        <v>Dec 1
20x1</v>
      </c>
      <c r="K45" s="155" t="str">
        <f t="shared" si="12"/>
        <v>Jan 2
20x2</v>
      </c>
    </row>
    <row r="46" spans="1:11" ht="14.7" thickTop="1" x14ac:dyDescent="0.5">
      <c r="A46" s="177" t="str">
        <f t="shared" ref="A46:C51" si="13">+A35</f>
        <v>AAA</v>
      </c>
      <c r="B46" s="177" t="str">
        <f t="shared" si="13"/>
        <v>Alpha Inc.</v>
      </c>
      <c r="C46" s="177" t="str">
        <f t="shared" si="13"/>
        <v>Healthcare</v>
      </c>
      <c r="D46" s="10">
        <f t="shared" ref="D46:K51" si="14">+D17*D7</f>
        <v>13350</v>
      </c>
      <c r="E46" s="10">
        <f t="shared" si="14"/>
        <v>13395</v>
      </c>
      <c r="F46" s="10">
        <f t="shared" si="14"/>
        <v>13425</v>
      </c>
      <c r="G46" s="10">
        <f t="shared" si="14"/>
        <v>13575</v>
      </c>
      <c r="H46" s="10">
        <f t="shared" si="14"/>
        <v>13650</v>
      </c>
      <c r="I46" s="10">
        <f t="shared" si="14"/>
        <v>13680</v>
      </c>
      <c r="J46" s="10">
        <f t="shared" si="14"/>
        <v>13725</v>
      </c>
      <c r="K46" s="10">
        <f t="shared" si="14"/>
        <v>0</v>
      </c>
    </row>
    <row r="47" spans="1:11" x14ac:dyDescent="0.5">
      <c r="A47" s="177" t="str">
        <f t="shared" si="13"/>
        <v>BBB</v>
      </c>
      <c r="B47" s="177" t="str">
        <f t="shared" si="13"/>
        <v>Beta Inc.</v>
      </c>
      <c r="C47" s="177" t="str">
        <f t="shared" si="13"/>
        <v>Retail</v>
      </c>
      <c r="D47" s="10">
        <f t="shared" si="14"/>
        <v>18200</v>
      </c>
      <c r="E47" s="10">
        <f t="shared" si="14"/>
        <v>7400</v>
      </c>
      <c r="F47" s="10">
        <f t="shared" si="14"/>
        <v>0</v>
      </c>
      <c r="G47" s="10">
        <f t="shared" si="14"/>
        <v>0</v>
      </c>
      <c r="H47" s="10">
        <f t="shared" si="14"/>
        <v>0</v>
      </c>
      <c r="I47" s="10">
        <f t="shared" si="14"/>
        <v>0</v>
      </c>
      <c r="J47" s="10">
        <f t="shared" si="14"/>
        <v>0</v>
      </c>
      <c r="K47" s="10">
        <f t="shared" si="14"/>
        <v>0</v>
      </c>
    </row>
    <row r="48" spans="1:11" x14ac:dyDescent="0.5">
      <c r="A48" s="177" t="str">
        <f t="shared" si="13"/>
        <v>CCC</v>
      </c>
      <c r="B48" s="177" t="str">
        <f t="shared" si="13"/>
        <v>CC Corporation</v>
      </c>
      <c r="C48" s="177" t="str">
        <f t="shared" si="13"/>
        <v>Industrial</v>
      </c>
      <c r="D48" s="10">
        <f t="shared" si="14"/>
        <v>23700</v>
      </c>
      <c r="E48" s="10">
        <f t="shared" si="14"/>
        <v>24000</v>
      </c>
      <c r="F48" s="10">
        <f t="shared" si="14"/>
        <v>24300</v>
      </c>
      <c r="G48" s="10">
        <f t="shared" si="14"/>
        <v>28525</v>
      </c>
      <c r="H48" s="10">
        <f t="shared" si="14"/>
        <v>28700</v>
      </c>
      <c r="I48" s="10">
        <f t="shared" si="14"/>
        <v>32880</v>
      </c>
      <c r="J48" s="10">
        <f t="shared" si="14"/>
        <v>32600</v>
      </c>
      <c r="K48" s="10">
        <f t="shared" si="14"/>
        <v>0</v>
      </c>
    </row>
    <row r="49" spans="1:11" x14ac:dyDescent="0.5">
      <c r="A49" s="177" t="str">
        <f t="shared" si="13"/>
        <v>DDD</v>
      </c>
      <c r="B49" s="177" t="str">
        <f t="shared" si="13"/>
        <v>Delta D Inc.</v>
      </c>
      <c r="C49" s="177" t="str">
        <f t="shared" si="13"/>
        <v>Hospitality</v>
      </c>
      <c r="D49" s="10">
        <f t="shared" si="14"/>
        <v>40400</v>
      </c>
      <c r="E49" s="10">
        <f t="shared" si="14"/>
        <v>40600</v>
      </c>
      <c r="F49" s="10">
        <f t="shared" si="14"/>
        <v>51000</v>
      </c>
      <c r="G49" s="10">
        <f t="shared" si="14"/>
        <v>51100</v>
      </c>
      <c r="H49" s="10">
        <f t="shared" si="14"/>
        <v>51300</v>
      </c>
      <c r="I49" s="10">
        <f t="shared" si="14"/>
        <v>51250</v>
      </c>
      <c r="J49" s="10">
        <f t="shared" si="14"/>
        <v>51000</v>
      </c>
      <c r="K49" s="10">
        <f t="shared" si="14"/>
        <v>0</v>
      </c>
    </row>
    <row r="50" spans="1:11" x14ac:dyDescent="0.5">
      <c r="A50" s="177" t="str">
        <f t="shared" si="13"/>
        <v>EEE</v>
      </c>
      <c r="B50" s="177" t="str">
        <f t="shared" si="13"/>
        <v>Epsilon Inc</v>
      </c>
      <c r="C50" s="177" t="str">
        <f t="shared" si="13"/>
        <v>Technology</v>
      </c>
      <c r="D50" s="10">
        <f t="shared" si="14"/>
        <v>0</v>
      </c>
      <c r="E50" s="10">
        <f t="shared" si="14"/>
        <v>4825</v>
      </c>
      <c r="F50" s="10">
        <f t="shared" si="14"/>
        <v>4875</v>
      </c>
      <c r="G50" s="10">
        <f t="shared" si="14"/>
        <v>4900</v>
      </c>
      <c r="H50" s="10">
        <f t="shared" si="14"/>
        <v>4910</v>
      </c>
      <c r="I50" s="10">
        <f t="shared" si="14"/>
        <v>0</v>
      </c>
      <c r="J50" s="10">
        <f t="shared" si="14"/>
        <v>0</v>
      </c>
      <c r="K50" s="10">
        <f t="shared" si="14"/>
        <v>0</v>
      </c>
    </row>
    <row r="51" spans="1:11" x14ac:dyDescent="0.5">
      <c r="A51" s="177" t="str">
        <f t="shared" si="13"/>
        <v>FFF</v>
      </c>
      <c r="B51" s="177" t="str">
        <f t="shared" si="13"/>
        <v>Fusbol For Friends</v>
      </c>
      <c r="C51" s="177" t="str">
        <f t="shared" si="13"/>
        <v>Retail</v>
      </c>
      <c r="D51" s="10">
        <f t="shared" si="14"/>
        <v>0</v>
      </c>
      <c r="E51" s="10">
        <f t="shared" si="14"/>
        <v>3400</v>
      </c>
      <c r="F51" s="10">
        <f t="shared" si="14"/>
        <v>3435</v>
      </c>
      <c r="G51" s="10">
        <f t="shared" si="14"/>
        <v>3475</v>
      </c>
      <c r="H51" s="10">
        <f t="shared" si="14"/>
        <v>3550</v>
      </c>
      <c r="I51" s="10">
        <f t="shared" si="14"/>
        <v>3600</v>
      </c>
      <c r="J51" s="10">
        <f t="shared" si="14"/>
        <v>0</v>
      </c>
      <c r="K51" s="10">
        <f t="shared" si="14"/>
        <v>0</v>
      </c>
    </row>
    <row r="52" spans="1:11" ht="14.7" thickBot="1" x14ac:dyDescent="0.55000000000000004">
      <c r="A52" s="86" t="s">
        <v>146</v>
      </c>
      <c r="C52" s="113"/>
      <c r="D52" s="184">
        <f t="shared" ref="D52:K52" si="15">SUM(D46:D51)</f>
        <v>95650</v>
      </c>
      <c r="E52" s="184">
        <f t="shared" si="15"/>
        <v>93620</v>
      </c>
      <c r="F52" s="184">
        <f t="shared" si="15"/>
        <v>97035</v>
      </c>
      <c r="G52" s="184">
        <f t="shared" si="15"/>
        <v>101575</v>
      </c>
      <c r="H52" s="184">
        <f t="shared" si="15"/>
        <v>102110</v>
      </c>
      <c r="I52" s="184">
        <f t="shared" si="15"/>
        <v>101410</v>
      </c>
      <c r="J52" s="184">
        <f t="shared" si="15"/>
        <v>97325</v>
      </c>
      <c r="K52" s="184">
        <f t="shared" si="15"/>
        <v>0</v>
      </c>
    </row>
    <row r="53" spans="1:11" ht="14.7" thickTop="1" x14ac:dyDescent="0.5">
      <c r="A53" s="86"/>
      <c r="C53" s="113"/>
      <c r="D53" s="185"/>
      <c r="E53" s="185"/>
      <c r="F53" s="185"/>
      <c r="G53" s="185"/>
      <c r="H53" s="185"/>
      <c r="I53" s="185"/>
      <c r="J53" s="185"/>
      <c r="K53" s="185"/>
    </row>
    <row r="54" spans="1:11" x14ac:dyDescent="0.5">
      <c r="C54" s="113"/>
      <c r="D54" s="114"/>
      <c r="E54" s="114"/>
      <c r="F54" s="114"/>
      <c r="G54" s="114"/>
      <c r="H54" s="114"/>
      <c r="I54" s="114"/>
      <c r="J54" s="114"/>
      <c r="K54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6A071-8CCD-4D63-8B71-5C9252CDAC38}">
  <dimension ref="A1:L81"/>
  <sheetViews>
    <sheetView showGridLines="0" workbookViewId="0">
      <selection activeCell="Q22" sqref="Q22"/>
    </sheetView>
  </sheetViews>
  <sheetFormatPr defaultRowHeight="14.35" x14ac:dyDescent="0.5"/>
  <cols>
    <col min="1" max="1" width="9.234375" customWidth="1"/>
    <col min="2" max="3" width="9.41015625" customWidth="1"/>
    <col min="4" max="4" width="10.76171875" customWidth="1"/>
    <col min="5" max="5" width="10.3515625" customWidth="1"/>
    <col min="6" max="6" width="11.52734375" customWidth="1"/>
    <col min="7" max="10" width="11.8203125" customWidth="1"/>
    <col min="11" max="11" width="10.8203125" customWidth="1"/>
    <col min="12" max="12" width="9.76171875" customWidth="1"/>
    <col min="13" max="13" width="10" customWidth="1"/>
    <col min="256" max="256" width="13.41015625" customWidth="1"/>
    <col min="257" max="257" width="17.703125" customWidth="1"/>
    <col min="258" max="258" width="10.41015625" customWidth="1"/>
    <col min="259" max="266" width="11.8203125" customWidth="1"/>
    <col min="267" max="267" width="10.8203125" customWidth="1"/>
    <col min="268" max="268" width="9.76171875" customWidth="1"/>
    <col min="269" max="269" width="10" customWidth="1"/>
    <col min="512" max="512" width="13.41015625" customWidth="1"/>
    <col min="513" max="513" width="17.703125" customWidth="1"/>
    <col min="514" max="514" width="10.41015625" customWidth="1"/>
    <col min="515" max="522" width="11.8203125" customWidth="1"/>
    <col min="523" max="523" width="10.8203125" customWidth="1"/>
    <col min="524" max="524" width="9.76171875" customWidth="1"/>
    <col min="525" max="525" width="10" customWidth="1"/>
    <col min="768" max="768" width="13.41015625" customWidth="1"/>
    <col min="769" max="769" width="17.703125" customWidth="1"/>
    <col min="770" max="770" width="10.41015625" customWidth="1"/>
    <col min="771" max="778" width="11.8203125" customWidth="1"/>
    <col min="779" max="779" width="10.8203125" customWidth="1"/>
    <col min="780" max="780" width="9.76171875" customWidth="1"/>
    <col min="781" max="781" width="10" customWidth="1"/>
    <col min="1024" max="1024" width="13.41015625" customWidth="1"/>
    <col min="1025" max="1025" width="17.703125" customWidth="1"/>
    <col min="1026" max="1026" width="10.41015625" customWidth="1"/>
    <col min="1027" max="1034" width="11.8203125" customWidth="1"/>
    <col min="1035" max="1035" width="10.8203125" customWidth="1"/>
    <col min="1036" max="1036" width="9.76171875" customWidth="1"/>
    <col min="1037" max="1037" width="10" customWidth="1"/>
    <col min="1280" max="1280" width="13.41015625" customWidth="1"/>
    <col min="1281" max="1281" width="17.703125" customWidth="1"/>
    <col min="1282" max="1282" width="10.41015625" customWidth="1"/>
    <col min="1283" max="1290" width="11.8203125" customWidth="1"/>
    <col min="1291" max="1291" width="10.8203125" customWidth="1"/>
    <col min="1292" max="1292" width="9.76171875" customWidth="1"/>
    <col min="1293" max="1293" width="10" customWidth="1"/>
    <col min="1536" max="1536" width="13.41015625" customWidth="1"/>
    <col min="1537" max="1537" width="17.703125" customWidth="1"/>
    <col min="1538" max="1538" width="10.41015625" customWidth="1"/>
    <col min="1539" max="1546" width="11.8203125" customWidth="1"/>
    <col min="1547" max="1547" width="10.8203125" customWidth="1"/>
    <col min="1548" max="1548" width="9.76171875" customWidth="1"/>
    <col min="1549" max="1549" width="10" customWidth="1"/>
    <col min="1792" max="1792" width="13.41015625" customWidth="1"/>
    <col min="1793" max="1793" width="17.703125" customWidth="1"/>
    <col min="1794" max="1794" width="10.41015625" customWidth="1"/>
    <col min="1795" max="1802" width="11.8203125" customWidth="1"/>
    <col min="1803" max="1803" width="10.8203125" customWidth="1"/>
    <col min="1804" max="1804" width="9.76171875" customWidth="1"/>
    <col min="1805" max="1805" width="10" customWidth="1"/>
    <col min="2048" max="2048" width="13.41015625" customWidth="1"/>
    <col min="2049" max="2049" width="17.703125" customWidth="1"/>
    <col min="2050" max="2050" width="10.41015625" customWidth="1"/>
    <col min="2051" max="2058" width="11.8203125" customWidth="1"/>
    <col min="2059" max="2059" width="10.8203125" customWidth="1"/>
    <col min="2060" max="2060" width="9.76171875" customWidth="1"/>
    <col min="2061" max="2061" width="10" customWidth="1"/>
    <col min="2304" max="2304" width="13.41015625" customWidth="1"/>
    <col min="2305" max="2305" width="17.703125" customWidth="1"/>
    <col min="2306" max="2306" width="10.41015625" customWidth="1"/>
    <col min="2307" max="2314" width="11.8203125" customWidth="1"/>
    <col min="2315" max="2315" width="10.8203125" customWidth="1"/>
    <col min="2316" max="2316" width="9.76171875" customWidth="1"/>
    <col min="2317" max="2317" width="10" customWidth="1"/>
    <col min="2560" max="2560" width="13.41015625" customWidth="1"/>
    <col min="2561" max="2561" width="17.703125" customWidth="1"/>
    <col min="2562" max="2562" width="10.41015625" customWidth="1"/>
    <col min="2563" max="2570" width="11.8203125" customWidth="1"/>
    <col min="2571" max="2571" width="10.8203125" customWidth="1"/>
    <col min="2572" max="2572" width="9.76171875" customWidth="1"/>
    <col min="2573" max="2573" width="10" customWidth="1"/>
    <col min="2816" max="2816" width="13.41015625" customWidth="1"/>
    <col min="2817" max="2817" width="17.703125" customWidth="1"/>
    <col min="2818" max="2818" width="10.41015625" customWidth="1"/>
    <col min="2819" max="2826" width="11.8203125" customWidth="1"/>
    <col min="2827" max="2827" width="10.8203125" customWidth="1"/>
    <col min="2828" max="2828" width="9.76171875" customWidth="1"/>
    <col min="2829" max="2829" width="10" customWidth="1"/>
    <col min="3072" max="3072" width="13.41015625" customWidth="1"/>
    <col min="3073" max="3073" width="17.703125" customWidth="1"/>
    <col min="3074" max="3074" width="10.41015625" customWidth="1"/>
    <col min="3075" max="3082" width="11.8203125" customWidth="1"/>
    <col min="3083" max="3083" width="10.8203125" customWidth="1"/>
    <col min="3084" max="3084" width="9.76171875" customWidth="1"/>
    <col min="3085" max="3085" width="10" customWidth="1"/>
    <col min="3328" max="3328" width="13.41015625" customWidth="1"/>
    <col min="3329" max="3329" width="17.703125" customWidth="1"/>
    <col min="3330" max="3330" width="10.41015625" customWidth="1"/>
    <col min="3331" max="3338" width="11.8203125" customWidth="1"/>
    <col min="3339" max="3339" width="10.8203125" customWidth="1"/>
    <col min="3340" max="3340" width="9.76171875" customWidth="1"/>
    <col min="3341" max="3341" width="10" customWidth="1"/>
    <col min="3584" max="3584" width="13.41015625" customWidth="1"/>
    <col min="3585" max="3585" width="17.703125" customWidth="1"/>
    <col min="3586" max="3586" width="10.41015625" customWidth="1"/>
    <col min="3587" max="3594" width="11.8203125" customWidth="1"/>
    <col min="3595" max="3595" width="10.8203125" customWidth="1"/>
    <col min="3596" max="3596" width="9.76171875" customWidth="1"/>
    <col min="3597" max="3597" width="10" customWidth="1"/>
    <col min="3840" max="3840" width="13.41015625" customWidth="1"/>
    <col min="3841" max="3841" width="17.703125" customWidth="1"/>
    <col min="3842" max="3842" width="10.41015625" customWidth="1"/>
    <col min="3843" max="3850" width="11.8203125" customWidth="1"/>
    <col min="3851" max="3851" width="10.8203125" customWidth="1"/>
    <col min="3852" max="3852" width="9.76171875" customWidth="1"/>
    <col min="3853" max="3853" width="10" customWidth="1"/>
    <col min="4096" max="4096" width="13.41015625" customWidth="1"/>
    <col min="4097" max="4097" width="17.703125" customWidth="1"/>
    <col min="4098" max="4098" width="10.41015625" customWidth="1"/>
    <col min="4099" max="4106" width="11.8203125" customWidth="1"/>
    <col min="4107" max="4107" width="10.8203125" customWidth="1"/>
    <col min="4108" max="4108" width="9.76171875" customWidth="1"/>
    <col min="4109" max="4109" width="10" customWidth="1"/>
    <col min="4352" max="4352" width="13.41015625" customWidth="1"/>
    <col min="4353" max="4353" width="17.703125" customWidth="1"/>
    <col min="4354" max="4354" width="10.41015625" customWidth="1"/>
    <col min="4355" max="4362" width="11.8203125" customWidth="1"/>
    <col min="4363" max="4363" width="10.8203125" customWidth="1"/>
    <col min="4364" max="4364" width="9.76171875" customWidth="1"/>
    <col min="4365" max="4365" width="10" customWidth="1"/>
    <col min="4608" max="4608" width="13.41015625" customWidth="1"/>
    <col min="4609" max="4609" width="17.703125" customWidth="1"/>
    <col min="4610" max="4610" width="10.41015625" customWidth="1"/>
    <col min="4611" max="4618" width="11.8203125" customWidth="1"/>
    <col min="4619" max="4619" width="10.8203125" customWidth="1"/>
    <col min="4620" max="4620" width="9.76171875" customWidth="1"/>
    <col min="4621" max="4621" width="10" customWidth="1"/>
    <col min="4864" max="4864" width="13.41015625" customWidth="1"/>
    <col min="4865" max="4865" width="17.703125" customWidth="1"/>
    <col min="4866" max="4866" width="10.41015625" customWidth="1"/>
    <col min="4867" max="4874" width="11.8203125" customWidth="1"/>
    <col min="4875" max="4875" width="10.8203125" customWidth="1"/>
    <col min="4876" max="4876" width="9.76171875" customWidth="1"/>
    <col min="4877" max="4877" width="10" customWidth="1"/>
    <col min="5120" max="5120" width="13.41015625" customWidth="1"/>
    <col min="5121" max="5121" width="17.703125" customWidth="1"/>
    <col min="5122" max="5122" width="10.41015625" customWidth="1"/>
    <col min="5123" max="5130" width="11.8203125" customWidth="1"/>
    <col min="5131" max="5131" width="10.8203125" customWidth="1"/>
    <col min="5132" max="5132" width="9.76171875" customWidth="1"/>
    <col min="5133" max="5133" width="10" customWidth="1"/>
    <col min="5376" max="5376" width="13.41015625" customWidth="1"/>
    <col min="5377" max="5377" width="17.703125" customWidth="1"/>
    <col min="5378" max="5378" width="10.41015625" customWidth="1"/>
    <col min="5379" max="5386" width="11.8203125" customWidth="1"/>
    <col min="5387" max="5387" width="10.8203125" customWidth="1"/>
    <col min="5388" max="5388" width="9.76171875" customWidth="1"/>
    <col min="5389" max="5389" width="10" customWidth="1"/>
    <col min="5632" max="5632" width="13.41015625" customWidth="1"/>
    <col min="5633" max="5633" width="17.703125" customWidth="1"/>
    <col min="5634" max="5634" width="10.41015625" customWidth="1"/>
    <col min="5635" max="5642" width="11.8203125" customWidth="1"/>
    <col min="5643" max="5643" width="10.8203125" customWidth="1"/>
    <col min="5644" max="5644" width="9.76171875" customWidth="1"/>
    <col min="5645" max="5645" width="10" customWidth="1"/>
    <col min="5888" max="5888" width="13.41015625" customWidth="1"/>
    <col min="5889" max="5889" width="17.703125" customWidth="1"/>
    <col min="5890" max="5890" width="10.41015625" customWidth="1"/>
    <col min="5891" max="5898" width="11.8203125" customWidth="1"/>
    <col min="5899" max="5899" width="10.8203125" customWidth="1"/>
    <col min="5900" max="5900" width="9.76171875" customWidth="1"/>
    <col min="5901" max="5901" width="10" customWidth="1"/>
    <col min="6144" max="6144" width="13.41015625" customWidth="1"/>
    <col min="6145" max="6145" width="17.703125" customWidth="1"/>
    <col min="6146" max="6146" width="10.41015625" customWidth="1"/>
    <col min="6147" max="6154" width="11.8203125" customWidth="1"/>
    <col min="6155" max="6155" width="10.8203125" customWidth="1"/>
    <col min="6156" max="6156" width="9.76171875" customWidth="1"/>
    <col min="6157" max="6157" width="10" customWidth="1"/>
    <col min="6400" max="6400" width="13.41015625" customWidth="1"/>
    <col min="6401" max="6401" width="17.703125" customWidth="1"/>
    <col min="6402" max="6402" width="10.41015625" customWidth="1"/>
    <col min="6403" max="6410" width="11.8203125" customWidth="1"/>
    <col min="6411" max="6411" width="10.8203125" customWidth="1"/>
    <col min="6412" max="6412" width="9.76171875" customWidth="1"/>
    <col min="6413" max="6413" width="10" customWidth="1"/>
    <col min="6656" max="6656" width="13.41015625" customWidth="1"/>
    <col min="6657" max="6657" width="17.703125" customWidth="1"/>
    <col min="6658" max="6658" width="10.41015625" customWidth="1"/>
    <col min="6659" max="6666" width="11.8203125" customWidth="1"/>
    <col min="6667" max="6667" width="10.8203125" customWidth="1"/>
    <col min="6668" max="6668" width="9.76171875" customWidth="1"/>
    <col min="6669" max="6669" width="10" customWidth="1"/>
    <col min="6912" max="6912" width="13.41015625" customWidth="1"/>
    <col min="6913" max="6913" width="17.703125" customWidth="1"/>
    <col min="6914" max="6914" width="10.41015625" customWidth="1"/>
    <col min="6915" max="6922" width="11.8203125" customWidth="1"/>
    <col min="6923" max="6923" width="10.8203125" customWidth="1"/>
    <col min="6924" max="6924" width="9.76171875" customWidth="1"/>
    <col min="6925" max="6925" width="10" customWidth="1"/>
    <col min="7168" max="7168" width="13.41015625" customWidth="1"/>
    <col min="7169" max="7169" width="17.703125" customWidth="1"/>
    <col min="7170" max="7170" width="10.41015625" customWidth="1"/>
    <col min="7171" max="7178" width="11.8203125" customWidth="1"/>
    <col min="7179" max="7179" width="10.8203125" customWidth="1"/>
    <col min="7180" max="7180" width="9.76171875" customWidth="1"/>
    <col min="7181" max="7181" width="10" customWidth="1"/>
    <col min="7424" max="7424" width="13.41015625" customWidth="1"/>
    <col min="7425" max="7425" width="17.703125" customWidth="1"/>
    <col min="7426" max="7426" width="10.41015625" customWidth="1"/>
    <col min="7427" max="7434" width="11.8203125" customWidth="1"/>
    <col min="7435" max="7435" width="10.8203125" customWidth="1"/>
    <col min="7436" max="7436" width="9.76171875" customWidth="1"/>
    <col min="7437" max="7437" width="10" customWidth="1"/>
    <col min="7680" max="7680" width="13.41015625" customWidth="1"/>
    <col min="7681" max="7681" width="17.703125" customWidth="1"/>
    <col min="7682" max="7682" width="10.41015625" customWidth="1"/>
    <col min="7683" max="7690" width="11.8203125" customWidth="1"/>
    <col min="7691" max="7691" width="10.8203125" customWidth="1"/>
    <col min="7692" max="7692" width="9.76171875" customWidth="1"/>
    <col min="7693" max="7693" width="10" customWidth="1"/>
    <col min="7936" max="7936" width="13.41015625" customWidth="1"/>
    <col min="7937" max="7937" width="17.703125" customWidth="1"/>
    <col min="7938" max="7938" width="10.41015625" customWidth="1"/>
    <col min="7939" max="7946" width="11.8203125" customWidth="1"/>
    <col min="7947" max="7947" width="10.8203125" customWidth="1"/>
    <col min="7948" max="7948" width="9.76171875" customWidth="1"/>
    <col min="7949" max="7949" width="10" customWidth="1"/>
    <col min="8192" max="8192" width="13.41015625" customWidth="1"/>
    <col min="8193" max="8193" width="17.703125" customWidth="1"/>
    <col min="8194" max="8194" width="10.41015625" customWidth="1"/>
    <col min="8195" max="8202" width="11.8203125" customWidth="1"/>
    <col min="8203" max="8203" width="10.8203125" customWidth="1"/>
    <col min="8204" max="8204" width="9.76171875" customWidth="1"/>
    <col min="8205" max="8205" width="10" customWidth="1"/>
    <col min="8448" max="8448" width="13.41015625" customWidth="1"/>
    <col min="8449" max="8449" width="17.703125" customWidth="1"/>
    <col min="8450" max="8450" width="10.41015625" customWidth="1"/>
    <col min="8451" max="8458" width="11.8203125" customWidth="1"/>
    <col min="8459" max="8459" width="10.8203125" customWidth="1"/>
    <col min="8460" max="8460" width="9.76171875" customWidth="1"/>
    <col min="8461" max="8461" width="10" customWidth="1"/>
    <col min="8704" max="8704" width="13.41015625" customWidth="1"/>
    <col min="8705" max="8705" width="17.703125" customWidth="1"/>
    <col min="8706" max="8706" width="10.41015625" customWidth="1"/>
    <col min="8707" max="8714" width="11.8203125" customWidth="1"/>
    <col min="8715" max="8715" width="10.8203125" customWidth="1"/>
    <col min="8716" max="8716" width="9.76171875" customWidth="1"/>
    <col min="8717" max="8717" width="10" customWidth="1"/>
    <col min="8960" max="8960" width="13.41015625" customWidth="1"/>
    <col min="8961" max="8961" width="17.703125" customWidth="1"/>
    <col min="8962" max="8962" width="10.41015625" customWidth="1"/>
    <col min="8963" max="8970" width="11.8203125" customWidth="1"/>
    <col min="8971" max="8971" width="10.8203125" customWidth="1"/>
    <col min="8972" max="8972" width="9.76171875" customWidth="1"/>
    <col min="8973" max="8973" width="10" customWidth="1"/>
    <col min="9216" max="9216" width="13.41015625" customWidth="1"/>
    <col min="9217" max="9217" width="17.703125" customWidth="1"/>
    <col min="9218" max="9218" width="10.41015625" customWidth="1"/>
    <col min="9219" max="9226" width="11.8203125" customWidth="1"/>
    <col min="9227" max="9227" width="10.8203125" customWidth="1"/>
    <col min="9228" max="9228" width="9.76171875" customWidth="1"/>
    <col min="9229" max="9229" width="10" customWidth="1"/>
    <col min="9472" max="9472" width="13.41015625" customWidth="1"/>
    <col min="9473" max="9473" width="17.703125" customWidth="1"/>
    <col min="9474" max="9474" width="10.41015625" customWidth="1"/>
    <col min="9475" max="9482" width="11.8203125" customWidth="1"/>
    <col min="9483" max="9483" width="10.8203125" customWidth="1"/>
    <col min="9484" max="9484" width="9.76171875" customWidth="1"/>
    <col min="9485" max="9485" width="10" customWidth="1"/>
    <col min="9728" max="9728" width="13.41015625" customWidth="1"/>
    <col min="9729" max="9729" width="17.703125" customWidth="1"/>
    <col min="9730" max="9730" width="10.41015625" customWidth="1"/>
    <col min="9731" max="9738" width="11.8203125" customWidth="1"/>
    <col min="9739" max="9739" width="10.8203125" customWidth="1"/>
    <col min="9740" max="9740" width="9.76171875" customWidth="1"/>
    <col min="9741" max="9741" width="10" customWidth="1"/>
    <col min="9984" max="9984" width="13.41015625" customWidth="1"/>
    <col min="9985" max="9985" width="17.703125" customWidth="1"/>
    <col min="9986" max="9986" width="10.41015625" customWidth="1"/>
    <col min="9987" max="9994" width="11.8203125" customWidth="1"/>
    <col min="9995" max="9995" width="10.8203125" customWidth="1"/>
    <col min="9996" max="9996" width="9.76171875" customWidth="1"/>
    <col min="9997" max="9997" width="10" customWidth="1"/>
    <col min="10240" max="10240" width="13.41015625" customWidth="1"/>
    <col min="10241" max="10241" width="17.703125" customWidth="1"/>
    <col min="10242" max="10242" width="10.41015625" customWidth="1"/>
    <col min="10243" max="10250" width="11.8203125" customWidth="1"/>
    <col min="10251" max="10251" width="10.8203125" customWidth="1"/>
    <col min="10252" max="10252" width="9.76171875" customWidth="1"/>
    <col min="10253" max="10253" width="10" customWidth="1"/>
    <col min="10496" max="10496" width="13.41015625" customWidth="1"/>
    <col min="10497" max="10497" width="17.703125" customWidth="1"/>
    <col min="10498" max="10498" width="10.41015625" customWidth="1"/>
    <col min="10499" max="10506" width="11.8203125" customWidth="1"/>
    <col min="10507" max="10507" width="10.8203125" customWidth="1"/>
    <col min="10508" max="10508" width="9.76171875" customWidth="1"/>
    <col min="10509" max="10509" width="10" customWidth="1"/>
    <col min="10752" max="10752" width="13.41015625" customWidth="1"/>
    <col min="10753" max="10753" width="17.703125" customWidth="1"/>
    <col min="10754" max="10754" width="10.41015625" customWidth="1"/>
    <col min="10755" max="10762" width="11.8203125" customWidth="1"/>
    <col min="10763" max="10763" width="10.8203125" customWidth="1"/>
    <col min="10764" max="10764" width="9.76171875" customWidth="1"/>
    <col min="10765" max="10765" width="10" customWidth="1"/>
    <col min="11008" max="11008" width="13.41015625" customWidth="1"/>
    <col min="11009" max="11009" width="17.703125" customWidth="1"/>
    <col min="11010" max="11010" width="10.41015625" customWidth="1"/>
    <col min="11011" max="11018" width="11.8203125" customWidth="1"/>
    <col min="11019" max="11019" width="10.8203125" customWidth="1"/>
    <col min="11020" max="11020" width="9.76171875" customWidth="1"/>
    <col min="11021" max="11021" width="10" customWidth="1"/>
    <col min="11264" max="11264" width="13.41015625" customWidth="1"/>
    <col min="11265" max="11265" width="17.703125" customWidth="1"/>
    <col min="11266" max="11266" width="10.41015625" customWidth="1"/>
    <col min="11267" max="11274" width="11.8203125" customWidth="1"/>
    <col min="11275" max="11275" width="10.8203125" customWidth="1"/>
    <col min="11276" max="11276" width="9.76171875" customWidth="1"/>
    <col min="11277" max="11277" width="10" customWidth="1"/>
    <col min="11520" max="11520" width="13.41015625" customWidth="1"/>
    <col min="11521" max="11521" width="17.703125" customWidth="1"/>
    <col min="11522" max="11522" width="10.41015625" customWidth="1"/>
    <col min="11523" max="11530" width="11.8203125" customWidth="1"/>
    <col min="11531" max="11531" width="10.8203125" customWidth="1"/>
    <col min="11532" max="11532" width="9.76171875" customWidth="1"/>
    <col min="11533" max="11533" width="10" customWidth="1"/>
    <col min="11776" max="11776" width="13.41015625" customWidth="1"/>
    <col min="11777" max="11777" width="17.703125" customWidth="1"/>
    <col min="11778" max="11778" width="10.41015625" customWidth="1"/>
    <col min="11779" max="11786" width="11.8203125" customWidth="1"/>
    <col min="11787" max="11787" width="10.8203125" customWidth="1"/>
    <col min="11788" max="11788" width="9.76171875" customWidth="1"/>
    <col min="11789" max="11789" width="10" customWidth="1"/>
    <col min="12032" max="12032" width="13.41015625" customWidth="1"/>
    <col min="12033" max="12033" width="17.703125" customWidth="1"/>
    <col min="12034" max="12034" width="10.41015625" customWidth="1"/>
    <col min="12035" max="12042" width="11.8203125" customWidth="1"/>
    <col min="12043" max="12043" width="10.8203125" customWidth="1"/>
    <col min="12044" max="12044" width="9.76171875" customWidth="1"/>
    <col min="12045" max="12045" width="10" customWidth="1"/>
    <col min="12288" max="12288" width="13.41015625" customWidth="1"/>
    <col min="12289" max="12289" width="17.703125" customWidth="1"/>
    <col min="12290" max="12290" width="10.41015625" customWidth="1"/>
    <col min="12291" max="12298" width="11.8203125" customWidth="1"/>
    <col min="12299" max="12299" width="10.8203125" customWidth="1"/>
    <col min="12300" max="12300" width="9.76171875" customWidth="1"/>
    <col min="12301" max="12301" width="10" customWidth="1"/>
    <col min="12544" max="12544" width="13.41015625" customWidth="1"/>
    <col min="12545" max="12545" width="17.703125" customWidth="1"/>
    <col min="12546" max="12546" width="10.41015625" customWidth="1"/>
    <col min="12547" max="12554" width="11.8203125" customWidth="1"/>
    <col min="12555" max="12555" width="10.8203125" customWidth="1"/>
    <col min="12556" max="12556" width="9.76171875" customWidth="1"/>
    <col min="12557" max="12557" width="10" customWidth="1"/>
    <col min="12800" max="12800" width="13.41015625" customWidth="1"/>
    <col min="12801" max="12801" width="17.703125" customWidth="1"/>
    <col min="12802" max="12802" width="10.41015625" customWidth="1"/>
    <col min="12803" max="12810" width="11.8203125" customWidth="1"/>
    <col min="12811" max="12811" width="10.8203125" customWidth="1"/>
    <col min="12812" max="12812" width="9.76171875" customWidth="1"/>
    <col min="12813" max="12813" width="10" customWidth="1"/>
    <col min="13056" max="13056" width="13.41015625" customWidth="1"/>
    <col min="13057" max="13057" width="17.703125" customWidth="1"/>
    <col min="13058" max="13058" width="10.41015625" customWidth="1"/>
    <col min="13059" max="13066" width="11.8203125" customWidth="1"/>
    <col min="13067" max="13067" width="10.8203125" customWidth="1"/>
    <col min="13068" max="13068" width="9.76171875" customWidth="1"/>
    <col min="13069" max="13069" width="10" customWidth="1"/>
    <col min="13312" max="13312" width="13.41015625" customWidth="1"/>
    <col min="13313" max="13313" width="17.703125" customWidth="1"/>
    <col min="13314" max="13314" width="10.41015625" customWidth="1"/>
    <col min="13315" max="13322" width="11.8203125" customWidth="1"/>
    <col min="13323" max="13323" width="10.8203125" customWidth="1"/>
    <col min="13324" max="13324" width="9.76171875" customWidth="1"/>
    <col min="13325" max="13325" width="10" customWidth="1"/>
    <col min="13568" max="13568" width="13.41015625" customWidth="1"/>
    <col min="13569" max="13569" width="17.703125" customWidth="1"/>
    <col min="13570" max="13570" width="10.41015625" customWidth="1"/>
    <col min="13571" max="13578" width="11.8203125" customWidth="1"/>
    <col min="13579" max="13579" width="10.8203125" customWidth="1"/>
    <col min="13580" max="13580" width="9.76171875" customWidth="1"/>
    <col min="13581" max="13581" width="10" customWidth="1"/>
    <col min="13824" max="13824" width="13.41015625" customWidth="1"/>
    <col min="13825" max="13825" width="17.703125" customWidth="1"/>
    <col min="13826" max="13826" width="10.41015625" customWidth="1"/>
    <col min="13827" max="13834" width="11.8203125" customWidth="1"/>
    <col min="13835" max="13835" width="10.8203125" customWidth="1"/>
    <col min="13836" max="13836" width="9.76171875" customWidth="1"/>
    <col min="13837" max="13837" width="10" customWidth="1"/>
    <col min="14080" max="14080" width="13.41015625" customWidth="1"/>
    <col min="14081" max="14081" width="17.703125" customWidth="1"/>
    <col min="14082" max="14082" width="10.41015625" customWidth="1"/>
    <col min="14083" max="14090" width="11.8203125" customWidth="1"/>
    <col min="14091" max="14091" width="10.8203125" customWidth="1"/>
    <col min="14092" max="14092" width="9.76171875" customWidth="1"/>
    <col min="14093" max="14093" width="10" customWidth="1"/>
    <col min="14336" max="14336" width="13.41015625" customWidth="1"/>
    <col min="14337" max="14337" width="17.703125" customWidth="1"/>
    <col min="14338" max="14338" width="10.41015625" customWidth="1"/>
    <col min="14339" max="14346" width="11.8203125" customWidth="1"/>
    <col min="14347" max="14347" width="10.8203125" customWidth="1"/>
    <col min="14348" max="14348" width="9.76171875" customWidth="1"/>
    <col min="14349" max="14349" width="10" customWidth="1"/>
    <col min="14592" max="14592" width="13.41015625" customWidth="1"/>
    <col min="14593" max="14593" width="17.703125" customWidth="1"/>
    <col min="14594" max="14594" width="10.41015625" customWidth="1"/>
    <col min="14595" max="14602" width="11.8203125" customWidth="1"/>
    <col min="14603" max="14603" width="10.8203125" customWidth="1"/>
    <col min="14604" max="14604" width="9.76171875" customWidth="1"/>
    <col min="14605" max="14605" width="10" customWidth="1"/>
    <col min="14848" max="14848" width="13.41015625" customWidth="1"/>
    <col min="14849" max="14849" width="17.703125" customWidth="1"/>
    <col min="14850" max="14850" width="10.41015625" customWidth="1"/>
    <col min="14851" max="14858" width="11.8203125" customWidth="1"/>
    <col min="14859" max="14859" width="10.8203125" customWidth="1"/>
    <col min="14860" max="14860" width="9.76171875" customWidth="1"/>
    <col min="14861" max="14861" width="10" customWidth="1"/>
    <col min="15104" max="15104" width="13.41015625" customWidth="1"/>
    <col min="15105" max="15105" width="17.703125" customWidth="1"/>
    <col min="15106" max="15106" width="10.41015625" customWidth="1"/>
    <col min="15107" max="15114" width="11.8203125" customWidth="1"/>
    <col min="15115" max="15115" width="10.8203125" customWidth="1"/>
    <col min="15116" max="15116" width="9.76171875" customWidth="1"/>
    <col min="15117" max="15117" width="10" customWidth="1"/>
    <col min="15360" max="15360" width="13.41015625" customWidth="1"/>
    <col min="15361" max="15361" width="17.703125" customWidth="1"/>
    <col min="15362" max="15362" width="10.41015625" customWidth="1"/>
    <col min="15363" max="15370" width="11.8203125" customWidth="1"/>
    <col min="15371" max="15371" width="10.8203125" customWidth="1"/>
    <col min="15372" max="15372" width="9.76171875" customWidth="1"/>
    <col min="15373" max="15373" width="10" customWidth="1"/>
    <col min="15616" max="15616" width="13.41015625" customWidth="1"/>
    <col min="15617" max="15617" width="17.703125" customWidth="1"/>
    <col min="15618" max="15618" width="10.41015625" customWidth="1"/>
    <col min="15619" max="15626" width="11.8203125" customWidth="1"/>
    <col min="15627" max="15627" width="10.8203125" customWidth="1"/>
    <col min="15628" max="15628" width="9.76171875" customWidth="1"/>
    <col min="15629" max="15629" width="10" customWidth="1"/>
    <col min="15872" max="15872" width="13.41015625" customWidth="1"/>
    <col min="15873" max="15873" width="17.703125" customWidth="1"/>
    <col min="15874" max="15874" width="10.41015625" customWidth="1"/>
    <col min="15875" max="15882" width="11.8203125" customWidth="1"/>
    <col min="15883" max="15883" width="10.8203125" customWidth="1"/>
    <col min="15884" max="15884" width="9.76171875" customWidth="1"/>
    <col min="15885" max="15885" width="10" customWidth="1"/>
    <col min="16128" max="16128" width="13.41015625" customWidth="1"/>
    <col min="16129" max="16129" width="17.703125" customWidth="1"/>
    <col min="16130" max="16130" width="10.41015625" customWidth="1"/>
    <col min="16131" max="16138" width="11.8203125" customWidth="1"/>
    <col min="16139" max="16139" width="10.8203125" customWidth="1"/>
    <col min="16140" max="16140" width="9.76171875" customWidth="1"/>
    <col min="16141" max="16141" width="10" customWidth="1"/>
  </cols>
  <sheetData>
    <row r="1" spans="1:12" ht="23.35" x14ac:dyDescent="0.8">
      <c r="A1" s="133" t="s">
        <v>168</v>
      </c>
    </row>
    <row r="3" spans="1:12" ht="24.35" customHeight="1" x14ac:dyDescent="0.55000000000000004">
      <c r="A3" s="36" t="s">
        <v>187</v>
      </c>
      <c r="B3" s="109"/>
      <c r="C3" s="111"/>
      <c r="D3" s="109"/>
      <c r="E3" s="109"/>
      <c r="F3" s="109"/>
      <c r="G3" s="109"/>
      <c r="H3" s="109"/>
      <c r="I3" s="109"/>
      <c r="J3" s="109"/>
      <c r="K3" s="109"/>
      <c r="L3" s="109"/>
    </row>
    <row r="4" spans="1:12" s="64" customFormat="1" ht="15.35" customHeight="1" x14ac:dyDescent="0.5">
      <c r="A4" s="35"/>
      <c r="B4" s="35"/>
      <c r="C4" s="160"/>
      <c r="D4" s="35"/>
      <c r="E4" s="35"/>
      <c r="F4" s="35"/>
      <c r="G4" s="35"/>
      <c r="H4" s="35"/>
      <c r="I4" s="35"/>
      <c r="J4" s="35"/>
    </row>
    <row r="5" spans="1:12" ht="14.7" thickBot="1" x14ac:dyDescent="0.55000000000000004">
      <c r="A5" s="120" t="s">
        <v>231</v>
      </c>
      <c r="C5" s="113"/>
      <c r="D5" s="114"/>
      <c r="E5" s="114"/>
      <c r="F5" s="114"/>
      <c r="G5" s="114"/>
      <c r="H5" s="114"/>
      <c r="I5" s="114"/>
      <c r="J5" s="114"/>
      <c r="K5" s="114"/>
    </row>
    <row r="6" spans="1:12" ht="14.7" thickBot="1" x14ac:dyDescent="0.55000000000000004">
      <c r="A6" s="116" t="s">
        <v>101</v>
      </c>
      <c r="B6" s="115" t="s">
        <v>232</v>
      </c>
      <c r="C6" s="116"/>
      <c r="D6" s="117">
        <f>+'backup info 1'!E53</f>
        <v>43252</v>
      </c>
      <c r="E6" s="117">
        <f>+'backup info 1'!F53</f>
        <v>43282</v>
      </c>
      <c r="F6" s="117">
        <f>+'backup info 1'!G53</f>
        <v>43313</v>
      </c>
      <c r="G6" s="117">
        <f>+'backup info 1'!H53</f>
        <v>43344</v>
      </c>
      <c r="H6" s="117">
        <f>+'backup info 1'!I53</f>
        <v>43374</v>
      </c>
      <c r="I6" s="117">
        <f>+'backup info 1'!J53</f>
        <v>43405</v>
      </c>
      <c r="J6" s="117">
        <f>+'backup info 1'!K53</f>
        <v>43435</v>
      </c>
      <c r="K6" s="117">
        <f>+'backup info 1'!L53</f>
        <v>43466</v>
      </c>
      <c r="L6" s="190" t="s">
        <v>222</v>
      </c>
    </row>
    <row r="7" spans="1:12" ht="14.7" thickTop="1" x14ac:dyDescent="0.5">
      <c r="A7" s="177" t="str">
        <f>+'backup info 1'!A54</f>
        <v>AAA</v>
      </c>
      <c r="B7" s="191">
        <f>+'backup info 1'!I4</f>
        <v>42781</v>
      </c>
      <c r="C7" s="191">
        <f>+'backup info 1'!J4</f>
        <v>42962</v>
      </c>
      <c r="D7" s="49"/>
      <c r="E7" s="49"/>
      <c r="F7" s="49"/>
      <c r="G7" s="49">
        <f>+'backup info 1'!H4*'backup info 1'!D4/2</f>
        <v>26.25</v>
      </c>
      <c r="H7" s="49"/>
      <c r="I7" s="49"/>
      <c r="J7" s="49"/>
      <c r="K7" s="49"/>
      <c r="L7" s="192">
        <f>SUM(D7:K7)*'backup info 1'!H66</f>
        <v>3.5081836081713016</v>
      </c>
    </row>
    <row r="8" spans="1:12" x14ac:dyDescent="0.5">
      <c r="A8" s="177" t="str">
        <f>+'backup info 1'!A55</f>
        <v>BBB</v>
      </c>
      <c r="B8" s="191">
        <f>+'backup info 1'!I5</f>
        <v>42736</v>
      </c>
      <c r="C8" s="191">
        <f>+'backup info 1'!J5</f>
        <v>42917</v>
      </c>
      <c r="D8" s="49"/>
      <c r="E8" s="49"/>
      <c r="F8" s="49">
        <f>+'backup info 1'!H5*'backup info 1'!D5/2</f>
        <v>22.5</v>
      </c>
      <c r="G8" s="49"/>
      <c r="H8" s="49"/>
      <c r="I8" s="49"/>
      <c r="J8" s="49"/>
      <c r="K8" s="49"/>
      <c r="L8" s="192">
        <f>SUM(D8:K8)*'backup info 1'!H67</f>
        <v>0</v>
      </c>
    </row>
    <row r="9" spans="1:12" x14ac:dyDescent="0.5">
      <c r="A9" s="177" t="str">
        <f>+'backup info 1'!A56</f>
        <v>CCC</v>
      </c>
      <c r="B9" s="191">
        <f>+'backup info 1'!I6</f>
        <v>42809</v>
      </c>
      <c r="C9" s="191">
        <f>+'backup info 1'!J6</f>
        <v>42993</v>
      </c>
      <c r="D9" s="49"/>
      <c r="E9" s="49"/>
      <c r="F9" s="49"/>
      <c r="G9" s="49"/>
      <c r="H9" s="49">
        <f>+'backup info 1'!H6*'backup info 1'!D6/2</f>
        <v>35</v>
      </c>
      <c r="I9" s="49"/>
      <c r="J9" s="49"/>
      <c r="K9" s="49"/>
      <c r="L9" s="192">
        <f>SUM(D9:K9)*'backup info 1'!H68</f>
        <v>9.8289441299532374</v>
      </c>
    </row>
    <row r="10" spans="1:12" x14ac:dyDescent="0.5">
      <c r="A10" s="177" t="str">
        <f>+'backup info 1'!A57</f>
        <v>DDD</v>
      </c>
      <c r="B10" s="191">
        <f>+'backup info 1'!I7</f>
        <v>42750</v>
      </c>
      <c r="C10" s="191">
        <f>+'backup info 1'!J7</f>
        <v>42931</v>
      </c>
      <c r="D10" s="49"/>
      <c r="E10" s="49"/>
      <c r="F10" s="49">
        <f>+'backup info 1'!H7*'backup info 1'!D7/2</f>
        <v>17.5</v>
      </c>
      <c r="G10" s="49"/>
      <c r="H10" s="49"/>
      <c r="I10" s="49"/>
      <c r="J10" s="49"/>
      <c r="K10" s="49"/>
      <c r="L10" s="192">
        <f>SUM(D10:K10)*'backup info 1'!H69</f>
        <v>8.8038395274427756</v>
      </c>
    </row>
    <row r="11" spans="1:12" x14ac:dyDescent="0.5">
      <c r="A11" s="177" t="str">
        <f>+'backup info 1'!A58</f>
        <v>EEE</v>
      </c>
      <c r="B11" s="191">
        <f>+'backup info 1'!I8</f>
        <v>42826</v>
      </c>
      <c r="C11" s="191">
        <f>+'backup info 1'!J8</f>
        <v>43009</v>
      </c>
      <c r="D11" s="49"/>
      <c r="E11" s="49"/>
      <c r="F11" s="49"/>
      <c r="G11" s="49"/>
      <c r="H11" s="49">
        <f>'backup info 1'!H8*'backup info 1'!D8/2</f>
        <v>23.75</v>
      </c>
      <c r="I11" s="49"/>
      <c r="J11" s="49"/>
      <c r="K11" s="49"/>
      <c r="L11" s="192">
        <f>SUM(D11:K11)*'backup info 1'!H70</f>
        <v>1.1457051439822792</v>
      </c>
    </row>
    <row r="12" spans="1:12" x14ac:dyDescent="0.5">
      <c r="A12" s="177" t="str">
        <f>+'backup info 1'!A59</f>
        <v>FFF</v>
      </c>
      <c r="B12" s="191">
        <f>+'backup info 1'!I9</f>
        <v>42781</v>
      </c>
      <c r="C12" s="191">
        <f>+'backup info 1'!J9</f>
        <v>42962</v>
      </c>
      <c r="D12" s="49"/>
      <c r="E12" s="49"/>
      <c r="F12" s="49"/>
      <c r="G12" s="49">
        <f>+'backup info 1'!H9*'backup info 1'!D9/2</f>
        <v>40</v>
      </c>
      <c r="H12" s="49"/>
      <c r="I12" s="49"/>
      <c r="J12" s="49"/>
      <c r="K12" s="49"/>
      <c r="L12" s="192">
        <f>SUM(D12:K12)*'backup info 1'!H71</f>
        <v>1.3684469603741078</v>
      </c>
    </row>
    <row r="13" spans="1:12" ht="14.7" thickBot="1" x14ac:dyDescent="0.55000000000000004">
      <c r="A13" s="159"/>
      <c r="B13" s="213"/>
      <c r="C13" s="214"/>
      <c r="D13" s="215">
        <f>SUM(D7:D12)</f>
        <v>0</v>
      </c>
      <c r="E13" s="215">
        <f t="shared" ref="E13:K13" si="0">SUM(E7:E12)</f>
        <v>0</v>
      </c>
      <c r="F13" s="215">
        <f t="shared" si="0"/>
        <v>40</v>
      </c>
      <c r="G13" s="215">
        <f t="shared" si="0"/>
        <v>66.25</v>
      </c>
      <c r="H13" s="215">
        <f t="shared" si="0"/>
        <v>58.75</v>
      </c>
      <c r="I13" s="215">
        <f t="shared" si="0"/>
        <v>0</v>
      </c>
      <c r="J13" s="215">
        <f t="shared" si="0"/>
        <v>0</v>
      </c>
      <c r="K13" s="215">
        <f t="shared" si="0"/>
        <v>0</v>
      </c>
      <c r="L13" s="216">
        <f>SUM(L7:L12)</f>
        <v>24.655119369923703</v>
      </c>
    </row>
    <row r="14" spans="1:12" ht="15" thickTop="1" thickBot="1" x14ac:dyDescent="0.55000000000000004">
      <c r="B14" s="193"/>
      <c r="C14" s="113"/>
      <c r="K14" s="86" t="s">
        <v>233</v>
      </c>
      <c r="L14" s="212">
        <f>+L13*2</f>
        <v>49.310238739847406</v>
      </c>
    </row>
    <row r="15" spans="1:12" x14ac:dyDescent="0.5">
      <c r="A15" s="120" t="s">
        <v>231</v>
      </c>
      <c r="C15" s="113"/>
      <c r="D15" s="114">
        <v>0</v>
      </c>
      <c r="E15" s="114">
        <v>1</v>
      </c>
      <c r="F15" s="114">
        <v>2</v>
      </c>
      <c r="G15" s="114">
        <v>3</v>
      </c>
      <c r="H15" s="114">
        <v>4</v>
      </c>
      <c r="I15" s="114">
        <v>5</v>
      </c>
      <c r="J15" s="114">
        <v>6</v>
      </c>
      <c r="K15" s="114">
        <v>7</v>
      </c>
    </row>
    <row r="16" spans="1:12" ht="14.7" thickBot="1" x14ac:dyDescent="0.55000000000000004">
      <c r="A16" s="116" t="s">
        <v>101</v>
      </c>
      <c r="B16" s="115" t="s">
        <v>232</v>
      </c>
      <c r="C16" s="116"/>
      <c r="D16" s="117">
        <f t="shared" ref="D16:K16" si="1">+D6</f>
        <v>43252</v>
      </c>
      <c r="E16" s="117">
        <f t="shared" si="1"/>
        <v>43282</v>
      </c>
      <c r="F16" s="117">
        <f t="shared" si="1"/>
        <v>43313</v>
      </c>
      <c r="G16" s="117">
        <f t="shared" si="1"/>
        <v>43344</v>
      </c>
      <c r="H16" s="117">
        <f t="shared" si="1"/>
        <v>43374</v>
      </c>
      <c r="I16" s="117">
        <f t="shared" si="1"/>
        <v>43405</v>
      </c>
      <c r="J16" s="117">
        <f t="shared" si="1"/>
        <v>43435</v>
      </c>
      <c r="K16" s="117">
        <f t="shared" si="1"/>
        <v>43466</v>
      </c>
    </row>
    <row r="17" spans="1:11" ht="14.7" thickTop="1" x14ac:dyDescent="0.5">
      <c r="A17" s="177" t="str">
        <f t="shared" ref="A17:C22" si="2">+A7</f>
        <v>AAA</v>
      </c>
      <c r="B17" s="191">
        <f t="shared" si="2"/>
        <v>42781</v>
      </c>
      <c r="C17" s="191">
        <f t="shared" si="2"/>
        <v>42962</v>
      </c>
      <c r="E17" s="194">
        <f>+E7*'backup info 1'!F26</f>
        <v>0</v>
      </c>
      <c r="F17" s="194">
        <f>+F7*'backup info 1'!G26</f>
        <v>0</v>
      </c>
      <c r="G17" s="194">
        <f>+G7*'backup info 1'!H26</f>
        <v>393.75</v>
      </c>
      <c r="H17" s="194">
        <f>+H7*'backup info 1'!I26</f>
        <v>0</v>
      </c>
      <c r="I17" s="194">
        <f>+I7*'backup info 1'!J26</f>
        <v>0</v>
      </c>
      <c r="J17" s="194">
        <f>+J7*'backup info 1'!K26</f>
        <v>0</v>
      </c>
      <c r="K17" s="194">
        <f>+K7*'backup info 1'!L26</f>
        <v>0</v>
      </c>
    </row>
    <row r="18" spans="1:11" x14ac:dyDescent="0.5">
      <c r="A18" s="177" t="str">
        <f t="shared" si="2"/>
        <v>BBB</v>
      </c>
      <c r="B18" s="191">
        <f t="shared" si="2"/>
        <v>42736</v>
      </c>
      <c r="C18" s="191">
        <f t="shared" si="2"/>
        <v>42917</v>
      </c>
      <c r="E18" s="194">
        <f>+E8*'backup info 1'!F27</f>
        <v>0</v>
      </c>
      <c r="F18" s="194">
        <f>+F8*'backup info 1'!G27</f>
        <v>0</v>
      </c>
      <c r="G18" s="194">
        <f>+G8*'backup info 1'!H27</f>
        <v>0</v>
      </c>
      <c r="H18" s="194">
        <f>+H8*'backup info 1'!I27</f>
        <v>0</v>
      </c>
      <c r="I18" s="194">
        <f>+I8*'backup info 1'!J27</f>
        <v>0</v>
      </c>
      <c r="J18" s="194">
        <f>+J8*'backup info 1'!K27</f>
        <v>0</v>
      </c>
      <c r="K18" s="194">
        <f>+K8*'backup info 1'!L27</f>
        <v>0</v>
      </c>
    </row>
    <row r="19" spans="1:11" x14ac:dyDescent="0.5">
      <c r="A19" s="177" t="str">
        <f t="shared" si="2"/>
        <v>CCC</v>
      </c>
      <c r="B19" s="191">
        <f t="shared" si="2"/>
        <v>42809</v>
      </c>
      <c r="C19" s="191">
        <f t="shared" si="2"/>
        <v>42993</v>
      </c>
      <c r="E19" s="194">
        <f>+E9*'backup info 1'!F28</f>
        <v>0</v>
      </c>
      <c r="F19" s="194">
        <f>+F9*'backup info 1'!G28</f>
        <v>0</v>
      </c>
      <c r="G19" s="194">
        <f>+G9*'backup info 1'!H28</f>
        <v>0</v>
      </c>
      <c r="H19" s="194">
        <f>+H9*'backup info 1'!I28</f>
        <v>1225</v>
      </c>
      <c r="I19" s="194">
        <f>+I9*'backup info 1'!J28</f>
        <v>0</v>
      </c>
      <c r="J19" s="194">
        <f>+J9*'backup info 1'!K28</f>
        <v>0</v>
      </c>
      <c r="K19" s="194">
        <f>+K9*'backup info 1'!L28</f>
        <v>0</v>
      </c>
    </row>
    <row r="20" spans="1:11" x14ac:dyDescent="0.5">
      <c r="A20" s="177" t="str">
        <f t="shared" si="2"/>
        <v>DDD</v>
      </c>
      <c r="B20" s="191">
        <f t="shared" si="2"/>
        <v>42750</v>
      </c>
      <c r="C20" s="191">
        <f t="shared" si="2"/>
        <v>42931</v>
      </c>
      <c r="E20" s="194">
        <f>+E10*'backup info 1'!F29</f>
        <v>0</v>
      </c>
      <c r="F20" s="194">
        <f>+F10*'backup info 1'!G29</f>
        <v>875</v>
      </c>
      <c r="G20" s="194">
        <f>+G10*'backup info 1'!H29</f>
        <v>0</v>
      </c>
      <c r="H20" s="194">
        <f>+H10*'backup info 1'!I29</f>
        <v>0</v>
      </c>
      <c r="I20" s="194">
        <f>+I10*'backup info 1'!J29</f>
        <v>0</v>
      </c>
      <c r="J20" s="194">
        <f>+J10*'backup info 1'!K29</f>
        <v>0</v>
      </c>
      <c r="K20" s="194">
        <f>+K10*'backup info 1'!L29</f>
        <v>0</v>
      </c>
    </row>
    <row r="21" spans="1:11" x14ac:dyDescent="0.5">
      <c r="A21" s="177" t="str">
        <f t="shared" si="2"/>
        <v>EEE</v>
      </c>
      <c r="B21" s="191">
        <f t="shared" si="2"/>
        <v>42826</v>
      </c>
      <c r="C21" s="191">
        <f t="shared" si="2"/>
        <v>43009</v>
      </c>
      <c r="E21" s="194">
        <f>+E11*'backup info 1'!F30</f>
        <v>0</v>
      </c>
      <c r="F21" s="194">
        <f>+F11*'backup info 1'!G30</f>
        <v>0</v>
      </c>
      <c r="G21" s="194">
        <f>+G11*'backup info 1'!H30</f>
        <v>0</v>
      </c>
      <c r="H21" s="194">
        <f>+H11*'backup info 1'!I30</f>
        <v>118.75</v>
      </c>
      <c r="I21" s="194">
        <f>+I11*'backup info 1'!J30</f>
        <v>0</v>
      </c>
      <c r="J21" s="194">
        <f>+J11*'backup info 1'!K30</f>
        <v>0</v>
      </c>
      <c r="K21" s="194">
        <f>+K11*'backup info 1'!L30</f>
        <v>0</v>
      </c>
    </row>
    <row r="22" spans="1:11" x14ac:dyDescent="0.5">
      <c r="A22" s="177" t="str">
        <f t="shared" si="2"/>
        <v>FFF</v>
      </c>
      <c r="B22" s="191">
        <f t="shared" si="2"/>
        <v>42781</v>
      </c>
      <c r="C22" s="191">
        <f t="shared" si="2"/>
        <v>42962</v>
      </c>
      <c r="E22" s="195"/>
      <c r="F22" s="194">
        <f>+F12*'backup info 1'!G31</f>
        <v>0</v>
      </c>
      <c r="G22" s="194">
        <f>+G12*'backup info 1'!H31</f>
        <v>200</v>
      </c>
      <c r="H22" s="194">
        <f>+H12*'backup info 1'!I31</f>
        <v>0</v>
      </c>
      <c r="I22" s="194">
        <f>+I12*'backup info 1'!J31</f>
        <v>0</v>
      </c>
      <c r="J22" s="194">
        <f>+J12*'backup info 1'!K31</f>
        <v>0</v>
      </c>
      <c r="K22" s="194">
        <f>+K12*'backup info 1'!L31</f>
        <v>0</v>
      </c>
    </row>
    <row r="23" spans="1:11" ht="14.7" thickBot="1" x14ac:dyDescent="0.55000000000000004">
      <c r="A23" s="217" t="s">
        <v>146</v>
      </c>
      <c r="B23" s="218"/>
      <c r="C23" s="218"/>
      <c r="D23" s="159"/>
      <c r="E23" s="219">
        <f>SUM(E17:E22)</f>
        <v>0</v>
      </c>
      <c r="F23" s="219">
        <f t="shared" ref="F23:K23" si="3">SUM(F17:F22)</f>
        <v>875</v>
      </c>
      <c r="G23" s="219">
        <f t="shared" si="3"/>
        <v>593.75</v>
      </c>
      <c r="H23" s="196">
        <f t="shared" si="3"/>
        <v>1343.75</v>
      </c>
      <c r="I23" s="196">
        <f t="shared" si="3"/>
        <v>0</v>
      </c>
      <c r="J23" s="196">
        <f t="shared" si="3"/>
        <v>0</v>
      </c>
      <c r="K23" s="196">
        <f t="shared" si="3"/>
        <v>0</v>
      </c>
    </row>
    <row r="24" spans="1:11" ht="14.7" thickTop="1" x14ac:dyDescent="0.5">
      <c r="B24" s="193"/>
      <c r="C24" s="113"/>
    </row>
    <row r="25" spans="1:11" x14ac:dyDescent="0.5">
      <c r="A25" s="120" t="s">
        <v>234</v>
      </c>
      <c r="B25" s="193"/>
      <c r="C25" s="113"/>
    </row>
    <row r="26" spans="1:11" ht="14.7" thickBot="1" x14ac:dyDescent="0.55000000000000004">
      <c r="A26" s="116" t="s">
        <v>101</v>
      </c>
      <c r="B26" s="115" t="s">
        <v>232</v>
      </c>
      <c r="C26" s="116"/>
      <c r="D26" s="117">
        <f>+'backup info 1'!E34</f>
        <v>43252</v>
      </c>
      <c r="E26" s="117">
        <f>+'backup info 1'!F34</f>
        <v>43282</v>
      </c>
      <c r="F26" s="117">
        <f>+'backup info 1'!G34</f>
        <v>43313</v>
      </c>
      <c r="G26" s="117">
        <f>+'backup info 1'!H34</f>
        <v>43344</v>
      </c>
      <c r="H26" s="117">
        <f>+'backup info 1'!I34</f>
        <v>43374</v>
      </c>
      <c r="I26" s="117">
        <f>+'backup info 1'!J34</f>
        <v>43405</v>
      </c>
      <c r="J26" s="117">
        <f>+'backup info 1'!K34</f>
        <v>43435</v>
      </c>
      <c r="K26" s="117">
        <f>+'backup info 1'!L34</f>
        <v>43466</v>
      </c>
    </row>
    <row r="27" spans="1:11" ht="14.7" thickTop="1" x14ac:dyDescent="0.5">
      <c r="A27" s="177" t="str">
        <f t="shared" ref="A27:A32" si="4">+A17</f>
        <v>AAA</v>
      </c>
      <c r="B27" s="191">
        <f t="shared" ref="B27:C32" si="5">+B7</f>
        <v>42781</v>
      </c>
      <c r="C27" s="191">
        <f t="shared" si="5"/>
        <v>42962</v>
      </c>
      <c r="D27" s="197">
        <f>14+30+30+30+1</f>
        <v>105</v>
      </c>
      <c r="E27" s="197">
        <f>+D27+30</f>
        <v>135</v>
      </c>
      <c r="F27" s="197">
        <f>+E27+30</f>
        <v>165</v>
      </c>
      <c r="G27" s="197">
        <v>15</v>
      </c>
      <c r="H27" s="197">
        <f>G27+30</f>
        <v>45</v>
      </c>
      <c r="I27" s="197">
        <f>H27+30</f>
        <v>75</v>
      </c>
      <c r="J27" s="197">
        <f>I27+30</f>
        <v>105</v>
      </c>
      <c r="K27" s="197">
        <f>J27+30</f>
        <v>135</v>
      </c>
    </row>
    <row r="28" spans="1:11" x14ac:dyDescent="0.5">
      <c r="A28" s="177" t="str">
        <f t="shared" si="4"/>
        <v>BBB</v>
      </c>
      <c r="B28" s="191">
        <f t="shared" si="5"/>
        <v>42736</v>
      </c>
      <c r="C28" s="191">
        <f t="shared" si="5"/>
        <v>42917</v>
      </c>
      <c r="D28" s="197">
        <f>29+30+30+30+30+1</f>
        <v>150</v>
      </c>
      <c r="E28" s="197">
        <v>0</v>
      </c>
      <c r="F28" s="197">
        <f>+E28+30</f>
        <v>30</v>
      </c>
      <c r="G28" s="197">
        <f t="shared" ref="G28:K32" si="6">+F28+30</f>
        <v>60</v>
      </c>
      <c r="H28" s="197">
        <f t="shared" si="6"/>
        <v>90</v>
      </c>
      <c r="I28" s="197">
        <f t="shared" si="6"/>
        <v>120</v>
      </c>
      <c r="J28" s="197">
        <f t="shared" si="6"/>
        <v>150</v>
      </c>
      <c r="K28" s="197">
        <v>0</v>
      </c>
    </row>
    <row r="29" spans="1:11" x14ac:dyDescent="0.5">
      <c r="A29" s="177" t="str">
        <f t="shared" si="4"/>
        <v>CCC</v>
      </c>
      <c r="B29" s="191">
        <f t="shared" si="5"/>
        <v>42809</v>
      </c>
      <c r="C29" s="191">
        <f t="shared" si="5"/>
        <v>42993</v>
      </c>
      <c r="D29" s="197">
        <f>15+30+30+1</f>
        <v>76</v>
      </c>
      <c r="E29" s="197">
        <f t="shared" ref="E29:F32" si="7">+D29+30</f>
        <v>106</v>
      </c>
      <c r="F29" s="197">
        <f t="shared" si="7"/>
        <v>136</v>
      </c>
      <c r="G29" s="197">
        <f>+F29+30</f>
        <v>166</v>
      </c>
      <c r="H29" s="197">
        <v>16</v>
      </c>
      <c r="I29" s="197">
        <f t="shared" si="6"/>
        <v>46</v>
      </c>
      <c r="J29" s="197">
        <f t="shared" si="6"/>
        <v>76</v>
      </c>
      <c r="K29" s="197">
        <f t="shared" si="6"/>
        <v>106</v>
      </c>
    </row>
    <row r="30" spans="1:11" x14ac:dyDescent="0.5">
      <c r="A30" s="177" t="str">
        <f t="shared" si="4"/>
        <v>DDD</v>
      </c>
      <c r="B30" s="191">
        <f t="shared" si="5"/>
        <v>42750</v>
      </c>
      <c r="C30" s="191">
        <f t="shared" si="5"/>
        <v>42931</v>
      </c>
      <c r="D30" s="197">
        <f>15+30+30+30+30+1</f>
        <v>136</v>
      </c>
      <c r="E30" s="197">
        <f t="shared" si="7"/>
        <v>166</v>
      </c>
      <c r="F30" s="197">
        <v>16</v>
      </c>
      <c r="G30" s="197">
        <f t="shared" si="6"/>
        <v>46</v>
      </c>
      <c r="H30" s="197">
        <f t="shared" si="6"/>
        <v>76</v>
      </c>
      <c r="I30" s="197">
        <f t="shared" si="6"/>
        <v>106</v>
      </c>
      <c r="J30" s="197">
        <f t="shared" si="6"/>
        <v>136</v>
      </c>
      <c r="K30" s="197">
        <f t="shared" si="6"/>
        <v>166</v>
      </c>
    </row>
    <row r="31" spans="1:11" x14ac:dyDescent="0.5">
      <c r="A31" s="177" t="str">
        <f t="shared" si="4"/>
        <v>EEE</v>
      </c>
      <c r="B31" s="191">
        <f t="shared" si="5"/>
        <v>42826</v>
      </c>
      <c r="C31" s="191">
        <f t="shared" si="5"/>
        <v>43009</v>
      </c>
      <c r="D31" s="197">
        <f>29+30+1</f>
        <v>60</v>
      </c>
      <c r="E31" s="197">
        <f t="shared" si="7"/>
        <v>90</v>
      </c>
      <c r="F31" s="197">
        <f t="shared" si="7"/>
        <v>120</v>
      </c>
      <c r="G31" s="197">
        <f t="shared" si="6"/>
        <v>150</v>
      </c>
      <c r="H31" s="197">
        <v>0</v>
      </c>
      <c r="I31" s="197">
        <f t="shared" si="6"/>
        <v>30</v>
      </c>
      <c r="J31" s="197">
        <f t="shared" si="6"/>
        <v>60</v>
      </c>
      <c r="K31" s="197">
        <f t="shared" si="6"/>
        <v>90</v>
      </c>
    </row>
    <row r="32" spans="1:11" x14ac:dyDescent="0.5">
      <c r="A32" s="177" t="str">
        <f t="shared" si="4"/>
        <v>FFF</v>
      </c>
      <c r="B32" s="191">
        <f t="shared" si="5"/>
        <v>42781</v>
      </c>
      <c r="C32" s="191">
        <f t="shared" si="5"/>
        <v>42962</v>
      </c>
      <c r="D32" s="197">
        <f>14+30+30+30+1</f>
        <v>105</v>
      </c>
      <c r="E32" s="197">
        <f t="shared" si="7"/>
        <v>135</v>
      </c>
      <c r="F32" s="197">
        <f t="shared" si="7"/>
        <v>165</v>
      </c>
      <c r="G32" s="197">
        <v>15</v>
      </c>
      <c r="H32" s="197">
        <f t="shared" si="6"/>
        <v>45</v>
      </c>
      <c r="I32" s="197">
        <f t="shared" si="6"/>
        <v>75</v>
      </c>
      <c r="J32" s="197">
        <f t="shared" si="6"/>
        <v>105</v>
      </c>
      <c r="K32" s="197">
        <f t="shared" si="6"/>
        <v>135</v>
      </c>
    </row>
    <row r="33" spans="1:11" x14ac:dyDescent="0.5">
      <c r="A33" s="86"/>
      <c r="C33" s="113"/>
      <c r="D33" s="197"/>
      <c r="E33" s="197"/>
      <c r="F33" s="197"/>
      <c r="G33" s="197"/>
      <c r="H33" s="197"/>
      <c r="I33" s="197"/>
      <c r="J33" s="197"/>
      <c r="K33" s="197"/>
    </row>
    <row r="34" spans="1:11" x14ac:dyDescent="0.5">
      <c r="A34" s="120" t="s">
        <v>235</v>
      </c>
      <c r="B34" s="193"/>
      <c r="C34" s="113"/>
    </row>
    <row r="35" spans="1:11" ht="14.7" thickBot="1" x14ac:dyDescent="0.55000000000000004">
      <c r="A35" s="116" t="s">
        <v>101</v>
      </c>
      <c r="B35" s="115" t="s">
        <v>232</v>
      </c>
      <c r="C35" s="116"/>
      <c r="D35" s="117">
        <f>+'backup info 1'!E43</f>
        <v>43252</v>
      </c>
      <c r="E35" s="117">
        <f>+'backup info 1'!F43</f>
        <v>43282</v>
      </c>
      <c r="F35" s="117">
        <f>+'backup info 1'!G43</f>
        <v>43313</v>
      </c>
      <c r="G35" s="117">
        <f>+'backup info 1'!H43</f>
        <v>43344</v>
      </c>
      <c r="H35" s="117">
        <f>+'backup info 1'!I43</f>
        <v>43374</v>
      </c>
      <c r="I35" s="117">
        <f>+'backup info 1'!J43</f>
        <v>43405</v>
      </c>
      <c r="J35" s="117">
        <f>+'backup info 1'!K43</f>
        <v>43435</v>
      </c>
      <c r="K35" s="117">
        <f>+'backup info 1'!L43</f>
        <v>43466</v>
      </c>
    </row>
    <row r="36" spans="1:11" ht="14.7" thickTop="1" x14ac:dyDescent="0.5">
      <c r="A36" s="177" t="str">
        <f t="shared" ref="A36:A41" si="8">+A27</f>
        <v>AAA</v>
      </c>
      <c r="B36" s="191">
        <f t="shared" ref="B36:C41" si="9">+B17</f>
        <v>42781</v>
      </c>
      <c r="C36" s="191">
        <f t="shared" si="9"/>
        <v>42962</v>
      </c>
      <c r="D36" s="49">
        <f>-(D27/180)*('backup info 1'!$H4*'backup info 1'!$D4/2)</f>
        <v>-15.312500000000002</v>
      </c>
      <c r="E36" s="49">
        <f>-(E27/180)*('backup info 1'!$H4*'backup info 1'!$D4/2)</f>
        <v>-19.6875</v>
      </c>
      <c r="F36" s="49">
        <f>-(F27/180)*('backup info 1'!$H4*'backup info 1'!$D4/2)</f>
        <v>-24.0625</v>
      </c>
      <c r="G36" s="49">
        <f>-(G27/180)*('backup info 1'!$H4*'backup info 1'!$D4/2)</f>
        <v>-2.1875</v>
      </c>
      <c r="H36" s="49">
        <f>-(H27/180)*('backup info 1'!$H4*'backup info 1'!$D4/2)</f>
        <v>-6.5625</v>
      </c>
      <c r="I36" s="49">
        <f>-(I27/180)*('backup info 1'!$H4*'backup info 1'!$D4/2)</f>
        <v>-10.9375</v>
      </c>
      <c r="J36" s="49">
        <f>-(J27/180)*('backup info 1'!$H4*'backup info 1'!$D4/2)</f>
        <v>-15.312500000000002</v>
      </c>
      <c r="K36" s="49">
        <f>-(K27/180)*('backup info 1'!$H4*'backup info 1'!$D4/2)</f>
        <v>-19.6875</v>
      </c>
    </row>
    <row r="37" spans="1:11" x14ac:dyDescent="0.5">
      <c r="A37" s="177" t="str">
        <f t="shared" si="8"/>
        <v>BBB</v>
      </c>
      <c r="B37" s="191">
        <f t="shared" si="9"/>
        <v>42736</v>
      </c>
      <c r="C37" s="191">
        <f t="shared" si="9"/>
        <v>42917</v>
      </c>
      <c r="D37" s="49">
        <f>-(D28/180)*('backup info 1'!$H5*'backup info 1'!$D5/2)</f>
        <v>-18.75</v>
      </c>
      <c r="E37" s="49">
        <f>-(E28/180)*('backup info 1'!$H5*'backup info 1'!$D5/2)</f>
        <v>0</v>
      </c>
      <c r="F37" s="49">
        <f>-(F28/180)*('backup info 1'!$H5*'backup info 1'!$D5/2)</f>
        <v>-3.75</v>
      </c>
      <c r="G37" s="49">
        <f>-(G28/180)*('backup info 1'!$H5*'backup info 1'!$D5/2)</f>
        <v>-7.5</v>
      </c>
      <c r="H37" s="49">
        <f>-(H28/180)*('backup info 1'!$H5*'backup info 1'!$D5/2)</f>
        <v>-11.25</v>
      </c>
      <c r="I37" s="49">
        <f>-(I28/180)*('backup info 1'!$H5*'backup info 1'!$D5/2)</f>
        <v>-15</v>
      </c>
      <c r="J37" s="49">
        <f>-(J28/180)*('backup info 1'!$H5*'backup info 1'!$D5/2)</f>
        <v>-18.75</v>
      </c>
      <c r="K37" s="49">
        <f>-(K28/180)*('backup info 1'!$H5*'backup info 1'!$D5/2)</f>
        <v>0</v>
      </c>
    </row>
    <row r="38" spans="1:11" x14ac:dyDescent="0.5">
      <c r="A38" s="177" t="str">
        <f t="shared" si="8"/>
        <v>CCC</v>
      </c>
      <c r="B38" s="191">
        <f t="shared" si="9"/>
        <v>42809</v>
      </c>
      <c r="C38" s="191">
        <f t="shared" si="9"/>
        <v>42993</v>
      </c>
      <c r="D38" s="49">
        <f>-(D29/180)*('backup info 1'!$H6*'backup info 1'!$D6/2)</f>
        <v>-14.777777777777779</v>
      </c>
      <c r="E38" s="49">
        <f>-(E29/180)*('backup info 1'!$H6*'backup info 1'!$D6/2)</f>
        <v>-20.611111111111111</v>
      </c>
      <c r="F38" s="49">
        <f>-(F29/180)*('backup info 1'!$H6*'backup info 1'!$D6/2)</f>
        <v>-26.444444444444443</v>
      </c>
      <c r="G38" s="49">
        <f>-(G29/180)*('backup info 1'!$H6*'backup info 1'!$D6/2)</f>
        <v>-32.277777777777779</v>
      </c>
      <c r="H38" s="49">
        <f>-(H29/180)*('backup info 1'!$H6*'backup info 1'!$D6/2)</f>
        <v>-3.1111111111111112</v>
      </c>
      <c r="I38" s="49">
        <f>-(I29/180)*('backup info 1'!$H6*'backup info 1'!$D6/2)</f>
        <v>-8.9444444444444429</v>
      </c>
      <c r="J38" s="49">
        <f>-(J29/180)*('backup info 1'!$H6*'backup info 1'!$D6/2)</f>
        <v>-14.777777777777779</v>
      </c>
      <c r="K38" s="49">
        <f>-(K29/180)*('backup info 1'!$H6*'backup info 1'!$D6/2)</f>
        <v>-20.611111111111111</v>
      </c>
    </row>
    <row r="39" spans="1:11" x14ac:dyDescent="0.5">
      <c r="A39" s="177" t="str">
        <f t="shared" si="8"/>
        <v>DDD</v>
      </c>
      <c r="B39" s="191">
        <f t="shared" si="9"/>
        <v>42750</v>
      </c>
      <c r="C39" s="191">
        <f t="shared" si="9"/>
        <v>42931</v>
      </c>
      <c r="D39" s="49">
        <f>-(D30/180)*('backup info 1'!$H7*'backup info 1'!$D7/2)</f>
        <v>-13.222222222222221</v>
      </c>
      <c r="E39" s="49">
        <f>-(E30/180)*('backup info 1'!$H7*'backup info 1'!$D7/2)</f>
        <v>-16.138888888888889</v>
      </c>
      <c r="F39" s="49">
        <f>-(F30/180)*('backup info 1'!$H7*'backup info 1'!$D7/2)</f>
        <v>-1.5555555555555556</v>
      </c>
      <c r="G39" s="49">
        <f>-(G30/180)*('backup info 1'!$H7*'backup info 1'!$D7/2)</f>
        <v>-4.4722222222222214</v>
      </c>
      <c r="H39" s="49">
        <f>-(H30/180)*('backup info 1'!$H7*'backup info 1'!$D7/2)</f>
        <v>-7.3888888888888893</v>
      </c>
      <c r="I39" s="49">
        <f>-(I30/180)*('backup info 1'!$H7*'backup info 1'!$D7/2)</f>
        <v>-10.305555555555555</v>
      </c>
      <c r="J39" s="49">
        <f>-(J30/180)*('backup info 1'!$H7*'backup info 1'!$D7/2)</f>
        <v>-13.222222222222221</v>
      </c>
      <c r="K39" s="49">
        <f>-(K30/180)*('backup info 1'!$H7*'backup info 1'!$D7/2)</f>
        <v>-16.138888888888889</v>
      </c>
    </row>
    <row r="40" spans="1:11" x14ac:dyDescent="0.5">
      <c r="A40" s="177" t="str">
        <f t="shared" si="8"/>
        <v>EEE</v>
      </c>
      <c r="B40" s="191">
        <f t="shared" si="9"/>
        <v>42826</v>
      </c>
      <c r="C40" s="191">
        <f t="shared" si="9"/>
        <v>43009</v>
      </c>
      <c r="D40" s="49">
        <f>-(D31/180)*('backup info 1'!$H8*'backup info 1'!$D8/2)</f>
        <v>-7.9166666666666661</v>
      </c>
      <c r="E40" s="49">
        <f>-(E31/180)*('backup info 1'!$H8*'backup info 1'!$D8/2)</f>
        <v>-11.875</v>
      </c>
      <c r="F40" s="49">
        <f>-(F31/180)*('backup info 1'!$H8*'backup info 1'!$D8/2)</f>
        <v>-15.833333333333332</v>
      </c>
      <c r="G40" s="49">
        <f>-(G31/180)*('backup info 1'!$H8*'backup info 1'!$D8/2)</f>
        <v>-19.791666666666668</v>
      </c>
      <c r="H40" s="49">
        <f>-(H31/180)*('backup info 1'!$H8*'backup info 1'!$D8/2)</f>
        <v>0</v>
      </c>
      <c r="I40" s="49">
        <f>-(I31/180)*('backup info 1'!$H8*'backup info 1'!$D8/2)</f>
        <v>-3.958333333333333</v>
      </c>
      <c r="J40" s="49">
        <f>-(J31/180)*('backup info 1'!$H8*'backup info 1'!$D8/2)</f>
        <v>-7.9166666666666661</v>
      </c>
      <c r="K40" s="49">
        <f>-(K31/180)*('backup info 1'!$H8*'backup info 1'!$D8/2)</f>
        <v>-11.875</v>
      </c>
    </row>
    <row r="41" spans="1:11" x14ac:dyDescent="0.5">
      <c r="A41" s="177" t="str">
        <f t="shared" si="8"/>
        <v>FFF</v>
      </c>
      <c r="B41" s="191">
        <f t="shared" si="9"/>
        <v>42781</v>
      </c>
      <c r="C41" s="191">
        <f t="shared" si="9"/>
        <v>42962</v>
      </c>
      <c r="D41" s="49">
        <f>-(D32/180)*('backup info 1'!$H9*'backup info 1'!$D9/2)</f>
        <v>-23.333333333333336</v>
      </c>
      <c r="E41" s="49">
        <f>-(E32/180)*('backup info 1'!$H9*'backup info 1'!$D9/2)</f>
        <v>-30</v>
      </c>
      <c r="F41" s="49">
        <f>-(F32/180)*('backup info 1'!$H9*'backup info 1'!$D9/2)</f>
        <v>-36.666666666666664</v>
      </c>
      <c r="G41" s="49">
        <f>-(G32/180)*('backup info 1'!$H9*'backup info 1'!$D9/2)</f>
        <v>-3.333333333333333</v>
      </c>
      <c r="H41" s="49">
        <f>-(H32/180)*('backup info 1'!$H9*'backup info 1'!$D9/2)</f>
        <v>-10</v>
      </c>
      <c r="I41" s="49">
        <f>-(I32/180)*('backup info 1'!$H9*'backup info 1'!$D9/2)</f>
        <v>-16.666666666666668</v>
      </c>
      <c r="J41" s="49">
        <f>-(J32/180)*('backup info 1'!$H9*'backup info 1'!$D9/2)</f>
        <v>-23.333333333333336</v>
      </c>
      <c r="K41" s="49">
        <f>-(K32/180)*('backup info 1'!$H9*'backup info 1'!$D9/2)</f>
        <v>-30</v>
      </c>
    </row>
    <row r="42" spans="1:11" x14ac:dyDescent="0.5">
      <c r="C42" s="113"/>
    </row>
    <row r="43" spans="1:11" x14ac:dyDescent="0.5">
      <c r="A43" s="120" t="s">
        <v>236</v>
      </c>
      <c r="B43" s="193"/>
      <c r="C43" s="113"/>
    </row>
    <row r="44" spans="1:11" ht="14.7" thickBot="1" x14ac:dyDescent="0.55000000000000004">
      <c r="A44" s="116" t="s">
        <v>101</v>
      </c>
      <c r="B44" s="115" t="s">
        <v>232</v>
      </c>
      <c r="C44" s="116"/>
      <c r="D44" s="117">
        <f>+D35</f>
        <v>43252</v>
      </c>
      <c r="E44" s="117">
        <f t="shared" ref="E44:K44" si="10">+E35</f>
        <v>43282</v>
      </c>
      <c r="F44" s="117">
        <f t="shared" si="10"/>
        <v>43313</v>
      </c>
      <c r="G44" s="117">
        <f t="shared" si="10"/>
        <v>43344</v>
      </c>
      <c r="H44" s="117">
        <f t="shared" si="10"/>
        <v>43374</v>
      </c>
      <c r="I44" s="117">
        <f t="shared" si="10"/>
        <v>43405</v>
      </c>
      <c r="J44" s="117">
        <f t="shared" si="10"/>
        <v>43435</v>
      </c>
      <c r="K44" s="117">
        <f t="shared" si="10"/>
        <v>43466</v>
      </c>
    </row>
    <row r="45" spans="1:11" ht="14.7" thickTop="1" x14ac:dyDescent="0.5">
      <c r="A45" s="177" t="str">
        <f>+A36</f>
        <v>AAA</v>
      </c>
      <c r="B45" s="191">
        <f>+B36</f>
        <v>42781</v>
      </c>
      <c r="C45" s="191">
        <f>+C36</f>
        <v>42962</v>
      </c>
      <c r="D45" s="119">
        <f>D36*'backup info 1'!E35</f>
        <v>-229.68750000000003</v>
      </c>
      <c r="E45" s="119">
        <f>E36*'backup info 1'!F35</f>
        <v>0</v>
      </c>
      <c r="F45" s="119">
        <f>F36*'backup info 1'!G35</f>
        <v>0</v>
      </c>
      <c r="G45" s="119">
        <f>G36*'backup info 1'!H35</f>
        <v>0</v>
      </c>
      <c r="H45" s="119">
        <f>H36*'backup info 1'!I35</f>
        <v>0</v>
      </c>
      <c r="I45" s="119">
        <f>I36*'backup info 1'!J35</f>
        <v>0</v>
      </c>
      <c r="J45" s="119">
        <f>J36*'backup info 1'!K35</f>
        <v>0</v>
      </c>
      <c r="K45" s="119">
        <f>K36*'backup info 1'!L35</f>
        <v>295.3125</v>
      </c>
    </row>
    <row r="46" spans="1:11" x14ac:dyDescent="0.5">
      <c r="A46" s="177" t="str">
        <f t="shared" ref="A46:C50" si="11">+A37</f>
        <v>BBB</v>
      </c>
      <c r="B46" s="191">
        <f t="shared" si="11"/>
        <v>42736</v>
      </c>
      <c r="C46" s="191">
        <f t="shared" si="11"/>
        <v>42917</v>
      </c>
      <c r="D46" s="119">
        <f>D37*'backup info 1'!E36</f>
        <v>-375</v>
      </c>
      <c r="E46" s="119">
        <f>E37*'backup info 1'!F36</f>
        <v>0</v>
      </c>
      <c r="F46" s="119">
        <f>F37*'backup info 1'!G36</f>
        <v>30</v>
      </c>
      <c r="G46" s="119">
        <f>G37*'backup info 1'!H36</f>
        <v>0</v>
      </c>
      <c r="H46" s="119">
        <f>H37*'backup info 1'!I36</f>
        <v>0</v>
      </c>
      <c r="I46" s="119">
        <f>I37*'backup info 1'!J36</f>
        <v>0</v>
      </c>
      <c r="J46" s="119">
        <f>J37*'backup info 1'!K36</f>
        <v>0</v>
      </c>
      <c r="K46" s="119">
        <f>K37*'backup info 1'!L36</f>
        <v>0</v>
      </c>
    </row>
    <row r="47" spans="1:11" x14ac:dyDescent="0.5">
      <c r="A47" s="177" t="str">
        <f t="shared" si="11"/>
        <v>CCC</v>
      </c>
      <c r="B47" s="191">
        <f t="shared" si="11"/>
        <v>42809</v>
      </c>
      <c r="C47" s="191">
        <f t="shared" si="11"/>
        <v>42993</v>
      </c>
      <c r="D47" s="119">
        <f>D38*'backup info 1'!E37</f>
        <v>-443.33333333333337</v>
      </c>
      <c r="E47" s="119">
        <f>E38*'backup info 1'!F37</f>
        <v>0</v>
      </c>
      <c r="F47" s="119">
        <f>F38*'backup info 1'!G37</f>
        <v>0</v>
      </c>
      <c r="G47" s="119">
        <f>G38*'backup info 1'!H37</f>
        <v>-161.38888888888889</v>
      </c>
      <c r="H47" s="119">
        <f>H38*'backup info 1'!I37</f>
        <v>0</v>
      </c>
      <c r="I47" s="119">
        <f>I38*'backup info 1'!J37</f>
        <v>-44.722222222222214</v>
      </c>
      <c r="J47" s="119">
        <f>J38*'backup info 1'!K37</f>
        <v>0</v>
      </c>
      <c r="K47" s="119">
        <f>K38*'backup info 1'!L37</f>
        <v>824.44444444444446</v>
      </c>
    </row>
    <row r="48" spans="1:11" x14ac:dyDescent="0.5">
      <c r="A48" s="177" t="str">
        <f t="shared" si="11"/>
        <v>DDD</v>
      </c>
      <c r="B48" s="191">
        <f t="shared" si="11"/>
        <v>42750</v>
      </c>
      <c r="C48" s="191">
        <f t="shared" si="11"/>
        <v>42931</v>
      </c>
      <c r="D48" s="119">
        <f>D39*'backup info 1'!E38</f>
        <v>-528.88888888888891</v>
      </c>
      <c r="E48" s="119">
        <f>E39*'backup info 1'!F38</f>
        <v>0</v>
      </c>
      <c r="F48" s="119">
        <f>F39*'backup info 1'!G38</f>
        <v>-15.555555555555555</v>
      </c>
      <c r="G48" s="119">
        <f>G39*'backup info 1'!H38</f>
        <v>0</v>
      </c>
      <c r="H48" s="119">
        <f>H39*'backup info 1'!I38</f>
        <v>0</v>
      </c>
      <c r="I48" s="119">
        <f>I39*'backup info 1'!J38</f>
        <v>0</v>
      </c>
      <c r="J48" s="119">
        <f>J39*'backup info 1'!K38</f>
        <v>0</v>
      </c>
      <c r="K48" s="119">
        <f>K39*'backup info 1'!L38</f>
        <v>806.94444444444446</v>
      </c>
    </row>
    <row r="49" spans="1:11" x14ac:dyDescent="0.5">
      <c r="A49" s="177" t="str">
        <f t="shared" si="11"/>
        <v>EEE</v>
      </c>
      <c r="B49" s="191">
        <f t="shared" si="11"/>
        <v>42826</v>
      </c>
      <c r="C49" s="191">
        <f t="shared" si="11"/>
        <v>43009</v>
      </c>
      <c r="D49" s="119">
        <f>D40*'backup info 1'!E39</f>
        <v>0</v>
      </c>
      <c r="E49" s="119">
        <f>E40*'backup info 1'!F39</f>
        <v>-59.375</v>
      </c>
      <c r="F49" s="119">
        <f>F40*'backup info 1'!G39</f>
        <v>0</v>
      </c>
      <c r="G49" s="119">
        <f>G40*'backup info 1'!H39</f>
        <v>0</v>
      </c>
      <c r="H49" s="119">
        <f>H40*'backup info 1'!I39</f>
        <v>0</v>
      </c>
      <c r="I49" s="119">
        <f>I40*'backup info 1'!J39</f>
        <v>19.791666666666664</v>
      </c>
      <c r="J49" s="119">
        <f>J40*'backup info 1'!K39</f>
        <v>0</v>
      </c>
      <c r="K49" s="119">
        <f>K40*'backup info 1'!L39</f>
        <v>0</v>
      </c>
    </row>
    <row r="50" spans="1:11" x14ac:dyDescent="0.5">
      <c r="A50" s="177" t="str">
        <f t="shared" si="11"/>
        <v>FFF</v>
      </c>
      <c r="B50" s="191">
        <f t="shared" si="11"/>
        <v>42781</v>
      </c>
      <c r="C50" s="191">
        <f t="shared" si="11"/>
        <v>42962</v>
      </c>
      <c r="D50" s="119">
        <f>D41*'backup info 1'!E40</f>
        <v>0</v>
      </c>
      <c r="E50" s="119">
        <f>E41*'backup info 1'!F40</f>
        <v>-150</v>
      </c>
      <c r="F50" s="119">
        <f>F41*'backup info 1'!G40</f>
        <v>0</v>
      </c>
      <c r="G50" s="119">
        <f>G41*'backup info 1'!H40</f>
        <v>0</v>
      </c>
      <c r="H50" s="119">
        <f>H41*'backup info 1'!I40</f>
        <v>0</v>
      </c>
      <c r="I50" s="119">
        <f>I41*'backup info 1'!J40</f>
        <v>0</v>
      </c>
      <c r="J50" s="119">
        <f>J41*'backup info 1'!K40</f>
        <v>116.66666666666669</v>
      </c>
      <c r="K50" s="119">
        <f>K41*'backup info 1'!L40</f>
        <v>0</v>
      </c>
    </row>
    <row r="51" spans="1:11" ht="14.7" thickBot="1" x14ac:dyDescent="0.55000000000000004">
      <c r="A51" s="86" t="s">
        <v>237</v>
      </c>
      <c r="D51" s="198">
        <f>SUM(D45:D50)</f>
        <v>-1576.9097222222224</v>
      </c>
      <c r="E51" s="198">
        <f t="shared" ref="E51:K51" si="12">SUM(E45:E50)</f>
        <v>-209.375</v>
      </c>
      <c r="F51" s="198">
        <f t="shared" si="12"/>
        <v>14.444444444444445</v>
      </c>
      <c r="G51" s="198">
        <f t="shared" si="12"/>
        <v>-161.38888888888889</v>
      </c>
      <c r="H51" s="198">
        <f t="shared" si="12"/>
        <v>0</v>
      </c>
      <c r="I51" s="198">
        <f t="shared" si="12"/>
        <v>-24.93055555555555</v>
      </c>
      <c r="J51" s="198">
        <f t="shared" si="12"/>
        <v>116.66666666666669</v>
      </c>
      <c r="K51" s="198">
        <f t="shared" si="12"/>
        <v>1926.7013888888887</v>
      </c>
    </row>
    <row r="53" spans="1:11" x14ac:dyDescent="0.5">
      <c r="A53" s="11" t="s">
        <v>245</v>
      </c>
    </row>
    <row r="54" spans="1:11" s="75" customFormat="1" ht="39" thickBot="1" x14ac:dyDescent="0.55000000000000004">
      <c r="A54" s="204" t="s">
        <v>101</v>
      </c>
      <c r="B54" s="156" t="s">
        <v>246</v>
      </c>
      <c r="C54" s="204"/>
      <c r="D54" s="155">
        <f t="shared" ref="D54:K54" si="13">+D44</f>
        <v>43252</v>
      </c>
      <c r="E54" s="155">
        <f t="shared" si="13"/>
        <v>43282</v>
      </c>
      <c r="F54" s="155">
        <f t="shared" si="13"/>
        <v>43313</v>
      </c>
      <c r="G54" s="155">
        <f t="shared" si="13"/>
        <v>43344</v>
      </c>
      <c r="H54" s="155">
        <f t="shared" si="13"/>
        <v>43374</v>
      </c>
      <c r="I54" s="155">
        <f t="shared" si="13"/>
        <v>43405</v>
      </c>
      <c r="J54" s="155">
        <f t="shared" si="13"/>
        <v>43435</v>
      </c>
      <c r="K54" s="155">
        <f t="shared" si="13"/>
        <v>43466</v>
      </c>
    </row>
    <row r="55" spans="1:11" ht="14.7" thickTop="1" x14ac:dyDescent="0.5">
      <c r="A55" s="49" t="str">
        <f t="shared" ref="A55:A60" si="14">+A45</f>
        <v>AAA</v>
      </c>
      <c r="B55" s="206">
        <f>+'backup info 1'!H4*'backup info 1'!D4</f>
        <v>52.5</v>
      </c>
      <c r="D55" s="13">
        <f>+$B55/'backup info 1'!E14</f>
        <v>5.8988764044943819E-2</v>
      </c>
      <c r="E55" s="13">
        <f>+$B55/'backup info 1'!F14</f>
        <v>5.8790593505039193E-2</v>
      </c>
      <c r="F55" s="13">
        <f>+$B55/'backup info 1'!G14</f>
        <v>5.8659217877094973E-2</v>
      </c>
      <c r="G55" s="13">
        <f>+$B55/'backup info 1'!H14</f>
        <v>5.8011049723756904E-2</v>
      </c>
      <c r="H55" s="13">
        <f>+$B55/'backup info 1'!I14</f>
        <v>5.7692307692307696E-2</v>
      </c>
      <c r="I55" s="13">
        <f>+$B55/'backup info 1'!J14</f>
        <v>5.7565789473684209E-2</v>
      </c>
      <c r="J55" s="13">
        <f>+$B55/'backup info 1'!K14</f>
        <v>5.737704918032787E-2</v>
      </c>
      <c r="K55" s="13">
        <f>+$B55/'backup info 1'!L14</f>
        <v>5.7692307692307696E-2</v>
      </c>
    </row>
    <row r="56" spans="1:11" x14ac:dyDescent="0.5">
      <c r="A56" s="49" t="str">
        <f t="shared" si="14"/>
        <v>BBB</v>
      </c>
      <c r="B56" s="206">
        <f>+'backup info 1'!H5*'backup info 1'!D5</f>
        <v>45</v>
      </c>
      <c r="D56" s="13">
        <f>+$B56/'backup info 1'!E15</f>
        <v>4.9450549450549448E-2</v>
      </c>
      <c r="E56" s="13">
        <f>+$B56/'backup info 1'!F15</f>
        <v>4.8648648648648651E-2</v>
      </c>
      <c r="F56" s="13">
        <f>+$B56/'backup info 1'!G15</f>
        <v>4.9180327868852458E-2</v>
      </c>
      <c r="G56" s="13">
        <f>+$B56/'backup info 1'!H15</f>
        <v>4.8648648648648651E-2</v>
      </c>
      <c r="H56" s="13">
        <f>+$B56/'backup info 1'!I15</f>
        <v>4.9180327868852458E-2</v>
      </c>
      <c r="I56" s="13">
        <f>+$B56/'backup info 1'!J15</f>
        <v>4.8806941431670282E-2</v>
      </c>
      <c r="J56" s="13">
        <f>+$B56/'backup info 1'!K15</f>
        <v>4.8128342245989303E-2</v>
      </c>
      <c r="K56" s="13">
        <f>+$B56/'backup info 1'!L15</f>
        <v>4.8387096774193547E-2</v>
      </c>
    </row>
    <row r="57" spans="1:11" x14ac:dyDescent="0.5">
      <c r="A57" s="49" t="str">
        <f t="shared" si="14"/>
        <v>CCC</v>
      </c>
      <c r="B57" s="206">
        <f>+'backup info 1'!H6*'backup info 1'!D6</f>
        <v>70</v>
      </c>
      <c r="D57" s="13">
        <f>+$B57/'backup info 1'!E16</f>
        <v>8.8607594936708861E-2</v>
      </c>
      <c r="E57" s="13">
        <f>+$B57/'backup info 1'!F16</f>
        <v>8.7499999999999994E-2</v>
      </c>
      <c r="F57" s="13">
        <f>+$B57/'backup info 1'!G16</f>
        <v>8.6419753086419748E-2</v>
      </c>
      <c r="G57" s="13">
        <f>+$B57/'backup info 1'!H16</f>
        <v>8.5889570552147243E-2</v>
      </c>
      <c r="H57" s="13">
        <f>+$B57/'backup info 1'!I16</f>
        <v>8.5365853658536592E-2</v>
      </c>
      <c r="I57" s="13">
        <f>+$B57/'backup info 1'!J16</f>
        <v>8.5158150851581502E-2</v>
      </c>
      <c r="J57" s="13">
        <f>+$B57/'backup info 1'!K16</f>
        <v>8.5889570552147243E-2</v>
      </c>
      <c r="K57" s="13">
        <f>+$B57/'backup info 1'!L16</f>
        <v>8.7499999999999994E-2</v>
      </c>
    </row>
    <row r="58" spans="1:11" x14ac:dyDescent="0.5">
      <c r="A58" s="49" t="str">
        <f t="shared" si="14"/>
        <v>DDD</v>
      </c>
      <c r="B58" s="206">
        <f>+'backup info 1'!H7*'backup info 1'!D7</f>
        <v>35</v>
      </c>
      <c r="D58" s="13">
        <f>+$B58/'backup info 1'!E17</f>
        <v>3.4653465346534656E-2</v>
      </c>
      <c r="E58" s="13">
        <f>+$B58/'backup info 1'!F17</f>
        <v>3.4482758620689655E-2</v>
      </c>
      <c r="F58" s="13">
        <f>+$B58/'backup info 1'!G17</f>
        <v>3.4313725490196081E-2</v>
      </c>
      <c r="G58" s="13">
        <f>+$B58/'backup info 1'!H17</f>
        <v>3.4246575342465752E-2</v>
      </c>
      <c r="H58" s="13">
        <f>+$B58/'backup info 1'!I17</f>
        <v>3.4113060428849901E-2</v>
      </c>
      <c r="I58" s="13">
        <f>+$B58/'backup info 1'!J17</f>
        <v>3.4146341463414637E-2</v>
      </c>
      <c r="J58" s="13">
        <f>+$B58/'backup info 1'!K17</f>
        <v>3.4313725490196081E-2</v>
      </c>
      <c r="K58" s="13">
        <f>+$B58/'backup info 1'!L17</f>
        <v>3.4079844206426485E-2</v>
      </c>
    </row>
    <row r="59" spans="1:11" x14ac:dyDescent="0.5">
      <c r="A59" s="49" t="str">
        <f t="shared" si="14"/>
        <v>EEE</v>
      </c>
      <c r="B59" s="206">
        <f>+'backup info 1'!H8*'backup info 1'!D8</f>
        <v>47.5</v>
      </c>
      <c r="D59" s="13">
        <f>+$B59/'backup info 1'!E18</f>
        <v>0.05</v>
      </c>
      <c r="E59" s="13">
        <f>+$B59/'backup info 1'!F18</f>
        <v>4.9222797927461141E-2</v>
      </c>
      <c r="F59" s="13">
        <f>+$B59/'backup info 1'!G18</f>
        <v>4.8717948717948718E-2</v>
      </c>
      <c r="G59" s="13">
        <f>+$B59/'backup info 1'!H18</f>
        <v>4.8469387755102039E-2</v>
      </c>
      <c r="H59" s="13">
        <f>+$B59/'backup info 1'!I18</f>
        <v>4.8370672097759672E-2</v>
      </c>
      <c r="I59" s="13">
        <f>+$B59/'backup info 1'!J18</f>
        <v>4.7738693467336682E-2</v>
      </c>
      <c r="J59" s="13">
        <f>+$B59/'backup info 1'!K18</f>
        <v>4.7500000000000001E-2</v>
      </c>
      <c r="K59" s="13">
        <f>+$B59/'backup info 1'!L18</f>
        <v>4.702970297029703E-2</v>
      </c>
    </row>
    <row r="60" spans="1:11" x14ac:dyDescent="0.5">
      <c r="A60" s="49" t="str">
        <f t="shared" si="14"/>
        <v>FFF</v>
      </c>
      <c r="B60" s="206">
        <f>+'backup info 1'!H9*'backup info 1'!D9</f>
        <v>80</v>
      </c>
      <c r="D60" s="13">
        <f>+$B60/'backup info 1'!E19</f>
        <v>0.125</v>
      </c>
      <c r="E60" s="13">
        <f>+$B60/'backup info 1'!F19</f>
        <v>0.11764705882352941</v>
      </c>
      <c r="F60" s="13">
        <f>+$B60/'backup info 1'!G19</f>
        <v>0.11644832605531295</v>
      </c>
      <c r="G60" s="13">
        <f>+$B60/'backup info 1'!H19</f>
        <v>0.11510791366906475</v>
      </c>
      <c r="H60" s="13">
        <f>+$B60/'backup info 1'!I19</f>
        <v>0.11267605633802817</v>
      </c>
      <c r="I60" s="13">
        <f>+$B60/'backup info 1'!J19</f>
        <v>0.1111111111111111</v>
      </c>
      <c r="J60" s="13">
        <f>+$B60/'backup info 1'!K19</f>
        <v>0.11267605633802817</v>
      </c>
      <c r="K60" s="13">
        <f>+$B60/'backup info 1'!L19</f>
        <v>0.11428571428571428</v>
      </c>
    </row>
    <row r="62" spans="1:11" x14ac:dyDescent="0.5">
      <c r="A62" s="11" t="s">
        <v>247</v>
      </c>
    </row>
    <row r="63" spans="1:11" ht="14.7" thickBot="1" x14ac:dyDescent="0.55000000000000004">
      <c r="A63" s="204" t="s">
        <v>101</v>
      </c>
      <c r="B63" s="156" t="s">
        <v>248</v>
      </c>
      <c r="C63" s="204"/>
      <c r="D63" s="155">
        <f>+D54</f>
        <v>43252</v>
      </c>
      <c r="E63" s="155">
        <f t="shared" ref="E63:K63" si="15">+E54</f>
        <v>43282</v>
      </c>
      <c r="F63" s="155">
        <f t="shared" si="15"/>
        <v>43313</v>
      </c>
      <c r="G63" s="155">
        <f t="shared" si="15"/>
        <v>43344</v>
      </c>
      <c r="H63" s="155">
        <f t="shared" si="15"/>
        <v>43374</v>
      </c>
      <c r="I63" s="155">
        <f t="shared" si="15"/>
        <v>43405</v>
      </c>
      <c r="J63" s="155">
        <f t="shared" si="15"/>
        <v>43435</v>
      </c>
      <c r="K63" s="155">
        <f t="shared" si="15"/>
        <v>43466</v>
      </c>
    </row>
    <row r="64" spans="1:11" ht="14.7" thickTop="1" x14ac:dyDescent="0.5">
      <c r="A64" s="49" t="str">
        <f t="shared" ref="A64:A69" si="16">+A55</f>
        <v>AAA</v>
      </c>
      <c r="B64" s="207">
        <f>+'backup info 1'!E4</f>
        <v>45153</v>
      </c>
      <c r="C64" s="208"/>
      <c r="D64" s="49">
        <f>+($B64-D$63)/365</f>
        <v>5.2082191780821914</v>
      </c>
      <c r="E64" s="49">
        <f t="shared" ref="E64:K64" si="17">+($B64-E$63)/365</f>
        <v>5.1260273972602741</v>
      </c>
      <c r="F64" s="49">
        <f t="shared" si="17"/>
        <v>5.0410958904109586</v>
      </c>
      <c r="G64" s="49">
        <f t="shared" si="17"/>
        <v>4.956164383561644</v>
      </c>
      <c r="H64" s="49">
        <f t="shared" si="17"/>
        <v>4.8739726027397259</v>
      </c>
      <c r="I64" s="49">
        <f t="shared" si="17"/>
        <v>4.7890410958904113</v>
      </c>
      <c r="J64" s="49">
        <f t="shared" si="17"/>
        <v>4.7068493150684931</v>
      </c>
      <c r="K64" s="49">
        <f t="shared" si="17"/>
        <v>4.6219178082191785</v>
      </c>
    </row>
    <row r="65" spans="1:12" x14ac:dyDescent="0.5">
      <c r="A65" s="49" t="str">
        <f t="shared" si="16"/>
        <v>BBB</v>
      </c>
      <c r="B65" s="207">
        <f>+'backup info 1'!E5</f>
        <v>44013</v>
      </c>
      <c r="C65" s="208"/>
      <c r="D65" s="49">
        <f t="shared" ref="D65:K69" si="18">+($B65-D$63)/365</f>
        <v>2.0849315068493151</v>
      </c>
      <c r="E65" s="49">
        <f t="shared" si="18"/>
        <v>2.0027397260273974</v>
      </c>
      <c r="F65" s="49">
        <f t="shared" si="18"/>
        <v>1.9178082191780821</v>
      </c>
      <c r="G65" s="49">
        <f t="shared" si="18"/>
        <v>1.832876712328767</v>
      </c>
      <c r="H65" s="49">
        <f t="shared" si="18"/>
        <v>1.7506849315068493</v>
      </c>
      <c r="I65" s="49">
        <f t="shared" si="18"/>
        <v>1.6657534246575343</v>
      </c>
      <c r="J65" s="49">
        <f t="shared" si="18"/>
        <v>1.5835616438356164</v>
      </c>
      <c r="K65" s="49">
        <f t="shared" si="18"/>
        <v>1.4986301369863013</v>
      </c>
    </row>
    <row r="66" spans="1:12" x14ac:dyDescent="0.5">
      <c r="A66" s="49" t="str">
        <f t="shared" si="16"/>
        <v>CCC</v>
      </c>
      <c r="B66" s="207">
        <f>+'backup info 1'!E6</f>
        <v>45915</v>
      </c>
      <c r="C66" s="208"/>
      <c r="D66" s="49">
        <f t="shared" si="18"/>
        <v>7.2958904109589042</v>
      </c>
      <c r="E66" s="49">
        <f t="shared" si="18"/>
        <v>7.2136986301369861</v>
      </c>
      <c r="F66" s="49">
        <f t="shared" si="18"/>
        <v>7.1287671232876715</v>
      </c>
      <c r="G66" s="49">
        <f t="shared" si="18"/>
        <v>7.043835616438356</v>
      </c>
      <c r="H66" s="49">
        <f t="shared" si="18"/>
        <v>6.9616438356164387</v>
      </c>
      <c r="I66" s="49">
        <f t="shared" si="18"/>
        <v>6.8767123287671232</v>
      </c>
      <c r="J66" s="49">
        <f t="shared" si="18"/>
        <v>6.7945205479452051</v>
      </c>
      <c r="K66" s="49">
        <f t="shared" si="18"/>
        <v>6.7095890410958905</v>
      </c>
    </row>
    <row r="67" spans="1:12" x14ac:dyDescent="0.5">
      <c r="A67" s="49" t="str">
        <f t="shared" si="16"/>
        <v>DDD</v>
      </c>
      <c r="B67" s="207">
        <f>+'backup info 1'!E7</f>
        <v>43661</v>
      </c>
      <c r="C67" s="208"/>
      <c r="D67" s="49">
        <f t="shared" si="18"/>
        <v>1.1205479452054794</v>
      </c>
      <c r="E67" s="49">
        <f t="shared" si="18"/>
        <v>1.0383561643835617</v>
      </c>
      <c r="F67" s="49">
        <f t="shared" si="18"/>
        <v>0.95342465753424654</v>
      </c>
      <c r="G67" s="49">
        <f t="shared" si="18"/>
        <v>0.86849315068493149</v>
      </c>
      <c r="H67" s="49">
        <f t="shared" si="18"/>
        <v>0.78630136986301369</v>
      </c>
      <c r="I67" s="49">
        <f t="shared" si="18"/>
        <v>0.70136986301369864</v>
      </c>
      <c r="J67" s="49">
        <f t="shared" si="18"/>
        <v>0.61917808219178083</v>
      </c>
      <c r="K67" s="49">
        <f t="shared" si="18"/>
        <v>0.53424657534246578</v>
      </c>
    </row>
    <row r="68" spans="1:12" x14ac:dyDescent="0.5">
      <c r="A68" s="49" t="str">
        <f t="shared" si="16"/>
        <v>EEE</v>
      </c>
      <c r="B68" s="207">
        <f>+'backup info 1'!E8</f>
        <v>46296</v>
      </c>
      <c r="C68" s="208"/>
      <c r="D68" s="49">
        <f t="shared" si="18"/>
        <v>8.3397260273972602</v>
      </c>
      <c r="E68" s="49">
        <f t="shared" si="18"/>
        <v>8.257534246575343</v>
      </c>
      <c r="F68" s="49">
        <f t="shared" si="18"/>
        <v>8.1726027397260275</v>
      </c>
      <c r="G68" s="49">
        <f t="shared" si="18"/>
        <v>8.087671232876712</v>
      </c>
      <c r="H68" s="49">
        <f t="shared" si="18"/>
        <v>8.0054794520547947</v>
      </c>
      <c r="I68" s="49">
        <f t="shared" si="18"/>
        <v>7.9205479452054792</v>
      </c>
      <c r="J68" s="49">
        <f t="shared" si="18"/>
        <v>7.838356164383562</v>
      </c>
      <c r="K68" s="49">
        <f t="shared" si="18"/>
        <v>7.7534246575342465</v>
      </c>
    </row>
    <row r="69" spans="1:12" x14ac:dyDescent="0.5">
      <c r="A69" s="49" t="str">
        <f t="shared" si="16"/>
        <v>FFF</v>
      </c>
      <c r="B69" s="207">
        <f>+'backup info 1'!E9</f>
        <v>46249</v>
      </c>
      <c r="C69" s="208"/>
      <c r="D69" s="49">
        <f t="shared" si="18"/>
        <v>8.2109589041095887</v>
      </c>
      <c r="E69" s="49">
        <f t="shared" si="18"/>
        <v>8.1287671232876715</v>
      </c>
      <c r="F69" s="49">
        <f t="shared" si="18"/>
        <v>8.043835616438356</v>
      </c>
      <c r="G69" s="49">
        <f t="shared" si="18"/>
        <v>7.9589041095890414</v>
      </c>
      <c r="H69" s="49">
        <f t="shared" si="18"/>
        <v>7.8767123287671232</v>
      </c>
      <c r="I69" s="49">
        <f t="shared" si="18"/>
        <v>7.7917808219178086</v>
      </c>
      <c r="J69" s="49">
        <f t="shared" si="18"/>
        <v>7.7095890410958905</v>
      </c>
      <c r="K69" s="49">
        <f t="shared" si="18"/>
        <v>7.624657534246575</v>
      </c>
    </row>
    <row r="71" spans="1:12" ht="14.7" thickBot="1" x14ac:dyDescent="0.55000000000000004">
      <c r="A71" s="11" t="s">
        <v>249</v>
      </c>
    </row>
    <row r="72" spans="1:12" s="75" customFormat="1" ht="39" thickBot="1" x14ac:dyDescent="0.55000000000000004">
      <c r="A72" s="204" t="s">
        <v>101</v>
      </c>
      <c r="B72" s="156"/>
      <c r="C72" s="204"/>
      <c r="D72" s="155">
        <f>+D63</f>
        <v>43252</v>
      </c>
      <c r="E72" s="155">
        <f t="shared" ref="E72:K72" si="19">+E63</f>
        <v>43282</v>
      </c>
      <c r="F72" s="155">
        <f t="shared" si="19"/>
        <v>43313</v>
      </c>
      <c r="G72" s="155">
        <f t="shared" si="19"/>
        <v>43344</v>
      </c>
      <c r="H72" s="155">
        <f t="shared" si="19"/>
        <v>43374</v>
      </c>
      <c r="I72" s="155">
        <f t="shared" si="19"/>
        <v>43405</v>
      </c>
      <c r="J72" s="155">
        <f t="shared" si="19"/>
        <v>43435</v>
      </c>
      <c r="K72" s="155">
        <f t="shared" si="19"/>
        <v>43466</v>
      </c>
      <c r="L72" s="209" t="s">
        <v>250</v>
      </c>
    </row>
    <row r="73" spans="1:12" ht="14.7" thickTop="1" x14ac:dyDescent="0.5">
      <c r="A73" s="49" t="str">
        <f>+A64</f>
        <v>AAA</v>
      </c>
      <c r="B73" s="207">
        <f>+B64</f>
        <v>45153</v>
      </c>
      <c r="C73" s="208"/>
      <c r="D73" s="49">
        <f>DURATION(D$72,$B73,'backup info 1'!$H4,D55,2)</f>
        <v>4.541313705805841</v>
      </c>
      <c r="E73" s="49">
        <f>DURATION(E$72,$B73,'backup info 1'!$H4,E55,2)</f>
        <v>4.4583537947957144</v>
      </c>
      <c r="F73" s="49">
        <f>DURATION(F$72,$B73,'backup info 1'!$H4,F55,2)</f>
        <v>4.3752679297938899</v>
      </c>
      <c r="G73" s="49">
        <f>DURATION(G$72,$B73,'backup info 1'!$H4,G55,2)</f>
        <v>4.4097715332133349</v>
      </c>
      <c r="H73" s="49">
        <f>DURATION(H$72,$B73,'backup info 1'!$H4,H55,2)</f>
        <v>4.3268927389100087</v>
      </c>
      <c r="I73" s="49">
        <f>DURATION(I$72,$B73,'backup info 1'!$H4,I55,2)</f>
        <v>4.2437397444230793</v>
      </c>
      <c r="J73" s="49">
        <f>DURATION(J$72,$B73,'backup info 1'!$H4,J55,2)</f>
        <v>4.1606753553619527</v>
      </c>
      <c r="K73" s="49">
        <f>DURATION(K$72,$B73,'backup info 1'!$H4,K55,2)</f>
        <v>4.0768927389100087</v>
      </c>
      <c r="L73" s="210">
        <f>+K73*'backup info 1'!H66</f>
        <v>0.54485669633968359</v>
      </c>
    </row>
    <row r="74" spans="1:12" x14ac:dyDescent="0.5">
      <c r="A74" s="49" t="str">
        <f t="shared" ref="A74:B78" si="20">+A65</f>
        <v>BBB</v>
      </c>
      <c r="B74" s="207">
        <f t="shared" si="20"/>
        <v>44013</v>
      </c>
      <c r="C74" s="208"/>
      <c r="D74" s="49">
        <f>DURATION(D$72,$B74,'backup info 1'!$H5,D56,2)</f>
        <v>1.9750445855159844</v>
      </c>
      <c r="E74" s="49">
        <f>DURATION(E$72,$B74,'backup info 1'!$H5,E56,2)</f>
        <v>1.934690984641398</v>
      </c>
      <c r="F74" s="49">
        <f>DURATION(F$72,$B74,'backup info 1'!$H5,F56,2)</f>
        <v>1.8513200849955087</v>
      </c>
      <c r="G74" s="49">
        <f>DURATION(G$72,$B74,'backup info 1'!$H5,G56,2)</f>
        <v>1.7680243179747313</v>
      </c>
      <c r="H74" s="49">
        <f>DURATION(H$72,$B74,'backup info 1'!$H5,H56,2)</f>
        <v>1.6846534183288424</v>
      </c>
      <c r="I74" s="49">
        <f>DURATION(I$72,$B74,'backup info 1'!$H5,I56,2)</f>
        <v>1.6013464683361394</v>
      </c>
      <c r="J74" s="49">
        <f>DURATION(J$72,$B74,'backup info 1'!$H5,J56,2)</f>
        <v>1.5180610681478057</v>
      </c>
      <c r="K74" s="49">
        <f>DURATION(K$72,$B74,'backup info 1'!$H5,K56,2)</f>
        <v>1.4671475651860637</v>
      </c>
      <c r="L74" s="210">
        <f>+K74*'backup info 1'!H67</f>
        <v>0</v>
      </c>
    </row>
    <row r="75" spans="1:12" x14ac:dyDescent="0.5">
      <c r="A75" s="49" t="str">
        <f t="shared" si="20"/>
        <v>CCC</v>
      </c>
      <c r="B75" s="207">
        <f t="shared" si="20"/>
        <v>45915</v>
      </c>
      <c r="C75" s="208"/>
      <c r="D75" s="49">
        <f>DURATION(D$72,$B75,'backup info 1'!$H6,D57,2)</f>
        <v>5.6507661501994129</v>
      </c>
      <c r="E75" s="49">
        <f>DURATION(E$72,$B75,'backup info 1'!$H6,E57,2)</f>
        <v>5.5733937514001752</v>
      </c>
      <c r="F75" s="49">
        <f>DURATION(F$72,$B75,'backup info 1'!$H6,F57,2)</f>
        <v>5.4958615579839796</v>
      </c>
      <c r="G75" s="49">
        <f>DURATION(G$72,$B75,'backup info 1'!$H6,G57,2)</f>
        <v>5.4153708433472021</v>
      </c>
      <c r="H75" s="49">
        <f>DURATION(H$72,$B75,'backup info 1'!$H6,H57,2)</f>
        <v>5.5394307988349469</v>
      </c>
      <c r="I75" s="49">
        <f>DURATION(I$72,$B75,'backup info 1'!$H6,I57,2)</f>
        <v>5.4570238559263009</v>
      </c>
      <c r="J75" s="49">
        <f>DURATION(J$72,$B75,'backup info 1'!$H6,J57,2)</f>
        <v>5.3704265691856792</v>
      </c>
      <c r="K75" s="49">
        <f>DURATION(K$72,$B75,'backup info 1'!$H6,K57,2)</f>
        <v>5.2798900430223537</v>
      </c>
      <c r="L75" s="210">
        <f>+K75*'backup info 1'!H68</f>
        <v>1.4827355498618031</v>
      </c>
    </row>
    <row r="76" spans="1:12" x14ac:dyDescent="0.5">
      <c r="A76" s="49" t="str">
        <f t="shared" si="20"/>
        <v>DDD</v>
      </c>
      <c r="B76" s="207">
        <f t="shared" si="20"/>
        <v>43661</v>
      </c>
      <c r="C76" s="208"/>
      <c r="D76" s="49">
        <f>DURATION(D$72,$B76,'backup info 1'!$H7,D58,2)</f>
        <v>1.0965786717627126</v>
      </c>
      <c r="E76" s="49">
        <f>DURATION(E$72,$B76,'backup info 1'!$H7,E58,2)</f>
        <v>1.0132488219809002</v>
      </c>
      <c r="F76" s="49">
        <f>DURATION(F$72,$B76,'backup info 1'!$H7,F58,2)</f>
        <v>0.94695889715509607</v>
      </c>
      <c r="G76" s="49">
        <f>DURATION(G$72,$B76,'backup info 1'!$H7,G58,2)</f>
        <v>0.86362584270798592</v>
      </c>
      <c r="H76" s="49">
        <f>DURATION(H$72,$B76,'backup info 1'!$H7,H58,2)</f>
        <v>0.78029306388621134</v>
      </c>
      <c r="I76" s="49">
        <f>DURATION(I$72,$B76,'backup info 1'!$H7,I58,2)</f>
        <v>0.69695959233061155</v>
      </c>
      <c r="J76" s="49">
        <f>DURATION(J$72,$B76,'backup info 1'!$H7,J58,2)</f>
        <v>0.61362556382176303</v>
      </c>
      <c r="K76" s="49">
        <f>DURATION(K$72,$B76,'backup info 1'!$H7,K58,2)</f>
        <v>0.53029320183937934</v>
      </c>
      <c r="L76" s="210">
        <f>+K76*'backup info 1'!H69</f>
        <v>0.2667780715135839</v>
      </c>
    </row>
    <row r="77" spans="1:12" x14ac:dyDescent="0.5">
      <c r="A77" s="49" t="str">
        <f t="shared" si="20"/>
        <v>EEE</v>
      </c>
      <c r="B77" s="207">
        <f t="shared" si="20"/>
        <v>46296</v>
      </c>
      <c r="C77" s="208"/>
      <c r="D77" s="49">
        <f>DURATION(D$72,$B77,'backup info 1'!$H8,D59,2)</f>
        <v>6.910064415803741</v>
      </c>
      <c r="E77" s="49">
        <f>DURATION(E$72,$B77,'backup info 1'!$H8,E59,2)</f>
        <v>6.8313193918136417</v>
      </c>
      <c r="F77" s="49">
        <f>DURATION(F$72,$B77,'backup info 1'!$H8,F59,2)</f>
        <v>6.7509605925425147</v>
      </c>
      <c r="G77" s="49">
        <f>DURATION(G$72,$B77,'backup info 1'!$H8,G59,2)</f>
        <v>6.6690900529281194</v>
      </c>
      <c r="H77" s="49">
        <f>DURATION(H$72,$B77,'backup info 1'!$H8,H59,2)</f>
        <v>6.7436626894911811</v>
      </c>
      <c r="I77" s="49">
        <f>DURATION(I$72,$B77,'backup info 1'!$H8,I59,2)</f>
        <v>6.6634771306761458</v>
      </c>
      <c r="J77" s="49">
        <f>DURATION(J$72,$B77,'backup info 1'!$H8,J59,2)</f>
        <v>6.581331129992523</v>
      </c>
      <c r="K77" s="49">
        <f>DURATION(K$72,$B77,'backup info 1'!$H8,K59,2)</f>
        <v>6.5003346957936987</v>
      </c>
      <c r="L77" s="210">
        <f>+K77*'backup info 1'!H70</f>
        <v>0.31357755362430839</v>
      </c>
    </row>
    <row r="78" spans="1:12" ht="14.7" thickBot="1" x14ac:dyDescent="0.55000000000000004">
      <c r="A78" s="49" t="str">
        <f t="shared" si="20"/>
        <v>FFF</v>
      </c>
      <c r="B78" s="207">
        <f t="shared" si="20"/>
        <v>46249</v>
      </c>
      <c r="C78" s="208"/>
      <c r="D78" s="49">
        <f>DURATION(D$72,$B78,'backup info 1'!$H9,D60,2)</f>
        <v>5.6797770353894368</v>
      </c>
      <c r="E78" s="49">
        <f>DURATION(E$72,$B78,'backup info 1'!$H9,E60,2)</f>
        <v>5.6555385173758346</v>
      </c>
      <c r="F78" s="49">
        <f>DURATION(F$72,$B78,'backup info 1'!$H9,F60,2)</f>
        <v>5.5817856183233374</v>
      </c>
      <c r="G78" s="49">
        <f>DURATION(G$72,$B78,'backup info 1'!$H9,G60,2)</f>
        <v>5.7801914064170949</v>
      </c>
      <c r="H78" s="49">
        <f>DURATION(H$72,$B78,'backup info 1'!$H9,H60,2)</f>
        <v>5.7135291706327598</v>
      </c>
      <c r="I78" s="49">
        <f>DURATION(I$72,$B78,'backup info 1'!$H9,I60,2)</f>
        <v>5.6408925222014554</v>
      </c>
      <c r="J78" s="49">
        <f>DURATION(J$72,$B78,'backup info 1'!$H9,J60,2)</f>
        <v>5.5468625039660928</v>
      </c>
      <c r="K78" s="49">
        <f>DURATION(K$72,$B78,'backup info 1'!$H9,K60,2)</f>
        <v>5.4525011087712061</v>
      </c>
      <c r="L78" s="210">
        <f>+K78*'backup info 1'!H71</f>
        <v>0.18653646421836023</v>
      </c>
    </row>
    <row r="79" spans="1:12" ht="14.7" thickBot="1" x14ac:dyDescent="0.55000000000000004">
      <c r="L79" s="211">
        <f>SUM(L73:L78)</f>
        <v>2.7944843355577387</v>
      </c>
    </row>
    <row r="81" spans="12:12" x14ac:dyDescent="0.5">
      <c r="L81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0276-7AD0-4281-B9D7-72B54CD6A90D}">
  <dimension ref="A2:M73"/>
  <sheetViews>
    <sheetView workbookViewId="0">
      <selection activeCell="P14" sqref="P14"/>
    </sheetView>
  </sheetViews>
  <sheetFormatPr defaultRowHeight="14.35" x14ac:dyDescent="0.5"/>
  <sheetData>
    <row r="2" spans="1:13" s="64" customFormat="1" ht="15.35" customHeight="1" x14ac:dyDescent="0.5">
      <c r="A2" s="35" t="s">
        <v>188</v>
      </c>
      <c r="D2" s="35"/>
      <c r="E2" s="161"/>
      <c r="F2" s="162"/>
      <c r="G2" s="35"/>
      <c r="H2" s="35"/>
      <c r="I2" s="35"/>
      <c r="J2" s="35"/>
      <c r="K2" s="35"/>
    </row>
    <row r="3" spans="1:13" s="64" customFormat="1" ht="55.35" customHeight="1" thickBot="1" x14ac:dyDescent="0.55000000000000004">
      <c r="A3" s="116" t="s">
        <v>101</v>
      </c>
      <c r="B3" s="116" t="s">
        <v>102</v>
      </c>
      <c r="C3" s="116" t="s">
        <v>103</v>
      </c>
      <c r="D3" s="2" t="s">
        <v>253</v>
      </c>
      <c r="E3" s="2" t="s">
        <v>252</v>
      </c>
      <c r="F3" s="2" t="s">
        <v>254</v>
      </c>
      <c r="G3" s="2" t="s">
        <v>189</v>
      </c>
      <c r="H3" s="2" t="s">
        <v>190</v>
      </c>
      <c r="I3" s="2" t="s">
        <v>191</v>
      </c>
      <c r="J3" s="2" t="s">
        <v>192</v>
      </c>
      <c r="K3" s="2" t="s">
        <v>193</v>
      </c>
      <c r="L3" s="2" t="s">
        <v>194</v>
      </c>
      <c r="M3" s="2"/>
    </row>
    <row r="4" spans="1:13" s="64" customFormat="1" ht="15.35" customHeight="1" thickTop="1" x14ac:dyDescent="0.5">
      <c r="A4" s="169" t="s">
        <v>195</v>
      </c>
      <c r="B4" s="169" t="s">
        <v>196</v>
      </c>
      <c r="C4" s="169" t="s">
        <v>133</v>
      </c>
      <c r="D4" s="170">
        <v>1000</v>
      </c>
      <c r="E4" s="171">
        <v>45153</v>
      </c>
      <c r="F4" s="172" t="s">
        <v>197</v>
      </c>
      <c r="G4" s="172" t="s">
        <v>198</v>
      </c>
      <c r="H4" s="173">
        <v>5.2499999999999998E-2</v>
      </c>
      <c r="I4" s="171">
        <v>42781</v>
      </c>
      <c r="J4" s="171">
        <v>42962</v>
      </c>
      <c r="K4" s="174">
        <f t="shared" ref="K4:K9" si="0">+H4*D4</f>
        <v>52.5</v>
      </c>
      <c r="L4" s="175">
        <f t="shared" ref="L4:L9" si="1">+H4*K66</f>
        <v>7.4036732596968911E-3</v>
      </c>
    </row>
    <row r="5" spans="1:13" s="64" customFormat="1" ht="15.35" customHeight="1" x14ac:dyDescent="0.5">
      <c r="A5" s="169" t="s">
        <v>199</v>
      </c>
      <c r="B5" s="169" t="s">
        <v>200</v>
      </c>
      <c r="C5" s="169" t="s">
        <v>127</v>
      </c>
      <c r="D5" s="170">
        <v>1000</v>
      </c>
      <c r="E5" s="171">
        <v>44013</v>
      </c>
      <c r="F5" s="172" t="s">
        <v>201</v>
      </c>
      <c r="G5" s="172" t="s">
        <v>202</v>
      </c>
      <c r="H5" s="173">
        <v>4.4999999999999998E-2</v>
      </c>
      <c r="I5" s="171">
        <v>42736</v>
      </c>
      <c r="J5" s="171">
        <v>42917</v>
      </c>
      <c r="K5" s="174">
        <f t="shared" si="0"/>
        <v>45</v>
      </c>
      <c r="L5" s="175">
        <f t="shared" si="1"/>
        <v>0</v>
      </c>
    </row>
    <row r="6" spans="1:13" s="64" customFormat="1" ht="15.35" customHeight="1" x14ac:dyDescent="0.5">
      <c r="A6" s="169" t="s">
        <v>203</v>
      </c>
      <c r="B6" s="169" t="s">
        <v>204</v>
      </c>
      <c r="C6" s="169" t="s">
        <v>109</v>
      </c>
      <c r="D6" s="170">
        <v>1000</v>
      </c>
      <c r="E6" s="171">
        <v>45915</v>
      </c>
      <c r="F6" s="172" t="s">
        <v>21</v>
      </c>
      <c r="G6" s="172" t="s">
        <v>205</v>
      </c>
      <c r="H6" s="173">
        <v>7.0000000000000007E-2</v>
      </c>
      <c r="I6" s="171">
        <v>42809</v>
      </c>
      <c r="J6" s="171">
        <v>42993</v>
      </c>
      <c r="K6" s="174">
        <f t="shared" si="0"/>
        <v>70</v>
      </c>
      <c r="L6" s="175">
        <f t="shared" si="1"/>
        <v>2.3447212946313897E-2</v>
      </c>
      <c r="M6" s="170"/>
    </row>
    <row r="7" spans="1:13" s="64" customFormat="1" ht="15.35" customHeight="1" x14ac:dyDescent="0.5">
      <c r="A7" s="169" t="s">
        <v>206</v>
      </c>
      <c r="B7" s="169" t="s">
        <v>207</v>
      </c>
      <c r="C7" s="169" t="s">
        <v>115</v>
      </c>
      <c r="D7" s="170">
        <v>1000</v>
      </c>
      <c r="E7" s="171">
        <v>43661</v>
      </c>
      <c r="F7" s="172" t="s">
        <v>199</v>
      </c>
      <c r="G7" s="172" t="s">
        <v>208</v>
      </c>
      <c r="H7" s="173">
        <v>3.5000000000000003E-2</v>
      </c>
      <c r="I7" s="171">
        <v>42750</v>
      </c>
      <c r="J7" s="171">
        <v>42931</v>
      </c>
      <c r="K7" s="174">
        <f t="shared" si="0"/>
        <v>35</v>
      </c>
      <c r="L7" s="175">
        <f t="shared" si="1"/>
        <v>1.8340611353711792E-2</v>
      </c>
    </row>
    <row r="8" spans="1:13" s="64" customFormat="1" ht="15.35" customHeight="1" x14ac:dyDescent="0.5">
      <c r="A8" s="169" t="s">
        <v>209</v>
      </c>
      <c r="B8" s="169" t="s">
        <v>210</v>
      </c>
      <c r="C8" s="169" t="s">
        <v>211</v>
      </c>
      <c r="D8" s="170">
        <v>1000</v>
      </c>
      <c r="E8" s="171">
        <v>46296</v>
      </c>
      <c r="F8" s="172" t="s">
        <v>212</v>
      </c>
      <c r="G8" s="172" t="s">
        <v>213</v>
      </c>
      <c r="H8" s="173">
        <v>4.7500000000000001E-2</v>
      </c>
      <c r="I8" s="171">
        <v>42826</v>
      </c>
      <c r="J8" s="171">
        <v>43009</v>
      </c>
      <c r="K8" s="174">
        <f t="shared" si="0"/>
        <v>47.5</v>
      </c>
      <c r="L8" s="175">
        <f t="shared" si="1"/>
        <v>0</v>
      </c>
    </row>
    <row r="9" spans="1:13" s="64" customFormat="1" ht="15.35" customHeight="1" x14ac:dyDescent="0.5">
      <c r="A9" s="169" t="s">
        <v>214</v>
      </c>
      <c r="B9" s="169" t="s">
        <v>215</v>
      </c>
      <c r="C9" s="169" t="s">
        <v>127</v>
      </c>
      <c r="D9" s="170">
        <v>1000</v>
      </c>
      <c r="E9" s="171">
        <v>46249</v>
      </c>
      <c r="F9" s="172" t="s">
        <v>216</v>
      </c>
      <c r="G9" s="172" t="s">
        <v>217</v>
      </c>
      <c r="H9" s="173">
        <v>0.08</v>
      </c>
      <c r="I9" s="171">
        <v>42781</v>
      </c>
      <c r="J9" s="171">
        <v>42962</v>
      </c>
      <c r="K9" s="174">
        <f t="shared" si="0"/>
        <v>80</v>
      </c>
      <c r="L9" s="175">
        <f t="shared" si="1"/>
        <v>0</v>
      </c>
      <c r="M9" s="170"/>
    </row>
    <row r="10" spans="1:13" s="64" customFormat="1" ht="15.35" customHeight="1" x14ac:dyDescent="0.5">
      <c r="A10"/>
      <c r="B10" s="10"/>
      <c r="C10" s="163" t="s">
        <v>218</v>
      </c>
      <c r="D10" s="164">
        <f>SUM(D4:D9)</f>
        <v>6000</v>
      </c>
      <c r="E10" s="138"/>
      <c r="F10" s="35"/>
      <c r="G10" s="165" t="s">
        <v>219</v>
      </c>
      <c r="H10" s="166">
        <f>+K10/D10</f>
        <v>5.5E-2</v>
      </c>
      <c r="I10" s="35"/>
      <c r="J10" s="165" t="s">
        <v>220</v>
      </c>
      <c r="K10" s="167">
        <f>SUM(K4:K9)</f>
        <v>330</v>
      </c>
      <c r="L10" s="168">
        <f>SUM(L4:L9)</f>
        <v>4.9191497559722581E-2</v>
      </c>
    </row>
    <row r="11" spans="1:13" s="64" customFormat="1" ht="15.35" customHeight="1" x14ac:dyDescent="0.5">
      <c r="A11"/>
      <c r="B11" s="10"/>
      <c r="C11" s="176"/>
      <c r="D11" s="164"/>
      <c r="E11" s="138"/>
      <c r="F11" s="35"/>
      <c r="G11" s="35"/>
      <c r="H11" s="35"/>
      <c r="I11" s="35"/>
      <c r="J11" s="35"/>
      <c r="K11" s="35"/>
    </row>
    <row r="12" spans="1:13" x14ac:dyDescent="0.5">
      <c r="A12" s="11" t="s">
        <v>221</v>
      </c>
      <c r="B12" s="86"/>
      <c r="C12" s="86"/>
      <c r="E12" s="114">
        <v>0</v>
      </c>
      <c r="F12" s="114">
        <v>1</v>
      </c>
      <c r="G12" s="114">
        <v>2</v>
      </c>
      <c r="H12" s="114">
        <v>3</v>
      </c>
      <c r="I12" s="114">
        <v>4</v>
      </c>
      <c r="J12" s="114">
        <v>5</v>
      </c>
      <c r="K12" s="114">
        <v>6</v>
      </c>
      <c r="L12" s="114">
        <v>7</v>
      </c>
    </row>
    <row r="13" spans="1:13" s="75" customFormat="1" ht="12.35" customHeight="1" thickBot="1" x14ac:dyDescent="0.55000000000000004">
      <c r="A13" s="204" t="s">
        <v>101</v>
      </c>
      <c r="B13" s="204" t="s">
        <v>102</v>
      </c>
      <c r="C13" s="204" t="s">
        <v>103</v>
      </c>
      <c r="D13" s="204"/>
      <c r="E13" s="155">
        <f>+[1]Stocks!E4</f>
        <v>43252</v>
      </c>
      <c r="F13" s="155">
        <f>+[1]Stocks!F4</f>
        <v>43282</v>
      </c>
      <c r="G13" s="155">
        <f>+[1]Stocks!G4</f>
        <v>43313</v>
      </c>
      <c r="H13" s="155">
        <f>+[1]Stocks!H4</f>
        <v>43344</v>
      </c>
      <c r="I13" s="155">
        <f>+[1]Stocks!I4</f>
        <v>43374</v>
      </c>
      <c r="J13" s="155">
        <f>+[1]Stocks!J4</f>
        <v>43405</v>
      </c>
      <c r="K13" s="155">
        <f>+[1]Stocks!K4</f>
        <v>43435</v>
      </c>
      <c r="L13" s="155">
        <f>+[1]Stocks!L4</f>
        <v>43466</v>
      </c>
      <c r="M13" s="205" t="s">
        <v>222</v>
      </c>
    </row>
    <row r="14" spans="1:13" ht="14.7" thickTop="1" x14ac:dyDescent="0.5">
      <c r="A14" s="177" t="str">
        <f t="shared" ref="A14:C19" si="2">+A4</f>
        <v>AAA</v>
      </c>
      <c r="B14" s="177" t="str">
        <f t="shared" si="2"/>
        <v>Alpha Inc.</v>
      </c>
      <c r="C14" s="177" t="str">
        <f t="shared" si="2"/>
        <v>Healthcare</v>
      </c>
      <c r="E14">
        <v>890</v>
      </c>
      <c r="F14">
        <v>893</v>
      </c>
      <c r="G14">
        <v>895</v>
      </c>
      <c r="H14">
        <v>905</v>
      </c>
      <c r="I14">
        <v>910</v>
      </c>
      <c r="J14">
        <v>912</v>
      </c>
      <c r="K14">
        <v>915</v>
      </c>
      <c r="L14">
        <v>910</v>
      </c>
      <c r="M14" s="10">
        <f t="shared" ref="M14:M19" si="3">+L14*H66</f>
        <v>121.61703174993846</v>
      </c>
    </row>
    <row r="15" spans="1:13" x14ac:dyDescent="0.5">
      <c r="A15" s="177" t="str">
        <f t="shared" si="2"/>
        <v>BBB</v>
      </c>
      <c r="B15" s="177" t="str">
        <f t="shared" si="2"/>
        <v>Beta Inc.</v>
      </c>
      <c r="C15" s="177" t="str">
        <f t="shared" si="2"/>
        <v>Retail</v>
      </c>
      <c r="E15">
        <v>910</v>
      </c>
      <c r="F15">
        <v>925</v>
      </c>
      <c r="G15">
        <v>915</v>
      </c>
      <c r="H15">
        <v>925</v>
      </c>
      <c r="I15">
        <v>915</v>
      </c>
      <c r="J15">
        <v>922</v>
      </c>
      <c r="K15">
        <v>935</v>
      </c>
      <c r="L15">
        <v>930</v>
      </c>
      <c r="M15" s="10">
        <f t="shared" si="3"/>
        <v>0</v>
      </c>
    </row>
    <row r="16" spans="1:13" x14ac:dyDescent="0.5">
      <c r="A16" s="177" t="str">
        <f t="shared" si="2"/>
        <v>CCC</v>
      </c>
      <c r="B16" s="177" t="str">
        <f t="shared" si="2"/>
        <v>CC Corporation</v>
      </c>
      <c r="C16" s="177" t="str">
        <f t="shared" si="2"/>
        <v>Industrial</v>
      </c>
      <c r="E16">
        <v>790</v>
      </c>
      <c r="F16">
        <v>800</v>
      </c>
      <c r="G16">
        <v>810</v>
      </c>
      <c r="H16">
        <v>815</v>
      </c>
      <c r="I16">
        <v>820</v>
      </c>
      <c r="J16">
        <v>822</v>
      </c>
      <c r="K16">
        <v>815</v>
      </c>
      <c r="L16">
        <v>800</v>
      </c>
      <c r="M16" s="10">
        <f t="shared" si="3"/>
        <v>224.66158011321684</v>
      </c>
    </row>
    <row r="17" spans="1:13" x14ac:dyDescent="0.5">
      <c r="A17" s="177" t="str">
        <f t="shared" si="2"/>
        <v>DDD</v>
      </c>
      <c r="B17" s="177" t="str">
        <f t="shared" si="2"/>
        <v>Delta D Inc.</v>
      </c>
      <c r="C17" s="177" t="str">
        <f t="shared" si="2"/>
        <v>Hospitality</v>
      </c>
      <c r="E17">
        <v>1010</v>
      </c>
      <c r="F17">
        <v>1015</v>
      </c>
      <c r="G17">
        <v>1020</v>
      </c>
      <c r="H17">
        <v>1022</v>
      </c>
      <c r="I17">
        <v>1026</v>
      </c>
      <c r="J17">
        <v>1025</v>
      </c>
      <c r="K17">
        <v>1020</v>
      </c>
      <c r="L17">
        <v>1027</v>
      </c>
      <c r="M17" s="10">
        <f t="shared" si="3"/>
        <v>516.65961112478465</v>
      </c>
    </row>
    <row r="18" spans="1:13" x14ac:dyDescent="0.5">
      <c r="A18" s="177" t="str">
        <f t="shared" si="2"/>
        <v>EEE</v>
      </c>
      <c r="B18" s="177" t="str">
        <f t="shared" si="2"/>
        <v>Epsilon Inc</v>
      </c>
      <c r="C18" s="177" t="str">
        <f t="shared" si="2"/>
        <v>Technology</v>
      </c>
      <c r="E18">
        <v>950</v>
      </c>
      <c r="F18">
        <v>965</v>
      </c>
      <c r="G18">
        <v>975</v>
      </c>
      <c r="H18">
        <v>980</v>
      </c>
      <c r="I18">
        <v>982</v>
      </c>
      <c r="J18">
        <v>995</v>
      </c>
      <c r="K18">
        <v>1000</v>
      </c>
      <c r="L18">
        <v>1010</v>
      </c>
      <c r="M18" s="10">
        <f t="shared" si="3"/>
        <v>48.722618754614814</v>
      </c>
    </row>
    <row r="19" spans="1:13" x14ac:dyDescent="0.5">
      <c r="A19" s="177" t="str">
        <f t="shared" si="2"/>
        <v>FFF</v>
      </c>
      <c r="B19" s="177" t="str">
        <f t="shared" si="2"/>
        <v>Fusbol For Friends</v>
      </c>
      <c r="C19" s="177" t="str">
        <f t="shared" si="2"/>
        <v>Retail</v>
      </c>
      <c r="E19">
        <v>640</v>
      </c>
      <c r="F19">
        <v>680</v>
      </c>
      <c r="G19">
        <v>687</v>
      </c>
      <c r="H19">
        <v>695</v>
      </c>
      <c r="I19">
        <v>710</v>
      </c>
      <c r="J19">
        <v>720</v>
      </c>
      <c r="K19">
        <v>710</v>
      </c>
      <c r="L19">
        <v>700</v>
      </c>
      <c r="M19" s="10">
        <f t="shared" si="3"/>
        <v>23.947821806546887</v>
      </c>
    </row>
    <row r="20" spans="1:13" ht="14.7" thickBot="1" x14ac:dyDescent="0.55000000000000004">
      <c r="A20" s="177"/>
      <c r="B20" s="177"/>
      <c r="C20" s="177"/>
      <c r="D20" s="178">
        <f>+D10</f>
        <v>6000</v>
      </c>
      <c r="E20" s="159">
        <f t="shared" ref="E20:L20" si="4">SUM(E14:E19)</f>
        <v>5190</v>
      </c>
      <c r="F20" s="159">
        <f t="shared" si="4"/>
        <v>5278</v>
      </c>
      <c r="G20" s="159">
        <f t="shared" si="4"/>
        <v>5302</v>
      </c>
      <c r="H20" s="159">
        <f t="shared" si="4"/>
        <v>5342</v>
      </c>
      <c r="I20" s="159">
        <f t="shared" si="4"/>
        <v>5363</v>
      </c>
      <c r="J20" s="159">
        <f t="shared" si="4"/>
        <v>5396</v>
      </c>
      <c r="K20" s="159">
        <f t="shared" si="4"/>
        <v>5395</v>
      </c>
      <c r="L20" s="159">
        <f t="shared" si="4"/>
        <v>5377</v>
      </c>
    </row>
    <row r="21" spans="1:13" ht="15" thickTop="1" thickBot="1" x14ac:dyDescent="0.55000000000000004">
      <c r="C21" s="113"/>
      <c r="D21" s="179" t="s">
        <v>223</v>
      </c>
      <c r="E21" s="180">
        <f t="shared" ref="E21:L21" si="5">+E20/$D$20</f>
        <v>0.86499999999999999</v>
      </c>
      <c r="F21" s="180">
        <f t="shared" si="5"/>
        <v>0.87966666666666671</v>
      </c>
      <c r="G21" s="180">
        <f t="shared" si="5"/>
        <v>0.88366666666666671</v>
      </c>
      <c r="H21" s="180">
        <f t="shared" si="5"/>
        <v>0.89033333333333331</v>
      </c>
      <c r="I21" s="180">
        <f t="shared" si="5"/>
        <v>0.89383333333333337</v>
      </c>
      <c r="J21" s="180">
        <f t="shared" si="5"/>
        <v>0.89933333333333332</v>
      </c>
      <c r="K21" s="180">
        <f t="shared" si="5"/>
        <v>0.89916666666666667</v>
      </c>
      <c r="L21" s="180">
        <f t="shared" si="5"/>
        <v>0.89616666666666667</v>
      </c>
      <c r="M21" s="181">
        <f>SUM(M14:M19)</f>
        <v>935.60866354910172</v>
      </c>
    </row>
    <row r="22" spans="1:13" ht="14.7" thickTop="1" x14ac:dyDescent="0.5">
      <c r="C22" s="113"/>
      <c r="D22" s="179" t="s">
        <v>224</v>
      </c>
    </row>
    <row r="23" spans="1:13" x14ac:dyDescent="0.5">
      <c r="C23" s="113"/>
      <c r="D23" s="179"/>
    </row>
    <row r="24" spans="1:13" x14ac:dyDescent="0.5">
      <c r="A24" s="120" t="s">
        <v>225</v>
      </c>
      <c r="E24" s="114">
        <v>0</v>
      </c>
      <c r="F24" s="114">
        <v>1</v>
      </c>
      <c r="G24" s="114">
        <v>2</v>
      </c>
      <c r="H24" s="114">
        <v>3</v>
      </c>
      <c r="I24" s="114">
        <v>4</v>
      </c>
      <c r="J24" s="114">
        <v>5</v>
      </c>
      <c r="K24" s="114">
        <v>6</v>
      </c>
      <c r="L24" s="114">
        <v>7</v>
      </c>
    </row>
    <row r="25" spans="1:13" ht="14.7" thickBot="1" x14ac:dyDescent="0.55000000000000004">
      <c r="A25" s="116" t="s">
        <v>101</v>
      </c>
      <c r="B25" s="116" t="s">
        <v>102</v>
      </c>
      <c r="C25" s="116" t="s">
        <v>103</v>
      </c>
      <c r="D25" s="116"/>
      <c r="E25" s="117">
        <f t="shared" ref="E25:L25" si="6">+E13</f>
        <v>43252</v>
      </c>
      <c r="F25" s="117">
        <f t="shared" si="6"/>
        <v>43282</v>
      </c>
      <c r="G25" s="117">
        <f t="shared" si="6"/>
        <v>43313</v>
      </c>
      <c r="H25" s="117">
        <f t="shared" si="6"/>
        <v>43344</v>
      </c>
      <c r="I25" s="117">
        <f t="shared" si="6"/>
        <v>43374</v>
      </c>
      <c r="J25" s="117">
        <f t="shared" si="6"/>
        <v>43405</v>
      </c>
      <c r="K25" s="117">
        <f t="shared" si="6"/>
        <v>43435</v>
      </c>
      <c r="L25" s="117">
        <f t="shared" si="6"/>
        <v>43466</v>
      </c>
    </row>
    <row r="26" spans="1:13" ht="14.7" thickTop="1" x14ac:dyDescent="0.5">
      <c r="A26" s="177" t="str">
        <f t="shared" ref="A26:C31" si="7">+A14</f>
        <v>AAA</v>
      </c>
      <c r="B26" s="177" t="str">
        <f t="shared" si="7"/>
        <v>Alpha Inc.</v>
      </c>
      <c r="C26" s="177" t="str">
        <f t="shared" si="7"/>
        <v>Healthcare</v>
      </c>
      <c r="E26" s="182">
        <v>15</v>
      </c>
      <c r="F26">
        <f t="shared" ref="F26:L31" si="8">+E26+F35</f>
        <v>15</v>
      </c>
      <c r="G26">
        <f t="shared" si="8"/>
        <v>15</v>
      </c>
      <c r="H26">
        <f t="shared" si="8"/>
        <v>15</v>
      </c>
      <c r="I26">
        <f t="shared" si="8"/>
        <v>15</v>
      </c>
      <c r="J26">
        <f t="shared" si="8"/>
        <v>15</v>
      </c>
      <c r="K26">
        <f t="shared" si="8"/>
        <v>15</v>
      </c>
      <c r="L26">
        <f t="shared" si="8"/>
        <v>0</v>
      </c>
    </row>
    <row r="27" spans="1:13" x14ac:dyDescent="0.5">
      <c r="A27" s="177" t="str">
        <f t="shared" si="7"/>
        <v>BBB</v>
      </c>
      <c r="B27" s="177" t="str">
        <f t="shared" si="7"/>
        <v>Beta Inc.</v>
      </c>
      <c r="C27" s="177" t="str">
        <f t="shared" si="7"/>
        <v>Retail</v>
      </c>
      <c r="E27" s="182">
        <v>20</v>
      </c>
      <c r="F27">
        <f t="shared" si="8"/>
        <v>8</v>
      </c>
      <c r="G27">
        <f t="shared" si="8"/>
        <v>0</v>
      </c>
      <c r="H27">
        <f t="shared" si="8"/>
        <v>0</v>
      </c>
      <c r="I27">
        <f t="shared" si="8"/>
        <v>0</v>
      </c>
      <c r="J27">
        <f t="shared" si="8"/>
        <v>0</v>
      </c>
      <c r="K27">
        <f t="shared" si="8"/>
        <v>0</v>
      </c>
      <c r="L27">
        <f t="shared" si="8"/>
        <v>0</v>
      </c>
    </row>
    <row r="28" spans="1:13" x14ac:dyDescent="0.5">
      <c r="A28" s="177" t="str">
        <f t="shared" si="7"/>
        <v>CCC</v>
      </c>
      <c r="B28" s="177" t="str">
        <f t="shared" si="7"/>
        <v>CC Corporation</v>
      </c>
      <c r="C28" s="177" t="str">
        <f t="shared" si="7"/>
        <v>Industrial</v>
      </c>
      <c r="E28" s="182">
        <v>30</v>
      </c>
      <c r="F28">
        <f t="shared" si="8"/>
        <v>30</v>
      </c>
      <c r="G28">
        <f t="shared" si="8"/>
        <v>30</v>
      </c>
      <c r="H28">
        <f t="shared" si="8"/>
        <v>35</v>
      </c>
      <c r="I28">
        <f t="shared" si="8"/>
        <v>35</v>
      </c>
      <c r="J28">
        <f t="shared" si="8"/>
        <v>40</v>
      </c>
      <c r="K28">
        <f t="shared" si="8"/>
        <v>40</v>
      </c>
      <c r="L28">
        <f t="shared" si="8"/>
        <v>0</v>
      </c>
    </row>
    <row r="29" spans="1:13" x14ac:dyDescent="0.5">
      <c r="A29" s="177" t="str">
        <f t="shared" si="7"/>
        <v>DDD</v>
      </c>
      <c r="B29" s="177" t="str">
        <f t="shared" si="7"/>
        <v>Delta D Inc.</v>
      </c>
      <c r="C29" s="177" t="str">
        <f t="shared" si="7"/>
        <v>Hospitality</v>
      </c>
      <c r="E29" s="182">
        <v>40</v>
      </c>
      <c r="F29">
        <f t="shared" si="8"/>
        <v>40</v>
      </c>
      <c r="G29">
        <f t="shared" si="8"/>
        <v>50</v>
      </c>
      <c r="H29">
        <f t="shared" si="8"/>
        <v>50</v>
      </c>
      <c r="I29">
        <f t="shared" si="8"/>
        <v>50</v>
      </c>
      <c r="J29">
        <f t="shared" si="8"/>
        <v>50</v>
      </c>
      <c r="K29">
        <f t="shared" si="8"/>
        <v>50</v>
      </c>
      <c r="L29">
        <f t="shared" si="8"/>
        <v>0</v>
      </c>
    </row>
    <row r="30" spans="1:13" x14ac:dyDescent="0.5">
      <c r="A30" s="177" t="str">
        <f t="shared" si="7"/>
        <v>EEE</v>
      </c>
      <c r="B30" s="177" t="str">
        <f t="shared" si="7"/>
        <v>Epsilon Inc</v>
      </c>
      <c r="C30" s="177" t="str">
        <f t="shared" si="7"/>
        <v>Technology</v>
      </c>
      <c r="E30" s="182">
        <v>0</v>
      </c>
      <c r="F30">
        <f t="shared" si="8"/>
        <v>5</v>
      </c>
      <c r="G30">
        <f t="shared" si="8"/>
        <v>5</v>
      </c>
      <c r="H30">
        <f t="shared" si="8"/>
        <v>5</v>
      </c>
      <c r="I30">
        <f t="shared" si="8"/>
        <v>5</v>
      </c>
      <c r="J30">
        <f t="shared" si="8"/>
        <v>0</v>
      </c>
      <c r="K30">
        <f t="shared" si="8"/>
        <v>0</v>
      </c>
      <c r="L30">
        <f t="shared" si="8"/>
        <v>0</v>
      </c>
    </row>
    <row r="31" spans="1:13" x14ac:dyDescent="0.5">
      <c r="A31" s="177" t="str">
        <f t="shared" si="7"/>
        <v>FFF</v>
      </c>
      <c r="B31" s="177" t="str">
        <f t="shared" si="7"/>
        <v>Fusbol For Friends</v>
      </c>
      <c r="C31" s="177" t="str">
        <f t="shared" si="7"/>
        <v>Retail</v>
      </c>
      <c r="E31" s="182">
        <v>0</v>
      </c>
      <c r="F31">
        <f t="shared" si="8"/>
        <v>5</v>
      </c>
      <c r="G31">
        <f t="shared" si="8"/>
        <v>5</v>
      </c>
      <c r="H31">
        <f t="shared" si="8"/>
        <v>5</v>
      </c>
      <c r="I31">
        <f t="shared" si="8"/>
        <v>5</v>
      </c>
      <c r="J31">
        <f t="shared" si="8"/>
        <v>5</v>
      </c>
      <c r="K31">
        <f t="shared" si="8"/>
        <v>0</v>
      </c>
      <c r="L31">
        <f t="shared" si="8"/>
        <v>0</v>
      </c>
    </row>
    <row r="32" spans="1:13" x14ac:dyDescent="0.5">
      <c r="C32" s="113"/>
    </row>
    <row r="33" spans="1:12" x14ac:dyDescent="0.5">
      <c r="A33" s="120" t="s">
        <v>145</v>
      </c>
      <c r="C33" s="113"/>
      <c r="E33" s="114"/>
      <c r="F33" s="114"/>
      <c r="G33" s="114"/>
      <c r="H33" s="114"/>
      <c r="I33" s="114"/>
      <c r="J33" s="114"/>
      <c r="K33" s="114"/>
      <c r="L33" s="114"/>
    </row>
    <row r="34" spans="1:12" ht="14.7" thickBot="1" x14ac:dyDescent="0.55000000000000004">
      <c r="A34" s="116" t="s">
        <v>101</v>
      </c>
      <c r="B34" s="116" t="s">
        <v>102</v>
      </c>
      <c r="C34" s="116" t="s">
        <v>103</v>
      </c>
      <c r="D34" s="116"/>
      <c r="E34" s="117">
        <f t="shared" ref="E34:L34" si="9">+E25</f>
        <v>43252</v>
      </c>
      <c r="F34" s="117">
        <f t="shared" si="9"/>
        <v>43282</v>
      </c>
      <c r="G34" s="117">
        <f t="shared" si="9"/>
        <v>43313</v>
      </c>
      <c r="H34" s="117">
        <f t="shared" si="9"/>
        <v>43344</v>
      </c>
      <c r="I34" s="117">
        <f t="shared" si="9"/>
        <v>43374</v>
      </c>
      <c r="J34" s="117">
        <f t="shared" si="9"/>
        <v>43405</v>
      </c>
      <c r="K34" s="117">
        <f t="shared" si="9"/>
        <v>43435</v>
      </c>
      <c r="L34" s="117">
        <f t="shared" si="9"/>
        <v>43466</v>
      </c>
    </row>
    <row r="35" spans="1:12" ht="14.7" thickTop="1" x14ac:dyDescent="0.5">
      <c r="A35" s="177" t="str">
        <f t="shared" ref="A35:C40" si="10">+A26</f>
        <v>AAA</v>
      </c>
      <c r="B35" s="177" t="str">
        <f t="shared" si="10"/>
        <v>Alpha Inc.</v>
      </c>
      <c r="C35" s="177" t="str">
        <f t="shared" si="10"/>
        <v>Healthcare</v>
      </c>
      <c r="E35">
        <f t="shared" ref="E35:E40" si="11">E26</f>
        <v>15</v>
      </c>
      <c r="F35" s="182"/>
      <c r="G35" s="182"/>
      <c r="H35" s="182"/>
      <c r="I35" s="182"/>
      <c r="J35" s="182"/>
      <c r="K35" s="182"/>
      <c r="L35" s="182">
        <f t="shared" ref="L35:L40" si="12">-K26</f>
        <v>-15</v>
      </c>
    </row>
    <row r="36" spans="1:12" x14ac:dyDescent="0.5">
      <c r="A36" s="177" t="str">
        <f t="shared" si="10"/>
        <v>BBB</v>
      </c>
      <c r="B36" s="177" t="str">
        <f t="shared" si="10"/>
        <v>Beta Inc.</v>
      </c>
      <c r="C36" s="177" t="str">
        <f t="shared" si="10"/>
        <v>Retail</v>
      </c>
      <c r="E36">
        <f t="shared" si="11"/>
        <v>20</v>
      </c>
      <c r="F36" s="182">
        <v>-12</v>
      </c>
      <c r="G36" s="182">
        <v>-8</v>
      </c>
      <c r="H36" s="182"/>
      <c r="I36" s="182"/>
      <c r="J36" s="182"/>
      <c r="K36" s="182"/>
      <c r="L36" s="182">
        <f t="shared" si="12"/>
        <v>0</v>
      </c>
    </row>
    <row r="37" spans="1:12" x14ac:dyDescent="0.5">
      <c r="A37" s="177" t="str">
        <f t="shared" si="10"/>
        <v>CCC</v>
      </c>
      <c r="B37" s="177" t="str">
        <f t="shared" si="10"/>
        <v>CC Corporation</v>
      </c>
      <c r="C37" s="177" t="str">
        <f t="shared" si="10"/>
        <v>Industrial</v>
      </c>
      <c r="E37">
        <f t="shared" si="11"/>
        <v>30</v>
      </c>
      <c r="F37" s="182"/>
      <c r="G37" s="182"/>
      <c r="H37" s="182">
        <v>5</v>
      </c>
      <c r="I37" s="182"/>
      <c r="J37" s="182">
        <v>5</v>
      </c>
      <c r="K37" s="182"/>
      <c r="L37" s="182">
        <f t="shared" si="12"/>
        <v>-40</v>
      </c>
    </row>
    <row r="38" spans="1:12" x14ac:dyDescent="0.5">
      <c r="A38" s="177" t="str">
        <f t="shared" si="10"/>
        <v>DDD</v>
      </c>
      <c r="B38" s="177" t="str">
        <f t="shared" si="10"/>
        <v>Delta D Inc.</v>
      </c>
      <c r="C38" s="177" t="str">
        <f t="shared" si="10"/>
        <v>Hospitality</v>
      </c>
      <c r="E38">
        <f t="shared" si="11"/>
        <v>40</v>
      </c>
      <c r="F38" s="182"/>
      <c r="G38" s="182">
        <v>10</v>
      </c>
      <c r="H38" s="182"/>
      <c r="I38" s="182"/>
      <c r="J38" s="182"/>
      <c r="K38" s="182"/>
      <c r="L38" s="182">
        <f t="shared" si="12"/>
        <v>-50</v>
      </c>
    </row>
    <row r="39" spans="1:12" x14ac:dyDescent="0.5">
      <c r="A39" s="177" t="str">
        <f t="shared" si="10"/>
        <v>EEE</v>
      </c>
      <c r="B39" s="177" t="str">
        <f t="shared" si="10"/>
        <v>Epsilon Inc</v>
      </c>
      <c r="C39" s="177" t="str">
        <f t="shared" si="10"/>
        <v>Technology</v>
      </c>
      <c r="E39">
        <f t="shared" si="11"/>
        <v>0</v>
      </c>
      <c r="F39" s="182">
        <v>5</v>
      </c>
      <c r="G39" s="182"/>
      <c r="H39" s="182"/>
      <c r="I39" s="182"/>
      <c r="J39" s="182">
        <v>-5</v>
      </c>
      <c r="K39" s="182"/>
      <c r="L39" s="182">
        <f t="shared" si="12"/>
        <v>0</v>
      </c>
    </row>
    <row r="40" spans="1:12" x14ac:dyDescent="0.5">
      <c r="A40" s="177" t="str">
        <f t="shared" si="10"/>
        <v>FFF</v>
      </c>
      <c r="B40" s="177" t="str">
        <f t="shared" si="10"/>
        <v>Fusbol For Friends</v>
      </c>
      <c r="C40" s="177" t="str">
        <f t="shared" si="10"/>
        <v>Retail</v>
      </c>
      <c r="E40">
        <f t="shared" si="11"/>
        <v>0</v>
      </c>
      <c r="F40" s="182">
        <v>5</v>
      </c>
      <c r="G40" s="182"/>
      <c r="H40" s="182"/>
      <c r="I40" s="182"/>
      <c r="J40" s="182"/>
      <c r="K40" s="182">
        <v>-5</v>
      </c>
      <c r="L40" s="182">
        <f t="shared" si="12"/>
        <v>0</v>
      </c>
    </row>
    <row r="41" spans="1:12" x14ac:dyDescent="0.5">
      <c r="C41" s="113"/>
      <c r="E41" s="183"/>
      <c r="F41" s="183"/>
      <c r="G41" s="183"/>
      <c r="H41" s="183"/>
      <c r="I41" s="183"/>
      <c r="J41" s="183"/>
      <c r="K41" s="183"/>
      <c r="L41" s="183"/>
    </row>
    <row r="42" spans="1:12" x14ac:dyDescent="0.5">
      <c r="A42" s="120" t="s">
        <v>145</v>
      </c>
      <c r="C42" s="113"/>
      <c r="E42" s="114"/>
      <c r="F42" s="114"/>
      <c r="G42" s="114"/>
      <c r="H42" s="114"/>
      <c r="I42" s="114"/>
      <c r="J42" s="114"/>
      <c r="K42" s="114"/>
      <c r="L42" s="114"/>
    </row>
    <row r="43" spans="1:12" ht="14.7" thickBot="1" x14ac:dyDescent="0.55000000000000004">
      <c r="A43" s="116" t="s">
        <v>101</v>
      </c>
      <c r="B43" s="116" t="s">
        <v>102</v>
      </c>
      <c r="C43" s="116" t="s">
        <v>103</v>
      </c>
      <c r="D43" s="116"/>
      <c r="E43" s="117">
        <f t="shared" ref="E43:L43" si="13">+E34</f>
        <v>43252</v>
      </c>
      <c r="F43" s="117">
        <f t="shared" si="13"/>
        <v>43282</v>
      </c>
      <c r="G43" s="117">
        <f t="shared" si="13"/>
        <v>43313</v>
      </c>
      <c r="H43" s="117">
        <f t="shared" si="13"/>
        <v>43344</v>
      </c>
      <c r="I43" s="117">
        <f t="shared" si="13"/>
        <v>43374</v>
      </c>
      <c r="J43" s="117">
        <f t="shared" si="13"/>
        <v>43405</v>
      </c>
      <c r="K43" s="117">
        <f t="shared" si="13"/>
        <v>43435</v>
      </c>
      <c r="L43" s="117">
        <f t="shared" si="13"/>
        <v>43466</v>
      </c>
    </row>
    <row r="44" spans="1:12" ht="14.7" thickTop="1" x14ac:dyDescent="0.5">
      <c r="A44" s="177" t="str">
        <f t="shared" ref="A44:C49" si="14">+A35</f>
        <v>AAA</v>
      </c>
      <c r="B44" s="177" t="str">
        <f t="shared" si="14"/>
        <v>Alpha Inc.</v>
      </c>
      <c r="C44" s="177" t="str">
        <f t="shared" si="14"/>
        <v>Healthcare</v>
      </c>
      <c r="F44" s="10">
        <f t="shared" ref="F44:L49" si="15">-F35*F14</f>
        <v>0</v>
      </c>
      <c r="G44" s="10">
        <f t="shared" si="15"/>
        <v>0</v>
      </c>
      <c r="H44" s="10">
        <f t="shared" si="15"/>
        <v>0</v>
      </c>
      <c r="I44" s="10">
        <f t="shared" si="15"/>
        <v>0</v>
      </c>
      <c r="J44" s="10">
        <f t="shared" si="15"/>
        <v>0</v>
      </c>
      <c r="K44" s="10">
        <f t="shared" si="15"/>
        <v>0</v>
      </c>
      <c r="L44" s="10">
        <f t="shared" si="15"/>
        <v>13650</v>
      </c>
    </row>
    <row r="45" spans="1:12" x14ac:dyDescent="0.5">
      <c r="A45" s="177" t="str">
        <f t="shared" si="14"/>
        <v>BBB</v>
      </c>
      <c r="B45" s="177" t="str">
        <f t="shared" si="14"/>
        <v>Beta Inc.</v>
      </c>
      <c r="C45" s="177" t="str">
        <f t="shared" si="14"/>
        <v>Retail</v>
      </c>
      <c r="F45" s="10">
        <f t="shared" si="15"/>
        <v>11100</v>
      </c>
      <c r="G45" s="10">
        <f t="shared" si="15"/>
        <v>7320</v>
      </c>
      <c r="H45" s="10">
        <f t="shared" si="15"/>
        <v>0</v>
      </c>
      <c r="I45" s="10">
        <f t="shared" si="15"/>
        <v>0</v>
      </c>
      <c r="J45" s="10">
        <f t="shared" si="15"/>
        <v>0</v>
      </c>
      <c r="K45" s="10">
        <f t="shared" si="15"/>
        <v>0</v>
      </c>
      <c r="L45" s="10">
        <f t="shared" si="15"/>
        <v>0</v>
      </c>
    </row>
    <row r="46" spans="1:12" x14ac:dyDescent="0.5">
      <c r="A46" s="177" t="str">
        <f t="shared" si="14"/>
        <v>CCC</v>
      </c>
      <c r="B46" s="177" t="str">
        <f t="shared" si="14"/>
        <v>CC Corporation</v>
      </c>
      <c r="C46" s="177" t="str">
        <f t="shared" si="14"/>
        <v>Industrial</v>
      </c>
      <c r="F46" s="10">
        <f t="shared" si="15"/>
        <v>0</v>
      </c>
      <c r="G46" s="10">
        <f t="shared" si="15"/>
        <v>0</v>
      </c>
      <c r="H46" s="10">
        <f t="shared" si="15"/>
        <v>-4075</v>
      </c>
      <c r="I46" s="10">
        <f t="shared" si="15"/>
        <v>0</v>
      </c>
      <c r="J46" s="10">
        <f t="shared" si="15"/>
        <v>-4110</v>
      </c>
      <c r="K46" s="10">
        <f t="shared" si="15"/>
        <v>0</v>
      </c>
      <c r="L46" s="10">
        <f t="shared" si="15"/>
        <v>32000</v>
      </c>
    </row>
    <row r="47" spans="1:12" x14ac:dyDescent="0.5">
      <c r="A47" s="177" t="str">
        <f t="shared" si="14"/>
        <v>DDD</v>
      </c>
      <c r="B47" s="177" t="str">
        <f t="shared" si="14"/>
        <v>Delta D Inc.</v>
      </c>
      <c r="C47" s="177" t="str">
        <f t="shared" si="14"/>
        <v>Hospitality</v>
      </c>
      <c r="F47" s="10">
        <f t="shared" si="15"/>
        <v>0</v>
      </c>
      <c r="G47" s="10">
        <f t="shared" si="15"/>
        <v>-10200</v>
      </c>
      <c r="H47" s="10">
        <f t="shared" si="15"/>
        <v>0</v>
      </c>
      <c r="I47" s="10">
        <f t="shared" si="15"/>
        <v>0</v>
      </c>
      <c r="J47" s="10">
        <f t="shared" si="15"/>
        <v>0</v>
      </c>
      <c r="K47" s="10">
        <f t="shared" si="15"/>
        <v>0</v>
      </c>
      <c r="L47" s="10">
        <f t="shared" si="15"/>
        <v>51350</v>
      </c>
    </row>
    <row r="48" spans="1:12" x14ac:dyDescent="0.5">
      <c r="A48" s="177" t="str">
        <f t="shared" si="14"/>
        <v>EEE</v>
      </c>
      <c r="B48" s="177" t="str">
        <f t="shared" si="14"/>
        <v>Epsilon Inc</v>
      </c>
      <c r="C48" s="177" t="str">
        <f t="shared" si="14"/>
        <v>Technology</v>
      </c>
      <c r="F48" s="10">
        <f t="shared" si="15"/>
        <v>-4825</v>
      </c>
      <c r="G48" s="10">
        <f t="shared" si="15"/>
        <v>0</v>
      </c>
      <c r="H48" s="10">
        <f t="shared" si="15"/>
        <v>0</v>
      </c>
      <c r="I48" s="10">
        <f t="shared" si="15"/>
        <v>0</v>
      </c>
      <c r="J48" s="10">
        <f t="shared" si="15"/>
        <v>4975</v>
      </c>
      <c r="K48" s="10">
        <f t="shared" si="15"/>
        <v>0</v>
      </c>
      <c r="L48" s="10">
        <f t="shared" si="15"/>
        <v>0</v>
      </c>
    </row>
    <row r="49" spans="1:12" x14ac:dyDescent="0.5">
      <c r="A49" s="177" t="str">
        <f t="shared" si="14"/>
        <v>FFF</v>
      </c>
      <c r="B49" s="177" t="str">
        <f t="shared" si="14"/>
        <v>Fusbol For Friends</v>
      </c>
      <c r="C49" s="177" t="str">
        <f t="shared" si="14"/>
        <v>Retail</v>
      </c>
      <c r="F49" s="10">
        <f t="shared" si="15"/>
        <v>-3400</v>
      </c>
      <c r="G49" s="10">
        <f t="shared" si="15"/>
        <v>0</v>
      </c>
      <c r="H49" s="10">
        <f t="shared" si="15"/>
        <v>0</v>
      </c>
      <c r="I49" s="10">
        <f t="shared" si="15"/>
        <v>0</v>
      </c>
      <c r="J49" s="10">
        <f t="shared" si="15"/>
        <v>0</v>
      </c>
      <c r="K49" s="10">
        <f t="shared" si="15"/>
        <v>3550</v>
      </c>
      <c r="L49" s="10">
        <f t="shared" si="15"/>
        <v>0</v>
      </c>
    </row>
    <row r="50" spans="1:12" ht="14.7" thickBot="1" x14ac:dyDescent="0.55000000000000004">
      <c r="A50" s="86" t="s">
        <v>226</v>
      </c>
      <c r="C50" s="113"/>
      <c r="E50" s="184">
        <f t="shared" ref="E50:L50" si="16">SUM(E44:E49)</f>
        <v>0</v>
      </c>
      <c r="F50" s="184">
        <f t="shared" si="16"/>
        <v>2875</v>
      </c>
      <c r="G50" s="184">
        <f t="shared" si="16"/>
        <v>-2880</v>
      </c>
      <c r="H50" s="184">
        <f t="shared" si="16"/>
        <v>-4075</v>
      </c>
      <c r="I50" s="184">
        <f t="shared" si="16"/>
        <v>0</v>
      </c>
      <c r="J50" s="184">
        <f t="shared" si="16"/>
        <v>865</v>
      </c>
      <c r="K50" s="184">
        <f t="shared" si="16"/>
        <v>3550</v>
      </c>
      <c r="L50" s="184">
        <f t="shared" si="16"/>
        <v>97000</v>
      </c>
    </row>
    <row r="51" spans="1:12" ht="14.7" thickTop="1" x14ac:dyDescent="0.5">
      <c r="C51" s="113"/>
    </row>
    <row r="52" spans="1:12" x14ac:dyDescent="0.5">
      <c r="A52" s="120" t="s">
        <v>227</v>
      </c>
      <c r="C52" s="113"/>
    </row>
    <row r="53" spans="1:12" ht="14.7" thickBot="1" x14ac:dyDescent="0.55000000000000004">
      <c r="A53" s="116" t="s">
        <v>101</v>
      </c>
      <c r="B53" s="116" t="s">
        <v>102</v>
      </c>
      <c r="C53" s="116" t="s">
        <v>103</v>
      </c>
      <c r="D53" s="116"/>
      <c r="E53" s="117">
        <f t="shared" ref="E53:L53" si="17">+E43</f>
        <v>43252</v>
      </c>
      <c r="F53" s="117">
        <f t="shared" si="17"/>
        <v>43282</v>
      </c>
      <c r="G53" s="117">
        <f t="shared" si="17"/>
        <v>43313</v>
      </c>
      <c r="H53" s="117">
        <f t="shared" si="17"/>
        <v>43344</v>
      </c>
      <c r="I53" s="117">
        <f t="shared" si="17"/>
        <v>43374</v>
      </c>
      <c r="J53" s="117">
        <f t="shared" si="17"/>
        <v>43405</v>
      </c>
      <c r="K53" s="117">
        <f t="shared" si="17"/>
        <v>43435</v>
      </c>
      <c r="L53" s="117">
        <f t="shared" si="17"/>
        <v>43466</v>
      </c>
    </row>
    <row r="54" spans="1:12" ht="14.7" thickTop="1" x14ac:dyDescent="0.5">
      <c r="A54" s="177" t="str">
        <f t="shared" ref="A54:C59" si="18">+A44</f>
        <v>AAA</v>
      </c>
      <c r="B54" s="177" t="str">
        <f t="shared" si="18"/>
        <v>Alpha Inc.</v>
      </c>
      <c r="C54" s="177" t="str">
        <f t="shared" si="18"/>
        <v>Healthcare</v>
      </c>
      <c r="E54" s="10">
        <f t="shared" ref="E54:L59" si="19">+E26*E14</f>
        <v>13350</v>
      </c>
      <c r="F54" s="10">
        <f t="shared" si="19"/>
        <v>13395</v>
      </c>
      <c r="G54" s="10">
        <f t="shared" si="19"/>
        <v>13425</v>
      </c>
      <c r="H54" s="10">
        <f t="shared" si="19"/>
        <v>13575</v>
      </c>
      <c r="I54" s="10">
        <f t="shared" si="19"/>
        <v>13650</v>
      </c>
      <c r="J54" s="10">
        <f t="shared" si="19"/>
        <v>13680</v>
      </c>
      <c r="K54" s="10">
        <f t="shared" si="19"/>
        <v>13725</v>
      </c>
      <c r="L54" s="10">
        <f t="shared" si="19"/>
        <v>0</v>
      </c>
    </row>
    <row r="55" spans="1:12" x14ac:dyDescent="0.5">
      <c r="A55" s="177" t="str">
        <f t="shared" si="18"/>
        <v>BBB</v>
      </c>
      <c r="B55" s="177" t="str">
        <f t="shared" si="18"/>
        <v>Beta Inc.</v>
      </c>
      <c r="C55" s="177" t="str">
        <f t="shared" si="18"/>
        <v>Retail</v>
      </c>
      <c r="E55" s="10">
        <f t="shared" si="19"/>
        <v>18200</v>
      </c>
      <c r="F55" s="10">
        <f t="shared" si="19"/>
        <v>7400</v>
      </c>
      <c r="G55" s="10">
        <f t="shared" si="19"/>
        <v>0</v>
      </c>
      <c r="H55" s="10">
        <f t="shared" si="19"/>
        <v>0</v>
      </c>
      <c r="I55" s="10">
        <f t="shared" si="19"/>
        <v>0</v>
      </c>
      <c r="J55" s="10">
        <f t="shared" si="19"/>
        <v>0</v>
      </c>
      <c r="K55" s="10">
        <f t="shared" si="19"/>
        <v>0</v>
      </c>
      <c r="L55" s="10">
        <f t="shared" si="19"/>
        <v>0</v>
      </c>
    </row>
    <row r="56" spans="1:12" x14ac:dyDescent="0.5">
      <c r="A56" s="177" t="str">
        <f t="shared" si="18"/>
        <v>CCC</v>
      </c>
      <c r="B56" s="177" t="str">
        <f t="shared" si="18"/>
        <v>CC Corporation</v>
      </c>
      <c r="C56" s="177" t="str">
        <f t="shared" si="18"/>
        <v>Industrial</v>
      </c>
      <c r="E56" s="10">
        <f t="shared" si="19"/>
        <v>23700</v>
      </c>
      <c r="F56" s="10">
        <f t="shared" si="19"/>
        <v>24000</v>
      </c>
      <c r="G56" s="10">
        <f t="shared" si="19"/>
        <v>24300</v>
      </c>
      <c r="H56" s="10">
        <f t="shared" si="19"/>
        <v>28525</v>
      </c>
      <c r="I56" s="10">
        <f t="shared" si="19"/>
        <v>28700</v>
      </c>
      <c r="J56" s="10">
        <f t="shared" si="19"/>
        <v>32880</v>
      </c>
      <c r="K56" s="10">
        <f t="shared" si="19"/>
        <v>32600</v>
      </c>
      <c r="L56" s="10">
        <f t="shared" si="19"/>
        <v>0</v>
      </c>
    </row>
    <row r="57" spans="1:12" x14ac:dyDescent="0.5">
      <c r="A57" s="177" t="str">
        <f t="shared" si="18"/>
        <v>DDD</v>
      </c>
      <c r="B57" s="177" t="str">
        <f t="shared" si="18"/>
        <v>Delta D Inc.</v>
      </c>
      <c r="C57" s="177" t="str">
        <f t="shared" si="18"/>
        <v>Hospitality</v>
      </c>
      <c r="E57" s="10">
        <f t="shared" si="19"/>
        <v>40400</v>
      </c>
      <c r="F57" s="10">
        <f t="shared" si="19"/>
        <v>40600</v>
      </c>
      <c r="G57" s="10">
        <f t="shared" si="19"/>
        <v>51000</v>
      </c>
      <c r="H57" s="10">
        <f t="shared" si="19"/>
        <v>51100</v>
      </c>
      <c r="I57" s="10">
        <f t="shared" si="19"/>
        <v>51300</v>
      </c>
      <c r="J57" s="10">
        <f t="shared" si="19"/>
        <v>51250</v>
      </c>
      <c r="K57" s="10">
        <f t="shared" si="19"/>
        <v>51000</v>
      </c>
      <c r="L57" s="10">
        <f t="shared" si="19"/>
        <v>0</v>
      </c>
    </row>
    <row r="58" spans="1:12" x14ac:dyDescent="0.5">
      <c r="A58" s="177" t="str">
        <f t="shared" si="18"/>
        <v>EEE</v>
      </c>
      <c r="B58" s="177" t="str">
        <f t="shared" si="18"/>
        <v>Epsilon Inc</v>
      </c>
      <c r="C58" s="177" t="str">
        <f t="shared" si="18"/>
        <v>Technology</v>
      </c>
      <c r="E58" s="10">
        <f t="shared" si="19"/>
        <v>0</v>
      </c>
      <c r="F58" s="10">
        <f t="shared" si="19"/>
        <v>4825</v>
      </c>
      <c r="G58" s="10">
        <f t="shared" si="19"/>
        <v>4875</v>
      </c>
      <c r="H58" s="10">
        <f t="shared" si="19"/>
        <v>4900</v>
      </c>
      <c r="I58" s="10">
        <f t="shared" si="19"/>
        <v>4910</v>
      </c>
      <c r="J58" s="10">
        <f t="shared" si="19"/>
        <v>0</v>
      </c>
      <c r="K58" s="10">
        <f t="shared" si="19"/>
        <v>0</v>
      </c>
      <c r="L58" s="10">
        <f t="shared" si="19"/>
        <v>0</v>
      </c>
    </row>
    <row r="59" spans="1:12" x14ac:dyDescent="0.5">
      <c r="A59" s="177" t="str">
        <f t="shared" si="18"/>
        <v>FFF</v>
      </c>
      <c r="B59" s="177" t="str">
        <f t="shared" si="18"/>
        <v>Fusbol For Friends</v>
      </c>
      <c r="C59" s="177" t="str">
        <f t="shared" si="18"/>
        <v>Retail</v>
      </c>
      <c r="E59" s="10">
        <f t="shared" si="19"/>
        <v>0</v>
      </c>
      <c r="F59" s="10">
        <f t="shared" si="19"/>
        <v>3400</v>
      </c>
      <c r="G59" s="10">
        <f t="shared" si="19"/>
        <v>3435</v>
      </c>
      <c r="H59" s="10">
        <f t="shared" si="19"/>
        <v>3475</v>
      </c>
      <c r="I59" s="10">
        <f t="shared" si="19"/>
        <v>3550</v>
      </c>
      <c r="J59" s="10">
        <f t="shared" si="19"/>
        <v>3600</v>
      </c>
      <c r="K59" s="10">
        <f t="shared" si="19"/>
        <v>0</v>
      </c>
      <c r="L59" s="10">
        <f t="shared" si="19"/>
        <v>0</v>
      </c>
    </row>
    <row r="60" spans="1:12" ht="14.7" thickBot="1" x14ac:dyDescent="0.55000000000000004">
      <c r="A60" s="86" t="s">
        <v>146</v>
      </c>
      <c r="C60" s="113"/>
      <c r="E60" s="184">
        <f t="shared" ref="E60:L60" si="20">SUM(E54:E59)</f>
        <v>95650</v>
      </c>
      <c r="F60" s="184">
        <f t="shared" si="20"/>
        <v>93620</v>
      </c>
      <c r="G60" s="184">
        <f t="shared" si="20"/>
        <v>97035</v>
      </c>
      <c r="H60" s="184">
        <f t="shared" si="20"/>
        <v>101575</v>
      </c>
      <c r="I60" s="184">
        <f t="shared" si="20"/>
        <v>102110</v>
      </c>
      <c r="J60" s="184">
        <f t="shared" si="20"/>
        <v>101410</v>
      </c>
      <c r="K60" s="184">
        <f t="shared" si="20"/>
        <v>97325</v>
      </c>
      <c r="L60" s="184">
        <f t="shared" si="20"/>
        <v>0</v>
      </c>
    </row>
    <row r="61" spans="1:12" ht="14.7" thickTop="1" x14ac:dyDescent="0.5">
      <c r="A61" s="86"/>
      <c r="C61" s="113"/>
      <c r="E61" s="185"/>
      <c r="F61" s="185"/>
      <c r="G61" s="185"/>
      <c r="H61" s="185"/>
      <c r="I61" s="185"/>
      <c r="J61" s="185"/>
      <c r="K61" s="185"/>
      <c r="L61" s="185"/>
    </row>
    <row r="62" spans="1:12" x14ac:dyDescent="0.5">
      <c r="A62" s="186" t="s">
        <v>228</v>
      </c>
      <c r="B62" s="186"/>
      <c r="C62" s="187"/>
      <c r="D62" s="186"/>
      <c r="E62" s="188">
        <v>2021.55</v>
      </c>
      <c r="F62" s="188">
        <v>2017.4</v>
      </c>
      <c r="G62" s="188">
        <v>2034.75</v>
      </c>
      <c r="H62" s="188">
        <v>2044.52</v>
      </c>
      <c r="I62" s="188">
        <v>2039.48</v>
      </c>
      <c r="J62" s="188">
        <v>2039.51</v>
      </c>
      <c r="K62" s="188">
        <v>2042.83</v>
      </c>
      <c r="L62" s="188">
        <f>+K62</f>
        <v>2042.83</v>
      </c>
    </row>
    <row r="63" spans="1:12" x14ac:dyDescent="0.5">
      <c r="C63" s="113"/>
      <c r="E63" s="114"/>
      <c r="F63" s="114"/>
      <c r="G63" s="114"/>
      <c r="H63" s="114"/>
      <c r="I63" s="114"/>
      <c r="J63" s="114"/>
      <c r="K63" s="114"/>
      <c r="L63" s="114"/>
    </row>
    <row r="64" spans="1:12" x14ac:dyDescent="0.5">
      <c r="A64" s="120" t="s">
        <v>229</v>
      </c>
      <c r="C64" s="113"/>
    </row>
    <row r="65" spans="1:12" ht="14.7" thickBot="1" x14ac:dyDescent="0.55000000000000004">
      <c r="A65" s="116" t="s">
        <v>101</v>
      </c>
      <c r="B65" s="116"/>
      <c r="C65" s="116"/>
      <c r="D65" s="116"/>
      <c r="E65" s="117">
        <f t="shared" ref="E65:L65" si="21">+E53</f>
        <v>43252</v>
      </c>
      <c r="F65" s="117">
        <f t="shared" si="21"/>
        <v>43282</v>
      </c>
      <c r="G65" s="117">
        <f t="shared" si="21"/>
        <v>43313</v>
      </c>
      <c r="H65" s="117">
        <f t="shared" si="21"/>
        <v>43344</v>
      </c>
      <c r="I65" s="117">
        <f t="shared" si="21"/>
        <v>43374</v>
      </c>
      <c r="J65" s="117">
        <f t="shared" si="21"/>
        <v>43405</v>
      </c>
      <c r="K65" s="117">
        <f t="shared" si="21"/>
        <v>43435</v>
      </c>
      <c r="L65" s="117">
        <f t="shared" si="21"/>
        <v>43466</v>
      </c>
    </row>
    <row r="66" spans="1:12" ht="14.7" thickTop="1" x14ac:dyDescent="0.5">
      <c r="A66" s="177" t="str">
        <f t="shared" ref="A66:A71" si="22">+A54</f>
        <v>AAA</v>
      </c>
      <c r="B66" s="177"/>
      <c r="C66" s="177"/>
      <c r="E66" s="137">
        <f t="shared" ref="E66:K71" si="23">+E54/E$60</f>
        <v>0.1395713538944067</v>
      </c>
      <c r="F66" s="137">
        <f t="shared" si="23"/>
        <v>0.14307840205084385</v>
      </c>
      <c r="G66" s="137">
        <f t="shared" si="23"/>
        <v>0.13835214098005874</v>
      </c>
      <c r="H66" s="137">
        <f t="shared" si="23"/>
        <v>0.13364508983509721</v>
      </c>
      <c r="I66" s="137">
        <f t="shared" si="23"/>
        <v>0.1336793653902654</v>
      </c>
      <c r="J66" s="137">
        <f t="shared" si="23"/>
        <v>0.13489793905926437</v>
      </c>
      <c r="K66" s="137">
        <f t="shared" si="23"/>
        <v>0.14102234780375031</v>
      </c>
      <c r="L66" s="10">
        <f t="shared" ref="L66:L71" si="24">+L39*L27</f>
        <v>0</v>
      </c>
    </row>
    <row r="67" spans="1:12" x14ac:dyDescent="0.5">
      <c r="A67" s="177" t="str">
        <f t="shared" si="22"/>
        <v>BBB</v>
      </c>
      <c r="B67" s="177"/>
      <c r="C67" s="177"/>
      <c r="E67" s="137">
        <f t="shared" si="23"/>
        <v>0.19027705175117615</v>
      </c>
      <c r="F67" s="137">
        <f t="shared" si="23"/>
        <v>7.904293954283273E-2</v>
      </c>
      <c r="G67" s="137">
        <f t="shared" si="23"/>
        <v>0</v>
      </c>
      <c r="H67" s="137">
        <f t="shared" si="23"/>
        <v>0</v>
      </c>
      <c r="I67" s="137">
        <f t="shared" si="23"/>
        <v>0</v>
      </c>
      <c r="J67" s="137">
        <f t="shared" si="23"/>
        <v>0</v>
      </c>
      <c r="K67" s="137">
        <f t="shared" si="23"/>
        <v>0</v>
      </c>
      <c r="L67" s="10">
        <f t="shared" si="24"/>
        <v>0</v>
      </c>
    </row>
    <row r="68" spans="1:12" x14ac:dyDescent="0.5">
      <c r="A68" s="177" t="str">
        <f t="shared" si="22"/>
        <v>CCC</v>
      </c>
      <c r="B68" s="177"/>
      <c r="C68" s="177"/>
      <c r="E68" s="137">
        <f t="shared" si="23"/>
        <v>0.24777835859905906</v>
      </c>
      <c r="F68" s="137">
        <f t="shared" si="23"/>
        <v>0.2563554795983764</v>
      </c>
      <c r="G68" s="137">
        <f t="shared" si="23"/>
        <v>0.2504251043437935</v>
      </c>
      <c r="H68" s="137">
        <f t="shared" si="23"/>
        <v>0.28082697514152105</v>
      </c>
      <c r="I68" s="137">
        <f t="shared" si="23"/>
        <v>0.28106943492312214</v>
      </c>
      <c r="J68" s="137">
        <f t="shared" si="23"/>
        <v>0.32422837984419683</v>
      </c>
      <c r="K68" s="137">
        <f t="shared" si="23"/>
        <v>0.33496018494734137</v>
      </c>
      <c r="L68" s="10">
        <f t="shared" si="24"/>
        <v>0</v>
      </c>
    </row>
    <row r="69" spans="1:12" x14ac:dyDescent="0.5">
      <c r="A69" s="177" t="str">
        <f t="shared" si="22"/>
        <v>DDD</v>
      </c>
      <c r="B69" s="177"/>
      <c r="C69" s="177"/>
      <c r="E69" s="137">
        <f t="shared" si="23"/>
        <v>0.42237323575535807</v>
      </c>
      <c r="F69" s="137">
        <f t="shared" si="23"/>
        <v>0.4336680196539201</v>
      </c>
      <c r="G69" s="137">
        <f t="shared" si="23"/>
        <v>0.52558355232648013</v>
      </c>
      <c r="H69" s="137">
        <f t="shared" si="23"/>
        <v>0.50307654442530148</v>
      </c>
      <c r="I69" s="137">
        <f t="shared" si="23"/>
        <v>0.50239937322495343</v>
      </c>
      <c r="J69" s="137">
        <f t="shared" si="23"/>
        <v>0.505374223449364</v>
      </c>
      <c r="K69" s="137">
        <f t="shared" si="23"/>
        <v>0.5240174672489083</v>
      </c>
      <c r="L69" s="10">
        <f t="shared" si="24"/>
        <v>0</v>
      </c>
    </row>
    <row r="70" spans="1:12" x14ac:dyDescent="0.5">
      <c r="A70" s="177" t="str">
        <f t="shared" si="22"/>
        <v>EEE</v>
      </c>
      <c r="B70" s="177"/>
      <c r="C70" s="177"/>
      <c r="E70" s="137">
        <f t="shared" si="23"/>
        <v>0</v>
      </c>
      <c r="F70" s="137">
        <f t="shared" si="23"/>
        <v>5.1538132877590258E-2</v>
      </c>
      <c r="G70" s="137">
        <f t="shared" si="23"/>
        <v>5.0239604266501779E-2</v>
      </c>
      <c r="H70" s="137">
        <f t="shared" si="23"/>
        <v>4.8240216588727541E-2</v>
      </c>
      <c r="I70" s="137">
        <f t="shared" si="23"/>
        <v>4.8085398100088141E-2</v>
      </c>
      <c r="J70" s="137">
        <f t="shared" si="23"/>
        <v>0</v>
      </c>
      <c r="K70" s="137">
        <f t="shared" si="23"/>
        <v>0</v>
      </c>
      <c r="L70" s="10">
        <f t="shared" si="24"/>
        <v>0</v>
      </c>
    </row>
    <row r="71" spans="1:12" x14ac:dyDescent="0.5">
      <c r="A71" s="177" t="str">
        <f t="shared" si="22"/>
        <v>FFF</v>
      </c>
      <c r="B71" s="177"/>
      <c r="C71" s="177"/>
      <c r="E71" s="137">
        <f t="shared" si="23"/>
        <v>0</v>
      </c>
      <c r="F71" s="137">
        <f t="shared" si="23"/>
        <v>3.6317026276436661E-2</v>
      </c>
      <c r="G71" s="137">
        <f t="shared" si="23"/>
        <v>3.5399598083165867E-2</v>
      </c>
      <c r="H71" s="137">
        <f t="shared" si="23"/>
        <v>3.4211174009352696E-2</v>
      </c>
      <c r="I71" s="137">
        <f t="shared" si="23"/>
        <v>3.4766428361570852E-2</v>
      </c>
      <c r="J71" s="137">
        <f t="shared" si="23"/>
        <v>3.5499457647174833E-2</v>
      </c>
      <c r="K71" s="137">
        <f t="shared" si="23"/>
        <v>0</v>
      </c>
      <c r="L71" s="10">
        <f t="shared" si="24"/>
        <v>0</v>
      </c>
    </row>
    <row r="72" spans="1:12" ht="14.7" thickBot="1" x14ac:dyDescent="0.55000000000000004">
      <c r="A72" s="86" t="s">
        <v>230</v>
      </c>
      <c r="C72" s="113"/>
      <c r="E72" s="189">
        <f t="shared" ref="E72:L72" si="25">SUM(E66:E71)</f>
        <v>1</v>
      </c>
      <c r="F72" s="189">
        <f t="shared" si="25"/>
        <v>1</v>
      </c>
      <c r="G72" s="189">
        <f t="shared" si="25"/>
        <v>1</v>
      </c>
      <c r="H72" s="189">
        <f t="shared" si="25"/>
        <v>1</v>
      </c>
      <c r="I72" s="189">
        <f t="shared" si="25"/>
        <v>1</v>
      </c>
      <c r="J72" s="189">
        <f t="shared" si="25"/>
        <v>1</v>
      </c>
      <c r="K72" s="189">
        <f t="shared" si="25"/>
        <v>1</v>
      </c>
      <c r="L72" s="184">
        <f t="shared" si="25"/>
        <v>0</v>
      </c>
    </row>
    <row r="73" spans="1:12" ht="14.7" thickTop="1" x14ac:dyDescent="0.5">
      <c r="C73" s="113"/>
      <c r="E73" s="114"/>
      <c r="F73" s="114"/>
      <c r="G73" s="114"/>
      <c r="H73" s="114"/>
      <c r="I73" s="114"/>
      <c r="J73" s="114"/>
      <c r="K73" s="114"/>
      <c r="L73" s="1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723F-E7B4-4283-854D-FBAD4657631D}">
  <dimension ref="A3:J10"/>
  <sheetViews>
    <sheetView workbookViewId="0">
      <selection activeCell="M10" sqref="M10"/>
    </sheetView>
  </sheetViews>
  <sheetFormatPr defaultRowHeight="14.35" x14ac:dyDescent="0.5"/>
  <cols>
    <col min="1" max="1" width="14.76171875" customWidth="1"/>
    <col min="7" max="7" width="11.52734375" customWidth="1"/>
  </cols>
  <sheetData>
    <row r="3" spans="1:10" ht="21" customHeight="1" x14ac:dyDescent="0.5">
      <c r="A3" s="134" t="s">
        <v>150</v>
      </c>
      <c r="B3" s="109"/>
      <c r="C3" s="109"/>
      <c r="D3" s="109"/>
      <c r="F3" s="109"/>
      <c r="G3" s="109"/>
      <c r="H3" s="109"/>
      <c r="I3" s="109"/>
      <c r="J3" s="109"/>
    </row>
    <row r="4" spans="1:10" x14ac:dyDescent="0.5">
      <c r="A4" s="135" t="s">
        <v>151</v>
      </c>
      <c r="B4" s="135"/>
      <c r="C4" s="135"/>
      <c r="D4" s="135" t="s">
        <v>152</v>
      </c>
      <c r="F4" s="135" t="s">
        <v>153</v>
      </c>
      <c r="G4" s="136" t="s">
        <v>154</v>
      </c>
      <c r="H4" s="33" t="s">
        <v>155</v>
      </c>
      <c r="I4" s="33" t="s">
        <v>156</v>
      </c>
    </row>
    <row r="5" spans="1:10" x14ac:dyDescent="0.5">
      <c r="A5" t="s">
        <v>157</v>
      </c>
      <c r="B5" s="10">
        <v>100000</v>
      </c>
      <c r="C5" s="137">
        <f>+B5/$B$9</f>
        <v>0.5</v>
      </c>
      <c r="D5" s="138">
        <v>0.05</v>
      </c>
      <c r="F5" s="86" t="s">
        <v>158</v>
      </c>
      <c r="G5" s="139">
        <f>+[1]Stocks!E96</f>
        <v>82600</v>
      </c>
      <c r="H5" s="137">
        <f>+G5/$G$9</f>
        <v>0.41299999999999998</v>
      </c>
    </row>
    <row r="6" spans="1:10" x14ac:dyDescent="0.5">
      <c r="A6" s="86" t="s">
        <v>159</v>
      </c>
      <c r="B6" s="10">
        <v>100000</v>
      </c>
      <c r="C6" s="137">
        <f>+B6/$B$9</f>
        <v>0.5</v>
      </c>
      <c r="D6" s="138"/>
      <c r="F6" s="86" t="s">
        <v>160</v>
      </c>
      <c r="G6" s="140">
        <f>+[1]Bonds!E61</f>
        <v>95650</v>
      </c>
      <c r="H6" s="137">
        <f>+G6/$G$9</f>
        <v>0.47825000000000001</v>
      </c>
    </row>
    <row r="7" spans="1:10" x14ac:dyDescent="0.5">
      <c r="B7" s="10"/>
      <c r="C7" s="137"/>
      <c r="D7" s="138"/>
      <c r="F7" s="86" t="s">
        <v>161</v>
      </c>
      <c r="G7" s="140">
        <f>-[1]Bonds!E121</f>
        <v>1576.9097222222224</v>
      </c>
      <c r="H7" s="137">
        <f>+G7/$G$9</f>
        <v>7.8845486111111113E-3</v>
      </c>
    </row>
    <row r="8" spans="1:10" x14ac:dyDescent="0.5">
      <c r="B8" s="10"/>
      <c r="C8" s="137"/>
      <c r="D8" s="138"/>
      <c r="F8" s="86" t="s">
        <v>162</v>
      </c>
      <c r="G8" s="139">
        <f>+B9-G5-G6-G7</f>
        <v>20173.090277777777</v>
      </c>
      <c r="H8" s="137">
        <f>+G8/$G$9</f>
        <v>0.10086545138888889</v>
      </c>
      <c r="I8" s="141">
        <v>1.4999999999999999E-2</v>
      </c>
    </row>
    <row r="9" spans="1:10" ht="14.7" thickBot="1" x14ac:dyDescent="0.55000000000000004">
      <c r="A9" s="11" t="s">
        <v>163</v>
      </c>
      <c r="B9" s="142">
        <f>SUM(B5:B6)</f>
        <v>200000</v>
      </c>
      <c r="C9" s="143">
        <f>SUM(C5:C6)</f>
        <v>1</v>
      </c>
      <c r="F9" s="11" t="s">
        <v>164</v>
      </c>
      <c r="G9" s="144">
        <f>SUM(G5:G8)</f>
        <v>200000</v>
      </c>
      <c r="H9" s="143">
        <f>SUM(H5:H8)</f>
        <v>1</v>
      </c>
    </row>
    <row r="10" spans="1:10" ht="14.7" thickTop="1" x14ac:dyDescent="0.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618B2-C473-4B25-A80A-17F0DAE80EE5}">
  <dimension ref="A1:Q170"/>
  <sheetViews>
    <sheetView topLeftCell="A27" workbookViewId="0">
      <selection activeCell="L32" sqref="L32"/>
    </sheetView>
  </sheetViews>
  <sheetFormatPr defaultRowHeight="14.35" x14ac:dyDescent="0.5"/>
  <cols>
    <col min="1" max="1" width="16.703125" customWidth="1"/>
    <col min="2" max="2" width="10.8203125" customWidth="1"/>
    <col min="3" max="3" width="2.703125" customWidth="1"/>
    <col min="4" max="4" width="14" customWidth="1"/>
    <col min="5" max="5" width="12.41015625" customWidth="1"/>
    <col min="6" max="6" width="10.52734375" customWidth="1"/>
    <col min="7" max="7" width="11.41015625" customWidth="1"/>
    <col min="8" max="8" width="12.41015625" customWidth="1"/>
    <col min="9" max="9" width="3" customWidth="1"/>
    <col min="10" max="10" width="4.17578125" customWidth="1"/>
    <col min="11" max="11" width="10.703125" customWidth="1"/>
    <col min="12" max="12" width="11.52734375" customWidth="1"/>
    <col min="13" max="13" width="12.41015625" customWidth="1"/>
    <col min="14" max="14" width="12" customWidth="1"/>
    <col min="257" max="257" width="16.703125" customWidth="1"/>
    <col min="258" max="258" width="10.8203125" customWidth="1"/>
    <col min="259" max="259" width="2.703125" customWidth="1"/>
    <col min="260" max="260" width="14" customWidth="1"/>
    <col min="261" max="261" width="12.41015625" customWidth="1"/>
    <col min="262" max="262" width="10.52734375" customWidth="1"/>
    <col min="263" max="263" width="11.41015625" customWidth="1"/>
    <col min="264" max="264" width="12.41015625" customWidth="1"/>
    <col min="265" max="265" width="3" customWidth="1"/>
    <col min="266" max="266" width="4.17578125" customWidth="1"/>
    <col min="267" max="267" width="10.703125" customWidth="1"/>
    <col min="268" max="268" width="11.52734375" customWidth="1"/>
    <col min="269" max="269" width="12.41015625" customWidth="1"/>
    <col min="270" max="270" width="12" customWidth="1"/>
    <col min="513" max="513" width="16.703125" customWidth="1"/>
    <col min="514" max="514" width="10.8203125" customWidth="1"/>
    <col min="515" max="515" width="2.703125" customWidth="1"/>
    <col min="516" max="516" width="14" customWidth="1"/>
    <col min="517" max="517" width="12.41015625" customWidth="1"/>
    <col min="518" max="518" width="10.52734375" customWidth="1"/>
    <col min="519" max="519" width="11.41015625" customWidth="1"/>
    <col min="520" max="520" width="12.41015625" customWidth="1"/>
    <col min="521" max="521" width="3" customWidth="1"/>
    <col min="522" max="522" width="4.17578125" customWidth="1"/>
    <col min="523" max="523" width="10.703125" customWidth="1"/>
    <col min="524" max="524" width="11.52734375" customWidth="1"/>
    <col min="525" max="525" width="12.41015625" customWidth="1"/>
    <col min="526" max="526" width="12" customWidth="1"/>
    <col min="769" max="769" width="16.703125" customWidth="1"/>
    <col min="770" max="770" width="10.8203125" customWidth="1"/>
    <col min="771" max="771" width="2.703125" customWidth="1"/>
    <col min="772" max="772" width="14" customWidth="1"/>
    <col min="773" max="773" width="12.41015625" customWidth="1"/>
    <col min="774" max="774" width="10.52734375" customWidth="1"/>
    <col min="775" max="775" width="11.41015625" customWidth="1"/>
    <col min="776" max="776" width="12.41015625" customWidth="1"/>
    <col min="777" max="777" width="3" customWidth="1"/>
    <col min="778" max="778" width="4.17578125" customWidth="1"/>
    <col min="779" max="779" width="10.703125" customWidth="1"/>
    <col min="780" max="780" width="11.52734375" customWidth="1"/>
    <col min="781" max="781" width="12.41015625" customWidth="1"/>
    <col min="782" max="782" width="12" customWidth="1"/>
    <col min="1025" max="1025" width="16.703125" customWidth="1"/>
    <col min="1026" max="1026" width="10.8203125" customWidth="1"/>
    <col min="1027" max="1027" width="2.703125" customWidth="1"/>
    <col min="1028" max="1028" width="14" customWidth="1"/>
    <col min="1029" max="1029" width="12.41015625" customWidth="1"/>
    <col min="1030" max="1030" width="10.52734375" customWidth="1"/>
    <col min="1031" max="1031" width="11.41015625" customWidth="1"/>
    <col min="1032" max="1032" width="12.41015625" customWidth="1"/>
    <col min="1033" max="1033" width="3" customWidth="1"/>
    <col min="1034" max="1034" width="4.17578125" customWidth="1"/>
    <col min="1035" max="1035" width="10.703125" customWidth="1"/>
    <col min="1036" max="1036" width="11.52734375" customWidth="1"/>
    <col min="1037" max="1037" width="12.41015625" customWidth="1"/>
    <col min="1038" max="1038" width="12" customWidth="1"/>
    <col min="1281" max="1281" width="16.703125" customWidth="1"/>
    <col min="1282" max="1282" width="10.8203125" customWidth="1"/>
    <col min="1283" max="1283" width="2.703125" customWidth="1"/>
    <col min="1284" max="1284" width="14" customWidth="1"/>
    <col min="1285" max="1285" width="12.41015625" customWidth="1"/>
    <col min="1286" max="1286" width="10.52734375" customWidth="1"/>
    <col min="1287" max="1287" width="11.41015625" customWidth="1"/>
    <col min="1288" max="1288" width="12.41015625" customWidth="1"/>
    <col min="1289" max="1289" width="3" customWidth="1"/>
    <col min="1290" max="1290" width="4.17578125" customWidth="1"/>
    <col min="1291" max="1291" width="10.703125" customWidth="1"/>
    <col min="1292" max="1292" width="11.52734375" customWidth="1"/>
    <col min="1293" max="1293" width="12.41015625" customWidth="1"/>
    <col min="1294" max="1294" width="12" customWidth="1"/>
    <col min="1537" max="1537" width="16.703125" customWidth="1"/>
    <col min="1538" max="1538" width="10.8203125" customWidth="1"/>
    <col min="1539" max="1539" width="2.703125" customWidth="1"/>
    <col min="1540" max="1540" width="14" customWidth="1"/>
    <col min="1541" max="1541" width="12.41015625" customWidth="1"/>
    <col min="1542" max="1542" width="10.52734375" customWidth="1"/>
    <col min="1543" max="1543" width="11.41015625" customWidth="1"/>
    <col min="1544" max="1544" width="12.41015625" customWidth="1"/>
    <col min="1545" max="1545" width="3" customWidth="1"/>
    <col min="1546" max="1546" width="4.17578125" customWidth="1"/>
    <col min="1547" max="1547" width="10.703125" customWidth="1"/>
    <col min="1548" max="1548" width="11.52734375" customWidth="1"/>
    <col min="1549" max="1549" width="12.41015625" customWidth="1"/>
    <col min="1550" max="1550" width="12" customWidth="1"/>
    <col min="1793" max="1793" width="16.703125" customWidth="1"/>
    <col min="1794" max="1794" width="10.8203125" customWidth="1"/>
    <col min="1795" max="1795" width="2.703125" customWidth="1"/>
    <col min="1796" max="1796" width="14" customWidth="1"/>
    <col min="1797" max="1797" width="12.41015625" customWidth="1"/>
    <col min="1798" max="1798" width="10.52734375" customWidth="1"/>
    <col min="1799" max="1799" width="11.41015625" customWidth="1"/>
    <col min="1800" max="1800" width="12.41015625" customWidth="1"/>
    <col min="1801" max="1801" width="3" customWidth="1"/>
    <col min="1802" max="1802" width="4.17578125" customWidth="1"/>
    <col min="1803" max="1803" width="10.703125" customWidth="1"/>
    <col min="1804" max="1804" width="11.52734375" customWidth="1"/>
    <col min="1805" max="1805" width="12.41015625" customWidth="1"/>
    <col min="1806" max="1806" width="12" customWidth="1"/>
    <col min="2049" max="2049" width="16.703125" customWidth="1"/>
    <col min="2050" max="2050" width="10.8203125" customWidth="1"/>
    <col min="2051" max="2051" width="2.703125" customWidth="1"/>
    <col min="2052" max="2052" width="14" customWidth="1"/>
    <col min="2053" max="2053" width="12.41015625" customWidth="1"/>
    <col min="2054" max="2054" width="10.52734375" customWidth="1"/>
    <col min="2055" max="2055" width="11.41015625" customWidth="1"/>
    <col min="2056" max="2056" width="12.41015625" customWidth="1"/>
    <col min="2057" max="2057" width="3" customWidth="1"/>
    <col min="2058" max="2058" width="4.17578125" customWidth="1"/>
    <col min="2059" max="2059" width="10.703125" customWidth="1"/>
    <col min="2060" max="2060" width="11.52734375" customWidth="1"/>
    <col min="2061" max="2061" width="12.41015625" customWidth="1"/>
    <col min="2062" max="2062" width="12" customWidth="1"/>
    <col min="2305" max="2305" width="16.703125" customWidth="1"/>
    <col min="2306" max="2306" width="10.8203125" customWidth="1"/>
    <col min="2307" max="2307" width="2.703125" customWidth="1"/>
    <col min="2308" max="2308" width="14" customWidth="1"/>
    <col min="2309" max="2309" width="12.41015625" customWidth="1"/>
    <col min="2310" max="2310" width="10.52734375" customWidth="1"/>
    <col min="2311" max="2311" width="11.41015625" customWidth="1"/>
    <col min="2312" max="2312" width="12.41015625" customWidth="1"/>
    <col min="2313" max="2313" width="3" customWidth="1"/>
    <col min="2314" max="2314" width="4.17578125" customWidth="1"/>
    <col min="2315" max="2315" width="10.703125" customWidth="1"/>
    <col min="2316" max="2316" width="11.52734375" customWidth="1"/>
    <col min="2317" max="2317" width="12.41015625" customWidth="1"/>
    <col min="2318" max="2318" width="12" customWidth="1"/>
    <col min="2561" max="2561" width="16.703125" customWidth="1"/>
    <col min="2562" max="2562" width="10.8203125" customWidth="1"/>
    <col min="2563" max="2563" width="2.703125" customWidth="1"/>
    <col min="2564" max="2564" width="14" customWidth="1"/>
    <col min="2565" max="2565" width="12.41015625" customWidth="1"/>
    <col min="2566" max="2566" width="10.52734375" customWidth="1"/>
    <col min="2567" max="2567" width="11.41015625" customWidth="1"/>
    <col min="2568" max="2568" width="12.41015625" customWidth="1"/>
    <col min="2569" max="2569" width="3" customWidth="1"/>
    <col min="2570" max="2570" width="4.17578125" customWidth="1"/>
    <col min="2571" max="2571" width="10.703125" customWidth="1"/>
    <col min="2572" max="2572" width="11.52734375" customWidth="1"/>
    <col min="2573" max="2573" width="12.41015625" customWidth="1"/>
    <col min="2574" max="2574" width="12" customWidth="1"/>
    <col min="2817" max="2817" width="16.703125" customWidth="1"/>
    <col min="2818" max="2818" width="10.8203125" customWidth="1"/>
    <col min="2819" max="2819" width="2.703125" customWidth="1"/>
    <col min="2820" max="2820" width="14" customWidth="1"/>
    <col min="2821" max="2821" width="12.41015625" customWidth="1"/>
    <col min="2822" max="2822" width="10.52734375" customWidth="1"/>
    <col min="2823" max="2823" width="11.41015625" customWidth="1"/>
    <col min="2824" max="2824" width="12.41015625" customWidth="1"/>
    <col min="2825" max="2825" width="3" customWidth="1"/>
    <col min="2826" max="2826" width="4.17578125" customWidth="1"/>
    <col min="2827" max="2827" width="10.703125" customWidth="1"/>
    <col min="2828" max="2828" width="11.52734375" customWidth="1"/>
    <col min="2829" max="2829" width="12.41015625" customWidth="1"/>
    <col min="2830" max="2830" width="12" customWidth="1"/>
    <col min="3073" max="3073" width="16.703125" customWidth="1"/>
    <col min="3074" max="3074" width="10.8203125" customWidth="1"/>
    <col min="3075" max="3075" width="2.703125" customWidth="1"/>
    <col min="3076" max="3076" width="14" customWidth="1"/>
    <col min="3077" max="3077" width="12.41015625" customWidth="1"/>
    <col min="3078" max="3078" width="10.52734375" customWidth="1"/>
    <col min="3079" max="3079" width="11.41015625" customWidth="1"/>
    <col min="3080" max="3080" width="12.41015625" customWidth="1"/>
    <col min="3081" max="3081" width="3" customWidth="1"/>
    <col min="3082" max="3082" width="4.17578125" customWidth="1"/>
    <col min="3083" max="3083" width="10.703125" customWidth="1"/>
    <col min="3084" max="3084" width="11.52734375" customWidth="1"/>
    <col min="3085" max="3085" width="12.41015625" customWidth="1"/>
    <col min="3086" max="3086" width="12" customWidth="1"/>
    <col min="3329" max="3329" width="16.703125" customWidth="1"/>
    <col min="3330" max="3330" width="10.8203125" customWidth="1"/>
    <col min="3331" max="3331" width="2.703125" customWidth="1"/>
    <col min="3332" max="3332" width="14" customWidth="1"/>
    <col min="3333" max="3333" width="12.41015625" customWidth="1"/>
    <col min="3334" max="3334" width="10.52734375" customWidth="1"/>
    <col min="3335" max="3335" width="11.41015625" customWidth="1"/>
    <col min="3336" max="3336" width="12.41015625" customWidth="1"/>
    <col min="3337" max="3337" width="3" customWidth="1"/>
    <col min="3338" max="3338" width="4.17578125" customWidth="1"/>
    <col min="3339" max="3339" width="10.703125" customWidth="1"/>
    <col min="3340" max="3340" width="11.52734375" customWidth="1"/>
    <col min="3341" max="3341" width="12.41015625" customWidth="1"/>
    <col min="3342" max="3342" width="12" customWidth="1"/>
    <col min="3585" max="3585" width="16.703125" customWidth="1"/>
    <col min="3586" max="3586" width="10.8203125" customWidth="1"/>
    <col min="3587" max="3587" width="2.703125" customWidth="1"/>
    <col min="3588" max="3588" width="14" customWidth="1"/>
    <col min="3589" max="3589" width="12.41015625" customWidth="1"/>
    <col min="3590" max="3590" width="10.52734375" customWidth="1"/>
    <col min="3591" max="3591" width="11.41015625" customWidth="1"/>
    <col min="3592" max="3592" width="12.41015625" customWidth="1"/>
    <col min="3593" max="3593" width="3" customWidth="1"/>
    <col min="3594" max="3594" width="4.17578125" customWidth="1"/>
    <col min="3595" max="3595" width="10.703125" customWidth="1"/>
    <col min="3596" max="3596" width="11.52734375" customWidth="1"/>
    <col min="3597" max="3597" width="12.41015625" customWidth="1"/>
    <col min="3598" max="3598" width="12" customWidth="1"/>
    <col min="3841" max="3841" width="16.703125" customWidth="1"/>
    <col min="3842" max="3842" width="10.8203125" customWidth="1"/>
    <col min="3843" max="3843" width="2.703125" customWidth="1"/>
    <col min="3844" max="3844" width="14" customWidth="1"/>
    <col min="3845" max="3845" width="12.41015625" customWidth="1"/>
    <col min="3846" max="3846" width="10.52734375" customWidth="1"/>
    <col min="3847" max="3847" width="11.41015625" customWidth="1"/>
    <col min="3848" max="3848" width="12.41015625" customWidth="1"/>
    <col min="3849" max="3849" width="3" customWidth="1"/>
    <col min="3850" max="3850" width="4.17578125" customWidth="1"/>
    <col min="3851" max="3851" width="10.703125" customWidth="1"/>
    <col min="3852" max="3852" width="11.52734375" customWidth="1"/>
    <col min="3853" max="3853" width="12.41015625" customWidth="1"/>
    <col min="3854" max="3854" width="12" customWidth="1"/>
    <col min="4097" max="4097" width="16.703125" customWidth="1"/>
    <col min="4098" max="4098" width="10.8203125" customWidth="1"/>
    <col min="4099" max="4099" width="2.703125" customWidth="1"/>
    <col min="4100" max="4100" width="14" customWidth="1"/>
    <col min="4101" max="4101" width="12.41015625" customWidth="1"/>
    <col min="4102" max="4102" width="10.52734375" customWidth="1"/>
    <col min="4103" max="4103" width="11.41015625" customWidth="1"/>
    <col min="4104" max="4104" width="12.41015625" customWidth="1"/>
    <col min="4105" max="4105" width="3" customWidth="1"/>
    <col min="4106" max="4106" width="4.17578125" customWidth="1"/>
    <col min="4107" max="4107" width="10.703125" customWidth="1"/>
    <col min="4108" max="4108" width="11.52734375" customWidth="1"/>
    <col min="4109" max="4109" width="12.41015625" customWidth="1"/>
    <col min="4110" max="4110" width="12" customWidth="1"/>
    <col min="4353" max="4353" width="16.703125" customWidth="1"/>
    <col min="4354" max="4354" width="10.8203125" customWidth="1"/>
    <col min="4355" max="4355" width="2.703125" customWidth="1"/>
    <col min="4356" max="4356" width="14" customWidth="1"/>
    <col min="4357" max="4357" width="12.41015625" customWidth="1"/>
    <col min="4358" max="4358" width="10.52734375" customWidth="1"/>
    <col min="4359" max="4359" width="11.41015625" customWidth="1"/>
    <col min="4360" max="4360" width="12.41015625" customWidth="1"/>
    <col min="4361" max="4361" width="3" customWidth="1"/>
    <col min="4362" max="4362" width="4.17578125" customWidth="1"/>
    <col min="4363" max="4363" width="10.703125" customWidth="1"/>
    <col min="4364" max="4364" width="11.52734375" customWidth="1"/>
    <col min="4365" max="4365" width="12.41015625" customWidth="1"/>
    <col min="4366" max="4366" width="12" customWidth="1"/>
    <col min="4609" max="4609" width="16.703125" customWidth="1"/>
    <col min="4610" max="4610" width="10.8203125" customWidth="1"/>
    <col min="4611" max="4611" width="2.703125" customWidth="1"/>
    <col min="4612" max="4612" width="14" customWidth="1"/>
    <col min="4613" max="4613" width="12.41015625" customWidth="1"/>
    <col min="4614" max="4614" width="10.52734375" customWidth="1"/>
    <col min="4615" max="4615" width="11.41015625" customWidth="1"/>
    <col min="4616" max="4616" width="12.41015625" customWidth="1"/>
    <col min="4617" max="4617" width="3" customWidth="1"/>
    <col min="4618" max="4618" width="4.17578125" customWidth="1"/>
    <col min="4619" max="4619" width="10.703125" customWidth="1"/>
    <col min="4620" max="4620" width="11.52734375" customWidth="1"/>
    <col min="4621" max="4621" width="12.41015625" customWidth="1"/>
    <col min="4622" max="4622" width="12" customWidth="1"/>
    <col min="4865" max="4865" width="16.703125" customWidth="1"/>
    <col min="4866" max="4866" width="10.8203125" customWidth="1"/>
    <col min="4867" max="4867" width="2.703125" customWidth="1"/>
    <col min="4868" max="4868" width="14" customWidth="1"/>
    <col min="4869" max="4869" width="12.41015625" customWidth="1"/>
    <col min="4870" max="4870" width="10.52734375" customWidth="1"/>
    <col min="4871" max="4871" width="11.41015625" customWidth="1"/>
    <col min="4872" max="4872" width="12.41015625" customWidth="1"/>
    <col min="4873" max="4873" width="3" customWidth="1"/>
    <col min="4874" max="4874" width="4.17578125" customWidth="1"/>
    <col min="4875" max="4875" width="10.703125" customWidth="1"/>
    <col min="4876" max="4876" width="11.52734375" customWidth="1"/>
    <col min="4877" max="4877" width="12.41015625" customWidth="1"/>
    <col min="4878" max="4878" width="12" customWidth="1"/>
    <col min="5121" max="5121" width="16.703125" customWidth="1"/>
    <col min="5122" max="5122" width="10.8203125" customWidth="1"/>
    <col min="5123" max="5123" width="2.703125" customWidth="1"/>
    <col min="5124" max="5124" width="14" customWidth="1"/>
    <col min="5125" max="5125" width="12.41015625" customWidth="1"/>
    <col min="5126" max="5126" width="10.52734375" customWidth="1"/>
    <col min="5127" max="5127" width="11.41015625" customWidth="1"/>
    <col min="5128" max="5128" width="12.41015625" customWidth="1"/>
    <col min="5129" max="5129" width="3" customWidth="1"/>
    <col min="5130" max="5130" width="4.17578125" customWidth="1"/>
    <col min="5131" max="5131" width="10.703125" customWidth="1"/>
    <col min="5132" max="5132" width="11.52734375" customWidth="1"/>
    <col min="5133" max="5133" width="12.41015625" customWidth="1"/>
    <col min="5134" max="5134" width="12" customWidth="1"/>
    <col min="5377" max="5377" width="16.703125" customWidth="1"/>
    <col min="5378" max="5378" width="10.8203125" customWidth="1"/>
    <col min="5379" max="5379" width="2.703125" customWidth="1"/>
    <col min="5380" max="5380" width="14" customWidth="1"/>
    <col min="5381" max="5381" width="12.41015625" customWidth="1"/>
    <col min="5382" max="5382" width="10.52734375" customWidth="1"/>
    <col min="5383" max="5383" width="11.41015625" customWidth="1"/>
    <col min="5384" max="5384" width="12.41015625" customWidth="1"/>
    <col min="5385" max="5385" width="3" customWidth="1"/>
    <col min="5386" max="5386" width="4.17578125" customWidth="1"/>
    <col min="5387" max="5387" width="10.703125" customWidth="1"/>
    <col min="5388" max="5388" width="11.52734375" customWidth="1"/>
    <col min="5389" max="5389" width="12.41015625" customWidth="1"/>
    <col min="5390" max="5390" width="12" customWidth="1"/>
    <col min="5633" max="5633" width="16.703125" customWidth="1"/>
    <col min="5634" max="5634" width="10.8203125" customWidth="1"/>
    <col min="5635" max="5635" width="2.703125" customWidth="1"/>
    <col min="5636" max="5636" width="14" customWidth="1"/>
    <col min="5637" max="5637" width="12.41015625" customWidth="1"/>
    <col min="5638" max="5638" width="10.52734375" customWidth="1"/>
    <col min="5639" max="5639" width="11.41015625" customWidth="1"/>
    <col min="5640" max="5640" width="12.41015625" customWidth="1"/>
    <col min="5641" max="5641" width="3" customWidth="1"/>
    <col min="5642" max="5642" width="4.17578125" customWidth="1"/>
    <col min="5643" max="5643" width="10.703125" customWidth="1"/>
    <col min="5644" max="5644" width="11.52734375" customWidth="1"/>
    <col min="5645" max="5645" width="12.41015625" customWidth="1"/>
    <col min="5646" max="5646" width="12" customWidth="1"/>
    <col min="5889" max="5889" width="16.703125" customWidth="1"/>
    <col min="5890" max="5890" width="10.8203125" customWidth="1"/>
    <col min="5891" max="5891" width="2.703125" customWidth="1"/>
    <col min="5892" max="5892" width="14" customWidth="1"/>
    <col min="5893" max="5893" width="12.41015625" customWidth="1"/>
    <col min="5894" max="5894" width="10.52734375" customWidth="1"/>
    <col min="5895" max="5895" width="11.41015625" customWidth="1"/>
    <col min="5896" max="5896" width="12.41015625" customWidth="1"/>
    <col min="5897" max="5897" width="3" customWidth="1"/>
    <col min="5898" max="5898" width="4.17578125" customWidth="1"/>
    <col min="5899" max="5899" width="10.703125" customWidth="1"/>
    <col min="5900" max="5900" width="11.52734375" customWidth="1"/>
    <col min="5901" max="5901" width="12.41015625" customWidth="1"/>
    <col min="5902" max="5902" width="12" customWidth="1"/>
    <col min="6145" max="6145" width="16.703125" customWidth="1"/>
    <col min="6146" max="6146" width="10.8203125" customWidth="1"/>
    <col min="6147" max="6147" width="2.703125" customWidth="1"/>
    <col min="6148" max="6148" width="14" customWidth="1"/>
    <col min="6149" max="6149" width="12.41015625" customWidth="1"/>
    <col min="6150" max="6150" width="10.52734375" customWidth="1"/>
    <col min="6151" max="6151" width="11.41015625" customWidth="1"/>
    <col min="6152" max="6152" width="12.41015625" customWidth="1"/>
    <col min="6153" max="6153" width="3" customWidth="1"/>
    <col min="6154" max="6154" width="4.17578125" customWidth="1"/>
    <col min="6155" max="6155" width="10.703125" customWidth="1"/>
    <col min="6156" max="6156" width="11.52734375" customWidth="1"/>
    <col min="6157" max="6157" width="12.41015625" customWidth="1"/>
    <col min="6158" max="6158" width="12" customWidth="1"/>
    <col min="6401" max="6401" width="16.703125" customWidth="1"/>
    <col min="6402" max="6402" width="10.8203125" customWidth="1"/>
    <col min="6403" max="6403" width="2.703125" customWidth="1"/>
    <col min="6404" max="6404" width="14" customWidth="1"/>
    <col min="6405" max="6405" width="12.41015625" customWidth="1"/>
    <col min="6406" max="6406" width="10.52734375" customWidth="1"/>
    <col min="6407" max="6407" width="11.41015625" customWidth="1"/>
    <col min="6408" max="6408" width="12.41015625" customWidth="1"/>
    <col min="6409" max="6409" width="3" customWidth="1"/>
    <col min="6410" max="6410" width="4.17578125" customWidth="1"/>
    <col min="6411" max="6411" width="10.703125" customWidth="1"/>
    <col min="6412" max="6412" width="11.52734375" customWidth="1"/>
    <col min="6413" max="6413" width="12.41015625" customWidth="1"/>
    <col min="6414" max="6414" width="12" customWidth="1"/>
    <col min="6657" max="6657" width="16.703125" customWidth="1"/>
    <col min="6658" max="6658" width="10.8203125" customWidth="1"/>
    <col min="6659" max="6659" width="2.703125" customWidth="1"/>
    <col min="6660" max="6660" width="14" customWidth="1"/>
    <col min="6661" max="6661" width="12.41015625" customWidth="1"/>
    <col min="6662" max="6662" width="10.52734375" customWidth="1"/>
    <col min="6663" max="6663" width="11.41015625" customWidth="1"/>
    <col min="6664" max="6664" width="12.41015625" customWidth="1"/>
    <col min="6665" max="6665" width="3" customWidth="1"/>
    <col min="6666" max="6666" width="4.17578125" customWidth="1"/>
    <col min="6667" max="6667" width="10.703125" customWidth="1"/>
    <col min="6668" max="6668" width="11.52734375" customWidth="1"/>
    <col min="6669" max="6669" width="12.41015625" customWidth="1"/>
    <col min="6670" max="6670" width="12" customWidth="1"/>
    <col min="6913" max="6913" width="16.703125" customWidth="1"/>
    <col min="6914" max="6914" width="10.8203125" customWidth="1"/>
    <col min="6915" max="6915" width="2.703125" customWidth="1"/>
    <col min="6916" max="6916" width="14" customWidth="1"/>
    <col min="6917" max="6917" width="12.41015625" customWidth="1"/>
    <col min="6918" max="6918" width="10.52734375" customWidth="1"/>
    <col min="6919" max="6919" width="11.41015625" customWidth="1"/>
    <col min="6920" max="6920" width="12.41015625" customWidth="1"/>
    <col min="6921" max="6921" width="3" customWidth="1"/>
    <col min="6922" max="6922" width="4.17578125" customWidth="1"/>
    <col min="6923" max="6923" width="10.703125" customWidth="1"/>
    <col min="6924" max="6924" width="11.52734375" customWidth="1"/>
    <col min="6925" max="6925" width="12.41015625" customWidth="1"/>
    <col min="6926" max="6926" width="12" customWidth="1"/>
    <col min="7169" max="7169" width="16.703125" customWidth="1"/>
    <col min="7170" max="7170" width="10.8203125" customWidth="1"/>
    <col min="7171" max="7171" width="2.703125" customWidth="1"/>
    <col min="7172" max="7172" width="14" customWidth="1"/>
    <col min="7173" max="7173" width="12.41015625" customWidth="1"/>
    <col min="7174" max="7174" width="10.52734375" customWidth="1"/>
    <col min="7175" max="7175" width="11.41015625" customWidth="1"/>
    <col min="7176" max="7176" width="12.41015625" customWidth="1"/>
    <col min="7177" max="7177" width="3" customWidth="1"/>
    <col min="7178" max="7178" width="4.17578125" customWidth="1"/>
    <col min="7179" max="7179" width="10.703125" customWidth="1"/>
    <col min="7180" max="7180" width="11.52734375" customWidth="1"/>
    <col min="7181" max="7181" width="12.41015625" customWidth="1"/>
    <col min="7182" max="7182" width="12" customWidth="1"/>
    <col min="7425" max="7425" width="16.703125" customWidth="1"/>
    <col min="7426" max="7426" width="10.8203125" customWidth="1"/>
    <col min="7427" max="7427" width="2.703125" customWidth="1"/>
    <col min="7428" max="7428" width="14" customWidth="1"/>
    <col min="7429" max="7429" width="12.41015625" customWidth="1"/>
    <col min="7430" max="7430" width="10.52734375" customWidth="1"/>
    <col min="7431" max="7431" width="11.41015625" customWidth="1"/>
    <col min="7432" max="7432" width="12.41015625" customWidth="1"/>
    <col min="7433" max="7433" width="3" customWidth="1"/>
    <col min="7434" max="7434" width="4.17578125" customWidth="1"/>
    <col min="7435" max="7435" width="10.703125" customWidth="1"/>
    <col min="7436" max="7436" width="11.52734375" customWidth="1"/>
    <col min="7437" max="7437" width="12.41015625" customWidth="1"/>
    <col min="7438" max="7438" width="12" customWidth="1"/>
    <col min="7681" max="7681" width="16.703125" customWidth="1"/>
    <col min="7682" max="7682" width="10.8203125" customWidth="1"/>
    <col min="7683" max="7683" width="2.703125" customWidth="1"/>
    <col min="7684" max="7684" width="14" customWidth="1"/>
    <col min="7685" max="7685" width="12.41015625" customWidth="1"/>
    <col min="7686" max="7686" width="10.52734375" customWidth="1"/>
    <col min="7687" max="7687" width="11.41015625" customWidth="1"/>
    <col min="7688" max="7688" width="12.41015625" customWidth="1"/>
    <col min="7689" max="7689" width="3" customWidth="1"/>
    <col min="7690" max="7690" width="4.17578125" customWidth="1"/>
    <col min="7691" max="7691" width="10.703125" customWidth="1"/>
    <col min="7692" max="7692" width="11.52734375" customWidth="1"/>
    <col min="7693" max="7693" width="12.41015625" customWidth="1"/>
    <col min="7694" max="7694" width="12" customWidth="1"/>
    <col min="7937" max="7937" width="16.703125" customWidth="1"/>
    <col min="7938" max="7938" width="10.8203125" customWidth="1"/>
    <col min="7939" max="7939" width="2.703125" customWidth="1"/>
    <col min="7940" max="7940" width="14" customWidth="1"/>
    <col min="7941" max="7941" width="12.41015625" customWidth="1"/>
    <col min="7942" max="7942" width="10.52734375" customWidth="1"/>
    <col min="7943" max="7943" width="11.41015625" customWidth="1"/>
    <col min="7944" max="7944" width="12.41015625" customWidth="1"/>
    <col min="7945" max="7945" width="3" customWidth="1"/>
    <col min="7946" max="7946" width="4.17578125" customWidth="1"/>
    <col min="7947" max="7947" width="10.703125" customWidth="1"/>
    <col min="7948" max="7948" width="11.52734375" customWidth="1"/>
    <col min="7949" max="7949" width="12.41015625" customWidth="1"/>
    <col min="7950" max="7950" width="12" customWidth="1"/>
    <col min="8193" max="8193" width="16.703125" customWidth="1"/>
    <col min="8194" max="8194" width="10.8203125" customWidth="1"/>
    <col min="8195" max="8195" width="2.703125" customWidth="1"/>
    <col min="8196" max="8196" width="14" customWidth="1"/>
    <col min="8197" max="8197" width="12.41015625" customWidth="1"/>
    <col min="8198" max="8198" width="10.52734375" customWidth="1"/>
    <col min="8199" max="8199" width="11.41015625" customWidth="1"/>
    <col min="8200" max="8200" width="12.41015625" customWidth="1"/>
    <col min="8201" max="8201" width="3" customWidth="1"/>
    <col min="8202" max="8202" width="4.17578125" customWidth="1"/>
    <col min="8203" max="8203" width="10.703125" customWidth="1"/>
    <col min="8204" max="8204" width="11.52734375" customWidth="1"/>
    <col min="8205" max="8205" width="12.41015625" customWidth="1"/>
    <col min="8206" max="8206" width="12" customWidth="1"/>
    <col min="8449" max="8449" width="16.703125" customWidth="1"/>
    <col min="8450" max="8450" width="10.8203125" customWidth="1"/>
    <col min="8451" max="8451" width="2.703125" customWidth="1"/>
    <col min="8452" max="8452" width="14" customWidth="1"/>
    <col min="8453" max="8453" width="12.41015625" customWidth="1"/>
    <col min="8454" max="8454" width="10.52734375" customWidth="1"/>
    <col min="8455" max="8455" width="11.41015625" customWidth="1"/>
    <col min="8456" max="8456" width="12.41015625" customWidth="1"/>
    <col min="8457" max="8457" width="3" customWidth="1"/>
    <col min="8458" max="8458" width="4.17578125" customWidth="1"/>
    <col min="8459" max="8459" width="10.703125" customWidth="1"/>
    <col min="8460" max="8460" width="11.52734375" customWidth="1"/>
    <col min="8461" max="8461" width="12.41015625" customWidth="1"/>
    <col min="8462" max="8462" width="12" customWidth="1"/>
    <col min="8705" max="8705" width="16.703125" customWidth="1"/>
    <col min="8706" max="8706" width="10.8203125" customWidth="1"/>
    <col min="8707" max="8707" width="2.703125" customWidth="1"/>
    <col min="8708" max="8708" width="14" customWidth="1"/>
    <col min="8709" max="8709" width="12.41015625" customWidth="1"/>
    <col min="8710" max="8710" width="10.52734375" customWidth="1"/>
    <col min="8711" max="8711" width="11.41015625" customWidth="1"/>
    <col min="8712" max="8712" width="12.41015625" customWidth="1"/>
    <col min="8713" max="8713" width="3" customWidth="1"/>
    <col min="8714" max="8714" width="4.17578125" customWidth="1"/>
    <col min="8715" max="8715" width="10.703125" customWidth="1"/>
    <col min="8716" max="8716" width="11.52734375" customWidth="1"/>
    <col min="8717" max="8717" width="12.41015625" customWidth="1"/>
    <col min="8718" max="8718" width="12" customWidth="1"/>
    <col min="8961" max="8961" width="16.703125" customWidth="1"/>
    <col min="8962" max="8962" width="10.8203125" customWidth="1"/>
    <col min="8963" max="8963" width="2.703125" customWidth="1"/>
    <col min="8964" max="8964" width="14" customWidth="1"/>
    <col min="8965" max="8965" width="12.41015625" customWidth="1"/>
    <col min="8966" max="8966" width="10.52734375" customWidth="1"/>
    <col min="8967" max="8967" width="11.41015625" customWidth="1"/>
    <col min="8968" max="8968" width="12.41015625" customWidth="1"/>
    <col min="8969" max="8969" width="3" customWidth="1"/>
    <col min="8970" max="8970" width="4.17578125" customWidth="1"/>
    <col min="8971" max="8971" width="10.703125" customWidth="1"/>
    <col min="8972" max="8972" width="11.52734375" customWidth="1"/>
    <col min="8973" max="8973" width="12.41015625" customWidth="1"/>
    <col min="8974" max="8974" width="12" customWidth="1"/>
    <col min="9217" max="9217" width="16.703125" customWidth="1"/>
    <col min="9218" max="9218" width="10.8203125" customWidth="1"/>
    <col min="9219" max="9219" width="2.703125" customWidth="1"/>
    <col min="9220" max="9220" width="14" customWidth="1"/>
    <col min="9221" max="9221" width="12.41015625" customWidth="1"/>
    <col min="9222" max="9222" width="10.52734375" customWidth="1"/>
    <col min="9223" max="9223" width="11.41015625" customWidth="1"/>
    <col min="9224" max="9224" width="12.41015625" customWidth="1"/>
    <col min="9225" max="9225" width="3" customWidth="1"/>
    <col min="9226" max="9226" width="4.17578125" customWidth="1"/>
    <col min="9227" max="9227" width="10.703125" customWidth="1"/>
    <col min="9228" max="9228" width="11.52734375" customWidth="1"/>
    <col min="9229" max="9229" width="12.41015625" customWidth="1"/>
    <col min="9230" max="9230" width="12" customWidth="1"/>
    <col min="9473" max="9473" width="16.703125" customWidth="1"/>
    <col min="9474" max="9474" width="10.8203125" customWidth="1"/>
    <col min="9475" max="9475" width="2.703125" customWidth="1"/>
    <col min="9476" max="9476" width="14" customWidth="1"/>
    <col min="9477" max="9477" width="12.41015625" customWidth="1"/>
    <col min="9478" max="9478" width="10.52734375" customWidth="1"/>
    <col min="9479" max="9479" width="11.41015625" customWidth="1"/>
    <col min="9480" max="9480" width="12.41015625" customWidth="1"/>
    <col min="9481" max="9481" width="3" customWidth="1"/>
    <col min="9482" max="9482" width="4.17578125" customWidth="1"/>
    <col min="9483" max="9483" width="10.703125" customWidth="1"/>
    <col min="9484" max="9484" width="11.52734375" customWidth="1"/>
    <col min="9485" max="9485" width="12.41015625" customWidth="1"/>
    <col min="9486" max="9486" width="12" customWidth="1"/>
    <col min="9729" max="9729" width="16.703125" customWidth="1"/>
    <col min="9730" max="9730" width="10.8203125" customWidth="1"/>
    <col min="9731" max="9731" width="2.703125" customWidth="1"/>
    <col min="9732" max="9732" width="14" customWidth="1"/>
    <col min="9733" max="9733" width="12.41015625" customWidth="1"/>
    <col min="9734" max="9734" width="10.52734375" customWidth="1"/>
    <col min="9735" max="9735" width="11.41015625" customWidth="1"/>
    <col min="9736" max="9736" width="12.41015625" customWidth="1"/>
    <col min="9737" max="9737" width="3" customWidth="1"/>
    <col min="9738" max="9738" width="4.17578125" customWidth="1"/>
    <col min="9739" max="9739" width="10.703125" customWidth="1"/>
    <col min="9740" max="9740" width="11.52734375" customWidth="1"/>
    <col min="9741" max="9741" width="12.41015625" customWidth="1"/>
    <col min="9742" max="9742" width="12" customWidth="1"/>
    <col min="9985" max="9985" width="16.703125" customWidth="1"/>
    <col min="9986" max="9986" width="10.8203125" customWidth="1"/>
    <col min="9987" max="9987" width="2.703125" customWidth="1"/>
    <col min="9988" max="9988" width="14" customWidth="1"/>
    <col min="9989" max="9989" width="12.41015625" customWidth="1"/>
    <col min="9990" max="9990" width="10.52734375" customWidth="1"/>
    <col min="9991" max="9991" width="11.41015625" customWidth="1"/>
    <col min="9992" max="9992" width="12.41015625" customWidth="1"/>
    <col min="9993" max="9993" width="3" customWidth="1"/>
    <col min="9994" max="9994" width="4.17578125" customWidth="1"/>
    <col min="9995" max="9995" width="10.703125" customWidth="1"/>
    <col min="9996" max="9996" width="11.52734375" customWidth="1"/>
    <col min="9997" max="9997" width="12.41015625" customWidth="1"/>
    <col min="9998" max="9998" width="12" customWidth="1"/>
    <col min="10241" max="10241" width="16.703125" customWidth="1"/>
    <col min="10242" max="10242" width="10.8203125" customWidth="1"/>
    <col min="10243" max="10243" width="2.703125" customWidth="1"/>
    <col min="10244" max="10244" width="14" customWidth="1"/>
    <col min="10245" max="10245" width="12.41015625" customWidth="1"/>
    <col min="10246" max="10246" width="10.52734375" customWidth="1"/>
    <col min="10247" max="10247" width="11.41015625" customWidth="1"/>
    <col min="10248" max="10248" width="12.41015625" customWidth="1"/>
    <col min="10249" max="10249" width="3" customWidth="1"/>
    <col min="10250" max="10250" width="4.17578125" customWidth="1"/>
    <col min="10251" max="10251" width="10.703125" customWidth="1"/>
    <col min="10252" max="10252" width="11.52734375" customWidth="1"/>
    <col min="10253" max="10253" width="12.41015625" customWidth="1"/>
    <col min="10254" max="10254" width="12" customWidth="1"/>
    <col min="10497" max="10497" width="16.703125" customWidth="1"/>
    <col min="10498" max="10498" width="10.8203125" customWidth="1"/>
    <col min="10499" max="10499" width="2.703125" customWidth="1"/>
    <col min="10500" max="10500" width="14" customWidth="1"/>
    <col min="10501" max="10501" width="12.41015625" customWidth="1"/>
    <col min="10502" max="10502" width="10.52734375" customWidth="1"/>
    <col min="10503" max="10503" width="11.41015625" customWidth="1"/>
    <col min="10504" max="10504" width="12.41015625" customWidth="1"/>
    <col min="10505" max="10505" width="3" customWidth="1"/>
    <col min="10506" max="10506" width="4.17578125" customWidth="1"/>
    <col min="10507" max="10507" width="10.703125" customWidth="1"/>
    <col min="10508" max="10508" width="11.52734375" customWidth="1"/>
    <col min="10509" max="10509" width="12.41015625" customWidth="1"/>
    <col min="10510" max="10510" width="12" customWidth="1"/>
    <col min="10753" max="10753" width="16.703125" customWidth="1"/>
    <col min="10754" max="10754" width="10.8203125" customWidth="1"/>
    <col min="10755" max="10755" width="2.703125" customWidth="1"/>
    <col min="10756" max="10756" width="14" customWidth="1"/>
    <col min="10757" max="10757" width="12.41015625" customWidth="1"/>
    <col min="10758" max="10758" width="10.52734375" customWidth="1"/>
    <col min="10759" max="10759" width="11.41015625" customWidth="1"/>
    <col min="10760" max="10760" width="12.41015625" customWidth="1"/>
    <col min="10761" max="10761" width="3" customWidth="1"/>
    <col min="10762" max="10762" width="4.17578125" customWidth="1"/>
    <col min="10763" max="10763" width="10.703125" customWidth="1"/>
    <col min="10764" max="10764" width="11.52734375" customWidth="1"/>
    <col min="10765" max="10765" width="12.41015625" customWidth="1"/>
    <col min="10766" max="10766" width="12" customWidth="1"/>
    <col min="11009" max="11009" width="16.703125" customWidth="1"/>
    <col min="11010" max="11010" width="10.8203125" customWidth="1"/>
    <col min="11011" max="11011" width="2.703125" customWidth="1"/>
    <col min="11012" max="11012" width="14" customWidth="1"/>
    <col min="11013" max="11013" width="12.41015625" customWidth="1"/>
    <col min="11014" max="11014" width="10.52734375" customWidth="1"/>
    <col min="11015" max="11015" width="11.41015625" customWidth="1"/>
    <col min="11016" max="11016" width="12.41015625" customWidth="1"/>
    <col min="11017" max="11017" width="3" customWidth="1"/>
    <col min="11018" max="11018" width="4.17578125" customWidth="1"/>
    <col min="11019" max="11019" width="10.703125" customWidth="1"/>
    <col min="11020" max="11020" width="11.52734375" customWidth="1"/>
    <col min="11021" max="11021" width="12.41015625" customWidth="1"/>
    <col min="11022" max="11022" width="12" customWidth="1"/>
    <col min="11265" max="11265" width="16.703125" customWidth="1"/>
    <col min="11266" max="11266" width="10.8203125" customWidth="1"/>
    <col min="11267" max="11267" width="2.703125" customWidth="1"/>
    <col min="11268" max="11268" width="14" customWidth="1"/>
    <col min="11269" max="11269" width="12.41015625" customWidth="1"/>
    <col min="11270" max="11270" width="10.52734375" customWidth="1"/>
    <col min="11271" max="11271" width="11.41015625" customWidth="1"/>
    <col min="11272" max="11272" width="12.41015625" customWidth="1"/>
    <col min="11273" max="11273" width="3" customWidth="1"/>
    <col min="11274" max="11274" width="4.17578125" customWidth="1"/>
    <col min="11275" max="11275" width="10.703125" customWidth="1"/>
    <col min="11276" max="11276" width="11.52734375" customWidth="1"/>
    <col min="11277" max="11277" width="12.41015625" customWidth="1"/>
    <col min="11278" max="11278" width="12" customWidth="1"/>
    <col min="11521" max="11521" width="16.703125" customWidth="1"/>
    <col min="11522" max="11522" width="10.8203125" customWidth="1"/>
    <col min="11523" max="11523" width="2.703125" customWidth="1"/>
    <col min="11524" max="11524" width="14" customWidth="1"/>
    <col min="11525" max="11525" width="12.41015625" customWidth="1"/>
    <col min="11526" max="11526" width="10.52734375" customWidth="1"/>
    <col min="11527" max="11527" width="11.41015625" customWidth="1"/>
    <col min="11528" max="11528" width="12.41015625" customWidth="1"/>
    <col min="11529" max="11529" width="3" customWidth="1"/>
    <col min="11530" max="11530" width="4.17578125" customWidth="1"/>
    <col min="11531" max="11531" width="10.703125" customWidth="1"/>
    <col min="11532" max="11532" width="11.52734375" customWidth="1"/>
    <col min="11533" max="11533" width="12.41015625" customWidth="1"/>
    <col min="11534" max="11534" width="12" customWidth="1"/>
    <col min="11777" max="11777" width="16.703125" customWidth="1"/>
    <col min="11778" max="11778" width="10.8203125" customWidth="1"/>
    <col min="11779" max="11779" width="2.703125" customWidth="1"/>
    <col min="11780" max="11780" width="14" customWidth="1"/>
    <col min="11781" max="11781" width="12.41015625" customWidth="1"/>
    <col min="11782" max="11782" width="10.52734375" customWidth="1"/>
    <col min="11783" max="11783" width="11.41015625" customWidth="1"/>
    <col min="11784" max="11784" width="12.41015625" customWidth="1"/>
    <col min="11785" max="11785" width="3" customWidth="1"/>
    <col min="11786" max="11786" width="4.17578125" customWidth="1"/>
    <col min="11787" max="11787" width="10.703125" customWidth="1"/>
    <col min="11788" max="11788" width="11.52734375" customWidth="1"/>
    <col min="11789" max="11789" width="12.41015625" customWidth="1"/>
    <col min="11790" max="11790" width="12" customWidth="1"/>
    <col min="12033" max="12033" width="16.703125" customWidth="1"/>
    <col min="12034" max="12034" width="10.8203125" customWidth="1"/>
    <col min="12035" max="12035" width="2.703125" customWidth="1"/>
    <col min="12036" max="12036" width="14" customWidth="1"/>
    <col min="12037" max="12037" width="12.41015625" customWidth="1"/>
    <col min="12038" max="12038" width="10.52734375" customWidth="1"/>
    <col min="12039" max="12039" width="11.41015625" customWidth="1"/>
    <col min="12040" max="12040" width="12.41015625" customWidth="1"/>
    <col min="12041" max="12041" width="3" customWidth="1"/>
    <col min="12042" max="12042" width="4.17578125" customWidth="1"/>
    <col min="12043" max="12043" width="10.703125" customWidth="1"/>
    <col min="12044" max="12044" width="11.52734375" customWidth="1"/>
    <col min="12045" max="12045" width="12.41015625" customWidth="1"/>
    <col min="12046" max="12046" width="12" customWidth="1"/>
    <col min="12289" max="12289" width="16.703125" customWidth="1"/>
    <col min="12290" max="12290" width="10.8203125" customWidth="1"/>
    <col min="12291" max="12291" width="2.703125" customWidth="1"/>
    <col min="12292" max="12292" width="14" customWidth="1"/>
    <col min="12293" max="12293" width="12.41015625" customWidth="1"/>
    <col min="12294" max="12294" width="10.52734375" customWidth="1"/>
    <col min="12295" max="12295" width="11.41015625" customWidth="1"/>
    <col min="12296" max="12296" width="12.41015625" customWidth="1"/>
    <col min="12297" max="12297" width="3" customWidth="1"/>
    <col min="12298" max="12298" width="4.17578125" customWidth="1"/>
    <col min="12299" max="12299" width="10.703125" customWidth="1"/>
    <col min="12300" max="12300" width="11.52734375" customWidth="1"/>
    <col min="12301" max="12301" width="12.41015625" customWidth="1"/>
    <col min="12302" max="12302" width="12" customWidth="1"/>
    <col min="12545" max="12545" width="16.703125" customWidth="1"/>
    <col min="12546" max="12546" width="10.8203125" customWidth="1"/>
    <col min="12547" max="12547" width="2.703125" customWidth="1"/>
    <col min="12548" max="12548" width="14" customWidth="1"/>
    <col min="12549" max="12549" width="12.41015625" customWidth="1"/>
    <col min="12550" max="12550" width="10.52734375" customWidth="1"/>
    <col min="12551" max="12551" width="11.41015625" customWidth="1"/>
    <col min="12552" max="12552" width="12.41015625" customWidth="1"/>
    <col min="12553" max="12553" width="3" customWidth="1"/>
    <col min="12554" max="12554" width="4.17578125" customWidth="1"/>
    <col min="12555" max="12555" width="10.703125" customWidth="1"/>
    <col min="12556" max="12556" width="11.52734375" customWidth="1"/>
    <col min="12557" max="12557" width="12.41015625" customWidth="1"/>
    <col min="12558" max="12558" width="12" customWidth="1"/>
    <col min="12801" max="12801" width="16.703125" customWidth="1"/>
    <col min="12802" max="12802" width="10.8203125" customWidth="1"/>
    <col min="12803" max="12803" width="2.703125" customWidth="1"/>
    <col min="12804" max="12804" width="14" customWidth="1"/>
    <col min="12805" max="12805" width="12.41015625" customWidth="1"/>
    <col min="12806" max="12806" width="10.52734375" customWidth="1"/>
    <col min="12807" max="12807" width="11.41015625" customWidth="1"/>
    <col min="12808" max="12808" width="12.41015625" customWidth="1"/>
    <col min="12809" max="12809" width="3" customWidth="1"/>
    <col min="12810" max="12810" width="4.17578125" customWidth="1"/>
    <col min="12811" max="12811" width="10.703125" customWidth="1"/>
    <col min="12812" max="12812" width="11.52734375" customWidth="1"/>
    <col min="12813" max="12813" width="12.41015625" customWidth="1"/>
    <col min="12814" max="12814" width="12" customWidth="1"/>
    <col min="13057" max="13057" width="16.703125" customWidth="1"/>
    <col min="13058" max="13058" width="10.8203125" customWidth="1"/>
    <col min="13059" max="13059" width="2.703125" customWidth="1"/>
    <col min="13060" max="13060" width="14" customWidth="1"/>
    <col min="13061" max="13061" width="12.41015625" customWidth="1"/>
    <col min="13062" max="13062" width="10.52734375" customWidth="1"/>
    <col min="13063" max="13063" width="11.41015625" customWidth="1"/>
    <col min="13064" max="13064" width="12.41015625" customWidth="1"/>
    <col min="13065" max="13065" width="3" customWidth="1"/>
    <col min="13066" max="13066" width="4.17578125" customWidth="1"/>
    <col min="13067" max="13067" width="10.703125" customWidth="1"/>
    <col min="13068" max="13068" width="11.52734375" customWidth="1"/>
    <col min="13069" max="13069" width="12.41015625" customWidth="1"/>
    <col min="13070" max="13070" width="12" customWidth="1"/>
    <col min="13313" max="13313" width="16.703125" customWidth="1"/>
    <col min="13314" max="13314" width="10.8203125" customWidth="1"/>
    <col min="13315" max="13315" width="2.703125" customWidth="1"/>
    <col min="13316" max="13316" width="14" customWidth="1"/>
    <col min="13317" max="13317" width="12.41015625" customWidth="1"/>
    <col min="13318" max="13318" width="10.52734375" customWidth="1"/>
    <col min="13319" max="13319" width="11.41015625" customWidth="1"/>
    <col min="13320" max="13320" width="12.41015625" customWidth="1"/>
    <col min="13321" max="13321" width="3" customWidth="1"/>
    <col min="13322" max="13322" width="4.17578125" customWidth="1"/>
    <col min="13323" max="13323" width="10.703125" customWidth="1"/>
    <col min="13324" max="13324" width="11.52734375" customWidth="1"/>
    <col min="13325" max="13325" width="12.41015625" customWidth="1"/>
    <col min="13326" max="13326" width="12" customWidth="1"/>
    <col min="13569" max="13569" width="16.703125" customWidth="1"/>
    <col min="13570" max="13570" width="10.8203125" customWidth="1"/>
    <col min="13571" max="13571" width="2.703125" customWidth="1"/>
    <col min="13572" max="13572" width="14" customWidth="1"/>
    <col min="13573" max="13573" width="12.41015625" customWidth="1"/>
    <col min="13574" max="13574" width="10.52734375" customWidth="1"/>
    <col min="13575" max="13575" width="11.41015625" customWidth="1"/>
    <col min="13576" max="13576" width="12.41015625" customWidth="1"/>
    <col min="13577" max="13577" width="3" customWidth="1"/>
    <col min="13578" max="13578" width="4.17578125" customWidth="1"/>
    <col min="13579" max="13579" width="10.703125" customWidth="1"/>
    <col min="13580" max="13580" width="11.52734375" customWidth="1"/>
    <col min="13581" max="13581" width="12.41015625" customWidth="1"/>
    <col min="13582" max="13582" width="12" customWidth="1"/>
    <col min="13825" max="13825" width="16.703125" customWidth="1"/>
    <col min="13826" max="13826" width="10.8203125" customWidth="1"/>
    <col min="13827" max="13827" width="2.703125" customWidth="1"/>
    <col min="13828" max="13828" width="14" customWidth="1"/>
    <col min="13829" max="13829" width="12.41015625" customWidth="1"/>
    <col min="13830" max="13830" width="10.52734375" customWidth="1"/>
    <col min="13831" max="13831" width="11.41015625" customWidth="1"/>
    <col min="13832" max="13832" width="12.41015625" customWidth="1"/>
    <col min="13833" max="13833" width="3" customWidth="1"/>
    <col min="13834" max="13834" width="4.17578125" customWidth="1"/>
    <col min="13835" max="13835" width="10.703125" customWidth="1"/>
    <col min="13836" max="13836" width="11.52734375" customWidth="1"/>
    <col min="13837" max="13837" width="12.41015625" customWidth="1"/>
    <col min="13838" max="13838" width="12" customWidth="1"/>
    <col min="14081" max="14081" width="16.703125" customWidth="1"/>
    <col min="14082" max="14082" width="10.8203125" customWidth="1"/>
    <col min="14083" max="14083" width="2.703125" customWidth="1"/>
    <col min="14084" max="14084" width="14" customWidth="1"/>
    <col min="14085" max="14085" width="12.41015625" customWidth="1"/>
    <col min="14086" max="14086" width="10.52734375" customWidth="1"/>
    <col min="14087" max="14087" width="11.41015625" customWidth="1"/>
    <col min="14088" max="14088" width="12.41015625" customWidth="1"/>
    <col min="14089" max="14089" width="3" customWidth="1"/>
    <col min="14090" max="14090" width="4.17578125" customWidth="1"/>
    <col min="14091" max="14091" width="10.703125" customWidth="1"/>
    <col min="14092" max="14092" width="11.52734375" customWidth="1"/>
    <col min="14093" max="14093" width="12.41015625" customWidth="1"/>
    <col min="14094" max="14094" width="12" customWidth="1"/>
    <col min="14337" max="14337" width="16.703125" customWidth="1"/>
    <col min="14338" max="14338" width="10.8203125" customWidth="1"/>
    <col min="14339" max="14339" width="2.703125" customWidth="1"/>
    <col min="14340" max="14340" width="14" customWidth="1"/>
    <col min="14341" max="14341" width="12.41015625" customWidth="1"/>
    <col min="14342" max="14342" width="10.52734375" customWidth="1"/>
    <col min="14343" max="14343" width="11.41015625" customWidth="1"/>
    <col min="14344" max="14344" width="12.41015625" customWidth="1"/>
    <col min="14345" max="14345" width="3" customWidth="1"/>
    <col min="14346" max="14346" width="4.17578125" customWidth="1"/>
    <col min="14347" max="14347" width="10.703125" customWidth="1"/>
    <col min="14348" max="14348" width="11.52734375" customWidth="1"/>
    <col min="14349" max="14349" width="12.41015625" customWidth="1"/>
    <col min="14350" max="14350" width="12" customWidth="1"/>
    <col min="14593" max="14593" width="16.703125" customWidth="1"/>
    <col min="14594" max="14594" width="10.8203125" customWidth="1"/>
    <col min="14595" max="14595" width="2.703125" customWidth="1"/>
    <col min="14596" max="14596" width="14" customWidth="1"/>
    <col min="14597" max="14597" width="12.41015625" customWidth="1"/>
    <col min="14598" max="14598" width="10.52734375" customWidth="1"/>
    <col min="14599" max="14599" width="11.41015625" customWidth="1"/>
    <col min="14600" max="14600" width="12.41015625" customWidth="1"/>
    <col min="14601" max="14601" width="3" customWidth="1"/>
    <col min="14602" max="14602" width="4.17578125" customWidth="1"/>
    <col min="14603" max="14603" width="10.703125" customWidth="1"/>
    <col min="14604" max="14604" width="11.52734375" customWidth="1"/>
    <col min="14605" max="14605" width="12.41015625" customWidth="1"/>
    <col min="14606" max="14606" width="12" customWidth="1"/>
    <col min="14849" max="14849" width="16.703125" customWidth="1"/>
    <col min="14850" max="14850" width="10.8203125" customWidth="1"/>
    <col min="14851" max="14851" width="2.703125" customWidth="1"/>
    <col min="14852" max="14852" width="14" customWidth="1"/>
    <col min="14853" max="14853" width="12.41015625" customWidth="1"/>
    <col min="14854" max="14854" width="10.52734375" customWidth="1"/>
    <col min="14855" max="14855" width="11.41015625" customWidth="1"/>
    <col min="14856" max="14856" width="12.41015625" customWidth="1"/>
    <col min="14857" max="14857" width="3" customWidth="1"/>
    <col min="14858" max="14858" width="4.17578125" customWidth="1"/>
    <col min="14859" max="14859" width="10.703125" customWidth="1"/>
    <col min="14860" max="14860" width="11.52734375" customWidth="1"/>
    <col min="14861" max="14861" width="12.41015625" customWidth="1"/>
    <col min="14862" max="14862" width="12" customWidth="1"/>
    <col min="15105" max="15105" width="16.703125" customWidth="1"/>
    <col min="15106" max="15106" width="10.8203125" customWidth="1"/>
    <col min="15107" max="15107" width="2.703125" customWidth="1"/>
    <col min="15108" max="15108" width="14" customWidth="1"/>
    <col min="15109" max="15109" width="12.41015625" customWidth="1"/>
    <col min="15110" max="15110" width="10.52734375" customWidth="1"/>
    <col min="15111" max="15111" width="11.41015625" customWidth="1"/>
    <col min="15112" max="15112" width="12.41015625" customWidth="1"/>
    <col min="15113" max="15113" width="3" customWidth="1"/>
    <col min="15114" max="15114" width="4.17578125" customWidth="1"/>
    <col min="15115" max="15115" width="10.703125" customWidth="1"/>
    <col min="15116" max="15116" width="11.52734375" customWidth="1"/>
    <col min="15117" max="15117" width="12.41015625" customWidth="1"/>
    <col min="15118" max="15118" width="12" customWidth="1"/>
    <col min="15361" max="15361" width="16.703125" customWidth="1"/>
    <col min="15362" max="15362" width="10.8203125" customWidth="1"/>
    <col min="15363" max="15363" width="2.703125" customWidth="1"/>
    <col min="15364" max="15364" width="14" customWidth="1"/>
    <col min="15365" max="15365" width="12.41015625" customWidth="1"/>
    <col min="15366" max="15366" width="10.52734375" customWidth="1"/>
    <col min="15367" max="15367" width="11.41015625" customWidth="1"/>
    <col min="15368" max="15368" width="12.41015625" customWidth="1"/>
    <col min="15369" max="15369" width="3" customWidth="1"/>
    <col min="15370" max="15370" width="4.17578125" customWidth="1"/>
    <col min="15371" max="15371" width="10.703125" customWidth="1"/>
    <col min="15372" max="15372" width="11.52734375" customWidth="1"/>
    <col min="15373" max="15373" width="12.41015625" customWidth="1"/>
    <col min="15374" max="15374" width="12" customWidth="1"/>
    <col min="15617" max="15617" width="16.703125" customWidth="1"/>
    <col min="15618" max="15618" width="10.8203125" customWidth="1"/>
    <col min="15619" max="15619" width="2.703125" customWidth="1"/>
    <col min="15620" max="15620" width="14" customWidth="1"/>
    <col min="15621" max="15621" width="12.41015625" customWidth="1"/>
    <col min="15622" max="15622" width="10.52734375" customWidth="1"/>
    <col min="15623" max="15623" width="11.41015625" customWidth="1"/>
    <col min="15624" max="15624" width="12.41015625" customWidth="1"/>
    <col min="15625" max="15625" width="3" customWidth="1"/>
    <col min="15626" max="15626" width="4.17578125" customWidth="1"/>
    <col min="15627" max="15627" width="10.703125" customWidth="1"/>
    <col min="15628" max="15628" width="11.52734375" customWidth="1"/>
    <col min="15629" max="15629" width="12.41015625" customWidth="1"/>
    <col min="15630" max="15630" width="12" customWidth="1"/>
    <col min="15873" max="15873" width="16.703125" customWidth="1"/>
    <col min="15874" max="15874" width="10.8203125" customWidth="1"/>
    <col min="15875" max="15875" width="2.703125" customWidth="1"/>
    <col min="15876" max="15876" width="14" customWidth="1"/>
    <col min="15877" max="15877" width="12.41015625" customWidth="1"/>
    <col min="15878" max="15878" width="10.52734375" customWidth="1"/>
    <col min="15879" max="15879" width="11.41015625" customWidth="1"/>
    <col min="15880" max="15880" width="12.41015625" customWidth="1"/>
    <col min="15881" max="15881" width="3" customWidth="1"/>
    <col min="15882" max="15882" width="4.17578125" customWidth="1"/>
    <col min="15883" max="15883" width="10.703125" customWidth="1"/>
    <col min="15884" max="15884" width="11.52734375" customWidth="1"/>
    <col min="15885" max="15885" width="12.41015625" customWidth="1"/>
    <col min="15886" max="15886" width="12" customWidth="1"/>
    <col min="16129" max="16129" width="16.703125" customWidth="1"/>
    <col min="16130" max="16130" width="10.8203125" customWidth="1"/>
    <col min="16131" max="16131" width="2.703125" customWidth="1"/>
    <col min="16132" max="16132" width="14" customWidth="1"/>
    <col min="16133" max="16133" width="12.41015625" customWidth="1"/>
    <col min="16134" max="16134" width="10.52734375" customWidth="1"/>
    <col min="16135" max="16135" width="11.41015625" customWidth="1"/>
    <col min="16136" max="16136" width="12.41015625" customWidth="1"/>
    <col min="16137" max="16137" width="3" customWidth="1"/>
    <col min="16138" max="16138" width="4.17578125" customWidth="1"/>
    <col min="16139" max="16139" width="10.703125" customWidth="1"/>
    <col min="16140" max="16140" width="11.52734375" customWidth="1"/>
    <col min="16141" max="16141" width="12.41015625" customWidth="1"/>
    <col min="16142" max="16142" width="12" customWidth="1"/>
  </cols>
  <sheetData>
    <row r="1" spans="1:16" ht="17.7" x14ac:dyDescent="0.55000000000000004">
      <c r="A1" s="36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6" ht="15.35" x14ac:dyDescent="0.5">
      <c r="J3" s="39"/>
      <c r="K3" s="39"/>
      <c r="L3" s="39"/>
      <c r="M3" s="39"/>
      <c r="N3" s="39"/>
      <c r="O3" s="39"/>
    </row>
    <row r="4" spans="1:16" ht="19.5" customHeight="1" x14ac:dyDescent="0.5">
      <c r="J4" s="39"/>
      <c r="K4" s="242"/>
      <c r="L4" s="242"/>
      <c r="M4" s="242"/>
      <c r="N4" s="242"/>
      <c r="O4" s="242"/>
    </row>
    <row r="5" spans="1:16" ht="57" customHeight="1" x14ac:dyDescent="0.5">
      <c r="J5" s="45"/>
    </row>
    <row r="10" spans="1:16" ht="8.25" customHeight="1" x14ac:dyDescent="0.5"/>
    <row r="12" spans="1:16" x14ac:dyDescent="0.5">
      <c r="J12" s="55"/>
    </row>
    <row r="15" spans="1:16" x14ac:dyDescent="0.5">
      <c r="K15" s="52"/>
      <c r="L15" s="52"/>
      <c r="M15" s="52"/>
      <c r="N15" s="52"/>
      <c r="O15" s="52"/>
      <c r="P15" s="52"/>
    </row>
    <row r="17" ht="18" customHeight="1" x14ac:dyDescent="0.5"/>
    <row r="18" ht="18.75" customHeight="1" x14ac:dyDescent="0.5"/>
    <row r="20" ht="54" customHeight="1" x14ac:dyDescent="0.5"/>
    <row r="40" spans="1:17" ht="14.7" thickBot="1" x14ac:dyDescent="0.5500000000000000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ht="17.7" x14ac:dyDescent="0.55000000000000004">
      <c r="A41" s="69" t="s">
        <v>53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1:17" x14ac:dyDescent="0.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</row>
    <row r="43" spans="1:17" x14ac:dyDescent="0.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</row>
    <row r="45" spans="1:17" x14ac:dyDescent="0.5">
      <c r="A45" s="72" t="s">
        <v>54</v>
      </c>
    </row>
    <row r="46" spans="1:17" x14ac:dyDescent="0.5">
      <c r="A46" s="73" t="s">
        <v>55</v>
      </c>
      <c r="B46" s="74">
        <v>10</v>
      </c>
      <c r="C46" s="73"/>
      <c r="D46" s="73"/>
      <c r="E46" s="73"/>
      <c r="F46" s="73"/>
    </row>
    <row r="47" spans="1:17" x14ac:dyDescent="0.5">
      <c r="A47" s="73" t="s">
        <v>56</v>
      </c>
      <c r="B47" s="74">
        <v>6</v>
      </c>
      <c r="C47" s="73"/>
      <c r="D47" s="73"/>
      <c r="E47" s="73"/>
      <c r="F47" s="73"/>
    </row>
    <row r="48" spans="1:17" x14ac:dyDescent="0.5">
      <c r="A48" s="73" t="s">
        <v>57</v>
      </c>
      <c r="B48" s="74">
        <v>25</v>
      </c>
      <c r="C48" s="73"/>
      <c r="D48" s="73"/>
      <c r="E48" s="73"/>
      <c r="F48" s="73"/>
    </row>
    <row r="49" spans="1:7" x14ac:dyDescent="0.5">
      <c r="A49" s="73" t="s">
        <v>58</v>
      </c>
      <c r="B49" s="74">
        <v>12</v>
      </c>
      <c r="C49" s="73"/>
      <c r="D49" s="73"/>
      <c r="E49" s="73"/>
      <c r="F49" s="73"/>
    </row>
    <row r="50" spans="1:7" x14ac:dyDescent="0.5">
      <c r="A50" s="73" t="s">
        <v>59</v>
      </c>
      <c r="B50" s="74">
        <v>0</v>
      </c>
      <c r="C50" s="73"/>
      <c r="D50" s="73"/>
      <c r="E50" s="73"/>
      <c r="F50" s="73"/>
    </row>
    <row r="51" spans="1:7" x14ac:dyDescent="0.5">
      <c r="A51" s="73"/>
      <c r="B51" s="73"/>
      <c r="C51" s="73"/>
      <c r="D51" s="73"/>
      <c r="E51" s="73"/>
      <c r="F51" s="73"/>
    </row>
    <row r="52" spans="1:7" x14ac:dyDescent="0.5">
      <c r="A52" s="243" t="s">
        <v>60</v>
      </c>
      <c r="B52" s="243"/>
      <c r="C52" s="75"/>
      <c r="D52" s="76" t="s">
        <v>61</v>
      </c>
      <c r="E52" s="76" t="s">
        <v>62</v>
      </c>
      <c r="G52" s="75"/>
    </row>
    <row r="53" spans="1:7" x14ac:dyDescent="0.5">
      <c r="A53" s="33" t="s">
        <v>63</v>
      </c>
      <c r="B53" s="33" t="s">
        <v>64</v>
      </c>
      <c r="D53" s="77" t="s">
        <v>65</v>
      </c>
      <c r="E53" s="77" t="s">
        <v>66</v>
      </c>
    </row>
    <row r="54" spans="1:7" x14ac:dyDescent="0.5">
      <c r="A54" s="78">
        <v>0</v>
      </c>
      <c r="B54" s="79">
        <f>1-A54</f>
        <v>1</v>
      </c>
      <c r="D54" s="80">
        <f t="shared" ref="D54:D64" si="0">SQRT((A54*$B$48)^2+(B54*$B$49)^2+2*$B$48*A54*$B$49*B54*$B$50)</f>
        <v>12</v>
      </c>
      <c r="E54" s="80">
        <f t="shared" ref="E54:E64" si="1">+A54*$B$46+B54*$B$47</f>
        <v>6</v>
      </c>
    </row>
    <row r="55" spans="1:7" x14ac:dyDescent="0.5">
      <c r="A55" s="79">
        <f>+A54+0.1</f>
        <v>0.1</v>
      </c>
      <c r="B55" s="79">
        <f t="shared" ref="B55:B64" si="2">1-A55</f>
        <v>0.9</v>
      </c>
      <c r="D55" s="80">
        <f t="shared" si="0"/>
        <v>11.085576214162257</v>
      </c>
      <c r="E55" s="80">
        <f t="shared" si="1"/>
        <v>6.4</v>
      </c>
    </row>
    <row r="56" spans="1:7" x14ac:dyDescent="0.5">
      <c r="A56" s="79">
        <f t="shared" ref="A56:A64" si="3">+A55+0.1</f>
        <v>0.2</v>
      </c>
      <c r="B56" s="79">
        <f t="shared" si="2"/>
        <v>0.8</v>
      </c>
      <c r="D56" s="80">
        <f t="shared" si="0"/>
        <v>10.824047302187848</v>
      </c>
      <c r="E56" s="80">
        <f t="shared" si="1"/>
        <v>6.8000000000000007</v>
      </c>
    </row>
    <row r="57" spans="1:7" x14ac:dyDescent="0.5">
      <c r="A57" s="79">
        <f t="shared" si="3"/>
        <v>0.30000000000000004</v>
      </c>
      <c r="B57" s="79">
        <f t="shared" si="2"/>
        <v>0.7</v>
      </c>
      <c r="D57" s="80">
        <f t="shared" si="0"/>
        <v>11.260994627474075</v>
      </c>
      <c r="E57" s="80">
        <f t="shared" si="1"/>
        <v>7.1999999999999993</v>
      </c>
    </row>
    <row r="58" spans="1:7" x14ac:dyDescent="0.5">
      <c r="A58" s="79">
        <f t="shared" si="3"/>
        <v>0.4</v>
      </c>
      <c r="B58" s="79">
        <f t="shared" si="2"/>
        <v>0.6</v>
      </c>
      <c r="D58" s="80">
        <f t="shared" si="0"/>
        <v>12.322337440599489</v>
      </c>
      <c r="E58" s="80">
        <f t="shared" si="1"/>
        <v>7.6</v>
      </c>
    </row>
    <row r="59" spans="1:7" x14ac:dyDescent="0.5">
      <c r="A59" s="79">
        <f t="shared" si="3"/>
        <v>0.5</v>
      </c>
      <c r="B59" s="79">
        <f t="shared" si="2"/>
        <v>0.5</v>
      </c>
      <c r="D59" s="80">
        <f t="shared" si="0"/>
        <v>13.865424623862047</v>
      </c>
      <c r="E59" s="80">
        <f t="shared" si="1"/>
        <v>8</v>
      </c>
    </row>
    <row r="60" spans="1:7" x14ac:dyDescent="0.5">
      <c r="A60" s="79">
        <f t="shared" si="3"/>
        <v>0.6</v>
      </c>
      <c r="B60" s="79">
        <f t="shared" si="2"/>
        <v>0.4</v>
      </c>
      <c r="D60" s="80">
        <f t="shared" si="0"/>
        <v>15.749285698088025</v>
      </c>
      <c r="E60" s="80">
        <f t="shared" si="1"/>
        <v>8.4</v>
      </c>
    </row>
    <row r="61" spans="1:7" x14ac:dyDescent="0.5">
      <c r="A61" s="79">
        <f t="shared" si="3"/>
        <v>0.7</v>
      </c>
      <c r="B61" s="79">
        <f t="shared" si="2"/>
        <v>0.30000000000000004</v>
      </c>
      <c r="D61" s="80">
        <f t="shared" si="0"/>
        <v>17.866449003649269</v>
      </c>
      <c r="E61" s="80">
        <f t="shared" si="1"/>
        <v>8.8000000000000007</v>
      </c>
    </row>
    <row r="62" spans="1:7" x14ac:dyDescent="0.5">
      <c r="A62" s="79">
        <f t="shared" si="3"/>
        <v>0.79999999999999993</v>
      </c>
      <c r="B62" s="79">
        <f t="shared" si="2"/>
        <v>0.20000000000000007</v>
      </c>
      <c r="D62" s="80">
        <f t="shared" si="0"/>
        <v>20.143485299222675</v>
      </c>
      <c r="E62" s="80">
        <f t="shared" si="1"/>
        <v>9.1999999999999993</v>
      </c>
    </row>
    <row r="63" spans="1:7" x14ac:dyDescent="0.5">
      <c r="A63" s="79">
        <f t="shared" si="3"/>
        <v>0.89999999999999991</v>
      </c>
      <c r="B63" s="79">
        <f t="shared" si="2"/>
        <v>0.10000000000000009</v>
      </c>
      <c r="D63" s="80">
        <f t="shared" si="0"/>
        <v>22.531977276750478</v>
      </c>
      <c r="E63" s="80">
        <f t="shared" si="1"/>
        <v>9.6000000000000014</v>
      </c>
    </row>
    <row r="64" spans="1:7" x14ac:dyDescent="0.5">
      <c r="A64" s="79">
        <f t="shared" si="3"/>
        <v>0.99999999999999989</v>
      </c>
      <c r="B64" s="79">
        <f t="shared" si="2"/>
        <v>0</v>
      </c>
      <c r="D64" s="80">
        <f t="shared" si="0"/>
        <v>24.999999999999996</v>
      </c>
      <c r="E64" s="80">
        <f t="shared" si="1"/>
        <v>9.9999999999999982</v>
      </c>
    </row>
    <row r="65" spans="1:7" x14ac:dyDescent="0.5">
      <c r="A65" s="79"/>
    </row>
    <row r="66" spans="1:7" x14ac:dyDescent="0.5">
      <c r="A66" s="81" t="s">
        <v>67</v>
      </c>
    </row>
    <row r="67" spans="1:7" x14ac:dyDescent="0.5">
      <c r="A67" t="s">
        <v>68</v>
      </c>
      <c r="B67" s="82">
        <f>+($B$49^2-B49*B48*B50)/(B48^2+B49^2-2*B49*B48*B50)</f>
        <v>0.18725617685305593</v>
      </c>
    </row>
    <row r="68" spans="1:7" x14ac:dyDescent="0.5">
      <c r="A68" t="s">
        <v>69</v>
      </c>
      <c r="B68" s="83">
        <f>1-B67</f>
        <v>0.81274382314694404</v>
      </c>
    </row>
    <row r="74" spans="1:7" x14ac:dyDescent="0.5">
      <c r="F74" s="73"/>
    </row>
    <row r="75" spans="1:7" x14ac:dyDescent="0.5">
      <c r="F75" s="73"/>
    </row>
    <row r="76" spans="1:7" x14ac:dyDescent="0.5">
      <c r="F76" s="73"/>
    </row>
    <row r="77" spans="1:7" x14ac:dyDescent="0.5">
      <c r="F77" s="73"/>
    </row>
    <row r="78" spans="1:7" x14ac:dyDescent="0.5">
      <c r="F78" s="73"/>
    </row>
    <row r="79" spans="1:7" x14ac:dyDescent="0.5">
      <c r="F79" s="73"/>
    </row>
    <row r="80" spans="1:7" x14ac:dyDescent="0.5">
      <c r="G80" s="75"/>
    </row>
    <row r="93" spans="1:5" x14ac:dyDescent="0.5">
      <c r="A93" s="84"/>
      <c r="B93" s="84"/>
      <c r="C93" s="84"/>
      <c r="D93" s="84"/>
      <c r="E93" s="84"/>
    </row>
    <row r="97" spans="1:5" x14ac:dyDescent="0.5">
      <c r="A97" t="s">
        <v>70</v>
      </c>
    </row>
    <row r="98" spans="1:5" x14ac:dyDescent="0.5">
      <c r="A98" s="73" t="s">
        <v>59</v>
      </c>
      <c r="B98" s="73">
        <v>1</v>
      </c>
      <c r="C98" s="73"/>
      <c r="D98" s="73"/>
      <c r="E98" s="73"/>
    </row>
    <row r="99" spans="1:5" x14ac:dyDescent="0.5">
      <c r="A99" s="73"/>
      <c r="B99" s="73"/>
      <c r="C99" s="73"/>
      <c r="D99" s="73"/>
      <c r="E99" s="73"/>
    </row>
    <row r="100" spans="1:5" x14ac:dyDescent="0.5">
      <c r="A100" s="243" t="s">
        <v>60</v>
      </c>
      <c r="B100" s="243"/>
      <c r="C100" s="75"/>
      <c r="D100" s="76" t="s">
        <v>61</v>
      </c>
      <c r="E100" s="76" t="s">
        <v>62</v>
      </c>
    </row>
    <row r="101" spans="1:5" x14ac:dyDescent="0.5">
      <c r="A101" s="33" t="s">
        <v>63</v>
      </c>
      <c r="B101" s="33" t="s">
        <v>64</v>
      </c>
      <c r="D101" s="77" t="s">
        <v>65</v>
      </c>
      <c r="E101" s="77" t="s">
        <v>66</v>
      </c>
    </row>
    <row r="102" spans="1:5" x14ac:dyDescent="0.5">
      <c r="A102" s="78">
        <v>0</v>
      </c>
      <c r="B102" s="79">
        <f>1-A102</f>
        <v>1</v>
      </c>
      <c r="D102" s="80">
        <f t="shared" ref="D102:D112" si="4">SQRT((A102*$B$48)^2+(B102*$B$49)^2+2*$B$48*A102*$B$49*B102*$B$98)</f>
        <v>12</v>
      </c>
      <c r="E102" s="80">
        <f t="shared" ref="E102:E112" si="5">+A102*$B$46+B102*$B$47</f>
        <v>6</v>
      </c>
    </row>
    <row r="103" spans="1:5" x14ac:dyDescent="0.5">
      <c r="A103" s="79">
        <f>+A102+0.1</f>
        <v>0.1</v>
      </c>
      <c r="B103" s="79">
        <f t="shared" ref="B103:B112" si="6">1-A103</f>
        <v>0.9</v>
      </c>
      <c r="D103" s="80">
        <f t="shared" si="4"/>
        <v>13.3</v>
      </c>
      <c r="E103" s="80">
        <f t="shared" si="5"/>
        <v>6.4</v>
      </c>
    </row>
    <row r="104" spans="1:5" x14ac:dyDescent="0.5">
      <c r="A104" s="79">
        <f t="shared" ref="A104:A112" si="7">+A103+0.1</f>
        <v>0.2</v>
      </c>
      <c r="B104" s="79">
        <f t="shared" si="6"/>
        <v>0.8</v>
      </c>
      <c r="D104" s="80">
        <f t="shared" si="4"/>
        <v>14.600000000000001</v>
      </c>
      <c r="E104" s="80">
        <f t="shared" si="5"/>
        <v>6.8000000000000007</v>
      </c>
    </row>
    <row r="105" spans="1:5" x14ac:dyDescent="0.5">
      <c r="A105" s="79">
        <f t="shared" si="7"/>
        <v>0.30000000000000004</v>
      </c>
      <c r="B105" s="79">
        <f t="shared" si="6"/>
        <v>0.7</v>
      </c>
      <c r="D105" s="80">
        <f t="shared" si="4"/>
        <v>15.9</v>
      </c>
      <c r="E105" s="80">
        <f t="shared" si="5"/>
        <v>7.1999999999999993</v>
      </c>
    </row>
    <row r="106" spans="1:5" x14ac:dyDescent="0.5">
      <c r="A106" s="79">
        <f t="shared" si="7"/>
        <v>0.4</v>
      </c>
      <c r="B106" s="79">
        <f t="shared" si="6"/>
        <v>0.6</v>
      </c>
      <c r="D106" s="80">
        <f t="shared" si="4"/>
        <v>17.2</v>
      </c>
      <c r="E106" s="80">
        <f t="shared" si="5"/>
        <v>7.6</v>
      </c>
    </row>
    <row r="107" spans="1:5" x14ac:dyDescent="0.5">
      <c r="A107" s="79">
        <f t="shared" si="7"/>
        <v>0.5</v>
      </c>
      <c r="B107" s="79">
        <f t="shared" si="6"/>
        <v>0.5</v>
      </c>
      <c r="D107" s="80">
        <f t="shared" si="4"/>
        <v>18.5</v>
      </c>
      <c r="E107" s="80">
        <f t="shared" si="5"/>
        <v>8</v>
      </c>
    </row>
    <row r="108" spans="1:5" x14ac:dyDescent="0.5">
      <c r="A108" s="79">
        <f t="shared" si="7"/>
        <v>0.6</v>
      </c>
      <c r="B108" s="79">
        <f t="shared" si="6"/>
        <v>0.4</v>
      </c>
      <c r="D108" s="80">
        <f t="shared" si="4"/>
        <v>19.8</v>
      </c>
      <c r="E108" s="80">
        <f t="shared" si="5"/>
        <v>8.4</v>
      </c>
    </row>
    <row r="109" spans="1:5" x14ac:dyDescent="0.5">
      <c r="A109" s="79">
        <f t="shared" si="7"/>
        <v>0.7</v>
      </c>
      <c r="B109" s="79">
        <f t="shared" si="6"/>
        <v>0.30000000000000004</v>
      </c>
      <c r="D109" s="80">
        <f t="shared" si="4"/>
        <v>21.099999999999998</v>
      </c>
      <c r="E109" s="80">
        <f t="shared" si="5"/>
        <v>8.8000000000000007</v>
      </c>
    </row>
    <row r="110" spans="1:5" x14ac:dyDescent="0.5">
      <c r="A110" s="79">
        <f t="shared" si="7"/>
        <v>0.79999999999999993</v>
      </c>
      <c r="B110" s="79">
        <f t="shared" si="6"/>
        <v>0.20000000000000007</v>
      </c>
      <c r="D110" s="80">
        <f t="shared" si="4"/>
        <v>22.4</v>
      </c>
      <c r="E110" s="80">
        <f t="shared" si="5"/>
        <v>9.1999999999999993</v>
      </c>
    </row>
    <row r="111" spans="1:5" x14ac:dyDescent="0.5">
      <c r="A111" s="79">
        <f t="shared" si="7"/>
        <v>0.89999999999999991</v>
      </c>
      <c r="B111" s="79">
        <f t="shared" si="6"/>
        <v>0.10000000000000009</v>
      </c>
      <c r="D111" s="80">
        <f t="shared" si="4"/>
        <v>23.699999999999996</v>
      </c>
      <c r="E111" s="80">
        <f t="shared" si="5"/>
        <v>9.6000000000000014</v>
      </c>
    </row>
    <row r="112" spans="1:5" x14ac:dyDescent="0.5">
      <c r="A112" s="79">
        <f t="shared" si="7"/>
        <v>0.99999999999999989</v>
      </c>
      <c r="B112" s="79">
        <f t="shared" si="6"/>
        <v>0</v>
      </c>
      <c r="D112" s="80">
        <f t="shared" si="4"/>
        <v>24.999999999999996</v>
      </c>
      <c r="E112" s="80">
        <f t="shared" si="5"/>
        <v>9.9999999999999982</v>
      </c>
    </row>
    <row r="114" spans="1:5" x14ac:dyDescent="0.5">
      <c r="A114" s="81"/>
    </row>
    <row r="116" spans="1:5" x14ac:dyDescent="0.5">
      <c r="A116" t="s">
        <v>71</v>
      </c>
    </row>
    <row r="117" spans="1:5" x14ac:dyDescent="0.5">
      <c r="A117" s="73" t="s">
        <v>59</v>
      </c>
      <c r="B117" s="73">
        <v>-1</v>
      </c>
      <c r="C117" s="73"/>
      <c r="D117" s="73"/>
      <c r="E117" s="73"/>
    </row>
    <row r="118" spans="1:5" x14ac:dyDescent="0.5">
      <c r="A118" s="73"/>
      <c r="B118" s="73"/>
      <c r="C118" s="73"/>
      <c r="D118" s="73"/>
      <c r="E118" s="73"/>
    </row>
    <row r="119" spans="1:5" x14ac:dyDescent="0.5">
      <c r="A119" s="243" t="s">
        <v>60</v>
      </c>
      <c r="B119" s="243"/>
      <c r="C119" s="75"/>
      <c r="D119" s="76" t="s">
        <v>61</v>
      </c>
      <c r="E119" s="76" t="s">
        <v>62</v>
      </c>
    </row>
    <row r="120" spans="1:5" x14ac:dyDescent="0.5">
      <c r="A120" s="33" t="s">
        <v>63</v>
      </c>
      <c r="B120" s="33" t="s">
        <v>64</v>
      </c>
      <c r="D120" s="77" t="s">
        <v>65</v>
      </c>
      <c r="E120" s="77" t="s">
        <v>66</v>
      </c>
    </row>
    <row r="121" spans="1:5" x14ac:dyDescent="0.5">
      <c r="A121" s="78">
        <v>0</v>
      </c>
      <c r="B121" s="79">
        <f>1-A121</f>
        <v>1</v>
      </c>
      <c r="D121" s="80">
        <f t="shared" ref="D121:D131" si="8">SQRT((A121*$B$48)^2+(B121*$B$49)^2+2*$B$48*A121*$B$49*B121*$B$117)</f>
        <v>12</v>
      </c>
      <c r="E121" s="80">
        <f t="shared" ref="E121:E131" si="9">+A121*$B$46+B121*$B$47</f>
        <v>6</v>
      </c>
    </row>
    <row r="122" spans="1:5" x14ac:dyDescent="0.5">
      <c r="A122" s="79">
        <f>+A121+0.1</f>
        <v>0.1</v>
      </c>
      <c r="B122" s="79">
        <f t="shared" ref="B122:B131" si="10">1-A122</f>
        <v>0.9</v>
      </c>
      <c r="D122" s="80">
        <f t="shared" si="8"/>
        <v>8.3000000000000007</v>
      </c>
      <c r="E122" s="80">
        <f t="shared" si="9"/>
        <v>6.4</v>
      </c>
    </row>
    <row r="123" spans="1:5" x14ac:dyDescent="0.5">
      <c r="A123" s="79">
        <f t="shared" ref="A123:A131" si="11">+A122+0.1</f>
        <v>0.2</v>
      </c>
      <c r="B123" s="79">
        <f t="shared" si="10"/>
        <v>0.8</v>
      </c>
      <c r="D123" s="80">
        <f t="shared" si="8"/>
        <v>4.6000000000000023</v>
      </c>
      <c r="E123" s="80">
        <f t="shared" si="9"/>
        <v>6.8000000000000007</v>
      </c>
    </row>
    <row r="124" spans="1:5" x14ac:dyDescent="0.5">
      <c r="A124" s="79">
        <f t="shared" si="11"/>
        <v>0.30000000000000004</v>
      </c>
      <c r="B124" s="79">
        <f t="shared" si="10"/>
        <v>0.7</v>
      </c>
      <c r="D124" s="80">
        <f t="shared" si="8"/>
        <v>0.89999999999998548</v>
      </c>
      <c r="E124" s="80">
        <f t="shared" si="9"/>
        <v>7.1999999999999993</v>
      </c>
    </row>
    <row r="125" spans="1:5" x14ac:dyDescent="0.5">
      <c r="A125" s="79">
        <f t="shared" si="11"/>
        <v>0.4</v>
      </c>
      <c r="B125" s="79">
        <f t="shared" si="10"/>
        <v>0.6</v>
      </c>
      <c r="D125" s="80">
        <f t="shared" si="8"/>
        <v>2.7999999999999954</v>
      </c>
      <c r="E125" s="80">
        <f t="shared" si="9"/>
        <v>7.6</v>
      </c>
    </row>
    <row r="126" spans="1:5" x14ac:dyDescent="0.5">
      <c r="A126" s="79">
        <f t="shared" si="11"/>
        <v>0.5</v>
      </c>
      <c r="B126" s="79">
        <f t="shared" si="10"/>
        <v>0.5</v>
      </c>
      <c r="D126" s="80">
        <f t="shared" si="8"/>
        <v>6.5</v>
      </c>
      <c r="E126" s="80">
        <f t="shared" si="9"/>
        <v>8</v>
      </c>
    </row>
    <row r="127" spans="1:5" x14ac:dyDescent="0.5">
      <c r="A127" s="79">
        <f t="shared" si="11"/>
        <v>0.6</v>
      </c>
      <c r="B127" s="79">
        <f t="shared" si="10"/>
        <v>0.4</v>
      </c>
      <c r="D127" s="80">
        <f t="shared" si="8"/>
        <v>10.200000000000001</v>
      </c>
      <c r="E127" s="80">
        <f t="shared" si="9"/>
        <v>8.4</v>
      </c>
    </row>
    <row r="128" spans="1:5" x14ac:dyDescent="0.5">
      <c r="A128" s="79">
        <f t="shared" si="11"/>
        <v>0.7</v>
      </c>
      <c r="B128" s="79">
        <f t="shared" si="10"/>
        <v>0.30000000000000004</v>
      </c>
      <c r="D128" s="80">
        <f t="shared" si="8"/>
        <v>13.899999999999999</v>
      </c>
      <c r="E128" s="80">
        <f t="shared" si="9"/>
        <v>8.8000000000000007</v>
      </c>
    </row>
    <row r="129" spans="1:5" x14ac:dyDescent="0.5">
      <c r="A129" s="79">
        <f t="shared" si="11"/>
        <v>0.79999999999999993</v>
      </c>
      <c r="B129" s="79">
        <f t="shared" si="10"/>
        <v>0.20000000000000007</v>
      </c>
      <c r="D129" s="80">
        <f t="shared" si="8"/>
        <v>17.600000000000001</v>
      </c>
      <c r="E129" s="80">
        <f t="shared" si="9"/>
        <v>9.1999999999999993</v>
      </c>
    </row>
    <row r="130" spans="1:5" x14ac:dyDescent="0.5">
      <c r="A130" s="79">
        <f t="shared" si="11"/>
        <v>0.89999999999999991</v>
      </c>
      <c r="B130" s="79">
        <f t="shared" si="10"/>
        <v>0.10000000000000009</v>
      </c>
      <c r="D130" s="80">
        <f t="shared" si="8"/>
        <v>21.299999999999994</v>
      </c>
      <c r="E130" s="80">
        <f t="shared" si="9"/>
        <v>9.6000000000000014</v>
      </c>
    </row>
    <row r="131" spans="1:5" x14ac:dyDescent="0.5">
      <c r="A131" s="79">
        <f t="shared" si="11"/>
        <v>0.99999999999999989</v>
      </c>
      <c r="B131" s="79">
        <f t="shared" si="10"/>
        <v>0</v>
      </c>
      <c r="D131" s="80">
        <f t="shared" si="8"/>
        <v>24.999999999999996</v>
      </c>
      <c r="E131" s="80">
        <f t="shared" si="9"/>
        <v>9.9999999999999982</v>
      </c>
    </row>
    <row r="133" spans="1:5" x14ac:dyDescent="0.5">
      <c r="A133" s="81"/>
    </row>
    <row r="134" spans="1:5" x14ac:dyDescent="0.5">
      <c r="B134" s="82"/>
    </row>
    <row r="135" spans="1:5" x14ac:dyDescent="0.5">
      <c r="A135" t="s">
        <v>71</v>
      </c>
      <c r="B135">
        <v>0.2</v>
      </c>
    </row>
    <row r="136" spans="1:5" x14ac:dyDescent="0.5">
      <c r="A136" s="73" t="s">
        <v>59</v>
      </c>
      <c r="B136" s="73">
        <v>0.2</v>
      </c>
      <c r="C136" s="73"/>
      <c r="D136" s="73"/>
      <c r="E136" s="73"/>
    </row>
    <row r="137" spans="1:5" x14ac:dyDescent="0.5">
      <c r="A137" s="73"/>
      <c r="B137" s="73"/>
      <c r="C137" s="73"/>
      <c r="D137" s="73"/>
      <c r="E137" s="73"/>
    </row>
    <row r="138" spans="1:5" x14ac:dyDescent="0.5">
      <c r="A138" s="243" t="s">
        <v>60</v>
      </c>
      <c r="B138" s="243"/>
      <c r="C138" s="75"/>
      <c r="D138" s="76" t="s">
        <v>61</v>
      </c>
      <c r="E138" s="76" t="s">
        <v>62</v>
      </c>
    </row>
    <row r="139" spans="1:5" x14ac:dyDescent="0.5">
      <c r="A139" s="33" t="s">
        <v>63</v>
      </c>
      <c r="B139" s="33" t="s">
        <v>64</v>
      </c>
      <c r="D139" s="77" t="s">
        <v>65</v>
      </c>
      <c r="E139" s="77" t="s">
        <v>66</v>
      </c>
    </row>
    <row r="140" spans="1:5" x14ac:dyDescent="0.5">
      <c r="A140" s="78">
        <v>0</v>
      </c>
      <c r="B140" s="79">
        <f>1-A140</f>
        <v>1</v>
      </c>
      <c r="D140" s="80">
        <f>SQRT((A140*$B$48)^2+(B140*$B$49)^2+2*$B$48*A140*$B$49*B140*$B$136)</f>
        <v>12</v>
      </c>
      <c r="E140" s="80">
        <f t="shared" ref="E140:E150" si="12">+A140*$B$46+B140*$B$47</f>
        <v>6</v>
      </c>
    </row>
    <row r="141" spans="1:5" x14ac:dyDescent="0.5">
      <c r="A141" s="79">
        <f>+A140+0.1</f>
        <v>0.1</v>
      </c>
      <c r="B141" s="79">
        <f t="shared" ref="B141:B150" si="13">1-A141</f>
        <v>0.9</v>
      </c>
      <c r="D141" s="80">
        <f t="shared" ref="D141:D150" si="14">SQRT((A141*$B$48)^2+(B141*$B$49)^2+2*$B$48*A141*$B$49*B141*$B$136)</f>
        <v>11.562439189029279</v>
      </c>
      <c r="E141" s="80">
        <f t="shared" si="12"/>
        <v>6.4</v>
      </c>
    </row>
    <row r="142" spans="1:5" x14ac:dyDescent="0.5">
      <c r="A142" s="79">
        <f t="shared" ref="A142:A150" si="15">+A141+0.1</f>
        <v>0.2</v>
      </c>
      <c r="B142" s="79">
        <f t="shared" si="13"/>
        <v>0.8</v>
      </c>
      <c r="D142" s="80">
        <f t="shared" si="14"/>
        <v>11.677328461596</v>
      </c>
      <c r="E142" s="80">
        <f t="shared" si="12"/>
        <v>6.8000000000000007</v>
      </c>
    </row>
    <row r="143" spans="1:5" x14ac:dyDescent="0.5">
      <c r="A143" s="79">
        <f t="shared" si="15"/>
        <v>0.30000000000000004</v>
      </c>
      <c r="B143" s="79">
        <f t="shared" si="13"/>
        <v>0.7</v>
      </c>
      <c r="D143" s="80">
        <f t="shared" si="14"/>
        <v>12.32923355282071</v>
      </c>
      <c r="E143" s="80">
        <f t="shared" si="12"/>
        <v>7.1999999999999993</v>
      </c>
    </row>
    <row r="144" spans="1:5" x14ac:dyDescent="0.5">
      <c r="A144" s="79">
        <f t="shared" si="15"/>
        <v>0.4</v>
      </c>
      <c r="B144" s="79">
        <f t="shared" si="13"/>
        <v>0.6</v>
      </c>
      <c r="D144" s="80">
        <f t="shared" si="14"/>
        <v>13.440238093129153</v>
      </c>
      <c r="E144" s="80">
        <f t="shared" si="12"/>
        <v>7.6</v>
      </c>
    </row>
    <row r="145" spans="1:15" x14ac:dyDescent="0.5">
      <c r="A145" s="79">
        <f t="shared" si="15"/>
        <v>0.5</v>
      </c>
      <c r="B145" s="79">
        <f t="shared" si="13"/>
        <v>0.5</v>
      </c>
      <c r="D145" s="80">
        <f t="shared" si="14"/>
        <v>14.908051515875574</v>
      </c>
      <c r="E145" s="80">
        <f t="shared" si="12"/>
        <v>8</v>
      </c>
    </row>
    <row r="146" spans="1:15" x14ac:dyDescent="0.5">
      <c r="A146" s="79">
        <f t="shared" si="15"/>
        <v>0.6</v>
      </c>
      <c r="B146" s="79">
        <f t="shared" si="13"/>
        <v>0.4</v>
      </c>
      <c r="D146" s="80">
        <f t="shared" si="14"/>
        <v>16.63850954863446</v>
      </c>
      <c r="E146" s="80">
        <f t="shared" si="12"/>
        <v>8.4</v>
      </c>
    </row>
    <row r="147" spans="1:15" x14ac:dyDescent="0.5">
      <c r="A147" s="79">
        <f t="shared" si="15"/>
        <v>0.7</v>
      </c>
      <c r="B147" s="79">
        <f t="shared" si="13"/>
        <v>0.30000000000000004</v>
      </c>
      <c r="D147" s="80">
        <f t="shared" si="14"/>
        <v>18.558286558839423</v>
      </c>
      <c r="E147" s="80">
        <f t="shared" si="12"/>
        <v>8.8000000000000007</v>
      </c>
    </row>
    <row r="148" spans="1:15" x14ac:dyDescent="0.5">
      <c r="A148" s="79">
        <f t="shared" si="15"/>
        <v>0.79999999999999993</v>
      </c>
      <c r="B148" s="79">
        <f t="shared" si="13"/>
        <v>0.20000000000000007</v>
      </c>
      <c r="D148" s="80">
        <f t="shared" si="14"/>
        <v>20.614557962760202</v>
      </c>
      <c r="E148" s="80">
        <f t="shared" si="12"/>
        <v>9.1999999999999993</v>
      </c>
    </row>
    <row r="149" spans="1:15" x14ac:dyDescent="0.5">
      <c r="A149" s="79">
        <f t="shared" si="15"/>
        <v>0.89999999999999991</v>
      </c>
      <c r="B149" s="79">
        <f t="shared" si="13"/>
        <v>0.10000000000000009</v>
      </c>
      <c r="D149" s="80">
        <f t="shared" si="14"/>
        <v>22.770375490975105</v>
      </c>
      <c r="E149" s="80">
        <f t="shared" si="12"/>
        <v>9.6000000000000014</v>
      </c>
    </row>
    <row r="150" spans="1:15" x14ac:dyDescent="0.5">
      <c r="A150" s="79">
        <f t="shared" si="15"/>
        <v>0.99999999999999989</v>
      </c>
      <c r="B150" s="79">
        <f t="shared" si="13"/>
        <v>0</v>
      </c>
      <c r="D150" s="80">
        <f t="shared" si="14"/>
        <v>24.999999999999996</v>
      </c>
      <c r="E150" s="80">
        <f t="shared" si="12"/>
        <v>9.9999999999999982</v>
      </c>
    </row>
    <row r="152" spans="1:15" x14ac:dyDescent="0.5">
      <c r="B152" s="82"/>
    </row>
    <row r="153" spans="1:15" x14ac:dyDescent="0.5">
      <c r="B153" s="82"/>
    </row>
    <row r="154" spans="1:15" ht="17.7" x14ac:dyDescent="0.55000000000000004">
      <c r="A154" s="36" t="s">
        <v>72</v>
      </c>
      <c r="B154" s="85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</row>
    <row r="155" spans="1:15" ht="14.7" thickBot="1" x14ac:dyDescent="0.55000000000000004">
      <c r="A155" s="86"/>
      <c r="B155" s="83"/>
    </row>
    <row r="156" spans="1:15" ht="14.7" thickBot="1" x14ac:dyDescent="0.55000000000000004">
      <c r="A156" s="87" t="s">
        <v>73</v>
      </c>
      <c r="B156" s="88">
        <v>0.2</v>
      </c>
    </row>
    <row r="157" spans="1:15" ht="14.7" thickBot="1" x14ac:dyDescent="0.55000000000000004"/>
    <row r="158" spans="1:15" ht="29.25" customHeight="1" thickBot="1" x14ac:dyDescent="0.55000000000000004">
      <c r="A158" s="89"/>
      <c r="B158" s="90" t="s">
        <v>74</v>
      </c>
      <c r="C158" s="91"/>
      <c r="D158" s="90" t="s">
        <v>75</v>
      </c>
      <c r="E158" s="92" t="s">
        <v>76</v>
      </c>
      <c r="F158" s="90" t="s">
        <v>77</v>
      </c>
      <c r="G158" s="90" t="s">
        <v>78</v>
      </c>
      <c r="H158" s="93" t="s">
        <v>79</v>
      </c>
      <c r="I158" s="91"/>
      <c r="J158" s="91"/>
      <c r="K158" s="94" t="s">
        <v>80</v>
      </c>
    </row>
    <row r="159" spans="1:15" x14ac:dyDescent="0.5">
      <c r="A159" s="72" t="s">
        <v>81</v>
      </c>
      <c r="B159" s="95"/>
      <c r="E159" s="10"/>
    </row>
    <row r="160" spans="1:15" x14ac:dyDescent="0.5">
      <c r="A160" t="s">
        <v>82</v>
      </c>
      <c r="B160" s="96">
        <v>50</v>
      </c>
      <c r="D160" s="97"/>
      <c r="E160" s="98">
        <v>3</v>
      </c>
      <c r="F160" s="97">
        <v>0</v>
      </c>
      <c r="G160" s="97"/>
      <c r="H160" s="97"/>
    </row>
    <row r="161" spans="1:11" x14ac:dyDescent="0.5">
      <c r="B161" s="96"/>
      <c r="D161" s="97"/>
      <c r="E161" s="97"/>
      <c r="F161" s="97"/>
      <c r="G161" s="97"/>
      <c r="H161" s="97"/>
    </row>
    <row r="162" spans="1:11" x14ac:dyDescent="0.5">
      <c r="A162" s="72" t="s">
        <v>83</v>
      </c>
      <c r="B162" s="96"/>
      <c r="D162" s="97"/>
      <c r="E162" s="97"/>
      <c r="F162" s="97"/>
      <c r="G162" s="97"/>
      <c r="H162" s="97"/>
    </row>
    <row r="163" spans="1:11" x14ac:dyDescent="0.5">
      <c r="A163" t="s">
        <v>69</v>
      </c>
      <c r="B163" s="96">
        <v>20</v>
      </c>
      <c r="D163" s="99">
        <f>+B163/($B$163+$B$164)</f>
        <v>0.4</v>
      </c>
      <c r="E163" s="100">
        <f>+E140</f>
        <v>6</v>
      </c>
      <c r="F163" s="97">
        <f>+B49</f>
        <v>12</v>
      </c>
      <c r="G163" s="97">
        <f>+(D163*F163)^2</f>
        <v>23.040000000000006</v>
      </c>
      <c r="H163" s="97"/>
    </row>
    <row r="164" spans="1:11" x14ac:dyDescent="0.5">
      <c r="A164" t="s">
        <v>68</v>
      </c>
      <c r="B164" s="96">
        <f>100-B163-B160</f>
        <v>30</v>
      </c>
      <c r="D164" s="99">
        <f>+B164/($B$163+$B$164)</f>
        <v>0.6</v>
      </c>
      <c r="E164" s="100">
        <f>+D140</f>
        <v>12</v>
      </c>
      <c r="F164" s="97">
        <f>+B48</f>
        <v>25</v>
      </c>
      <c r="G164" s="97">
        <f>+(D164*F164)^2</f>
        <v>225</v>
      </c>
      <c r="H164" s="97"/>
    </row>
    <row r="165" spans="1:11" ht="14.7" thickBot="1" x14ac:dyDescent="0.55000000000000004">
      <c r="B165" s="101">
        <f>SUM(B160:B164)</f>
        <v>100</v>
      </c>
      <c r="D165" s="102"/>
      <c r="E165" s="103">
        <f>+(E163*D163)+(E164*D164)</f>
        <v>9.6</v>
      </c>
      <c r="F165" s="104"/>
      <c r="G165" s="104">
        <f>+G164+G163</f>
        <v>248.04000000000002</v>
      </c>
      <c r="H165" s="104">
        <f>2*D163*F163*D164*F164*$B$156</f>
        <v>28.800000000000008</v>
      </c>
      <c r="K165">
        <f>+H165+G165</f>
        <v>276.84000000000003</v>
      </c>
    </row>
    <row r="166" spans="1:11" ht="15" thickTop="1" thickBot="1" x14ac:dyDescent="0.55000000000000004"/>
    <row r="167" spans="1:11" ht="14.7" thickBot="1" x14ac:dyDescent="0.55000000000000004">
      <c r="K167" s="105">
        <f>SQRT(K165)</f>
        <v>16.63850954863446</v>
      </c>
    </row>
    <row r="168" spans="1:11" ht="14.7" thickBot="1" x14ac:dyDescent="0.55000000000000004">
      <c r="A168" s="87" t="s">
        <v>84</v>
      </c>
      <c r="B168" s="106">
        <f>+(E165-E160)/K167</f>
        <v>0.39667014528604028</v>
      </c>
    </row>
    <row r="169" spans="1:11" ht="14.7" thickBot="1" x14ac:dyDescent="0.55000000000000004"/>
    <row r="170" spans="1:11" ht="14.7" thickBot="1" x14ac:dyDescent="0.55000000000000004">
      <c r="A170" s="87" t="s">
        <v>85</v>
      </c>
      <c r="B170" s="92"/>
      <c r="C170" s="92"/>
      <c r="D170" s="107">
        <f>+(B160/100*E160)+(B163/100*E163)+(B164/100*E164)</f>
        <v>6.3</v>
      </c>
    </row>
  </sheetData>
  <mergeCells count="5">
    <mergeCell ref="K4:O4"/>
    <mergeCell ref="A52:B52"/>
    <mergeCell ref="A100:B100"/>
    <mergeCell ref="A119:B119"/>
    <mergeCell ref="A138:B1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F52A-0085-4303-93F2-975B0F1457F2}">
  <dimension ref="A1:I22"/>
  <sheetViews>
    <sheetView showGridLines="0" tabSelected="1" workbookViewId="0">
      <selection activeCell="U5" sqref="U5"/>
    </sheetView>
  </sheetViews>
  <sheetFormatPr defaultRowHeight="14.35" x14ac:dyDescent="0.5"/>
  <cols>
    <col min="1" max="1" width="15.17578125" customWidth="1"/>
    <col min="2" max="4" width="11.05859375" customWidth="1"/>
    <col min="5" max="5" width="6.52734375" customWidth="1"/>
    <col min="6" max="6" width="13.703125" customWidth="1"/>
    <col min="7" max="9" width="10.1171875" customWidth="1"/>
  </cols>
  <sheetData>
    <row r="1" spans="1:9" ht="20" x14ac:dyDescent="0.6">
      <c r="A1" s="25" t="s">
        <v>15</v>
      </c>
    </row>
    <row r="3" spans="1:9" ht="19.7" customHeight="1" x14ac:dyDescent="0.55000000000000004">
      <c r="A3" s="26" t="s">
        <v>16</v>
      </c>
      <c r="B3" s="27"/>
      <c r="C3" s="27"/>
      <c r="D3" s="27"/>
      <c r="E3" s="27"/>
      <c r="F3" s="26" t="s">
        <v>17</v>
      </c>
      <c r="G3" s="27"/>
      <c r="H3" s="27"/>
      <c r="I3" s="27"/>
    </row>
    <row r="4" spans="1:9" ht="43" customHeight="1" thickBot="1" x14ac:dyDescent="0.55000000000000004">
      <c r="A4" s="1" t="s">
        <v>0</v>
      </c>
      <c r="B4" s="1" t="s">
        <v>1</v>
      </c>
      <c r="C4" s="2" t="s">
        <v>9</v>
      </c>
      <c r="D4" s="2" t="s">
        <v>283</v>
      </c>
      <c r="F4" s="1" t="s">
        <v>0</v>
      </c>
      <c r="G4" s="1" t="s">
        <v>1</v>
      </c>
      <c r="H4" s="2" t="s">
        <v>9</v>
      </c>
      <c r="I4" s="2" t="s">
        <v>283</v>
      </c>
    </row>
    <row r="5" spans="1:9" ht="14.7" thickTop="1" x14ac:dyDescent="0.5">
      <c r="A5" s="3">
        <v>1</v>
      </c>
      <c r="B5" s="4">
        <v>0.129</v>
      </c>
      <c r="C5" s="5">
        <f>+B5-$B$18</f>
        <v>2.9800000000000021E-2</v>
      </c>
      <c r="D5" s="6">
        <f>+C5^2</f>
        <v>8.8804000000000129E-4</v>
      </c>
      <c r="F5" s="3">
        <v>1</v>
      </c>
      <c r="G5" s="4">
        <v>0.19900000000000001</v>
      </c>
      <c r="H5" s="5">
        <f>+G5-$G$18</f>
        <v>9.9800000000000014E-2</v>
      </c>
      <c r="I5" s="6">
        <f>+H5^2</f>
        <v>9.9600400000000033E-3</v>
      </c>
    </row>
    <row r="6" spans="1:9" x14ac:dyDescent="0.5">
      <c r="A6" s="3">
        <v>2</v>
      </c>
      <c r="B6" s="4">
        <v>0.313</v>
      </c>
      <c r="C6" s="5">
        <f t="shared" ref="C6:C14" si="0">+B6-$B$18</f>
        <v>0.21380000000000002</v>
      </c>
      <c r="D6" s="6">
        <f>+C6^2</f>
        <v>4.5710440000000005E-2</v>
      </c>
      <c r="F6" s="3">
        <v>2</v>
      </c>
      <c r="G6" s="4">
        <v>0.15</v>
      </c>
      <c r="H6" s="5">
        <f t="shared" ref="H6:H14" si="1">+G6-$G$18</f>
        <v>5.0799999999999998E-2</v>
      </c>
      <c r="I6" s="6">
        <f>+H6^2</f>
        <v>2.5806399999999999E-3</v>
      </c>
    </row>
    <row r="7" spans="1:9" x14ac:dyDescent="0.5">
      <c r="A7" s="3">
        <v>3</v>
      </c>
      <c r="B7" s="4">
        <v>0.05</v>
      </c>
      <c r="C7" s="5">
        <f t="shared" si="0"/>
        <v>-4.919999999999998E-2</v>
      </c>
      <c r="D7" s="6">
        <f t="shared" ref="D7:D12" si="2">+C7^2</f>
        <v>2.4206399999999982E-3</v>
      </c>
      <c r="F7" s="3">
        <v>3</v>
      </c>
      <c r="G7" s="4">
        <v>0.08</v>
      </c>
      <c r="H7" s="5">
        <f t="shared" si="1"/>
        <v>-1.9199999999999995E-2</v>
      </c>
      <c r="I7" s="6">
        <f t="shared" ref="I7:I12" si="3">+H7^2</f>
        <v>3.6863999999999978E-4</v>
      </c>
    </row>
    <row r="8" spans="1:9" x14ac:dyDescent="0.5">
      <c r="A8" s="3">
        <v>4</v>
      </c>
      <c r="B8" s="4">
        <v>-0.02</v>
      </c>
      <c r="C8" s="5">
        <f t="shared" si="0"/>
        <v>-0.11919999999999999</v>
      </c>
      <c r="D8" s="6">
        <f t="shared" si="2"/>
        <v>1.4208639999999996E-2</v>
      </c>
      <c r="F8" s="3">
        <v>4</v>
      </c>
      <c r="G8" s="4">
        <v>-0.11</v>
      </c>
      <c r="H8" s="5">
        <f t="shared" si="1"/>
        <v>-0.2092</v>
      </c>
      <c r="I8" s="6">
        <f t="shared" si="3"/>
        <v>4.376464E-2</v>
      </c>
    </row>
    <row r="9" spans="1:9" x14ac:dyDescent="0.5">
      <c r="A9" s="3">
        <v>5</v>
      </c>
      <c r="B9" s="4">
        <v>0.02</v>
      </c>
      <c r="C9" s="5">
        <f t="shared" si="0"/>
        <v>-7.9199999999999979E-2</v>
      </c>
      <c r="D9" s="6">
        <f t="shared" si="2"/>
        <v>6.2726399999999969E-3</v>
      </c>
      <c r="F9" s="3">
        <v>5</v>
      </c>
      <c r="G9" s="4">
        <v>7.0000000000000007E-2</v>
      </c>
      <c r="H9" s="5">
        <f t="shared" si="1"/>
        <v>-2.919999999999999E-2</v>
      </c>
      <c r="I9" s="6">
        <f t="shared" si="3"/>
        <v>8.5263999999999945E-4</v>
      </c>
    </row>
    <row r="10" spans="1:9" x14ac:dyDescent="0.5">
      <c r="A10" s="3">
        <v>6</v>
      </c>
      <c r="B10" s="4">
        <v>0.22</v>
      </c>
      <c r="C10" s="5">
        <f t="shared" si="0"/>
        <v>0.12080000000000002</v>
      </c>
      <c r="D10" s="6">
        <f t="shared" si="2"/>
        <v>1.4592640000000004E-2</v>
      </c>
      <c r="F10" s="3">
        <v>6</v>
      </c>
      <c r="G10" s="4">
        <v>0.14000000000000001</v>
      </c>
      <c r="H10" s="5">
        <f t="shared" si="1"/>
        <v>4.0800000000000017E-2</v>
      </c>
      <c r="I10" s="6">
        <f t="shared" si="3"/>
        <v>1.6646400000000013E-3</v>
      </c>
    </row>
    <row r="11" spans="1:9" x14ac:dyDescent="0.5">
      <c r="A11" s="3">
        <v>7</v>
      </c>
      <c r="B11" s="4">
        <v>0.12</v>
      </c>
      <c r="C11" s="5">
        <f t="shared" si="0"/>
        <v>2.0800000000000013E-2</v>
      </c>
      <c r="D11" s="6">
        <f t="shared" si="2"/>
        <v>4.3264000000000052E-4</v>
      </c>
      <c r="F11" s="3">
        <v>7</v>
      </c>
      <c r="G11" s="4">
        <v>0.24</v>
      </c>
      <c r="H11" s="5">
        <f t="shared" si="1"/>
        <v>0.14079999999999998</v>
      </c>
      <c r="I11" s="6">
        <f t="shared" si="3"/>
        <v>1.9824639999999994E-2</v>
      </c>
    </row>
    <row r="12" spans="1:9" x14ac:dyDescent="0.5">
      <c r="A12" s="3">
        <v>8</v>
      </c>
      <c r="B12" s="4">
        <v>0.12</v>
      </c>
      <c r="C12" s="5">
        <f t="shared" si="0"/>
        <v>2.0800000000000013E-2</v>
      </c>
      <c r="D12" s="6">
        <f t="shared" si="2"/>
        <v>4.3264000000000052E-4</v>
      </c>
      <c r="F12" s="3">
        <v>8</v>
      </c>
      <c r="G12" s="4">
        <v>0.2</v>
      </c>
      <c r="H12" s="5">
        <f t="shared" si="1"/>
        <v>0.10080000000000001</v>
      </c>
      <c r="I12" s="6">
        <f t="shared" si="3"/>
        <v>1.0160640000000004E-2</v>
      </c>
    </row>
    <row r="13" spans="1:9" x14ac:dyDescent="0.5">
      <c r="A13" s="3">
        <v>9</v>
      </c>
      <c r="B13" s="4">
        <v>-0.05</v>
      </c>
      <c r="C13" s="5">
        <f t="shared" si="0"/>
        <v>-0.1492</v>
      </c>
      <c r="D13" s="6">
        <f>+C13^2</f>
        <v>2.2260639999999998E-2</v>
      </c>
      <c r="F13" s="3">
        <v>9</v>
      </c>
      <c r="G13" s="4">
        <v>-5.3999999999999999E-2</v>
      </c>
      <c r="H13" s="5">
        <f t="shared" si="1"/>
        <v>-0.1532</v>
      </c>
      <c r="I13" s="6">
        <f>+H13^2</f>
        <v>2.347024E-2</v>
      </c>
    </row>
    <row r="14" spans="1:9" x14ac:dyDescent="0.5">
      <c r="A14" s="3">
        <v>10</v>
      </c>
      <c r="B14" s="4">
        <v>0.09</v>
      </c>
      <c r="C14" s="5">
        <f t="shared" si="0"/>
        <v>-9.199999999999986E-3</v>
      </c>
      <c r="D14" s="6">
        <f>+C14^2</f>
        <v>8.4639999999999745E-5</v>
      </c>
      <c r="F14" s="3">
        <v>10</v>
      </c>
      <c r="G14" s="4">
        <v>7.6999999999999999E-2</v>
      </c>
      <c r="H14" s="5">
        <f t="shared" si="1"/>
        <v>-2.2199999999999998E-2</v>
      </c>
      <c r="I14" s="6">
        <f>+H14^2</f>
        <v>4.9283999999999992E-4</v>
      </c>
    </row>
    <row r="15" spans="1:9" ht="14.7" thickBot="1" x14ac:dyDescent="0.55000000000000004">
      <c r="A15" s="3" t="s">
        <v>2</v>
      </c>
      <c r="B15" s="7">
        <f>SUM(B5:B14)</f>
        <v>0.99199999999999988</v>
      </c>
      <c r="C15" s="3"/>
      <c r="D15" s="8">
        <f>SUM(D5:D14)</f>
        <v>0.10730359999999999</v>
      </c>
      <c r="F15" s="3" t="s">
        <v>2</v>
      </c>
      <c r="G15" s="7">
        <f>SUM(G5:G14)</f>
        <v>0.99199999999999999</v>
      </c>
      <c r="H15" s="3"/>
      <c r="I15" s="8">
        <f>SUM(I5:I14)</f>
        <v>0.11313959999999999</v>
      </c>
    </row>
    <row r="16" spans="1:9" ht="14.7" thickTop="1" x14ac:dyDescent="0.5">
      <c r="B16" s="9"/>
      <c r="G16" s="9"/>
    </row>
    <row r="17" spans="1:9" x14ac:dyDescent="0.5">
      <c r="A17" t="s">
        <v>3</v>
      </c>
      <c r="B17" s="10">
        <f>COUNT(B5:B14)</f>
        <v>10</v>
      </c>
      <c r="C17" s="3" t="s">
        <v>4</v>
      </c>
      <c r="F17" t="s">
        <v>3</v>
      </c>
      <c r="G17" s="10">
        <f>COUNT(G5:G14)</f>
        <v>10</v>
      </c>
      <c r="H17" s="3" t="s">
        <v>4</v>
      </c>
    </row>
    <row r="18" spans="1:9" x14ac:dyDescent="0.5">
      <c r="A18" s="11" t="s">
        <v>5</v>
      </c>
      <c r="B18" s="12">
        <f>+B15/B17</f>
        <v>9.9199999999999983E-2</v>
      </c>
      <c r="C18" s="3" t="s">
        <v>6</v>
      </c>
      <c r="F18" s="11" t="s">
        <v>5</v>
      </c>
      <c r="G18" s="12">
        <f>+G15/G17</f>
        <v>9.9199999999999997E-2</v>
      </c>
      <c r="H18" s="3" t="s">
        <v>6</v>
      </c>
    </row>
    <row r="19" spans="1:9" x14ac:dyDescent="0.5">
      <c r="A19" t="s">
        <v>7</v>
      </c>
      <c r="B19" s="13">
        <f>+D15/((B17-1))</f>
        <v>1.1922622222222221E-2</v>
      </c>
      <c r="C19" s="244" t="s">
        <v>284</v>
      </c>
      <c r="D19" s="14"/>
      <c r="F19" t="s">
        <v>7</v>
      </c>
      <c r="G19" s="13">
        <f>+I15/(G17-1)</f>
        <v>1.2571066666666665E-2</v>
      </c>
      <c r="H19" s="244" t="s">
        <v>284</v>
      </c>
      <c r="I19" s="14"/>
    </row>
    <row r="20" spans="1:9" x14ac:dyDescent="0.5">
      <c r="A20" s="11" t="s">
        <v>8</v>
      </c>
      <c r="B20" s="15">
        <f>+B19^(0.5)</f>
        <v>0.10919076069989722</v>
      </c>
      <c r="F20" s="11" t="s">
        <v>8</v>
      </c>
      <c r="G20" s="15">
        <f>+G19^(0.5)</f>
        <v>0.11212076822188949</v>
      </c>
    </row>
    <row r="21" spans="1:9" ht="14.7" thickBot="1" x14ac:dyDescent="0.55000000000000004">
      <c r="A21" s="16"/>
      <c r="B21" s="16"/>
      <c r="C21" s="16"/>
      <c r="D21" s="16"/>
      <c r="E21" s="16"/>
      <c r="F21" s="16"/>
      <c r="G21" s="16"/>
      <c r="H21" s="16"/>
      <c r="I21" s="16"/>
    </row>
    <row r="22" spans="1:9" x14ac:dyDescent="0.5">
      <c r="I22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2838-2017-476C-87EE-6829AC684BB5}">
  <dimension ref="B3:J14"/>
  <sheetViews>
    <sheetView showGridLines="0" workbookViewId="0">
      <selection activeCell="C16" sqref="C16"/>
    </sheetView>
  </sheetViews>
  <sheetFormatPr defaultRowHeight="14.35" x14ac:dyDescent="0.5"/>
  <cols>
    <col min="1" max="1" width="5.76171875" customWidth="1"/>
    <col min="2" max="2" width="14.87890625" customWidth="1"/>
    <col min="3" max="3" width="10.87890625" customWidth="1"/>
    <col min="4" max="4" width="6.1171875" customWidth="1"/>
    <col min="6" max="6" width="9.9375" customWidth="1"/>
    <col min="7" max="7" width="9.703125" customWidth="1"/>
    <col min="8" max="8" width="9.3515625" customWidth="1"/>
    <col min="9" max="9" width="10.8203125" customWidth="1"/>
    <col min="10" max="10" width="5.29296875" customWidth="1"/>
  </cols>
  <sheetData>
    <row r="3" spans="2:10" ht="15.35" x14ac:dyDescent="0.5">
      <c r="B3" s="38" t="s">
        <v>86</v>
      </c>
      <c r="C3" s="39"/>
      <c r="D3" s="39"/>
      <c r="E3" s="39"/>
      <c r="F3" s="39"/>
      <c r="G3" s="39"/>
      <c r="H3" s="39"/>
      <c r="I3" s="39"/>
      <c r="J3" s="39"/>
    </row>
    <row r="4" spans="2:10" ht="15.35" x14ac:dyDescent="0.5">
      <c r="B4" s="39"/>
      <c r="C4" s="39"/>
      <c r="D4" s="39"/>
      <c r="E4" s="242" t="s">
        <v>27</v>
      </c>
      <c r="F4" s="242"/>
      <c r="G4" s="242"/>
      <c r="H4" s="242"/>
      <c r="I4" s="242"/>
      <c r="J4" s="39"/>
    </row>
    <row r="5" spans="2:10" ht="51" thickBot="1" x14ac:dyDescent="0.55000000000000004">
      <c r="B5" s="40" t="s">
        <v>29</v>
      </c>
      <c r="C5" s="41" t="s">
        <v>30</v>
      </c>
      <c r="D5" s="42"/>
      <c r="E5" s="41" t="s">
        <v>31</v>
      </c>
      <c r="F5" s="43" t="s">
        <v>32</v>
      </c>
      <c r="G5" s="41" t="s">
        <v>33</v>
      </c>
      <c r="H5" s="41" t="s">
        <v>34</v>
      </c>
      <c r="I5" s="44" t="s">
        <v>35</v>
      </c>
      <c r="J5" s="45"/>
    </row>
    <row r="7" spans="2:10" x14ac:dyDescent="0.5">
      <c r="B7" t="s">
        <v>38</v>
      </c>
      <c r="C7" s="46">
        <v>0.25</v>
      </c>
      <c r="D7" s="47"/>
      <c r="E7" s="48">
        <v>-12</v>
      </c>
      <c r="F7" s="49">
        <f>+E7*C7</f>
        <v>-3</v>
      </c>
      <c r="G7" s="49">
        <f>+E7-$F$11</f>
        <v>-23.7</v>
      </c>
      <c r="H7" s="49">
        <f>+G7^2</f>
        <v>561.68999999999994</v>
      </c>
      <c r="I7" s="49">
        <f>+H7*C7</f>
        <v>140.42249999999999</v>
      </c>
    </row>
    <row r="8" spans="2:10" x14ac:dyDescent="0.5">
      <c r="B8" t="s">
        <v>39</v>
      </c>
      <c r="C8" s="46">
        <v>0.45</v>
      </c>
      <c r="D8" s="47"/>
      <c r="E8" s="48">
        <v>14</v>
      </c>
      <c r="F8" s="49">
        <f>+E8*C8</f>
        <v>6.3</v>
      </c>
      <c r="G8" s="49">
        <f>+E8-$F$11</f>
        <v>2.3000000000000007</v>
      </c>
      <c r="H8" s="49">
        <f>+G8^2</f>
        <v>5.2900000000000036</v>
      </c>
      <c r="I8" s="49">
        <f>+H8*C8</f>
        <v>2.3805000000000018</v>
      </c>
    </row>
    <row r="9" spans="2:10" x14ac:dyDescent="0.5">
      <c r="B9" t="s">
        <v>40</v>
      </c>
      <c r="C9" s="46">
        <v>0.3</v>
      </c>
      <c r="D9" s="47"/>
      <c r="E9" s="48">
        <v>28</v>
      </c>
      <c r="F9" s="49">
        <f>+E9*C9</f>
        <v>8.4</v>
      </c>
      <c r="G9" s="49">
        <f>+E9-$F$11</f>
        <v>16.3</v>
      </c>
      <c r="H9" s="49">
        <f>+G9^2</f>
        <v>265.69</v>
      </c>
      <c r="I9" s="49">
        <f>+H9*C9</f>
        <v>79.706999999999994</v>
      </c>
    </row>
    <row r="10" spans="2:10" x14ac:dyDescent="0.5">
      <c r="C10" s="46"/>
      <c r="D10" s="47"/>
      <c r="E10" s="48"/>
      <c r="F10" s="49"/>
      <c r="G10" s="49"/>
      <c r="H10" s="49"/>
    </row>
    <row r="11" spans="2:10" ht="14.7" thickBot="1" x14ac:dyDescent="0.55000000000000004">
      <c r="C11" s="50">
        <f>SUM(C7:C9)</f>
        <v>1</v>
      </c>
      <c r="E11" s="49"/>
      <c r="F11" s="51">
        <f>SUM(F7:F9)</f>
        <v>11.7</v>
      </c>
      <c r="G11" s="11" t="s">
        <v>41</v>
      </c>
      <c r="H11" s="52" t="s">
        <v>42</v>
      </c>
      <c r="I11" s="53">
        <f>SUM(I7:I9)</f>
        <v>222.51</v>
      </c>
    </row>
    <row r="12" spans="2:10" ht="15" thickTop="1" thickBot="1" x14ac:dyDescent="0.55000000000000004">
      <c r="H12" s="52" t="s">
        <v>43</v>
      </c>
      <c r="I12" s="54">
        <f>SQRT(I11)</f>
        <v>14.916769087171659</v>
      </c>
      <c r="J12" s="55" t="s">
        <v>41</v>
      </c>
    </row>
    <row r="14" spans="2:10" x14ac:dyDescent="0.5">
      <c r="I14" s="108" t="s">
        <v>91</v>
      </c>
    </row>
  </sheetData>
  <mergeCells count="1">
    <mergeCell ref="E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C8608-5154-438B-8ADB-0A9F2023094A}">
  <dimension ref="B3:J18"/>
  <sheetViews>
    <sheetView showGridLines="0" workbookViewId="0">
      <selection activeCell="F29" sqref="F29"/>
    </sheetView>
  </sheetViews>
  <sheetFormatPr defaultRowHeight="14.35" x14ac:dyDescent="0.5"/>
  <cols>
    <col min="2" max="2" width="12.64453125" customWidth="1"/>
    <col min="3" max="3" width="12.52734375" customWidth="1"/>
    <col min="4" max="4" width="6.05859375" customWidth="1"/>
    <col min="5" max="9" width="10.9375" customWidth="1"/>
    <col min="10" max="10" width="4.05859375" customWidth="1"/>
  </cols>
  <sheetData>
    <row r="3" spans="2:10" ht="15.35" x14ac:dyDescent="0.5">
      <c r="B3" s="38" t="s">
        <v>86</v>
      </c>
      <c r="C3" s="39"/>
      <c r="D3" s="39"/>
    </row>
    <row r="4" spans="2:10" ht="15.35" x14ac:dyDescent="0.5">
      <c r="B4" s="39"/>
      <c r="C4" s="39"/>
      <c r="D4" s="39"/>
      <c r="E4" s="242" t="s">
        <v>28</v>
      </c>
      <c r="F4" s="242"/>
      <c r="G4" s="242"/>
      <c r="H4" s="242"/>
      <c r="I4" s="242"/>
    </row>
    <row r="5" spans="2:10" ht="51" thickBot="1" x14ac:dyDescent="0.55000000000000004">
      <c r="B5" s="40" t="s">
        <v>90</v>
      </c>
      <c r="C5" s="41" t="s">
        <v>30</v>
      </c>
      <c r="D5" s="42"/>
      <c r="E5" s="41" t="s">
        <v>36</v>
      </c>
      <c r="F5" s="43" t="s">
        <v>37</v>
      </c>
      <c r="G5" s="41" t="s">
        <v>33</v>
      </c>
      <c r="H5" s="41" t="s">
        <v>34</v>
      </c>
      <c r="I5" s="44" t="s">
        <v>35</v>
      </c>
      <c r="J5" s="3"/>
    </row>
    <row r="7" spans="2:10" x14ac:dyDescent="0.5">
      <c r="B7" t="s">
        <v>87</v>
      </c>
      <c r="C7" s="46">
        <v>0.25</v>
      </c>
      <c r="D7" s="47"/>
      <c r="E7" s="48">
        <v>14</v>
      </c>
      <c r="F7" s="49">
        <f>+E7*C7</f>
        <v>3.5</v>
      </c>
      <c r="G7" s="49">
        <f>+E7-$F$11</f>
        <v>9.75</v>
      </c>
      <c r="H7" s="49">
        <f>+G7^2</f>
        <v>95.0625</v>
      </c>
      <c r="I7" s="49">
        <f>+H7*C7</f>
        <v>23.765625</v>
      </c>
    </row>
    <row r="8" spans="2:10" x14ac:dyDescent="0.5">
      <c r="B8" t="s">
        <v>88</v>
      </c>
      <c r="C8" s="46">
        <v>0.45</v>
      </c>
      <c r="D8" s="47"/>
      <c r="E8" s="48">
        <v>5</v>
      </c>
      <c r="F8" s="49">
        <f t="shared" ref="F8:F9" si="0">+E8*C8</f>
        <v>2.25</v>
      </c>
      <c r="G8" s="49">
        <f>+E8-$F$11</f>
        <v>0.75</v>
      </c>
      <c r="H8" s="49">
        <f>+G8^2</f>
        <v>0.5625</v>
      </c>
      <c r="I8" s="49">
        <f t="shared" ref="I8:I9" si="1">+H8*C8</f>
        <v>0.25312499999999999</v>
      </c>
    </row>
    <row r="9" spans="2:10" x14ac:dyDescent="0.5">
      <c r="B9" t="s">
        <v>89</v>
      </c>
      <c r="C9" s="46">
        <v>0.3</v>
      </c>
      <c r="D9" s="47"/>
      <c r="E9" s="48">
        <v>-5</v>
      </c>
      <c r="F9" s="49">
        <f t="shared" si="0"/>
        <v>-1.5</v>
      </c>
      <c r="G9" s="49">
        <f>+E9-$F$11</f>
        <v>-9.25</v>
      </c>
      <c r="H9" s="49">
        <f>+G9^2</f>
        <v>85.5625</v>
      </c>
      <c r="I9" s="49">
        <f t="shared" si="1"/>
        <v>25.668749999999999</v>
      </c>
    </row>
    <row r="10" spans="2:10" x14ac:dyDescent="0.5">
      <c r="C10" s="46"/>
      <c r="D10" s="47"/>
      <c r="E10" s="49"/>
      <c r="F10" s="49"/>
      <c r="G10" s="49"/>
      <c r="H10" s="49"/>
    </row>
    <row r="11" spans="2:10" ht="14.7" thickBot="1" x14ac:dyDescent="0.55000000000000004">
      <c r="C11" s="50">
        <f>SUM(C7:C9)</f>
        <v>1</v>
      </c>
      <c r="E11" s="49"/>
      <c r="F11" s="51">
        <f>SUM(F7:F9)</f>
        <v>4.25</v>
      </c>
      <c r="G11" s="11" t="s">
        <v>41</v>
      </c>
      <c r="H11" s="52" t="s">
        <v>42</v>
      </c>
      <c r="I11" s="53">
        <f>SUM(I7:I9)</f>
        <v>49.6875</v>
      </c>
    </row>
    <row r="12" spans="2:10" ht="15" thickTop="1" thickBot="1" x14ac:dyDescent="0.55000000000000004">
      <c r="H12" s="52" t="s">
        <v>43</v>
      </c>
      <c r="I12" s="54">
        <f>SQRT(I11)</f>
        <v>7.0489360899358422</v>
      </c>
      <c r="J12" s="11" t="s">
        <v>41</v>
      </c>
    </row>
    <row r="14" spans="2:10" x14ac:dyDescent="0.5">
      <c r="I14" t="s">
        <v>92</v>
      </c>
    </row>
    <row r="18" spans="5:5" x14ac:dyDescent="0.5">
      <c r="E18" s="108"/>
    </row>
  </sheetData>
  <mergeCells count="1">
    <mergeCell ref="E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18CA-3F5F-4841-8DBC-736A57C1A3A8}">
  <dimension ref="B3:K18"/>
  <sheetViews>
    <sheetView showGridLines="0" workbookViewId="0">
      <selection activeCell="L8" sqref="L8"/>
    </sheetView>
  </sheetViews>
  <sheetFormatPr defaultRowHeight="14.35" x14ac:dyDescent="0.5"/>
  <cols>
    <col min="2" max="2" width="18.29296875" customWidth="1"/>
    <col min="3" max="3" width="11.8203125" customWidth="1"/>
    <col min="4" max="4" width="4.703125" customWidth="1"/>
    <col min="5" max="9" width="10.234375" customWidth="1"/>
    <col min="10" max="10" width="5" customWidth="1"/>
  </cols>
  <sheetData>
    <row r="3" spans="2:11" ht="15.35" x14ac:dyDescent="0.5">
      <c r="B3" s="38" t="s">
        <v>44</v>
      </c>
    </row>
    <row r="4" spans="2:11" x14ac:dyDescent="0.5">
      <c r="H4" s="52"/>
      <c r="I4" s="52"/>
      <c r="J4" s="52"/>
      <c r="K4" s="52"/>
    </row>
    <row r="5" spans="2:11" ht="14.7" thickBot="1" x14ac:dyDescent="0.55000000000000004">
      <c r="B5" s="11" t="s">
        <v>45</v>
      </c>
      <c r="C5" t="s">
        <v>97</v>
      </c>
    </row>
    <row r="6" spans="2:11" ht="14.7" thickBot="1" x14ac:dyDescent="0.55000000000000004">
      <c r="B6" s="56" t="s">
        <v>93</v>
      </c>
      <c r="C6" s="57">
        <v>0.6</v>
      </c>
      <c r="D6" s="58"/>
    </row>
    <row r="7" spans="2:11" ht="18" thickBot="1" x14ac:dyDescent="0.6">
      <c r="B7" s="59" t="s">
        <v>94</v>
      </c>
      <c r="C7" s="60">
        <f>1-C6</f>
        <v>0.4</v>
      </c>
      <c r="F7" s="61" t="s">
        <v>95</v>
      </c>
      <c r="G7" s="62"/>
      <c r="H7" s="63"/>
      <c r="I7" s="64"/>
    </row>
    <row r="8" spans="2:11" ht="14.7" thickBot="1" x14ac:dyDescent="0.55000000000000004">
      <c r="B8" s="65"/>
      <c r="C8" s="65"/>
      <c r="E8" s="16"/>
      <c r="F8" s="16"/>
      <c r="G8" s="16"/>
      <c r="H8" s="16"/>
      <c r="I8" s="16"/>
    </row>
    <row r="9" spans="2:11" ht="51" thickBot="1" x14ac:dyDescent="0.55000000000000004">
      <c r="B9" s="40" t="s">
        <v>29</v>
      </c>
      <c r="C9" s="41" t="s">
        <v>30</v>
      </c>
      <c r="E9" s="41" t="s">
        <v>31</v>
      </c>
      <c r="F9" s="43" t="s">
        <v>32</v>
      </c>
      <c r="G9" s="41" t="s">
        <v>33</v>
      </c>
      <c r="H9" s="41" t="s">
        <v>34</v>
      </c>
      <c r="I9" s="44" t="s">
        <v>35</v>
      </c>
      <c r="J9" s="45"/>
    </row>
    <row r="11" spans="2:11" x14ac:dyDescent="0.5">
      <c r="B11" t="s">
        <v>38</v>
      </c>
      <c r="C11" s="66">
        <f>+'Fig. 1.3'!C7</f>
        <v>0.25</v>
      </c>
      <c r="E11">
        <f>+$C$6*'Fig. 1.3'!E7+$C$7*'Fig. 1.4'!E7</f>
        <v>-1.5999999999999988</v>
      </c>
      <c r="F11" s="49">
        <f>+E11*C11</f>
        <v>-0.39999999999999969</v>
      </c>
      <c r="G11" s="49">
        <f>+E11-$F$15</f>
        <v>-10.32</v>
      </c>
      <c r="H11" s="49">
        <f>+G11^2</f>
        <v>106.50240000000001</v>
      </c>
      <c r="I11" s="49">
        <f>+H11*C11</f>
        <v>26.625600000000002</v>
      </c>
    </row>
    <row r="12" spans="2:11" x14ac:dyDescent="0.5">
      <c r="B12" t="s">
        <v>39</v>
      </c>
      <c r="C12" s="66">
        <f>+'Fig. 1.3'!C8</f>
        <v>0.45</v>
      </c>
      <c r="E12">
        <f>+$C$6*'Fig. 1.3'!E8+$C$7*'Fig. 1.4'!E8</f>
        <v>10.4</v>
      </c>
      <c r="F12" s="49">
        <f>+E12*C12</f>
        <v>4.6800000000000006</v>
      </c>
      <c r="G12" s="49">
        <f>+E12-$F$15</f>
        <v>1.6799999999999979</v>
      </c>
      <c r="H12" s="49">
        <f>+G12^2</f>
        <v>2.8223999999999929</v>
      </c>
      <c r="I12" s="49">
        <f>+H12*C12</f>
        <v>1.2700799999999968</v>
      </c>
    </row>
    <row r="13" spans="2:11" x14ac:dyDescent="0.5">
      <c r="B13" t="s">
        <v>40</v>
      </c>
      <c r="C13" s="66">
        <f>+'Fig. 1.3'!C9</f>
        <v>0.3</v>
      </c>
      <c r="E13">
        <f>+$C$6*'Fig. 1.3'!E9+$C$7*'Fig. 1.4'!E9</f>
        <v>14.8</v>
      </c>
      <c r="F13" s="49">
        <f>+E13*C13</f>
        <v>4.4400000000000004</v>
      </c>
      <c r="G13" s="49">
        <f>+E13-$F$15</f>
        <v>6.0799999999999983</v>
      </c>
      <c r="H13" s="49">
        <f>+G13^2</f>
        <v>36.966399999999979</v>
      </c>
      <c r="I13" s="49">
        <f>+H13*C13</f>
        <v>11.089919999999994</v>
      </c>
    </row>
    <row r="14" spans="2:11" x14ac:dyDescent="0.5">
      <c r="C14" s="66"/>
      <c r="F14" s="49"/>
      <c r="G14" s="49"/>
      <c r="H14" s="49"/>
    </row>
    <row r="15" spans="2:11" ht="14.7" thickBot="1" x14ac:dyDescent="0.55000000000000004">
      <c r="C15" s="50">
        <f>SUM(C11:C13)</f>
        <v>1</v>
      </c>
      <c r="F15" s="51">
        <f>SUM(F11:F13)</f>
        <v>8.7200000000000024</v>
      </c>
      <c r="G15" s="11" t="s">
        <v>41</v>
      </c>
      <c r="H15" s="52" t="s">
        <v>42</v>
      </c>
      <c r="I15" s="53">
        <f>SUM(I11:I13)</f>
        <v>38.985599999999991</v>
      </c>
    </row>
    <row r="16" spans="2:11" ht="15" thickTop="1" thickBot="1" x14ac:dyDescent="0.55000000000000004">
      <c r="H16" s="52" t="s">
        <v>43</v>
      </c>
      <c r="I16" s="54">
        <f>SQRT(I15)</f>
        <v>6.2438449692477143</v>
      </c>
      <c r="J16" s="55" t="s">
        <v>41</v>
      </c>
    </row>
    <row r="18" spans="9:9" x14ac:dyDescent="0.5">
      <c r="I18" s="108" t="s">
        <v>96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612D-FAA8-4B4D-B54E-FD10393D3D3B}">
  <dimension ref="B3:I14"/>
  <sheetViews>
    <sheetView showGridLines="0" workbookViewId="0">
      <selection activeCell="F7" sqref="F7"/>
    </sheetView>
  </sheetViews>
  <sheetFormatPr defaultRowHeight="14.35" x14ac:dyDescent="0.5"/>
  <cols>
    <col min="2" max="2" width="17.76171875" customWidth="1"/>
    <col min="3" max="3" width="10.41015625" customWidth="1"/>
    <col min="4" max="4" width="4.46875" customWidth="1"/>
    <col min="5" max="6" width="11.8203125" customWidth="1"/>
    <col min="7" max="7" width="4" customWidth="1"/>
    <col min="8" max="9" width="11.8203125" customWidth="1"/>
  </cols>
  <sheetData>
    <row r="3" spans="2:9" ht="15.35" x14ac:dyDescent="0.5">
      <c r="B3" s="38" t="s">
        <v>46</v>
      </c>
    </row>
    <row r="4" spans="2:9" ht="14.7" thickBot="1" x14ac:dyDescent="0.55000000000000004">
      <c r="B4" s="16"/>
      <c r="C4" s="16"/>
      <c r="E4" s="16"/>
      <c r="F4" s="16"/>
      <c r="G4" s="16"/>
      <c r="H4" s="16"/>
      <c r="I4" s="16"/>
    </row>
    <row r="5" spans="2:9" ht="63.7" thickBot="1" x14ac:dyDescent="0.55000000000000004">
      <c r="B5" s="40" t="s">
        <v>29</v>
      </c>
      <c r="C5" s="41" t="s">
        <v>30</v>
      </c>
      <c r="E5" s="41" t="s">
        <v>47</v>
      </c>
      <c r="F5" s="41" t="s">
        <v>48</v>
      </c>
      <c r="G5" s="67"/>
      <c r="H5" s="41" t="s">
        <v>49</v>
      </c>
      <c r="I5" s="68" t="s">
        <v>50</v>
      </c>
    </row>
    <row r="7" spans="2:9" x14ac:dyDescent="0.5">
      <c r="B7" t="s">
        <v>38</v>
      </c>
      <c r="C7" s="66">
        <f>+'Fig. 1.5'!C11</f>
        <v>0.25</v>
      </c>
      <c r="E7" s="49">
        <f>+'Fig. 1.3'!G7</f>
        <v>-23.7</v>
      </c>
      <c r="F7" s="49">
        <f>+'Fig. 1.4'!G7</f>
        <v>9.75</v>
      </c>
      <c r="H7" s="49">
        <f>+F7*E7</f>
        <v>-231.07499999999999</v>
      </c>
      <c r="I7" s="49">
        <f>+H7*C7</f>
        <v>-57.768749999999997</v>
      </c>
    </row>
    <row r="8" spans="2:9" x14ac:dyDescent="0.5">
      <c r="B8" t="s">
        <v>39</v>
      </c>
      <c r="C8" s="66">
        <f>+'Fig. 1.5'!C12</f>
        <v>0.45</v>
      </c>
      <c r="E8" s="49">
        <f>+'Fig. 1.3'!G8</f>
        <v>2.3000000000000007</v>
      </c>
      <c r="F8" s="49">
        <f>+'Fig. 1.4'!G8</f>
        <v>0.75</v>
      </c>
      <c r="H8" s="49">
        <f>+F8*E8</f>
        <v>1.7250000000000005</v>
      </c>
      <c r="I8" s="49">
        <f>+H8*C8</f>
        <v>0.77625000000000022</v>
      </c>
    </row>
    <row r="9" spans="2:9" x14ac:dyDescent="0.5">
      <c r="B9" t="s">
        <v>40</v>
      </c>
      <c r="C9" s="66">
        <f>+'Fig. 1.5'!C13</f>
        <v>0.3</v>
      </c>
      <c r="E9" s="49">
        <f>+'Fig. 1.3'!G9</f>
        <v>16.3</v>
      </c>
      <c r="F9" s="49">
        <f>+'Fig. 1.4'!G9</f>
        <v>-9.25</v>
      </c>
      <c r="H9" s="49">
        <f>+F9*E9</f>
        <v>-150.77500000000001</v>
      </c>
      <c r="I9" s="49">
        <f>+H9*C9</f>
        <v>-45.232500000000002</v>
      </c>
    </row>
    <row r="10" spans="2:9" ht="14.7" thickBot="1" x14ac:dyDescent="0.55000000000000004">
      <c r="C10" s="66"/>
    </row>
    <row r="11" spans="2:9" ht="14.7" thickBot="1" x14ac:dyDescent="0.55000000000000004">
      <c r="C11" s="50">
        <f>SUM(C7:C9)</f>
        <v>1</v>
      </c>
      <c r="H11" s="11" t="s">
        <v>51</v>
      </c>
      <c r="I11" s="54">
        <f>SUM(I7:I9)</f>
        <v>-102.22499999999999</v>
      </c>
    </row>
    <row r="12" spans="2:9" ht="15" thickTop="1" thickBot="1" x14ac:dyDescent="0.55000000000000004">
      <c r="H12" s="52" t="s">
        <v>52</v>
      </c>
      <c r="I12" s="54">
        <f>+I11/('Fig. 1.3'!I12*'Fig. 1.4'!I12)</f>
        <v>-0.97220707978637788</v>
      </c>
    </row>
    <row r="14" spans="2:9" x14ac:dyDescent="0.5">
      <c r="I14" s="108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7039-0FC2-4CF7-8AD3-592F915A824A}">
  <dimension ref="A1:I12"/>
  <sheetViews>
    <sheetView showGridLines="0" topLeftCell="A4" workbookViewId="0">
      <selection activeCell="H20" sqref="H20:H21"/>
    </sheetView>
  </sheetViews>
  <sheetFormatPr defaultRowHeight="14.35" x14ac:dyDescent="0.5"/>
  <cols>
    <col min="1" max="1" width="17.17578125" customWidth="1"/>
    <col min="2" max="2" width="9.5859375" style="3" customWidth="1"/>
    <col min="3" max="3" width="7.5859375" customWidth="1"/>
    <col min="4" max="4" width="8.52734375" style="3" customWidth="1"/>
    <col min="5" max="5" width="4.29296875" customWidth="1"/>
    <col min="6" max="6" width="15.3515625" customWidth="1"/>
    <col min="7" max="7" width="9.64453125" customWidth="1"/>
    <col min="8" max="8" width="10.52734375" customWidth="1"/>
    <col min="9" max="9" width="9.05859375" style="3" customWidth="1"/>
  </cols>
  <sheetData>
    <row r="1" spans="1:9" ht="23.35" x14ac:dyDescent="0.8">
      <c r="A1" s="133" t="s">
        <v>168</v>
      </c>
    </row>
    <row r="2" spans="1:9" ht="16" customHeight="1" x14ac:dyDescent="0.55000000000000004">
      <c r="A2" s="11" t="s">
        <v>149</v>
      </c>
      <c r="B2" s="149"/>
    </row>
    <row r="3" spans="1:9" ht="18" customHeight="1" x14ac:dyDescent="0.5">
      <c r="A3" s="11"/>
      <c r="B3" s="73"/>
    </row>
    <row r="4" spans="1:9" ht="21" customHeight="1" x14ac:dyDescent="0.5">
      <c r="A4" s="134" t="s">
        <v>172</v>
      </c>
      <c r="B4" s="146"/>
      <c r="C4" s="109"/>
      <c r="D4" s="146"/>
      <c r="F4" s="109"/>
      <c r="G4" s="109"/>
      <c r="H4" s="109"/>
      <c r="I4" s="146"/>
    </row>
    <row r="5" spans="1:9" ht="26" x14ac:dyDescent="0.5">
      <c r="A5" s="135" t="s">
        <v>171</v>
      </c>
      <c r="B5" s="33" t="s">
        <v>154</v>
      </c>
      <c r="C5" s="135" t="s">
        <v>169</v>
      </c>
      <c r="D5" s="145" t="s">
        <v>167</v>
      </c>
      <c r="F5" s="135" t="s">
        <v>170</v>
      </c>
      <c r="G5" s="136" t="s">
        <v>154</v>
      </c>
      <c r="H5" s="33" t="s">
        <v>155</v>
      </c>
      <c r="I5" s="145" t="s">
        <v>166</v>
      </c>
    </row>
    <row r="6" spans="1:9" x14ac:dyDescent="0.5">
      <c r="A6" t="s">
        <v>165</v>
      </c>
      <c r="B6" s="150">
        <v>100000</v>
      </c>
      <c r="C6" s="137">
        <f>+B6/$B$10</f>
        <v>0.5</v>
      </c>
      <c r="D6" s="147">
        <v>0.05</v>
      </c>
      <c r="F6" s="86" t="s">
        <v>158</v>
      </c>
      <c r="G6" s="139">
        <v>82600</v>
      </c>
      <c r="H6" s="137">
        <f>+G6/$G$9</f>
        <v>4.0945635429486131</v>
      </c>
    </row>
    <row r="7" spans="1:9" x14ac:dyDescent="0.5">
      <c r="A7" s="86" t="s">
        <v>159</v>
      </c>
      <c r="B7" s="150">
        <v>100000</v>
      </c>
      <c r="C7" s="137">
        <f>+B7/$B$10</f>
        <v>0.5</v>
      </c>
      <c r="D7" s="147"/>
      <c r="F7" s="86" t="s">
        <v>160</v>
      </c>
      <c r="G7" s="140">
        <v>95650</v>
      </c>
      <c r="H7" s="137">
        <f>+G7/$G$9</f>
        <v>4.7414649259447321</v>
      </c>
    </row>
    <row r="8" spans="1:9" x14ac:dyDescent="0.5">
      <c r="B8" s="150"/>
      <c r="C8" s="137"/>
      <c r="D8" s="147"/>
      <c r="F8" s="86" t="s">
        <v>161</v>
      </c>
      <c r="G8" s="140">
        <v>1576.9097222222224</v>
      </c>
      <c r="H8" s="137">
        <f>+G8/$G$9</f>
        <v>7.8168971660197775E-2</v>
      </c>
    </row>
    <row r="9" spans="1:9" x14ac:dyDescent="0.5">
      <c r="B9" s="150"/>
      <c r="C9" s="137"/>
      <c r="D9" s="147"/>
      <c r="F9" s="86" t="s">
        <v>162</v>
      </c>
      <c r="G9" s="139">
        <v>20173.090277777777</v>
      </c>
      <c r="H9" s="137">
        <f>+G9/$G$9</f>
        <v>1</v>
      </c>
      <c r="I9" s="148">
        <v>1.4999999999999999E-2</v>
      </c>
    </row>
    <row r="10" spans="1:9" ht="14.7" thickBot="1" x14ac:dyDescent="0.55000000000000004">
      <c r="A10" s="11" t="s">
        <v>163</v>
      </c>
      <c r="B10" s="151">
        <f>SUM(B6:B7)</f>
        <v>200000</v>
      </c>
      <c r="C10" s="143">
        <f>SUM(C6:C7)</f>
        <v>1</v>
      </c>
      <c r="F10" s="11" t="s">
        <v>164</v>
      </c>
      <c r="G10" s="144">
        <f>SUM(G6:G9)</f>
        <v>200000</v>
      </c>
      <c r="H10" s="143">
        <f>SUM(H6:H9)</f>
        <v>9.9141974405535436</v>
      </c>
    </row>
    <row r="11" spans="1:9" ht="14.7" thickTop="1" x14ac:dyDescent="0.5"/>
    <row r="12" spans="1:9" x14ac:dyDescent="0.5">
      <c r="H12" s="108"/>
      <c r="I12" s="108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FCEA-A158-41E8-8802-623182D68B29}">
  <sheetPr>
    <pageSetUpPr fitToPage="1"/>
  </sheetPr>
  <dimension ref="A1:L40"/>
  <sheetViews>
    <sheetView showGridLines="0" workbookViewId="0">
      <selection activeCell="M18" sqref="M18"/>
    </sheetView>
  </sheetViews>
  <sheetFormatPr defaultRowHeight="14.35" x14ac:dyDescent="0.5"/>
  <cols>
    <col min="1" max="1" width="25.41015625" customWidth="1"/>
    <col min="2" max="2" width="9.52734375" customWidth="1"/>
    <col min="3" max="3" width="11.703125" customWidth="1"/>
    <col min="4" max="4" width="12.05859375" customWidth="1"/>
    <col min="5" max="5" width="14.17578125" customWidth="1"/>
    <col min="6" max="6" width="11" customWidth="1"/>
    <col min="7" max="7" width="12" customWidth="1"/>
    <col min="8" max="9" width="12.703125" customWidth="1"/>
    <col min="10" max="10" width="10.17578125" customWidth="1"/>
    <col min="11" max="11" width="3" customWidth="1"/>
    <col min="12" max="12" width="14.8203125" customWidth="1"/>
    <col min="14" max="14" width="14.703125" customWidth="1"/>
    <col min="20" max="20" width="14" customWidth="1"/>
    <col min="21" max="21" width="15.29296875" customWidth="1"/>
    <col min="255" max="255" width="40.52734375" customWidth="1"/>
    <col min="256" max="256" width="15.703125" customWidth="1"/>
    <col min="257" max="257" width="13.17578125" customWidth="1"/>
    <col min="258" max="258" width="14.5859375" customWidth="1"/>
    <col min="259" max="259" width="11.703125" customWidth="1"/>
    <col min="260" max="260" width="12.05859375" customWidth="1"/>
    <col min="261" max="261" width="14.17578125" customWidth="1"/>
    <col min="262" max="262" width="11" customWidth="1"/>
    <col min="263" max="263" width="12" customWidth="1"/>
    <col min="264" max="265" width="12.703125" customWidth="1"/>
    <col min="266" max="266" width="10.17578125" customWidth="1"/>
    <col min="267" max="267" width="3" customWidth="1"/>
    <col min="268" max="268" width="14.8203125" customWidth="1"/>
    <col min="270" max="270" width="14.703125" customWidth="1"/>
    <col min="276" max="276" width="14" customWidth="1"/>
    <col min="277" max="277" width="15.29296875" customWidth="1"/>
    <col min="511" max="511" width="40.52734375" customWidth="1"/>
    <col min="512" max="512" width="15.703125" customWidth="1"/>
    <col min="513" max="513" width="13.17578125" customWidth="1"/>
    <col min="514" max="514" width="14.5859375" customWidth="1"/>
    <col min="515" max="515" width="11.703125" customWidth="1"/>
    <col min="516" max="516" width="12.05859375" customWidth="1"/>
    <col min="517" max="517" width="14.17578125" customWidth="1"/>
    <col min="518" max="518" width="11" customWidth="1"/>
    <col min="519" max="519" width="12" customWidth="1"/>
    <col min="520" max="521" width="12.703125" customWidth="1"/>
    <col min="522" max="522" width="10.17578125" customWidth="1"/>
    <col min="523" max="523" width="3" customWidth="1"/>
    <col min="524" max="524" width="14.8203125" customWidth="1"/>
    <col min="526" max="526" width="14.703125" customWidth="1"/>
    <col min="532" max="532" width="14" customWidth="1"/>
    <col min="533" max="533" width="15.29296875" customWidth="1"/>
    <col min="767" max="767" width="40.52734375" customWidth="1"/>
    <col min="768" max="768" width="15.703125" customWidth="1"/>
    <col min="769" max="769" width="13.17578125" customWidth="1"/>
    <col min="770" max="770" width="14.5859375" customWidth="1"/>
    <col min="771" max="771" width="11.703125" customWidth="1"/>
    <col min="772" max="772" width="12.05859375" customWidth="1"/>
    <col min="773" max="773" width="14.17578125" customWidth="1"/>
    <col min="774" max="774" width="11" customWidth="1"/>
    <col min="775" max="775" width="12" customWidth="1"/>
    <col min="776" max="777" width="12.703125" customWidth="1"/>
    <col min="778" max="778" width="10.17578125" customWidth="1"/>
    <col min="779" max="779" width="3" customWidth="1"/>
    <col min="780" max="780" width="14.8203125" customWidth="1"/>
    <col min="782" max="782" width="14.703125" customWidth="1"/>
    <col min="788" max="788" width="14" customWidth="1"/>
    <col min="789" max="789" width="15.29296875" customWidth="1"/>
    <col min="1023" max="1023" width="40.52734375" customWidth="1"/>
    <col min="1024" max="1024" width="15.703125" customWidth="1"/>
    <col min="1025" max="1025" width="13.17578125" customWidth="1"/>
    <col min="1026" max="1026" width="14.5859375" customWidth="1"/>
    <col min="1027" max="1027" width="11.703125" customWidth="1"/>
    <col min="1028" max="1028" width="12.05859375" customWidth="1"/>
    <col min="1029" max="1029" width="14.17578125" customWidth="1"/>
    <col min="1030" max="1030" width="11" customWidth="1"/>
    <col min="1031" max="1031" width="12" customWidth="1"/>
    <col min="1032" max="1033" width="12.703125" customWidth="1"/>
    <col min="1034" max="1034" width="10.17578125" customWidth="1"/>
    <col min="1035" max="1035" width="3" customWidth="1"/>
    <col min="1036" max="1036" width="14.8203125" customWidth="1"/>
    <col min="1038" max="1038" width="14.703125" customWidth="1"/>
    <col min="1044" max="1044" width="14" customWidth="1"/>
    <col min="1045" max="1045" width="15.29296875" customWidth="1"/>
    <col min="1279" max="1279" width="40.52734375" customWidth="1"/>
    <col min="1280" max="1280" width="15.703125" customWidth="1"/>
    <col min="1281" max="1281" width="13.17578125" customWidth="1"/>
    <col min="1282" max="1282" width="14.5859375" customWidth="1"/>
    <col min="1283" max="1283" width="11.703125" customWidth="1"/>
    <col min="1284" max="1284" width="12.05859375" customWidth="1"/>
    <col min="1285" max="1285" width="14.17578125" customWidth="1"/>
    <col min="1286" max="1286" width="11" customWidth="1"/>
    <col min="1287" max="1287" width="12" customWidth="1"/>
    <col min="1288" max="1289" width="12.703125" customWidth="1"/>
    <col min="1290" max="1290" width="10.17578125" customWidth="1"/>
    <col min="1291" max="1291" width="3" customWidth="1"/>
    <col min="1292" max="1292" width="14.8203125" customWidth="1"/>
    <col min="1294" max="1294" width="14.703125" customWidth="1"/>
    <col min="1300" max="1300" width="14" customWidth="1"/>
    <col min="1301" max="1301" width="15.29296875" customWidth="1"/>
    <col min="1535" max="1535" width="40.52734375" customWidth="1"/>
    <col min="1536" max="1536" width="15.703125" customWidth="1"/>
    <col min="1537" max="1537" width="13.17578125" customWidth="1"/>
    <col min="1538" max="1538" width="14.5859375" customWidth="1"/>
    <col min="1539" max="1539" width="11.703125" customWidth="1"/>
    <col min="1540" max="1540" width="12.05859375" customWidth="1"/>
    <col min="1541" max="1541" width="14.17578125" customWidth="1"/>
    <col min="1542" max="1542" width="11" customWidth="1"/>
    <col min="1543" max="1543" width="12" customWidth="1"/>
    <col min="1544" max="1545" width="12.703125" customWidth="1"/>
    <col min="1546" max="1546" width="10.17578125" customWidth="1"/>
    <col min="1547" max="1547" width="3" customWidth="1"/>
    <col min="1548" max="1548" width="14.8203125" customWidth="1"/>
    <col min="1550" max="1550" width="14.703125" customWidth="1"/>
    <col min="1556" max="1556" width="14" customWidth="1"/>
    <col min="1557" max="1557" width="15.29296875" customWidth="1"/>
    <col min="1791" max="1791" width="40.52734375" customWidth="1"/>
    <col min="1792" max="1792" width="15.703125" customWidth="1"/>
    <col min="1793" max="1793" width="13.17578125" customWidth="1"/>
    <col min="1794" max="1794" width="14.5859375" customWidth="1"/>
    <col min="1795" max="1795" width="11.703125" customWidth="1"/>
    <col min="1796" max="1796" width="12.05859375" customWidth="1"/>
    <col min="1797" max="1797" width="14.17578125" customWidth="1"/>
    <col min="1798" max="1798" width="11" customWidth="1"/>
    <col min="1799" max="1799" width="12" customWidth="1"/>
    <col min="1800" max="1801" width="12.703125" customWidth="1"/>
    <col min="1802" max="1802" width="10.17578125" customWidth="1"/>
    <col min="1803" max="1803" width="3" customWidth="1"/>
    <col min="1804" max="1804" width="14.8203125" customWidth="1"/>
    <col min="1806" max="1806" width="14.703125" customWidth="1"/>
    <col min="1812" max="1812" width="14" customWidth="1"/>
    <col min="1813" max="1813" width="15.29296875" customWidth="1"/>
    <col min="2047" max="2047" width="40.52734375" customWidth="1"/>
    <col min="2048" max="2048" width="15.703125" customWidth="1"/>
    <col min="2049" max="2049" width="13.17578125" customWidth="1"/>
    <col min="2050" max="2050" width="14.5859375" customWidth="1"/>
    <col min="2051" max="2051" width="11.703125" customWidth="1"/>
    <col min="2052" max="2052" width="12.05859375" customWidth="1"/>
    <col min="2053" max="2053" width="14.17578125" customWidth="1"/>
    <col min="2054" max="2054" width="11" customWidth="1"/>
    <col min="2055" max="2055" width="12" customWidth="1"/>
    <col min="2056" max="2057" width="12.703125" customWidth="1"/>
    <col min="2058" max="2058" width="10.17578125" customWidth="1"/>
    <col min="2059" max="2059" width="3" customWidth="1"/>
    <col min="2060" max="2060" width="14.8203125" customWidth="1"/>
    <col min="2062" max="2062" width="14.703125" customWidth="1"/>
    <col min="2068" max="2068" width="14" customWidth="1"/>
    <col min="2069" max="2069" width="15.29296875" customWidth="1"/>
    <col min="2303" max="2303" width="40.52734375" customWidth="1"/>
    <col min="2304" max="2304" width="15.703125" customWidth="1"/>
    <col min="2305" max="2305" width="13.17578125" customWidth="1"/>
    <col min="2306" max="2306" width="14.5859375" customWidth="1"/>
    <col min="2307" max="2307" width="11.703125" customWidth="1"/>
    <col min="2308" max="2308" width="12.05859375" customWidth="1"/>
    <col min="2309" max="2309" width="14.17578125" customWidth="1"/>
    <col min="2310" max="2310" width="11" customWidth="1"/>
    <col min="2311" max="2311" width="12" customWidth="1"/>
    <col min="2312" max="2313" width="12.703125" customWidth="1"/>
    <col min="2314" max="2314" width="10.17578125" customWidth="1"/>
    <col min="2315" max="2315" width="3" customWidth="1"/>
    <col min="2316" max="2316" width="14.8203125" customWidth="1"/>
    <col min="2318" max="2318" width="14.703125" customWidth="1"/>
    <col min="2324" max="2324" width="14" customWidth="1"/>
    <col min="2325" max="2325" width="15.29296875" customWidth="1"/>
    <col min="2559" max="2559" width="40.52734375" customWidth="1"/>
    <col min="2560" max="2560" width="15.703125" customWidth="1"/>
    <col min="2561" max="2561" width="13.17578125" customWidth="1"/>
    <col min="2562" max="2562" width="14.5859375" customWidth="1"/>
    <col min="2563" max="2563" width="11.703125" customWidth="1"/>
    <col min="2564" max="2564" width="12.05859375" customWidth="1"/>
    <col min="2565" max="2565" width="14.17578125" customWidth="1"/>
    <col min="2566" max="2566" width="11" customWidth="1"/>
    <col min="2567" max="2567" width="12" customWidth="1"/>
    <col min="2568" max="2569" width="12.703125" customWidth="1"/>
    <col min="2570" max="2570" width="10.17578125" customWidth="1"/>
    <col min="2571" max="2571" width="3" customWidth="1"/>
    <col min="2572" max="2572" width="14.8203125" customWidth="1"/>
    <col min="2574" max="2574" width="14.703125" customWidth="1"/>
    <col min="2580" max="2580" width="14" customWidth="1"/>
    <col min="2581" max="2581" width="15.29296875" customWidth="1"/>
    <col min="2815" max="2815" width="40.52734375" customWidth="1"/>
    <col min="2816" max="2816" width="15.703125" customWidth="1"/>
    <col min="2817" max="2817" width="13.17578125" customWidth="1"/>
    <col min="2818" max="2818" width="14.5859375" customWidth="1"/>
    <col min="2819" max="2819" width="11.703125" customWidth="1"/>
    <col min="2820" max="2820" width="12.05859375" customWidth="1"/>
    <col min="2821" max="2821" width="14.17578125" customWidth="1"/>
    <col min="2822" max="2822" width="11" customWidth="1"/>
    <col min="2823" max="2823" width="12" customWidth="1"/>
    <col min="2824" max="2825" width="12.703125" customWidth="1"/>
    <col min="2826" max="2826" width="10.17578125" customWidth="1"/>
    <col min="2827" max="2827" width="3" customWidth="1"/>
    <col min="2828" max="2828" width="14.8203125" customWidth="1"/>
    <col min="2830" max="2830" width="14.703125" customWidth="1"/>
    <col min="2836" max="2836" width="14" customWidth="1"/>
    <col min="2837" max="2837" width="15.29296875" customWidth="1"/>
    <col min="3071" max="3071" width="40.52734375" customWidth="1"/>
    <col min="3072" max="3072" width="15.703125" customWidth="1"/>
    <col min="3073" max="3073" width="13.17578125" customWidth="1"/>
    <col min="3074" max="3074" width="14.5859375" customWidth="1"/>
    <col min="3075" max="3075" width="11.703125" customWidth="1"/>
    <col min="3076" max="3076" width="12.05859375" customWidth="1"/>
    <col min="3077" max="3077" width="14.17578125" customWidth="1"/>
    <col min="3078" max="3078" width="11" customWidth="1"/>
    <col min="3079" max="3079" width="12" customWidth="1"/>
    <col min="3080" max="3081" width="12.703125" customWidth="1"/>
    <col min="3082" max="3082" width="10.17578125" customWidth="1"/>
    <col min="3083" max="3083" width="3" customWidth="1"/>
    <col min="3084" max="3084" width="14.8203125" customWidth="1"/>
    <col min="3086" max="3086" width="14.703125" customWidth="1"/>
    <col min="3092" max="3092" width="14" customWidth="1"/>
    <col min="3093" max="3093" width="15.29296875" customWidth="1"/>
    <col min="3327" max="3327" width="40.52734375" customWidth="1"/>
    <col min="3328" max="3328" width="15.703125" customWidth="1"/>
    <col min="3329" max="3329" width="13.17578125" customWidth="1"/>
    <col min="3330" max="3330" width="14.5859375" customWidth="1"/>
    <col min="3331" max="3331" width="11.703125" customWidth="1"/>
    <col min="3332" max="3332" width="12.05859375" customWidth="1"/>
    <col min="3333" max="3333" width="14.17578125" customWidth="1"/>
    <col min="3334" max="3334" width="11" customWidth="1"/>
    <col min="3335" max="3335" width="12" customWidth="1"/>
    <col min="3336" max="3337" width="12.703125" customWidth="1"/>
    <col min="3338" max="3338" width="10.17578125" customWidth="1"/>
    <col min="3339" max="3339" width="3" customWidth="1"/>
    <col min="3340" max="3340" width="14.8203125" customWidth="1"/>
    <col min="3342" max="3342" width="14.703125" customWidth="1"/>
    <col min="3348" max="3348" width="14" customWidth="1"/>
    <col min="3349" max="3349" width="15.29296875" customWidth="1"/>
    <col min="3583" max="3583" width="40.52734375" customWidth="1"/>
    <col min="3584" max="3584" width="15.703125" customWidth="1"/>
    <col min="3585" max="3585" width="13.17578125" customWidth="1"/>
    <col min="3586" max="3586" width="14.5859375" customWidth="1"/>
    <col min="3587" max="3587" width="11.703125" customWidth="1"/>
    <col min="3588" max="3588" width="12.05859375" customWidth="1"/>
    <col min="3589" max="3589" width="14.17578125" customWidth="1"/>
    <col min="3590" max="3590" width="11" customWidth="1"/>
    <col min="3591" max="3591" width="12" customWidth="1"/>
    <col min="3592" max="3593" width="12.703125" customWidth="1"/>
    <col min="3594" max="3594" width="10.17578125" customWidth="1"/>
    <col min="3595" max="3595" width="3" customWidth="1"/>
    <col min="3596" max="3596" width="14.8203125" customWidth="1"/>
    <col min="3598" max="3598" width="14.703125" customWidth="1"/>
    <col min="3604" max="3604" width="14" customWidth="1"/>
    <col min="3605" max="3605" width="15.29296875" customWidth="1"/>
    <col min="3839" max="3839" width="40.52734375" customWidth="1"/>
    <col min="3840" max="3840" width="15.703125" customWidth="1"/>
    <col min="3841" max="3841" width="13.17578125" customWidth="1"/>
    <col min="3842" max="3842" width="14.5859375" customWidth="1"/>
    <col min="3843" max="3843" width="11.703125" customWidth="1"/>
    <col min="3844" max="3844" width="12.05859375" customWidth="1"/>
    <col min="3845" max="3845" width="14.17578125" customWidth="1"/>
    <col min="3846" max="3846" width="11" customWidth="1"/>
    <col min="3847" max="3847" width="12" customWidth="1"/>
    <col min="3848" max="3849" width="12.703125" customWidth="1"/>
    <col min="3850" max="3850" width="10.17578125" customWidth="1"/>
    <col min="3851" max="3851" width="3" customWidth="1"/>
    <col min="3852" max="3852" width="14.8203125" customWidth="1"/>
    <col min="3854" max="3854" width="14.703125" customWidth="1"/>
    <col min="3860" max="3860" width="14" customWidth="1"/>
    <col min="3861" max="3861" width="15.29296875" customWidth="1"/>
    <col min="4095" max="4095" width="40.52734375" customWidth="1"/>
    <col min="4096" max="4096" width="15.703125" customWidth="1"/>
    <col min="4097" max="4097" width="13.17578125" customWidth="1"/>
    <col min="4098" max="4098" width="14.5859375" customWidth="1"/>
    <col min="4099" max="4099" width="11.703125" customWidth="1"/>
    <col min="4100" max="4100" width="12.05859375" customWidth="1"/>
    <col min="4101" max="4101" width="14.17578125" customWidth="1"/>
    <col min="4102" max="4102" width="11" customWidth="1"/>
    <col min="4103" max="4103" width="12" customWidth="1"/>
    <col min="4104" max="4105" width="12.703125" customWidth="1"/>
    <col min="4106" max="4106" width="10.17578125" customWidth="1"/>
    <col min="4107" max="4107" width="3" customWidth="1"/>
    <col min="4108" max="4108" width="14.8203125" customWidth="1"/>
    <col min="4110" max="4110" width="14.703125" customWidth="1"/>
    <col min="4116" max="4116" width="14" customWidth="1"/>
    <col min="4117" max="4117" width="15.29296875" customWidth="1"/>
    <col min="4351" max="4351" width="40.52734375" customWidth="1"/>
    <col min="4352" max="4352" width="15.703125" customWidth="1"/>
    <col min="4353" max="4353" width="13.17578125" customWidth="1"/>
    <col min="4354" max="4354" width="14.5859375" customWidth="1"/>
    <col min="4355" max="4355" width="11.703125" customWidth="1"/>
    <col min="4356" max="4356" width="12.05859375" customWidth="1"/>
    <col min="4357" max="4357" width="14.17578125" customWidth="1"/>
    <col min="4358" max="4358" width="11" customWidth="1"/>
    <col min="4359" max="4359" width="12" customWidth="1"/>
    <col min="4360" max="4361" width="12.703125" customWidth="1"/>
    <col min="4362" max="4362" width="10.17578125" customWidth="1"/>
    <col min="4363" max="4363" width="3" customWidth="1"/>
    <col min="4364" max="4364" width="14.8203125" customWidth="1"/>
    <col min="4366" max="4366" width="14.703125" customWidth="1"/>
    <col min="4372" max="4372" width="14" customWidth="1"/>
    <col min="4373" max="4373" width="15.29296875" customWidth="1"/>
    <col min="4607" max="4607" width="40.52734375" customWidth="1"/>
    <col min="4608" max="4608" width="15.703125" customWidth="1"/>
    <col min="4609" max="4609" width="13.17578125" customWidth="1"/>
    <col min="4610" max="4610" width="14.5859375" customWidth="1"/>
    <col min="4611" max="4611" width="11.703125" customWidth="1"/>
    <col min="4612" max="4612" width="12.05859375" customWidth="1"/>
    <col min="4613" max="4613" width="14.17578125" customWidth="1"/>
    <col min="4614" max="4614" width="11" customWidth="1"/>
    <col min="4615" max="4615" width="12" customWidth="1"/>
    <col min="4616" max="4617" width="12.703125" customWidth="1"/>
    <col min="4618" max="4618" width="10.17578125" customWidth="1"/>
    <col min="4619" max="4619" width="3" customWidth="1"/>
    <col min="4620" max="4620" width="14.8203125" customWidth="1"/>
    <col min="4622" max="4622" width="14.703125" customWidth="1"/>
    <col min="4628" max="4628" width="14" customWidth="1"/>
    <col min="4629" max="4629" width="15.29296875" customWidth="1"/>
    <col min="4863" max="4863" width="40.52734375" customWidth="1"/>
    <col min="4864" max="4864" width="15.703125" customWidth="1"/>
    <col min="4865" max="4865" width="13.17578125" customWidth="1"/>
    <col min="4866" max="4866" width="14.5859375" customWidth="1"/>
    <col min="4867" max="4867" width="11.703125" customWidth="1"/>
    <col min="4868" max="4868" width="12.05859375" customWidth="1"/>
    <col min="4869" max="4869" width="14.17578125" customWidth="1"/>
    <col min="4870" max="4870" width="11" customWidth="1"/>
    <col min="4871" max="4871" width="12" customWidth="1"/>
    <col min="4872" max="4873" width="12.703125" customWidth="1"/>
    <col min="4874" max="4874" width="10.17578125" customWidth="1"/>
    <col min="4875" max="4875" width="3" customWidth="1"/>
    <col min="4876" max="4876" width="14.8203125" customWidth="1"/>
    <col min="4878" max="4878" width="14.703125" customWidth="1"/>
    <col min="4884" max="4884" width="14" customWidth="1"/>
    <col min="4885" max="4885" width="15.29296875" customWidth="1"/>
    <col min="5119" max="5119" width="40.52734375" customWidth="1"/>
    <col min="5120" max="5120" width="15.703125" customWidth="1"/>
    <col min="5121" max="5121" width="13.17578125" customWidth="1"/>
    <col min="5122" max="5122" width="14.5859375" customWidth="1"/>
    <col min="5123" max="5123" width="11.703125" customWidth="1"/>
    <col min="5124" max="5124" width="12.05859375" customWidth="1"/>
    <col min="5125" max="5125" width="14.17578125" customWidth="1"/>
    <col min="5126" max="5126" width="11" customWidth="1"/>
    <col min="5127" max="5127" width="12" customWidth="1"/>
    <col min="5128" max="5129" width="12.703125" customWidth="1"/>
    <col min="5130" max="5130" width="10.17578125" customWidth="1"/>
    <col min="5131" max="5131" width="3" customWidth="1"/>
    <col min="5132" max="5132" width="14.8203125" customWidth="1"/>
    <col min="5134" max="5134" width="14.703125" customWidth="1"/>
    <col min="5140" max="5140" width="14" customWidth="1"/>
    <col min="5141" max="5141" width="15.29296875" customWidth="1"/>
    <col min="5375" max="5375" width="40.52734375" customWidth="1"/>
    <col min="5376" max="5376" width="15.703125" customWidth="1"/>
    <col min="5377" max="5377" width="13.17578125" customWidth="1"/>
    <col min="5378" max="5378" width="14.5859375" customWidth="1"/>
    <col min="5379" max="5379" width="11.703125" customWidth="1"/>
    <col min="5380" max="5380" width="12.05859375" customWidth="1"/>
    <col min="5381" max="5381" width="14.17578125" customWidth="1"/>
    <col min="5382" max="5382" width="11" customWidth="1"/>
    <col min="5383" max="5383" width="12" customWidth="1"/>
    <col min="5384" max="5385" width="12.703125" customWidth="1"/>
    <col min="5386" max="5386" width="10.17578125" customWidth="1"/>
    <col min="5387" max="5387" width="3" customWidth="1"/>
    <col min="5388" max="5388" width="14.8203125" customWidth="1"/>
    <col min="5390" max="5390" width="14.703125" customWidth="1"/>
    <col min="5396" max="5396" width="14" customWidth="1"/>
    <col min="5397" max="5397" width="15.29296875" customWidth="1"/>
    <col min="5631" max="5631" width="40.52734375" customWidth="1"/>
    <col min="5632" max="5632" width="15.703125" customWidth="1"/>
    <col min="5633" max="5633" width="13.17578125" customWidth="1"/>
    <col min="5634" max="5634" width="14.5859375" customWidth="1"/>
    <col min="5635" max="5635" width="11.703125" customWidth="1"/>
    <col min="5636" max="5636" width="12.05859375" customWidth="1"/>
    <col min="5637" max="5637" width="14.17578125" customWidth="1"/>
    <col min="5638" max="5638" width="11" customWidth="1"/>
    <col min="5639" max="5639" width="12" customWidth="1"/>
    <col min="5640" max="5641" width="12.703125" customWidth="1"/>
    <col min="5642" max="5642" width="10.17578125" customWidth="1"/>
    <col min="5643" max="5643" width="3" customWidth="1"/>
    <col min="5644" max="5644" width="14.8203125" customWidth="1"/>
    <col min="5646" max="5646" width="14.703125" customWidth="1"/>
    <col min="5652" max="5652" width="14" customWidth="1"/>
    <col min="5653" max="5653" width="15.29296875" customWidth="1"/>
    <col min="5887" max="5887" width="40.52734375" customWidth="1"/>
    <col min="5888" max="5888" width="15.703125" customWidth="1"/>
    <col min="5889" max="5889" width="13.17578125" customWidth="1"/>
    <col min="5890" max="5890" width="14.5859375" customWidth="1"/>
    <col min="5891" max="5891" width="11.703125" customWidth="1"/>
    <col min="5892" max="5892" width="12.05859375" customWidth="1"/>
    <col min="5893" max="5893" width="14.17578125" customWidth="1"/>
    <col min="5894" max="5894" width="11" customWidth="1"/>
    <col min="5895" max="5895" width="12" customWidth="1"/>
    <col min="5896" max="5897" width="12.703125" customWidth="1"/>
    <col min="5898" max="5898" width="10.17578125" customWidth="1"/>
    <col min="5899" max="5899" width="3" customWidth="1"/>
    <col min="5900" max="5900" width="14.8203125" customWidth="1"/>
    <col min="5902" max="5902" width="14.703125" customWidth="1"/>
    <col min="5908" max="5908" width="14" customWidth="1"/>
    <col min="5909" max="5909" width="15.29296875" customWidth="1"/>
    <col min="6143" max="6143" width="40.52734375" customWidth="1"/>
    <col min="6144" max="6144" width="15.703125" customWidth="1"/>
    <col min="6145" max="6145" width="13.17578125" customWidth="1"/>
    <col min="6146" max="6146" width="14.5859375" customWidth="1"/>
    <col min="6147" max="6147" width="11.703125" customWidth="1"/>
    <col min="6148" max="6148" width="12.05859375" customWidth="1"/>
    <col min="6149" max="6149" width="14.17578125" customWidth="1"/>
    <col min="6150" max="6150" width="11" customWidth="1"/>
    <col min="6151" max="6151" width="12" customWidth="1"/>
    <col min="6152" max="6153" width="12.703125" customWidth="1"/>
    <col min="6154" max="6154" width="10.17578125" customWidth="1"/>
    <col min="6155" max="6155" width="3" customWidth="1"/>
    <col min="6156" max="6156" width="14.8203125" customWidth="1"/>
    <col min="6158" max="6158" width="14.703125" customWidth="1"/>
    <col min="6164" max="6164" width="14" customWidth="1"/>
    <col min="6165" max="6165" width="15.29296875" customWidth="1"/>
    <col min="6399" max="6399" width="40.52734375" customWidth="1"/>
    <col min="6400" max="6400" width="15.703125" customWidth="1"/>
    <col min="6401" max="6401" width="13.17578125" customWidth="1"/>
    <col min="6402" max="6402" width="14.5859375" customWidth="1"/>
    <col min="6403" max="6403" width="11.703125" customWidth="1"/>
    <col min="6404" max="6404" width="12.05859375" customWidth="1"/>
    <col min="6405" max="6405" width="14.17578125" customWidth="1"/>
    <col min="6406" max="6406" width="11" customWidth="1"/>
    <col min="6407" max="6407" width="12" customWidth="1"/>
    <col min="6408" max="6409" width="12.703125" customWidth="1"/>
    <col min="6410" max="6410" width="10.17578125" customWidth="1"/>
    <col min="6411" max="6411" width="3" customWidth="1"/>
    <col min="6412" max="6412" width="14.8203125" customWidth="1"/>
    <col min="6414" max="6414" width="14.703125" customWidth="1"/>
    <col min="6420" max="6420" width="14" customWidth="1"/>
    <col min="6421" max="6421" width="15.29296875" customWidth="1"/>
    <col min="6655" max="6655" width="40.52734375" customWidth="1"/>
    <col min="6656" max="6656" width="15.703125" customWidth="1"/>
    <col min="6657" max="6657" width="13.17578125" customWidth="1"/>
    <col min="6658" max="6658" width="14.5859375" customWidth="1"/>
    <col min="6659" max="6659" width="11.703125" customWidth="1"/>
    <col min="6660" max="6660" width="12.05859375" customWidth="1"/>
    <col min="6661" max="6661" width="14.17578125" customWidth="1"/>
    <col min="6662" max="6662" width="11" customWidth="1"/>
    <col min="6663" max="6663" width="12" customWidth="1"/>
    <col min="6664" max="6665" width="12.703125" customWidth="1"/>
    <col min="6666" max="6666" width="10.17578125" customWidth="1"/>
    <col min="6667" max="6667" width="3" customWidth="1"/>
    <col min="6668" max="6668" width="14.8203125" customWidth="1"/>
    <col min="6670" max="6670" width="14.703125" customWidth="1"/>
    <col min="6676" max="6676" width="14" customWidth="1"/>
    <col min="6677" max="6677" width="15.29296875" customWidth="1"/>
    <col min="6911" max="6911" width="40.52734375" customWidth="1"/>
    <col min="6912" max="6912" width="15.703125" customWidth="1"/>
    <col min="6913" max="6913" width="13.17578125" customWidth="1"/>
    <col min="6914" max="6914" width="14.5859375" customWidth="1"/>
    <col min="6915" max="6915" width="11.703125" customWidth="1"/>
    <col min="6916" max="6916" width="12.05859375" customWidth="1"/>
    <col min="6917" max="6917" width="14.17578125" customWidth="1"/>
    <col min="6918" max="6918" width="11" customWidth="1"/>
    <col min="6919" max="6919" width="12" customWidth="1"/>
    <col min="6920" max="6921" width="12.703125" customWidth="1"/>
    <col min="6922" max="6922" width="10.17578125" customWidth="1"/>
    <col min="6923" max="6923" width="3" customWidth="1"/>
    <col min="6924" max="6924" width="14.8203125" customWidth="1"/>
    <col min="6926" max="6926" width="14.703125" customWidth="1"/>
    <col min="6932" max="6932" width="14" customWidth="1"/>
    <col min="6933" max="6933" width="15.29296875" customWidth="1"/>
    <col min="7167" max="7167" width="40.52734375" customWidth="1"/>
    <col min="7168" max="7168" width="15.703125" customWidth="1"/>
    <col min="7169" max="7169" width="13.17578125" customWidth="1"/>
    <col min="7170" max="7170" width="14.5859375" customWidth="1"/>
    <col min="7171" max="7171" width="11.703125" customWidth="1"/>
    <col min="7172" max="7172" width="12.05859375" customWidth="1"/>
    <col min="7173" max="7173" width="14.17578125" customWidth="1"/>
    <col min="7174" max="7174" width="11" customWidth="1"/>
    <col min="7175" max="7175" width="12" customWidth="1"/>
    <col min="7176" max="7177" width="12.703125" customWidth="1"/>
    <col min="7178" max="7178" width="10.17578125" customWidth="1"/>
    <col min="7179" max="7179" width="3" customWidth="1"/>
    <col min="7180" max="7180" width="14.8203125" customWidth="1"/>
    <col min="7182" max="7182" width="14.703125" customWidth="1"/>
    <col min="7188" max="7188" width="14" customWidth="1"/>
    <col min="7189" max="7189" width="15.29296875" customWidth="1"/>
    <col min="7423" max="7423" width="40.52734375" customWidth="1"/>
    <col min="7424" max="7424" width="15.703125" customWidth="1"/>
    <col min="7425" max="7425" width="13.17578125" customWidth="1"/>
    <col min="7426" max="7426" width="14.5859375" customWidth="1"/>
    <col min="7427" max="7427" width="11.703125" customWidth="1"/>
    <col min="7428" max="7428" width="12.05859375" customWidth="1"/>
    <col min="7429" max="7429" width="14.17578125" customWidth="1"/>
    <col min="7430" max="7430" width="11" customWidth="1"/>
    <col min="7431" max="7431" width="12" customWidth="1"/>
    <col min="7432" max="7433" width="12.703125" customWidth="1"/>
    <col min="7434" max="7434" width="10.17578125" customWidth="1"/>
    <col min="7435" max="7435" width="3" customWidth="1"/>
    <col min="7436" max="7436" width="14.8203125" customWidth="1"/>
    <col min="7438" max="7438" width="14.703125" customWidth="1"/>
    <col min="7444" max="7444" width="14" customWidth="1"/>
    <col min="7445" max="7445" width="15.29296875" customWidth="1"/>
    <col min="7679" max="7679" width="40.52734375" customWidth="1"/>
    <col min="7680" max="7680" width="15.703125" customWidth="1"/>
    <col min="7681" max="7681" width="13.17578125" customWidth="1"/>
    <col min="7682" max="7682" width="14.5859375" customWidth="1"/>
    <col min="7683" max="7683" width="11.703125" customWidth="1"/>
    <col min="7684" max="7684" width="12.05859375" customWidth="1"/>
    <col min="7685" max="7685" width="14.17578125" customWidth="1"/>
    <col min="7686" max="7686" width="11" customWidth="1"/>
    <col min="7687" max="7687" width="12" customWidth="1"/>
    <col min="7688" max="7689" width="12.703125" customWidth="1"/>
    <col min="7690" max="7690" width="10.17578125" customWidth="1"/>
    <col min="7691" max="7691" width="3" customWidth="1"/>
    <col min="7692" max="7692" width="14.8203125" customWidth="1"/>
    <col min="7694" max="7694" width="14.703125" customWidth="1"/>
    <col min="7700" max="7700" width="14" customWidth="1"/>
    <col min="7701" max="7701" width="15.29296875" customWidth="1"/>
    <col min="7935" max="7935" width="40.52734375" customWidth="1"/>
    <col min="7936" max="7936" width="15.703125" customWidth="1"/>
    <col min="7937" max="7937" width="13.17578125" customWidth="1"/>
    <col min="7938" max="7938" width="14.5859375" customWidth="1"/>
    <col min="7939" max="7939" width="11.703125" customWidth="1"/>
    <col min="7940" max="7940" width="12.05859375" customWidth="1"/>
    <col min="7941" max="7941" width="14.17578125" customWidth="1"/>
    <col min="7942" max="7942" width="11" customWidth="1"/>
    <col min="7943" max="7943" width="12" customWidth="1"/>
    <col min="7944" max="7945" width="12.703125" customWidth="1"/>
    <col min="7946" max="7946" width="10.17578125" customWidth="1"/>
    <col min="7947" max="7947" width="3" customWidth="1"/>
    <col min="7948" max="7948" width="14.8203125" customWidth="1"/>
    <col min="7950" max="7950" width="14.703125" customWidth="1"/>
    <col min="7956" max="7956" width="14" customWidth="1"/>
    <col min="7957" max="7957" width="15.29296875" customWidth="1"/>
    <col min="8191" max="8191" width="40.52734375" customWidth="1"/>
    <col min="8192" max="8192" width="15.703125" customWidth="1"/>
    <col min="8193" max="8193" width="13.17578125" customWidth="1"/>
    <col min="8194" max="8194" width="14.5859375" customWidth="1"/>
    <col min="8195" max="8195" width="11.703125" customWidth="1"/>
    <col min="8196" max="8196" width="12.05859375" customWidth="1"/>
    <col min="8197" max="8197" width="14.17578125" customWidth="1"/>
    <col min="8198" max="8198" width="11" customWidth="1"/>
    <col min="8199" max="8199" width="12" customWidth="1"/>
    <col min="8200" max="8201" width="12.703125" customWidth="1"/>
    <col min="8202" max="8202" width="10.17578125" customWidth="1"/>
    <col min="8203" max="8203" width="3" customWidth="1"/>
    <col min="8204" max="8204" width="14.8203125" customWidth="1"/>
    <col min="8206" max="8206" width="14.703125" customWidth="1"/>
    <col min="8212" max="8212" width="14" customWidth="1"/>
    <col min="8213" max="8213" width="15.29296875" customWidth="1"/>
    <col min="8447" max="8447" width="40.52734375" customWidth="1"/>
    <col min="8448" max="8448" width="15.703125" customWidth="1"/>
    <col min="8449" max="8449" width="13.17578125" customWidth="1"/>
    <col min="8450" max="8450" width="14.5859375" customWidth="1"/>
    <col min="8451" max="8451" width="11.703125" customWidth="1"/>
    <col min="8452" max="8452" width="12.05859375" customWidth="1"/>
    <col min="8453" max="8453" width="14.17578125" customWidth="1"/>
    <col min="8454" max="8454" width="11" customWidth="1"/>
    <col min="8455" max="8455" width="12" customWidth="1"/>
    <col min="8456" max="8457" width="12.703125" customWidth="1"/>
    <col min="8458" max="8458" width="10.17578125" customWidth="1"/>
    <col min="8459" max="8459" width="3" customWidth="1"/>
    <col min="8460" max="8460" width="14.8203125" customWidth="1"/>
    <col min="8462" max="8462" width="14.703125" customWidth="1"/>
    <col min="8468" max="8468" width="14" customWidth="1"/>
    <col min="8469" max="8469" width="15.29296875" customWidth="1"/>
    <col min="8703" max="8703" width="40.52734375" customWidth="1"/>
    <col min="8704" max="8704" width="15.703125" customWidth="1"/>
    <col min="8705" max="8705" width="13.17578125" customWidth="1"/>
    <col min="8706" max="8706" width="14.5859375" customWidth="1"/>
    <col min="8707" max="8707" width="11.703125" customWidth="1"/>
    <col min="8708" max="8708" width="12.05859375" customWidth="1"/>
    <col min="8709" max="8709" width="14.17578125" customWidth="1"/>
    <col min="8710" max="8710" width="11" customWidth="1"/>
    <col min="8711" max="8711" width="12" customWidth="1"/>
    <col min="8712" max="8713" width="12.703125" customWidth="1"/>
    <col min="8714" max="8714" width="10.17578125" customWidth="1"/>
    <col min="8715" max="8715" width="3" customWidth="1"/>
    <col min="8716" max="8716" width="14.8203125" customWidth="1"/>
    <col min="8718" max="8718" width="14.703125" customWidth="1"/>
    <col min="8724" max="8724" width="14" customWidth="1"/>
    <col min="8725" max="8725" width="15.29296875" customWidth="1"/>
    <col min="8959" max="8959" width="40.52734375" customWidth="1"/>
    <col min="8960" max="8960" width="15.703125" customWidth="1"/>
    <col min="8961" max="8961" width="13.17578125" customWidth="1"/>
    <col min="8962" max="8962" width="14.5859375" customWidth="1"/>
    <col min="8963" max="8963" width="11.703125" customWidth="1"/>
    <col min="8964" max="8964" width="12.05859375" customWidth="1"/>
    <col min="8965" max="8965" width="14.17578125" customWidth="1"/>
    <col min="8966" max="8966" width="11" customWidth="1"/>
    <col min="8967" max="8967" width="12" customWidth="1"/>
    <col min="8968" max="8969" width="12.703125" customWidth="1"/>
    <col min="8970" max="8970" width="10.17578125" customWidth="1"/>
    <col min="8971" max="8971" width="3" customWidth="1"/>
    <col min="8972" max="8972" width="14.8203125" customWidth="1"/>
    <col min="8974" max="8974" width="14.703125" customWidth="1"/>
    <col min="8980" max="8980" width="14" customWidth="1"/>
    <col min="8981" max="8981" width="15.29296875" customWidth="1"/>
    <col min="9215" max="9215" width="40.52734375" customWidth="1"/>
    <col min="9216" max="9216" width="15.703125" customWidth="1"/>
    <col min="9217" max="9217" width="13.17578125" customWidth="1"/>
    <col min="9218" max="9218" width="14.5859375" customWidth="1"/>
    <col min="9219" max="9219" width="11.703125" customWidth="1"/>
    <col min="9220" max="9220" width="12.05859375" customWidth="1"/>
    <col min="9221" max="9221" width="14.17578125" customWidth="1"/>
    <col min="9222" max="9222" width="11" customWidth="1"/>
    <col min="9223" max="9223" width="12" customWidth="1"/>
    <col min="9224" max="9225" width="12.703125" customWidth="1"/>
    <col min="9226" max="9226" width="10.17578125" customWidth="1"/>
    <col min="9227" max="9227" width="3" customWidth="1"/>
    <col min="9228" max="9228" width="14.8203125" customWidth="1"/>
    <col min="9230" max="9230" width="14.703125" customWidth="1"/>
    <col min="9236" max="9236" width="14" customWidth="1"/>
    <col min="9237" max="9237" width="15.29296875" customWidth="1"/>
    <col min="9471" max="9471" width="40.52734375" customWidth="1"/>
    <col min="9472" max="9472" width="15.703125" customWidth="1"/>
    <col min="9473" max="9473" width="13.17578125" customWidth="1"/>
    <col min="9474" max="9474" width="14.5859375" customWidth="1"/>
    <col min="9475" max="9475" width="11.703125" customWidth="1"/>
    <col min="9476" max="9476" width="12.05859375" customWidth="1"/>
    <col min="9477" max="9477" width="14.17578125" customWidth="1"/>
    <col min="9478" max="9478" width="11" customWidth="1"/>
    <col min="9479" max="9479" width="12" customWidth="1"/>
    <col min="9480" max="9481" width="12.703125" customWidth="1"/>
    <col min="9482" max="9482" width="10.17578125" customWidth="1"/>
    <col min="9483" max="9483" width="3" customWidth="1"/>
    <col min="9484" max="9484" width="14.8203125" customWidth="1"/>
    <col min="9486" max="9486" width="14.703125" customWidth="1"/>
    <col min="9492" max="9492" width="14" customWidth="1"/>
    <col min="9493" max="9493" width="15.29296875" customWidth="1"/>
    <col min="9727" max="9727" width="40.52734375" customWidth="1"/>
    <col min="9728" max="9728" width="15.703125" customWidth="1"/>
    <col min="9729" max="9729" width="13.17578125" customWidth="1"/>
    <col min="9730" max="9730" width="14.5859375" customWidth="1"/>
    <col min="9731" max="9731" width="11.703125" customWidth="1"/>
    <col min="9732" max="9732" width="12.05859375" customWidth="1"/>
    <col min="9733" max="9733" width="14.17578125" customWidth="1"/>
    <col min="9734" max="9734" width="11" customWidth="1"/>
    <col min="9735" max="9735" width="12" customWidth="1"/>
    <col min="9736" max="9737" width="12.703125" customWidth="1"/>
    <col min="9738" max="9738" width="10.17578125" customWidth="1"/>
    <col min="9739" max="9739" width="3" customWidth="1"/>
    <col min="9740" max="9740" width="14.8203125" customWidth="1"/>
    <col min="9742" max="9742" width="14.703125" customWidth="1"/>
    <col min="9748" max="9748" width="14" customWidth="1"/>
    <col min="9749" max="9749" width="15.29296875" customWidth="1"/>
    <col min="9983" max="9983" width="40.52734375" customWidth="1"/>
    <col min="9984" max="9984" width="15.703125" customWidth="1"/>
    <col min="9985" max="9985" width="13.17578125" customWidth="1"/>
    <col min="9986" max="9986" width="14.5859375" customWidth="1"/>
    <col min="9987" max="9987" width="11.703125" customWidth="1"/>
    <col min="9988" max="9988" width="12.05859375" customWidth="1"/>
    <col min="9989" max="9989" width="14.17578125" customWidth="1"/>
    <col min="9990" max="9990" width="11" customWidth="1"/>
    <col min="9991" max="9991" width="12" customWidth="1"/>
    <col min="9992" max="9993" width="12.703125" customWidth="1"/>
    <col min="9994" max="9994" width="10.17578125" customWidth="1"/>
    <col min="9995" max="9995" width="3" customWidth="1"/>
    <col min="9996" max="9996" width="14.8203125" customWidth="1"/>
    <col min="9998" max="9998" width="14.703125" customWidth="1"/>
    <col min="10004" max="10004" width="14" customWidth="1"/>
    <col min="10005" max="10005" width="15.29296875" customWidth="1"/>
    <col min="10239" max="10239" width="40.52734375" customWidth="1"/>
    <col min="10240" max="10240" width="15.703125" customWidth="1"/>
    <col min="10241" max="10241" width="13.17578125" customWidth="1"/>
    <col min="10242" max="10242" width="14.5859375" customWidth="1"/>
    <col min="10243" max="10243" width="11.703125" customWidth="1"/>
    <col min="10244" max="10244" width="12.05859375" customWidth="1"/>
    <col min="10245" max="10245" width="14.17578125" customWidth="1"/>
    <col min="10246" max="10246" width="11" customWidth="1"/>
    <col min="10247" max="10247" width="12" customWidth="1"/>
    <col min="10248" max="10249" width="12.703125" customWidth="1"/>
    <col min="10250" max="10250" width="10.17578125" customWidth="1"/>
    <col min="10251" max="10251" width="3" customWidth="1"/>
    <col min="10252" max="10252" width="14.8203125" customWidth="1"/>
    <col min="10254" max="10254" width="14.703125" customWidth="1"/>
    <col min="10260" max="10260" width="14" customWidth="1"/>
    <col min="10261" max="10261" width="15.29296875" customWidth="1"/>
    <col min="10495" max="10495" width="40.52734375" customWidth="1"/>
    <col min="10496" max="10496" width="15.703125" customWidth="1"/>
    <col min="10497" max="10497" width="13.17578125" customWidth="1"/>
    <col min="10498" max="10498" width="14.5859375" customWidth="1"/>
    <col min="10499" max="10499" width="11.703125" customWidth="1"/>
    <col min="10500" max="10500" width="12.05859375" customWidth="1"/>
    <col min="10501" max="10501" width="14.17578125" customWidth="1"/>
    <col min="10502" max="10502" width="11" customWidth="1"/>
    <col min="10503" max="10503" width="12" customWidth="1"/>
    <col min="10504" max="10505" width="12.703125" customWidth="1"/>
    <col min="10506" max="10506" width="10.17578125" customWidth="1"/>
    <col min="10507" max="10507" width="3" customWidth="1"/>
    <col min="10508" max="10508" width="14.8203125" customWidth="1"/>
    <col min="10510" max="10510" width="14.703125" customWidth="1"/>
    <col min="10516" max="10516" width="14" customWidth="1"/>
    <col min="10517" max="10517" width="15.29296875" customWidth="1"/>
    <col min="10751" max="10751" width="40.52734375" customWidth="1"/>
    <col min="10752" max="10752" width="15.703125" customWidth="1"/>
    <col min="10753" max="10753" width="13.17578125" customWidth="1"/>
    <col min="10754" max="10754" width="14.5859375" customWidth="1"/>
    <col min="10755" max="10755" width="11.703125" customWidth="1"/>
    <col min="10756" max="10756" width="12.05859375" customWidth="1"/>
    <col min="10757" max="10757" width="14.17578125" customWidth="1"/>
    <col min="10758" max="10758" width="11" customWidth="1"/>
    <col min="10759" max="10759" width="12" customWidth="1"/>
    <col min="10760" max="10761" width="12.703125" customWidth="1"/>
    <col min="10762" max="10762" width="10.17578125" customWidth="1"/>
    <col min="10763" max="10763" width="3" customWidth="1"/>
    <col min="10764" max="10764" width="14.8203125" customWidth="1"/>
    <col min="10766" max="10766" width="14.703125" customWidth="1"/>
    <col min="10772" max="10772" width="14" customWidth="1"/>
    <col min="10773" max="10773" width="15.29296875" customWidth="1"/>
    <col min="11007" max="11007" width="40.52734375" customWidth="1"/>
    <col min="11008" max="11008" width="15.703125" customWidth="1"/>
    <col min="11009" max="11009" width="13.17578125" customWidth="1"/>
    <col min="11010" max="11010" width="14.5859375" customWidth="1"/>
    <col min="11011" max="11011" width="11.703125" customWidth="1"/>
    <col min="11012" max="11012" width="12.05859375" customWidth="1"/>
    <col min="11013" max="11013" width="14.17578125" customWidth="1"/>
    <col min="11014" max="11014" width="11" customWidth="1"/>
    <col min="11015" max="11015" width="12" customWidth="1"/>
    <col min="11016" max="11017" width="12.703125" customWidth="1"/>
    <col min="11018" max="11018" width="10.17578125" customWidth="1"/>
    <col min="11019" max="11019" width="3" customWidth="1"/>
    <col min="11020" max="11020" width="14.8203125" customWidth="1"/>
    <col min="11022" max="11022" width="14.703125" customWidth="1"/>
    <col min="11028" max="11028" width="14" customWidth="1"/>
    <col min="11029" max="11029" width="15.29296875" customWidth="1"/>
    <col min="11263" max="11263" width="40.52734375" customWidth="1"/>
    <col min="11264" max="11264" width="15.703125" customWidth="1"/>
    <col min="11265" max="11265" width="13.17578125" customWidth="1"/>
    <col min="11266" max="11266" width="14.5859375" customWidth="1"/>
    <col min="11267" max="11267" width="11.703125" customWidth="1"/>
    <col min="11268" max="11268" width="12.05859375" customWidth="1"/>
    <col min="11269" max="11269" width="14.17578125" customWidth="1"/>
    <col min="11270" max="11270" width="11" customWidth="1"/>
    <col min="11271" max="11271" width="12" customWidth="1"/>
    <col min="11272" max="11273" width="12.703125" customWidth="1"/>
    <col min="11274" max="11274" width="10.17578125" customWidth="1"/>
    <col min="11275" max="11275" width="3" customWidth="1"/>
    <col min="11276" max="11276" width="14.8203125" customWidth="1"/>
    <col min="11278" max="11278" width="14.703125" customWidth="1"/>
    <col min="11284" max="11284" width="14" customWidth="1"/>
    <col min="11285" max="11285" width="15.29296875" customWidth="1"/>
    <col min="11519" max="11519" width="40.52734375" customWidth="1"/>
    <col min="11520" max="11520" width="15.703125" customWidth="1"/>
    <col min="11521" max="11521" width="13.17578125" customWidth="1"/>
    <col min="11522" max="11522" width="14.5859375" customWidth="1"/>
    <col min="11523" max="11523" width="11.703125" customWidth="1"/>
    <col min="11524" max="11524" width="12.05859375" customWidth="1"/>
    <col min="11525" max="11525" width="14.17578125" customWidth="1"/>
    <col min="11526" max="11526" width="11" customWidth="1"/>
    <col min="11527" max="11527" width="12" customWidth="1"/>
    <col min="11528" max="11529" width="12.703125" customWidth="1"/>
    <col min="11530" max="11530" width="10.17578125" customWidth="1"/>
    <col min="11531" max="11531" width="3" customWidth="1"/>
    <col min="11532" max="11532" width="14.8203125" customWidth="1"/>
    <col min="11534" max="11534" width="14.703125" customWidth="1"/>
    <col min="11540" max="11540" width="14" customWidth="1"/>
    <col min="11541" max="11541" width="15.29296875" customWidth="1"/>
    <col min="11775" max="11775" width="40.52734375" customWidth="1"/>
    <col min="11776" max="11776" width="15.703125" customWidth="1"/>
    <col min="11777" max="11777" width="13.17578125" customWidth="1"/>
    <col min="11778" max="11778" width="14.5859375" customWidth="1"/>
    <col min="11779" max="11779" width="11.703125" customWidth="1"/>
    <col min="11780" max="11780" width="12.05859375" customWidth="1"/>
    <col min="11781" max="11781" width="14.17578125" customWidth="1"/>
    <col min="11782" max="11782" width="11" customWidth="1"/>
    <col min="11783" max="11783" width="12" customWidth="1"/>
    <col min="11784" max="11785" width="12.703125" customWidth="1"/>
    <col min="11786" max="11786" width="10.17578125" customWidth="1"/>
    <col min="11787" max="11787" width="3" customWidth="1"/>
    <col min="11788" max="11788" width="14.8203125" customWidth="1"/>
    <col min="11790" max="11790" width="14.703125" customWidth="1"/>
    <col min="11796" max="11796" width="14" customWidth="1"/>
    <col min="11797" max="11797" width="15.29296875" customWidth="1"/>
    <col min="12031" max="12031" width="40.52734375" customWidth="1"/>
    <col min="12032" max="12032" width="15.703125" customWidth="1"/>
    <col min="12033" max="12033" width="13.17578125" customWidth="1"/>
    <col min="12034" max="12034" width="14.5859375" customWidth="1"/>
    <col min="12035" max="12035" width="11.703125" customWidth="1"/>
    <col min="12036" max="12036" width="12.05859375" customWidth="1"/>
    <col min="12037" max="12037" width="14.17578125" customWidth="1"/>
    <col min="12038" max="12038" width="11" customWidth="1"/>
    <col min="12039" max="12039" width="12" customWidth="1"/>
    <col min="12040" max="12041" width="12.703125" customWidth="1"/>
    <col min="12042" max="12042" width="10.17578125" customWidth="1"/>
    <col min="12043" max="12043" width="3" customWidth="1"/>
    <col min="12044" max="12044" width="14.8203125" customWidth="1"/>
    <col min="12046" max="12046" width="14.703125" customWidth="1"/>
    <col min="12052" max="12052" width="14" customWidth="1"/>
    <col min="12053" max="12053" width="15.29296875" customWidth="1"/>
    <col min="12287" max="12287" width="40.52734375" customWidth="1"/>
    <col min="12288" max="12288" width="15.703125" customWidth="1"/>
    <col min="12289" max="12289" width="13.17578125" customWidth="1"/>
    <col min="12290" max="12290" width="14.5859375" customWidth="1"/>
    <col min="12291" max="12291" width="11.703125" customWidth="1"/>
    <col min="12292" max="12292" width="12.05859375" customWidth="1"/>
    <col min="12293" max="12293" width="14.17578125" customWidth="1"/>
    <col min="12294" max="12294" width="11" customWidth="1"/>
    <col min="12295" max="12295" width="12" customWidth="1"/>
    <col min="12296" max="12297" width="12.703125" customWidth="1"/>
    <col min="12298" max="12298" width="10.17578125" customWidth="1"/>
    <col min="12299" max="12299" width="3" customWidth="1"/>
    <col min="12300" max="12300" width="14.8203125" customWidth="1"/>
    <col min="12302" max="12302" width="14.703125" customWidth="1"/>
    <col min="12308" max="12308" width="14" customWidth="1"/>
    <col min="12309" max="12309" width="15.29296875" customWidth="1"/>
    <col min="12543" max="12543" width="40.52734375" customWidth="1"/>
    <col min="12544" max="12544" width="15.703125" customWidth="1"/>
    <col min="12545" max="12545" width="13.17578125" customWidth="1"/>
    <col min="12546" max="12546" width="14.5859375" customWidth="1"/>
    <col min="12547" max="12547" width="11.703125" customWidth="1"/>
    <col min="12548" max="12548" width="12.05859375" customWidth="1"/>
    <col min="12549" max="12549" width="14.17578125" customWidth="1"/>
    <col min="12550" max="12550" width="11" customWidth="1"/>
    <col min="12551" max="12551" width="12" customWidth="1"/>
    <col min="12552" max="12553" width="12.703125" customWidth="1"/>
    <col min="12554" max="12554" width="10.17578125" customWidth="1"/>
    <col min="12555" max="12555" width="3" customWidth="1"/>
    <col min="12556" max="12556" width="14.8203125" customWidth="1"/>
    <col min="12558" max="12558" width="14.703125" customWidth="1"/>
    <col min="12564" max="12564" width="14" customWidth="1"/>
    <col min="12565" max="12565" width="15.29296875" customWidth="1"/>
    <col min="12799" max="12799" width="40.52734375" customWidth="1"/>
    <col min="12800" max="12800" width="15.703125" customWidth="1"/>
    <col min="12801" max="12801" width="13.17578125" customWidth="1"/>
    <col min="12802" max="12802" width="14.5859375" customWidth="1"/>
    <col min="12803" max="12803" width="11.703125" customWidth="1"/>
    <col min="12804" max="12804" width="12.05859375" customWidth="1"/>
    <col min="12805" max="12805" width="14.17578125" customWidth="1"/>
    <col min="12806" max="12806" width="11" customWidth="1"/>
    <col min="12807" max="12807" width="12" customWidth="1"/>
    <col min="12808" max="12809" width="12.703125" customWidth="1"/>
    <col min="12810" max="12810" width="10.17578125" customWidth="1"/>
    <col min="12811" max="12811" width="3" customWidth="1"/>
    <col min="12812" max="12812" width="14.8203125" customWidth="1"/>
    <col min="12814" max="12814" width="14.703125" customWidth="1"/>
    <col min="12820" max="12820" width="14" customWidth="1"/>
    <col min="12821" max="12821" width="15.29296875" customWidth="1"/>
    <col min="13055" max="13055" width="40.52734375" customWidth="1"/>
    <col min="13056" max="13056" width="15.703125" customWidth="1"/>
    <col min="13057" max="13057" width="13.17578125" customWidth="1"/>
    <col min="13058" max="13058" width="14.5859375" customWidth="1"/>
    <col min="13059" max="13059" width="11.703125" customWidth="1"/>
    <col min="13060" max="13060" width="12.05859375" customWidth="1"/>
    <col min="13061" max="13061" width="14.17578125" customWidth="1"/>
    <col min="13062" max="13062" width="11" customWidth="1"/>
    <col min="13063" max="13063" width="12" customWidth="1"/>
    <col min="13064" max="13065" width="12.703125" customWidth="1"/>
    <col min="13066" max="13066" width="10.17578125" customWidth="1"/>
    <col min="13067" max="13067" width="3" customWidth="1"/>
    <col min="13068" max="13068" width="14.8203125" customWidth="1"/>
    <col min="13070" max="13070" width="14.703125" customWidth="1"/>
    <col min="13076" max="13076" width="14" customWidth="1"/>
    <col min="13077" max="13077" width="15.29296875" customWidth="1"/>
    <col min="13311" max="13311" width="40.52734375" customWidth="1"/>
    <col min="13312" max="13312" width="15.703125" customWidth="1"/>
    <col min="13313" max="13313" width="13.17578125" customWidth="1"/>
    <col min="13314" max="13314" width="14.5859375" customWidth="1"/>
    <col min="13315" max="13315" width="11.703125" customWidth="1"/>
    <col min="13316" max="13316" width="12.05859375" customWidth="1"/>
    <col min="13317" max="13317" width="14.17578125" customWidth="1"/>
    <col min="13318" max="13318" width="11" customWidth="1"/>
    <col min="13319" max="13319" width="12" customWidth="1"/>
    <col min="13320" max="13321" width="12.703125" customWidth="1"/>
    <col min="13322" max="13322" width="10.17578125" customWidth="1"/>
    <col min="13323" max="13323" width="3" customWidth="1"/>
    <col min="13324" max="13324" width="14.8203125" customWidth="1"/>
    <col min="13326" max="13326" width="14.703125" customWidth="1"/>
    <col min="13332" max="13332" width="14" customWidth="1"/>
    <col min="13333" max="13333" width="15.29296875" customWidth="1"/>
    <col min="13567" max="13567" width="40.52734375" customWidth="1"/>
    <col min="13568" max="13568" width="15.703125" customWidth="1"/>
    <col min="13569" max="13569" width="13.17578125" customWidth="1"/>
    <col min="13570" max="13570" width="14.5859375" customWidth="1"/>
    <col min="13571" max="13571" width="11.703125" customWidth="1"/>
    <col min="13572" max="13572" width="12.05859375" customWidth="1"/>
    <col min="13573" max="13573" width="14.17578125" customWidth="1"/>
    <col min="13574" max="13574" width="11" customWidth="1"/>
    <col min="13575" max="13575" width="12" customWidth="1"/>
    <col min="13576" max="13577" width="12.703125" customWidth="1"/>
    <col min="13578" max="13578" width="10.17578125" customWidth="1"/>
    <col min="13579" max="13579" width="3" customWidth="1"/>
    <col min="13580" max="13580" width="14.8203125" customWidth="1"/>
    <col min="13582" max="13582" width="14.703125" customWidth="1"/>
    <col min="13588" max="13588" width="14" customWidth="1"/>
    <col min="13589" max="13589" width="15.29296875" customWidth="1"/>
    <col min="13823" max="13823" width="40.52734375" customWidth="1"/>
    <col min="13824" max="13824" width="15.703125" customWidth="1"/>
    <col min="13825" max="13825" width="13.17578125" customWidth="1"/>
    <col min="13826" max="13826" width="14.5859375" customWidth="1"/>
    <col min="13827" max="13827" width="11.703125" customWidth="1"/>
    <col min="13828" max="13828" width="12.05859375" customWidth="1"/>
    <col min="13829" max="13829" width="14.17578125" customWidth="1"/>
    <col min="13830" max="13830" width="11" customWidth="1"/>
    <col min="13831" max="13831" width="12" customWidth="1"/>
    <col min="13832" max="13833" width="12.703125" customWidth="1"/>
    <col min="13834" max="13834" width="10.17578125" customWidth="1"/>
    <col min="13835" max="13835" width="3" customWidth="1"/>
    <col min="13836" max="13836" width="14.8203125" customWidth="1"/>
    <col min="13838" max="13838" width="14.703125" customWidth="1"/>
    <col min="13844" max="13844" width="14" customWidth="1"/>
    <col min="13845" max="13845" width="15.29296875" customWidth="1"/>
    <col min="14079" max="14079" width="40.52734375" customWidth="1"/>
    <col min="14080" max="14080" width="15.703125" customWidth="1"/>
    <col min="14081" max="14081" width="13.17578125" customWidth="1"/>
    <col min="14082" max="14082" width="14.5859375" customWidth="1"/>
    <col min="14083" max="14083" width="11.703125" customWidth="1"/>
    <col min="14084" max="14084" width="12.05859375" customWidth="1"/>
    <col min="14085" max="14085" width="14.17578125" customWidth="1"/>
    <col min="14086" max="14086" width="11" customWidth="1"/>
    <col min="14087" max="14087" width="12" customWidth="1"/>
    <col min="14088" max="14089" width="12.703125" customWidth="1"/>
    <col min="14090" max="14090" width="10.17578125" customWidth="1"/>
    <col min="14091" max="14091" width="3" customWidth="1"/>
    <col min="14092" max="14092" width="14.8203125" customWidth="1"/>
    <col min="14094" max="14094" width="14.703125" customWidth="1"/>
    <col min="14100" max="14100" width="14" customWidth="1"/>
    <col min="14101" max="14101" width="15.29296875" customWidth="1"/>
    <col min="14335" max="14335" width="40.52734375" customWidth="1"/>
    <col min="14336" max="14336" width="15.703125" customWidth="1"/>
    <col min="14337" max="14337" width="13.17578125" customWidth="1"/>
    <col min="14338" max="14338" width="14.5859375" customWidth="1"/>
    <col min="14339" max="14339" width="11.703125" customWidth="1"/>
    <col min="14340" max="14340" width="12.05859375" customWidth="1"/>
    <col min="14341" max="14341" width="14.17578125" customWidth="1"/>
    <col min="14342" max="14342" width="11" customWidth="1"/>
    <col min="14343" max="14343" width="12" customWidth="1"/>
    <col min="14344" max="14345" width="12.703125" customWidth="1"/>
    <col min="14346" max="14346" width="10.17578125" customWidth="1"/>
    <col min="14347" max="14347" width="3" customWidth="1"/>
    <col min="14348" max="14348" width="14.8203125" customWidth="1"/>
    <col min="14350" max="14350" width="14.703125" customWidth="1"/>
    <col min="14356" max="14356" width="14" customWidth="1"/>
    <col min="14357" max="14357" width="15.29296875" customWidth="1"/>
    <col min="14591" max="14591" width="40.52734375" customWidth="1"/>
    <col min="14592" max="14592" width="15.703125" customWidth="1"/>
    <col min="14593" max="14593" width="13.17578125" customWidth="1"/>
    <col min="14594" max="14594" width="14.5859375" customWidth="1"/>
    <col min="14595" max="14595" width="11.703125" customWidth="1"/>
    <col min="14596" max="14596" width="12.05859375" customWidth="1"/>
    <col min="14597" max="14597" width="14.17578125" customWidth="1"/>
    <col min="14598" max="14598" width="11" customWidth="1"/>
    <col min="14599" max="14599" width="12" customWidth="1"/>
    <col min="14600" max="14601" width="12.703125" customWidth="1"/>
    <col min="14602" max="14602" width="10.17578125" customWidth="1"/>
    <col min="14603" max="14603" width="3" customWidth="1"/>
    <col min="14604" max="14604" width="14.8203125" customWidth="1"/>
    <col min="14606" max="14606" width="14.703125" customWidth="1"/>
    <col min="14612" max="14612" width="14" customWidth="1"/>
    <col min="14613" max="14613" width="15.29296875" customWidth="1"/>
    <col min="14847" max="14847" width="40.52734375" customWidth="1"/>
    <col min="14848" max="14848" width="15.703125" customWidth="1"/>
    <col min="14849" max="14849" width="13.17578125" customWidth="1"/>
    <col min="14850" max="14850" width="14.5859375" customWidth="1"/>
    <col min="14851" max="14851" width="11.703125" customWidth="1"/>
    <col min="14852" max="14852" width="12.05859375" customWidth="1"/>
    <col min="14853" max="14853" width="14.17578125" customWidth="1"/>
    <col min="14854" max="14854" width="11" customWidth="1"/>
    <col min="14855" max="14855" width="12" customWidth="1"/>
    <col min="14856" max="14857" width="12.703125" customWidth="1"/>
    <col min="14858" max="14858" width="10.17578125" customWidth="1"/>
    <col min="14859" max="14859" width="3" customWidth="1"/>
    <col min="14860" max="14860" width="14.8203125" customWidth="1"/>
    <col min="14862" max="14862" width="14.703125" customWidth="1"/>
    <col min="14868" max="14868" width="14" customWidth="1"/>
    <col min="14869" max="14869" width="15.29296875" customWidth="1"/>
    <col min="15103" max="15103" width="40.52734375" customWidth="1"/>
    <col min="15104" max="15104" width="15.703125" customWidth="1"/>
    <col min="15105" max="15105" width="13.17578125" customWidth="1"/>
    <col min="15106" max="15106" width="14.5859375" customWidth="1"/>
    <col min="15107" max="15107" width="11.703125" customWidth="1"/>
    <col min="15108" max="15108" width="12.05859375" customWidth="1"/>
    <col min="15109" max="15109" width="14.17578125" customWidth="1"/>
    <col min="15110" max="15110" width="11" customWidth="1"/>
    <col min="15111" max="15111" width="12" customWidth="1"/>
    <col min="15112" max="15113" width="12.703125" customWidth="1"/>
    <col min="15114" max="15114" width="10.17578125" customWidth="1"/>
    <col min="15115" max="15115" width="3" customWidth="1"/>
    <col min="15116" max="15116" width="14.8203125" customWidth="1"/>
    <col min="15118" max="15118" width="14.703125" customWidth="1"/>
    <col min="15124" max="15124" width="14" customWidth="1"/>
    <col min="15125" max="15125" width="15.29296875" customWidth="1"/>
    <col min="15359" max="15359" width="40.52734375" customWidth="1"/>
    <col min="15360" max="15360" width="15.703125" customWidth="1"/>
    <col min="15361" max="15361" width="13.17578125" customWidth="1"/>
    <col min="15362" max="15362" width="14.5859375" customWidth="1"/>
    <col min="15363" max="15363" width="11.703125" customWidth="1"/>
    <col min="15364" max="15364" width="12.05859375" customWidth="1"/>
    <col min="15365" max="15365" width="14.17578125" customWidth="1"/>
    <col min="15366" max="15366" width="11" customWidth="1"/>
    <col min="15367" max="15367" width="12" customWidth="1"/>
    <col min="15368" max="15369" width="12.703125" customWidth="1"/>
    <col min="15370" max="15370" width="10.17578125" customWidth="1"/>
    <col min="15371" max="15371" width="3" customWidth="1"/>
    <col min="15372" max="15372" width="14.8203125" customWidth="1"/>
    <col min="15374" max="15374" width="14.703125" customWidth="1"/>
    <col min="15380" max="15380" width="14" customWidth="1"/>
    <col min="15381" max="15381" width="15.29296875" customWidth="1"/>
    <col min="15615" max="15615" width="40.52734375" customWidth="1"/>
    <col min="15616" max="15616" width="15.703125" customWidth="1"/>
    <col min="15617" max="15617" width="13.17578125" customWidth="1"/>
    <col min="15618" max="15618" width="14.5859375" customWidth="1"/>
    <col min="15619" max="15619" width="11.703125" customWidth="1"/>
    <col min="15620" max="15620" width="12.05859375" customWidth="1"/>
    <col min="15621" max="15621" width="14.17578125" customWidth="1"/>
    <col min="15622" max="15622" width="11" customWidth="1"/>
    <col min="15623" max="15623" width="12" customWidth="1"/>
    <col min="15624" max="15625" width="12.703125" customWidth="1"/>
    <col min="15626" max="15626" width="10.17578125" customWidth="1"/>
    <col min="15627" max="15627" width="3" customWidth="1"/>
    <col min="15628" max="15628" width="14.8203125" customWidth="1"/>
    <col min="15630" max="15630" width="14.703125" customWidth="1"/>
    <col min="15636" max="15636" width="14" customWidth="1"/>
    <col min="15637" max="15637" width="15.29296875" customWidth="1"/>
    <col min="15871" max="15871" width="40.52734375" customWidth="1"/>
    <col min="15872" max="15872" width="15.703125" customWidth="1"/>
    <col min="15873" max="15873" width="13.17578125" customWidth="1"/>
    <col min="15874" max="15874" width="14.5859375" customWidth="1"/>
    <col min="15875" max="15875" width="11.703125" customWidth="1"/>
    <col min="15876" max="15876" width="12.05859375" customWidth="1"/>
    <col min="15877" max="15877" width="14.17578125" customWidth="1"/>
    <col min="15878" max="15878" width="11" customWidth="1"/>
    <col min="15879" max="15879" width="12" customWidth="1"/>
    <col min="15880" max="15881" width="12.703125" customWidth="1"/>
    <col min="15882" max="15882" width="10.17578125" customWidth="1"/>
    <col min="15883" max="15883" width="3" customWidth="1"/>
    <col min="15884" max="15884" width="14.8203125" customWidth="1"/>
    <col min="15886" max="15886" width="14.703125" customWidth="1"/>
    <col min="15892" max="15892" width="14" customWidth="1"/>
    <col min="15893" max="15893" width="15.29296875" customWidth="1"/>
    <col min="16127" max="16127" width="40.52734375" customWidth="1"/>
    <col min="16128" max="16128" width="15.703125" customWidth="1"/>
    <col min="16129" max="16129" width="13.17578125" customWidth="1"/>
    <col min="16130" max="16130" width="14.5859375" customWidth="1"/>
    <col min="16131" max="16131" width="11.703125" customWidth="1"/>
    <col min="16132" max="16132" width="12.05859375" customWidth="1"/>
    <col min="16133" max="16133" width="14.17578125" customWidth="1"/>
    <col min="16134" max="16134" width="11" customWidth="1"/>
    <col min="16135" max="16135" width="12" customWidth="1"/>
    <col min="16136" max="16137" width="12.703125" customWidth="1"/>
    <col min="16138" max="16138" width="10.17578125" customWidth="1"/>
    <col min="16139" max="16139" width="3" customWidth="1"/>
    <col min="16140" max="16140" width="14.8203125" customWidth="1"/>
    <col min="16142" max="16142" width="14.703125" customWidth="1"/>
    <col min="16148" max="16148" width="14" customWidth="1"/>
    <col min="16149" max="16149" width="15.29296875" customWidth="1"/>
  </cols>
  <sheetData>
    <row r="1" spans="1:12" ht="23.35" x14ac:dyDescent="0.8">
      <c r="A1" s="133" t="s">
        <v>168</v>
      </c>
    </row>
    <row r="3" spans="1:12" ht="18" customHeight="1" x14ac:dyDescent="0.55000000000000004">
      <c r="A3" s="36" t="s">
        <v>149</v>
      </c>
      <c r="B3" s="236"/>
      <c r="C3" s="236"/>
      <c r="D3" s="236"/>
      <c r="E3" s="236"/>
      <c r="F3" s="236"/>
      <c r="G3" s="236"/>
      <c r="H3" s="236"/>
      <c r="I3" s="236"/>
      <c r="J3" s="236"/>
    </row>
    <row r="4" spans="1:12" ht="14.7" thickBot="1" x14ac:dyDescent="0.55000000000000004"/>
    <row r="5" spans="1:12" ht="12" customHeight="1" thickBot="1" x14ac:dyDescent="0.55000000000000004">
      <c r="B5" s="113"/>
      <c r="C5" s="220" t="s">
        <v>258</v>
      </c>
      <c r="J5" s="220" t="s">
        <v>259</v>
      </c>
    </row>
    <row r="6" spans="1:12" ht="18" customHeight="1" x14ac:dyDescent="0.5">
      <c r="A6" s="221" t="s">
        <v>260</v>
      </c>
      <c r="B6" s="222"/>
      <c r="C6" s="223">
        <v>0</v>
      </c>
      <c r="D6" s="224">
        <v>1</v>
      </c>
      <c r="E6" s="224">
        <v>2</v>
      </c>
      <c r="F6" s="224">
        <v>3</v>
      </c>
      <c r="G6" s="224">
        <v>4</v>
      </c>
      <c r="H6" s="224">
        <v>5</v>
      </c>
      <c r="I6" s="224">
        <v>6</v>
      </c>
      <c r="J6" s="223">
        <v>7</v>
      </c>
    </row>
    <row r="7" spans="1:12" ht="24.35" thickBot="1" x14ac:dyDescent="0.55000000000000004">
      <c r="A7" s="225"/>
      <c r="B7" s="239" t="s">
        <v>261</v>
      </c>
      <c r="C7" s="154" t="s">
        <v>173</v>
      </c>
      <c r="D7" s="154" t="s">
        <v>174</v>
      </c>
      <c r="E7" s="154" t="s">
        <v>175</v>
      </c>
      <c r="F7" s="154" t="s">
        <v>176</v>
      </c>
      <c r="G7" s="154" t="s">
        <v>177</v>
      </c>
      <c r="H7" s="154" t="s">
        <v>178</v>
      </c>
      <c r="I7" s="154" t="s">
        <v>179</v>
      </c>
      <c r="J7" s="154" t="s">
        <v>180</v>
      </c>
    </row>
    <row r="8" spans="1:12" ht="14.7" thickTop="1" x14ac:dyDescent="0.5">
      <c r="A8" s="86" t="s">
        <v>262</v>
      </c>
      <c r="C8" s="226">
        <f>+'Backup info 2'!B5</f>
        <v>100000</v>
      </c>
      <c r="D8" s="227">
        <f t="shared" ref="D8:J8" si="0">+C24</f>
        <v>20173.090277777777</v>
      </c>
      <c r="E8" s="227">
        <f t="shared" si="0"/>
        <v>23414.764973958332</v>
      </c>
      <c r="F8" s="227">
        <f t="shared" si="0"/>
        <v>22395.561207953557</v>
      </c>
      <c r="G8" s="227">
        <f t="shared" si="0"/>
        <v>21564.250103907943</v>
      </c>
      <c r="H8" s="227">
        <f t="shared" si="0"/>
        <v>21419.538749871161</v>
      </c>
      <c r="I8" s="227">
        <f t="shared" si="0"/>
        <v>21932.215951086277</v>
      </c>
      <c r="J8" s="226">
        <f t="shared" si="0"/>
        <v>25209.631221025134</v>
      </c>
    </row>
    <row r="9" spans="1:12" x14ac:dyDescent="0.5">
      <c r="C9" s="228"/>
      <c r="D9" s="140"/>
      <c r="E9" s="140"/>
      <c r="F9" s="140"/>
      <c r="G9" s="140"/>
      <c r="H9" s="140"/>
      <c r="I9" s="140"/>
      <c r="J9" s="228"/>
    </row>
    <row r="10" spans="1:12" x14ac:dyDescent="0.5">
      <c r="A10" s="86" t="s">
        <v>144</v>
      </c>
      <c r="C10" s="229">
        <f>-+[1]Stocks!E96</f>
        <v>-82600</v>
      </c>
      <c r="D10" s="230">
        <f>+[1]Stocks!F77</f>
        <v>0</v>
      </c>
      <c r="E10" s="230">
        <f>+[1]Stocks!G77</f>
        <v>1550</v>
      </c>
      <c r="F10" s="230">
        <f>+[1]Stocks!H77</f>
        <v>2300</v>
      </c>
      <c r="G10" s="230">
        <f>+[1]Stocks!I77</f>
        <v>0</v>
      </c>
      <c r="H10" s="230">
        <f>+[1]Stocks!J77</f>
        <v>0</v>
      </c>
      <c r="I10" s="230">
        <f>+[1]Stocks!K77</f>
        <v>0</v>
      </c>
      <c r="J10" s="229">
        <f>+[1]Stocks!L77</f>
        <v>92600</v>
      </c>
      <c r="L10" s="139"/>
    </row>
    <row r="11" spans="1:12" x14ac:dyDescent="0.5">
      <c r="A11" s="86" t="s">
        <v>263</v>
      </c>
      <c r="C11" s="229">
        <f>-[1]Bonds!E61</f>
        <v>-95650</v>
      </c>
      <c r="D11" s="230">
        <f>+[1]Bonds!F51</f>
        <v>2875</v>
      </c>
      <c r="E11" s="230">
        <f>+[1]Bonds!G51</f>
        <v>-2880</v>
      </c>
      <c r="F11" s="230">
        <f>+[1]Bonds!H51</f>
        <v>-4075</v>
      </c>
      <c r="G11" s="230">
        <f>+[1]Bonds!I51</f>
        <v>0</v>
      </c>
      <c r="H11" s="230">
        <f>+[1]Bonds!J51</f>
        <v>865</v>
      </c>
      <c r="I11" s="230">
        <f>+[1]Bonds!K51</f>
        <v>3550</v>
      </c>
      <c r="J11" s="229">
        <f>+[1]Bonds!L51</f>
        <v>97000</v>
      </c>
      <c r="L11" s="139"/>
    </row>
    <row r="12" spans="1:12" x14ac:dyDescent="0.5">
      <c r="A12" s="86" t="s">
        <v>264</v>
      </c>
      <c r="C12" s="231"/>
      <c r="D12" s="139">
        <f>+[1]Stocks!F133</f>
        <v>92.5</v>
      </c>
      <c r="E12" s="139">
        <f>+[1]Stocks!G133</f>
        <v>90</v>
      </c>
      <c r="F12" s="139">
        <f>+[1]Stocks!H133</f>
        <v>150</v>
      </c>
      <c r="G12" s="139">
        <f>+[1]Stocks!I133</f>
        <v>245</v>
      </c>
      <c r="H12" s="139">
        <f>+[1]Stocks!J133</f>
        <v>62.5</v>
      </c>
      <c r="I12" s="139">
        <f>+[1]Stocks!K133</f>
        <v>0</v>
      </c>
      <c r="J12" s="229">
        <f>+[1]Stocks!L133</f>
        <v>0</v>
      </c>
    </row>
    <row r="13" spans="1:12" x14ac:dyDescent="0.5">
      <c r="A13" s="86" t="s">
        <v>265</v>
      </c>
      <c r="C13" s="229">
        <f>+[1]Bonds!F93</f>
        <v>0</v>
      </c>
      <c r="D13" s="139">
        <f>+[1]Bonds!G93</f>
        <v>875</v>
      </c>
      <c r="E13" s="139">
        <f>+[1]Bonds!H93</f>
        <v>593.75</v>
      </c>
      <c r="F13" s="139">
        <f>+[1]Bonds!I93</f>
        <v>1343.75</v>
      </c>
      <c r="G13" s="139">
        <f>+[1]Bonds!J93</f>
        <v>0</v>
      </c>
      <c r="H13" s="139">
        <f>+[1]Bonds!K93</f>
        <v>0</v>
      </c>
      <c r="I13" s="139">
        <f>+[1]Bonds!L93</f>
        <v>0</v>
      </c>
      <c r="J13" s="229">
        <f>+[1]Bonds!M93</f>
        <v>0</v>
      </c>
    </row>
    <row r="14" spans="1:12" x14ac:dyDescent="0.5">
      <c r="A14" s="86" t="s">
        <v>266</v>
      </c>
      <c r="C14" s="229">
        <f>+[1]Bonds!E121</f>
        <v>-1576.9097222222224</v>
      </c>
      <c r="D14" s="230">
        <f>+[1]Bonds!F121</f>
        <v>-209.375</v>
      </c>
      <c r="E14" s="230">
        <f>+[1]Bonds!G121</f>
        <v>14.444444444444445</v>
      </c>
      <c r="F14" s="230">
        <f>+[1]Bonds!H121</f>
        <v>-161.38888888888889</v>
      </c>
      <c r="G14" s="230">
        <f>+[1]Bonds!I121</f>
        <v>0</v>
      </c>
      <c r="H14" s="230">
        <f>+[1]Bonds!J121</f>
        <v>-24.93055555555555</v>
      </c>
      <c r="I14" s="230">
        <f>+[1]Bonds!K121</f>
        <v>116.66666666666669</v>
      </c>
      <c r="J14" s="229">
        <f>+[1]Bonds!L121</f>
        <v>1926.7013888888887</v>
      </c>
    </row>
    <row r="15" spans="1:12" x14ac:dyDescent="0.5">
      <c r="A15" s="86"/>
      <c r="C15" s="229"/>
      <c r="D15" s="230"/>
      <c r="E15" s="230"/>
      <c r="F15" s="230"/>
      <c r="G15" s="230"/>
      <c r="H15" s="230"/>
      <c r="I15" s="230"/>
      <c r="J15" s="229"/>
    </row>
    <row r="16" spans="1:12" x14ac:dyDescent="0.5">
      <c r="A16" s="86" t="s">
        <v>267</v>
      </c>
      <c r="C16" s="229">
        <f>+'Backup info 2'!B6</f>
        <v>100000</v>
      </c>
      <c r="D16" s="230"/>
      <c r="E16" s="230"/>
      <c r="F16" s="230"/>
      <c r="G16" s="230"/>
      <c r="H16" s="230"/>
      <c r="I16" s="230"/>
      <c r="J16" s="229">
        <f>-'Backup info 2'!B6</f>
        <v>-100000</v>
      </c>
    </row>
    <row r="17" spans="1:12" x14ac:dyDescent="0.5">
      <c r="A17" s="86" t="s">
        <v>268</v>
      </c>
      <c r="C17" s="229"/>
      <c r="D17" s="230">
        <f>-'Backup info 2'!$D$5*'Backup info 2'!$B$5/12</f>
        <v>-416.66666666666669</v>
      </c>
      <c r="E17" s="230">
        <f>-'Backup info 2'!$D$5*'Backup info 2'!$B$5/12</f>
        <v>-416.66666666666669</v>
      </c>
      <c r="F17" s="230">
        <f>-'Backup info 2'!$D$5*'Backup info 2'!$B$5/12</f>
        <v>-416.66666666666669</v>
      </c>
      <c r="G17" s="230">
        <f>-'Backup info 2'!$D$5*'Backup info 2'!$B$5/12</f>
        <v>-416.66666666666669</v>
      </c>
      <c r="H17" s="230">
        <f>-'Backup info 2'!$D$5*'Backup info 2'!$B$5/12</f>
        <v>-416.66666666666669</v>
      </c>
      <c r="I17" s="230">
        <f>-'Backup info 2'!$D$5*'Backup info 2'!$B$5/12</f>
        <v>-416.66666666666669</v>
      </c>
      <c r="J17" s="229">
        <f>-'Backup info 2'!$D$5*'Backup info 2'!$B$5/12</f>
        <v>-416.66666666666669</v>
      </c>
    </row>
    <row r="18" spans="1:12" x14ac:dyDescent="0.5">
      <c r="A18" s="86"/>
      <c r="C18" s="229"/>
      <c r="D18" s="230"/>
      <c r="E18" s="230"/>
      <c r="F18" s="230"/>
      <c r="G18" s="230"/>
      <c r="H18" s="230"/>
      <c r="I18" s="230"/>
      <c r="J18" s="229"/>
    </row>
    <row r="19" spans="1:12" x14ac:dyDescent="0.5">
      <c r="A19" s="86" t="s">
        <v>269</v>
      </c>
      <c r="C19" s="229"/>
      <c r="D19" s="230">
        <f>+C24*'Backup info 2'!$I$8/12</f>
        <v>25.216362847222218</v>
      </c>
      <c r="E19" s="230">
        <f>+D24*'Backup info 2'!$I$8/12</f>
        <v>29.268456217447916</v>
      </c>
      <c r="F19" s="230">
        <f>+E24*'Backup info 2'!$I$8/12</f>
        <v>27.994451509941943</v>
      </c>
      <c r="G19" s="230">
        <f>+F24*'Backup info 2'!$I$8/12</f>
        <v>26.955312629884929</v>
      </c>
      <c r="H19" s="230">
        <f>+G24*'Backup info 2'!$I$8/12</f>
        <v>26.77442343733895</v>
      </c>
      <c r="I19" s="230">
        <f>+H24*'Backup info 2'!$I$8/12</f>
        <v>27.415269938857847</v>
      </c>
      <c r="J19" s="229">
        <f>+H24*'Backup info 2'!$I$8/12</f>
        <v>27.415269938857847</v>
      </c>
    </row>
    <row r="20" spans="1:12" x14ac:dyDescent="0.5">
      <c r="A20" t="s">
        <v>162</v>
      </c>
      <c r="C20" s="232">
        <f>-'Backup info 2'!G8</f>
        <v>-20173.090277777777</v>
      </c>
      <c r="D20" s="233"/>
      <c r="E20" s="233"/>
      <c r="F20" s="233"/>
      <c r="G20" s="233"/>
      <c r="H20" s="233"/>
      <c r="I20" s="233"/>
      <c r="J20" s="232">
        <f>+J8</f>
        <v>25209.631221025134</v>
      </c>
      <c r="L20" s="139"/>
    </row>
    <row r="21" spans="1:12" x14ac:dyDescent="0.5">
      <c r="A21" t="s">
        <v>280</v>
      </c>
      <c r="B21" s="138">
        <f>IRR(C21:J21)</f>
        <v>2.8620143432765976E-2</v>
      </c>
      <c r="C21" s="234">
        <f t="shared" ref="C21:J21" si="1">SUM(C10:C20)</f>
        <v>-100000</v>
      </c>
      <c r="D21" s="131">
        <f t="shared" si="1"/>
        <v>3241.6746961805557</v>
      </c>
      <c r="E21" s="131">
        <f t="shared" si="1"/>
        <v>-1019.2037660047743</v>
      </c>
      <c r="F21" s="131">
        <f t="shared" si="1"/>
        <v>-831.31110404561366</v>
      </c>
      <c r="G21" s="131">
        <f t="shared" si="1"/>
        <v>-144.71135403678176</v>
      </c>
      <c r="H21" s="131">
        <f t="shared" si="1"/>
        <v>512.67720121511672</v>
      </c>
      <c r="I21" s="131">
        <f t="shared" si="1"/>
        <v>3277.4152699388578</v>
      </c>
      <c r="J21" s="234">
        <f t="shared" si="1"/>
        <v>116347.0812131862</v>
      </c>
      <c r="L21" s="139"/>
    </row>
    <row r="22" spans="1:12" x14ac:dyDescent="0.5">
      <c r="B22" s="138"/>
      <c r="C22" s="234"/>
      <c r="D22" s="131"/>
      <c r="E22" s="131"/>
      <c r="F22" s="131"/>
      <c r="G22" s="131"/>
      <c r="H22" s="131"/>
      <c r="I22" s="131"/>
      <c r="J22" s="234"/>
    </row>
    <row r="23" spans="1:12" x14ac:dyDescent="0.5">
      <c r="A23" t="s">
        <v>271</v>
      </c>
      <c r="C23" s="229">
        <f t="shared" ref="C23:J23" si="2">-C20</f>
        <v>20173.090277777777</v>
      </c>
      <c r="D23" s="139">
        <f t="shared" si="2"/>
        <v>0</v>
      </c>
      <c r="E23" s="139">
        <f t="shared" si="2"/>
        <v>0</v>
      </c>
      <c r="F23" s="139">
        <f t="shared" si="2"/>
        <v>0</v>
      </c>
      <c r="G23" s="139">
        <f t="shared" si="2"/>
        <v>0</v>
      </c>
      <c r="H23" s="139">
        <f t="shared" si="2"/>
        <v>0</v>
      </c>
      <c r="I23" s="139">
        <f t="shared" si="2"/>
        <v>0</v>
      </c>
      <c r="J23" s="229">
        <f t="shared" si="2"/>
        <v>-25209.631221025134</v>
      </c>
    </row>
    <row r="24" spans="1:12" ht="14.7" thickBot="1" x14ac:dyDescent="0.55000000000000004">
      <c r="A24" t="s">
        <v>270</v>
      </c>
      <c r="C24" s="235">
        <f t="shared" ref="C24:J24" si="3">+C8+C21+C23</f>
        <v>20173.090277777777</v>
      </c>
      <c r="D24" s="184">
        <f t="shared" si="3"/>
        <v>23414.764973958332</v>
      </c>
      <c r="E24" s="184">
        <f t="shared" si="3"/>
        <v>22395.561207953557</v>
      </c>
      <c r="F24" s="184">
        <f t="shared" si="3"/>
        <v>21564.250103907943</v>
      </c>
      <c r="G24" s="184">
        <f t="shared" si="3"/>
        <v>21419.538749871161</v>
      </c>
      <c r="H24" s="184">
        <f t="shared" si="3"/>
        <v>21932.215951086277</v>
      </c>
      <c r="I24" s="184">
        <f t="shared" si="3"/>
        <v>25209.631221025134</v>
      </c>
      <c r="J24" s="235">
        <f t="shared" si="3"/>
        <v>116347.0812131862</v>
      </c>
      <c r="L24" s="140"/>
    </row>
    <row r="25" spans="1:12" ht="14.7" thickTop="1" x14ac:dyDescent="0.5">
      <c r="A25" s="14" t="s">
        <v>272</v>
      </c>
      <c r="C25" s="137">
        <f>+C24/(C24+[1]Stocks!E96+[1]Bonds!E61)</f>
        <v>0.10166705018824639</v>
      </c>
      <c r="D25" s="137">
        <f>+D24/(D24+[1]Stocks!F96+[1]Bonds!F61)</f>
        <v>0.11752349032569111</v>
      </c>
      <c r="E25" s="137">
        <f>+E24/(E24+[1]Stocks!G96+[1]Bonds!G61)</f>
        <v>0.11006241124460871</v>
      </c>
      <c r="F25" s="137">
        <f>+F24/(F24+[1]Stocks!H96+[1]Bonds!H61)</f>
        <v>0.10360491878942855</v>
      </c>
      <c r="G25" s="137">
        <f>+G24/(G24+[1]Stocks!I96+[1]Bonds!I61)</f>
        <v>0.10249586575797898</v>
      </c>
      <c r="H25" s="137">
        <f>+H24/(H24+[1]Stocks!J96+[1]Bonds!J61)</f>
        <v>0.10412070463681035</v>
      </c>
      <c r="I25" s="137">
        <f>+I24/(I24+[1]Stocks!K96+[1]Bonds!K61)</f>
        <v>0.11735801173219307</v>
      </c>
      <c r="J25" s="137"/>
    </row>
    <row r="26" spans="1:12" ht="14.7" thickBot="1" x14ac:dyDescent="0.55000000000000004">
      <c r="A26" s="14"/>
      <c r="C26" s="137"/>
      <c r="D26" s="137"/>
      <c r="E26" s="137"/>
      <c r="F26" s="137"/>
      <c r="G26" s="137"/>
      <c r="H26" s="137"/>
      <c r="I26" s="137"/>
      <c r="J26" s="137"/>
    </row>
    <row r="27" spans="1:12" ht="14.7" thickBot="1" x14ac:dyDescent="0.55000000000000004">
      <c r="A27" s="14"/>
      <c r="C27" s="237" t="s">
        <v>274</v>
      </c>
      <c r="D27" s="238">
        <f>+SUM(C21:J21)/-$C$21</f>
        <v>0.21383622156433557</v>
      </c>
      <c r="E27" s="137"/>
      <c r="F27" s="137"/>
      <c r="G27" s="137"/>
      <c r="H27" s="137"/>
      <c r="I27" s="137"/>
      <c r="J27" s="137"/>
    </row>
    <row r="28" spans="1:12" x14ac:dyDescent="0.5">
      <c r="B28" s="113"/>
    </row>
    <row r="29" spans="1:12" x14ac:dyDescent="0.5">
      <c r="B29" s="113"/>
    </row>
    <row r="30" spans="1:12" x14ac:dyDescent="0.5">
      <c r="B30" s="113"/>
      <c r="C30" s="223">
        <v>0</v>
      </c>
      <c r="D30" s="224">
        <v>1</v>
      </c>
      <c r="E30" s="224">
        <v>2</v>
      </c>
      <c r="F30" s="224">
        <v>3</v>
      </c>
      <c r="G30" s="224">
        <v>4</v>
      </c>
      <c r="H30" s="224">
        <v>5</v>
      </c>
      <c r="I30" s="224">
        <v>6</v>
      </c>
      <c r="J30" s="223">
        <v>7</v>
      </c>
    </row>
    <row r="31" spans="1:12" ht="24.35" thickBot="1" x14ac:dyDescent="0.55000000000000004">
      <c r="A31" s="240" t="s">
        <v>275</v>
      </c>
      <c r="B31" s="113"/>
      <c r="C31" s="154" t="s">
        <v>173</v>
      </c>
      <c r="D31" s="154" t="s">
        <v>174</v>
      </c>
      <c r="E31" s="154" t="s">
        <v>175</v>
      </c>
      <c r="F31" s="154" t="s">
        <v>176</v>
      </c>
      <c r="G31" s="154" t="s">
        <v>177</v>
      </c>
      <c r="H31" s="154" t="s">
        <v>178</v>
      </c>
      <c r="I31" s="154" t="s">
        <v>179</v>
      </c>
      <c r="J31" s="154" t="s">
        <v>180</v>
      </c>
    </row>
    <row r="32" spans="1:12" ht="14.7" thickTop="1" x14ac:dyDescent="0.5">
      <c r="A32" t="str">
        <f>+A21</f>
        <v>Total Cash Flows (Levered)</v>
      </c>
      <c r="B32" s="113"/>
      <c r="C32" s="139">
        <f>+C21</f>
        <v>-100000</v>
      </c>
      <c r="D32" s="139">
        <f t="shared" ref="D32:J32" si="4">+D21</f>
        <v>3241.6746961805557</v>
      </c>
      <c r="E32" s="139">
        <f t="shared" si="4"/>
        <v>-1019.2037660047743</v>
      </c>
      <c r="F32" s="139">
        <f t="shared" si="4"/>
        <v>-831.31110404561366</v>
      </c>
      <c r="G32" s="139">
        <f t="shared" si="4"/>
        <v>-144.71135403678176</v>
      </c>
      <c r="H32" s="139">
        <f t="shared" si="4"/>
        <v>512.67720121511672</v>
      </c>
      <c r="I32" s="139">
        <f t="shared" si="4"/>
        <v>3277.4152699388578</v>
      </c>
      <c r="J32" s="139">
        <f t="shared" si="4"/>
        <v>116347.0812131862</v>
      </c>
    </row>
    <row r="33" spans="1:10" x14ac:dyDescent="0.5">
      <c r="A33" t="s">
        <v>276</v>
      </c>
      <c r="B33" s="113"/>
      <c r="C33" s="10">
        <f>-C16</f>
        <v>-100000</v>
      </c>
      <c r="D33" s="10">
        <f t="shared" ref="D33:J33" si="5">-D16</f>
        <v>0</v>
      </c>
      <c r="E33" s="10">
        <f t="shared" si="5"/>
        <v>0</v>
      </c>
      <c r="F33" s="10">
        <f t="shared" si="5"/>
        <v>0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100000</v>
      </c>
    </row>
    <row r="34" spans="1:10" x14ac:dyDescent="0.5">
      <c r="A34" t="s">
        <v>277</v>
      </c>
      <c r="B34" s="113"/>
      <c r="C34" s="10">
        <f>-C17</f>
        <v>0</v>
      </c>
      <c r="D34" s="10">
        <f t="shared" ref="D34:J34" si="6">-D17</f>
        <v>416.66666666666669</v>
      </c>
      <c r="E34" s="10">
        <f t="shared" si="6"/>
        <v>416.66666666666669</v>
      </c>
      <c r="F34" s="10">
        <f t="shared" si="6"/>
        <v>416.66666666666669</v>
      </c>
      <c r="G34" s="10">
        <f t="shared" si="6"/>
        <v>416.66666666666669</v>
      </c>
      <c r="H34" s="10">
        <f t="shared" si="6"/>
        <v>416.66666666666669</v>
      </c>
      <c r="I34" s="10">
        <f t="shared" si="6"/>
        <v>416.66666666666669</v>
      </c>
      <c r="J34" s="10">
        <f t="shared" si="6"/>
        <v>416.66666666666669</v>
      </c>
    </row>
    <row r="35" spans="1:10" ht="14.7" thickBot="1" x14ac:dyDescent="0.55000000000000004">
      <c r="A35" t="s">
        <v>278</v>
      </c>
      <c r="B35" s="113"/>
      <c r="C35" s="241">
        <f>SUM(C32:C34)</f>
        <v>-200000</v>
      </c>
      <c r="D35" s="241">
        <f t="shared" ref="D35:J35" si="7">SUM(D32:D34)</f>
        <v>3658.3413628472222</v>
      </c>
      <c r="E35" s="241">
        <f t="shared" si="7"/>
        <v>-602.53709933810751</v>
      </c>
      <c r="F35" s="241">
        <f t="shared" si="7"/>
        <v>-414.64443737894698</v>
      </c>
      <c r="G35" s="241">
        <f t="shared" si="7"/>
        <v>271.95531262988493</v>
      </c>
      <c r="H35" s="241">
        <f t="shared" si="7"/>
        <v>929.34386788178335</v>
      </c>
      <c r="I35" s="241">
        <f t="shared" si="7"/>
        <v>3694.0819366055243</v>
      </c>
      <c r="J35" s="241">
        <f t="shared" si="7"/>
        <v>216763.74787985286</v>
      </c>
    </row>
    <row r="36" spans="1:10" ht="15" thickTop="1" thickBot="1" x14ac:dyDescent="0.55000000000000004">
      <c r="B36" s="113"/>
      <c r="C36" s="230"/>
      <c r="D36" s="230"/>
      <c r="E36" s="230"/>
      <c r="F36" s="230"/>
      <c r="G36" s="230"/>
      <c r="H36" s="230"/>
      <c r="I36" s="230"/>
      <c r="J36" s="230"/>
    </row>
    <row r="37" spans="1:10" ht="14.7" thickBot="1" x14ac:dyDescent="0.55000000000000004">
      <c r="C37" s="237" t="s">
        <v>279</v>
      </c>
      <c r="D37" s="238">
        <f>SUM(C35:J35)/-C35</f>
        <v>0.12150144411550107</v>
      </c>
      <c r="E37" s="230"/>
      <c r="F37" s="230"/>
      <c r="G37" s="230"/>
      <c r="H37" s="230"/>
      <c r="I37" s="230"/>
      <c r="J37" s="230"/>
    </row>
    <row r="38" spans="1:10" x14ac:dyDescent="0.5">
      <c r="B38" s="113"/>
      <c r="C38" s="230"/>
      <c r="D38" s="230"/>
      <c r="E38" s="230"/>
      <c r="F38" s="230"/>
      <c r="G38" s="230"/>
      <c r="H38" s="230"/>
      <c r="I38" s="230"/>
      <c r="J38" s="230"/>
    </row>
    <row r="39" spans="1:10" x14ac:dyDescent="0.5">
      <c r="B39" s="113"/>
      <c r="C39" s="139"/>
      <c r="D39" s="139"/>
      <c r="E39" s="139"/>
      <c r="F39" s="139"/>
      <c r="G39" s="139"/>
      <c r="H39" s="139"/>
      <c r="I39" s="139"/>
      <c r="J39" s="139"/>
    </row>
    <row r="40" spans="1:10" x14ac:dyDescent="0.5">
      <c r="J40" t="s">
        <v>242</v>
      </c>
    </row>
  </sheetData>
  <pageMargins left="0.7" right="0.7" top="0.75" bottom="0.75" header="0.3" footer="0.3"/>
  <pageSetup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A7A86-27FC-4509-B0DA-AD7DA44ABDC5}">
  <dimension ref="A1:J44"/>
  <sheetViews>
    <sheetView showGridLines="0" workbookViewId="0">
      <selection activeCell="K22" sqref="K22"/>
    </sheetView>
  </sheetViews>
  <sheetFormatPr defaultRowHeight="14.35" x14ac:dyDescent="0.5"/>
  <cols>
    <col min="1" max="1" width="3.9375" customWidth="1"/>
    <col min="2" max="2" width="7.5859375" customWidth="1"/>
    <col min="3" max="3" width="19.8203125" customWidth="1"/>
    <col min="4" max="4" width="12.29296875" customWidth="1"/>
    <col min="6" max="6" width="2.46875" customWidth="1"/>
    <col min="7" max="7" width="7.52734375" customWidth="1"/>
    <col min="8" max="8" width="14.41015625" customWidth="1"/>
    <col min="10" max="10" width="9.17578125" customWidth="1"/>
  </cols>
  <sheetData>
    <row r="1" spans="1:10" ht="23.35" x14ac:dyDescent="0.8">
      <c r="B1" s="133" t="s">
        <v>168</v>
      </c>
    </row>
    <row r="2" spans="1:10" ht="8.6999999999999993" customHeight="1" x14ac:dyDescent="0.5"/>
    <row r="3" spans="1:10" ht="18.350000000000001" customHeight="1" x14ac:dyDescent="0.55000000000000004">
      <c r="B3" s="36" t="s">
        <v>99</v>
      </c>
      <c r="C3" s="110"/>
      <c r="D3" s="111"/>
      <c r="E3" s="109"/>
      <c r="G3" s="36" t="s">
        <v>187</v>
      </c>
      <c r="H3" s="109"/>
      <c r="I3" s="111"/>
      <c r="J3" s="109"/>
    </row>
    <row r="4" spans="1:10" x14ac:dyDescent="0.5">
      <c r="B4" s="11" t="s">
        <v>100</v>
      </c>
      <c r="C4" s="112"/>
      <c r="E4" s="114"/>
      <c r="G4" s="11" t="s">
        <v>221</v>
      </c>
    </row>
    <row r="5" spans="1:10" ht="24.35" thickBot="1" x14ac:dyDescent="0.55000000000000004">
      <c r="A5" s="3"/>
      <c r="B5" s="152" t="s">
        <v>101</v>
      </c>
      <c r="C5" s="153" t="s">
        <v>102</v>
      </c>
      <c r="D5" s="153" t="s">
        <v>103</v>
      </c>
      <c r="E5" s="154" t="s">
        <v>173</v>
      </c>
      <c r="G5" s="116" t="s">
        <v>101</v>
      </c>
      <c r="H5" s="116" t="s">
        <v>102</v>
      </c>
      <c r="I5" s="116" t="s">
        <v>103</v>
      </c>
      <c r="J5" s="154" t="str">
        <f>+E5</f>
        <v>June 1
20x1</v>
      </c>
    </row>
    <row r="6" spans="1:10" ht="14.7" thickTop="1" x14ac:dyDescent="0.5">
      <c r="A6" s="3"/>
      <c r="B6" s="118" t="s">
        <v>104</v>
      </c>
      <c r="C6" s="118" t="s">
        <v>105</v>
      </c>
      <c r="D6" s="118" t="s">
        <v>106</v>
      </c>
      <c r="E6" s="118">
        <v>23</v>
      </c>
      <c r="G6" s="169" t="s">
        <v>195</v>
      </c>
      <c r="H6" s="169" t="s">
        <v>196</v>
      </c>
      <c r="I6" s="169" t="s">
        <v>133</v>
      </c>
      <c r="J6" s="118">
        <v>890</v>
      </c>
    </row>
    <row r="7" spans="1:10" x14ac:dyDescent="0.5">
      <c r="A7" s="3"/>
      <c r="B7" s="118" t="s">
        <v>107</v>
      </c>
      <c r="C7" s="118" t="s">
        <v>108</v>
      </c>
      <c r="D7" s="118" t="s">
        <v>109</v>
      </c>
      <c r="E7" s="118">
        <v>12</v>
      </c>
      <c r="G7" s="169" t="s">
        <v>199</v>
      </c>
      <c r="H7" s="169" t="s">
        <v>200</v>
      </c>
      <c r="I7" s="169" t="s">
        <v>127</v>
      </c>
      <c r="J7" s="118">
        <v>910</v>
      </c>
    </row>
    <row r="8" spans="1:10" x14ac:dyDescent="0.5">
      <c r="A8" s="3"/>
      <c r="B8" s="118" t="s">
        <v>110</v>
      </c>
      <c r="C8" s="118" t="s">
        <v>111</v>
      </c>
      <c r="D8" s="118" t="s">
        <v>112</v>
      </c>
      <c r="E8" s="118">
        <v>18</v>
      </c>
      <c r="G8" s="169" t="s">
        <v>203</v>
      </c>
      <c r="H8" s="169" t="s">
        <v>204</v>
      </c>
      <c r="I8" s="169" t="s">
        <v>109</v>
      </c>
      <c r="J8" s="118">
        <v>790</v>
      </c>
    </row>
    <row r="9" spans="1:10" x14ac:dyDescent="0.5">
      <c r="A9" s="3"/>
      <c r="B9" s="118" t="s">
        <v>113</v>
      </c>
      <c r="C9" s="118" t="s">
        <v>114</v>
      </c>
      <c r="D9" s="118" t="s">
        <v>115</v>
      </c>
      <c r="E9" s="118">
        <v>40</v>
      </c>
      <c r="G9" s="169" t="s">
        <v>206</v>
      </c>
      <c r="H9" s="169" t="s">
        <v>207</v>
      </c>
      <c r="I9" s="169" t="s">
        <v>115</v>
      </c>
      <c r="J9" s="118">
        <v>1010</v>
      </c>
    </row>
    <row r="10" spans="1:10" x14ac:dyDescent="0.5">
      <c r="A10" s="3"/>
      <c r="B10" s="118" t="s">
        <v>116</v>
      </c>
      <c r="C10" s="118" t="s">
        <v>117</v>
      </c>
      <c r="D10" s="118" t="s">
        <v>118</v>
      </c>
      <c r="E10" s="118">
        <v>52</v>
      </c>
      <c r="G10" s="169"/>
      <c r="H10" s="169"/>
      <c r="I10" s="169"/>
      <c r="J10" s="118"/>
    </row>
    <row r="11" spans="1:10" x14ac:dyDescent="0.5">
      <c r="A11" s="3"/>
      <c r="B11" s="118" t="s">
        <v>119</v>
      </c>
      <c r="C11" s="118" t="s">
        <v>120</v>
      </c>
      <c r="D11" s="118" t="s">
        <v>121</v>
      </c>
      <c r="E11" s="118">
        <v>31</v>
      </c>
      <c r="G11" s="169"/>
      <c r="H11" s="169"/>
      <c r="I11" s="169"/>
      <c r="J11" s="118"/>
    </row>
    <row r="12" spans="1:10" x14ac:dyDescent="0.5">
      <c r="A12" s="3"/>
      <c r="B12" s="118" t="s">
        <v>122</v>
      </c>
      <c r="C12" s="118" t="s">
        <v>123</v>
      </c>
      <c r="D12" s="118" t="s">
        <v>124</v>
      </c>
      <c r="E12" s="118">
        <v>15</v>
      </c>
      <c r="G12" s="177"/>
      <c r="H12" s="177"/>
      <c r="I12" s="177"/>
      <c r="J12" s="177"/>
    </row>
    <row r="13" spans="1:10" x14ac:dyDescent="0.5">
      <c r="A13" s="3"/>
      <c r="B13" s="118" t="s">
        <v>125</v>
      </c>
      <c r="C13" s="118" t="s">
        <v>126</v>
      </c>
      <c r="D13" s="118" t="s">
        <v>127</v>
      </c>
      <c r="E13" s="118">
        <v>8</v>
      </c>
    </row>
    <row r="14" spans="1:10" x14ac:dyDescent="0.5">
      <c r="A14" s="3"/>
      <c r="B14" s="118" t="s">
        <v>128</v>
      </c>
      <c r="C14" s="118" t="s">
        <v>129</v>
      </c>
      <c r="D14" s="118" t="s">
        <v>130</v>
      </c>
      <c r="E14" s="118">
        <v>15</v>
      </c>
    </row>
    <row r="15" spans="1:10" x14ac:dyDescent="0.5">
      <c r="A15" s="3"/>
      <c r="B15" s="118" t="s">
        <v>131</v>
      </c>
      <c r="C15" s="118" t="s">
        <v>132</v>
      </c>
      <c r="D15" s="118" t="s">
        <v>133</v>
      </c>
      <c r="E15" s="118">
        <v>25</v>
      </c>
    </row>
    <row r="16" spans="1:10" x14ac:dyDescent="0.5">
      <c r="A16" s="3"/>
      <c r="C16" s="112"/>
    </row>
    <row r="17" spans="1:10" x14ac:dyDescent="0.5">
      <c r="A17" s="120"/>
      <c r="B17" s="120" t="s">
        <v>181</v>
      </c>
      <c r="C17" s="112"/>
      <c r="E17" s="114"/>
      <c r="G17" s="120" t="s">
        <v>238</v>
      </c>
      <c r="J17" s="114"/>
    </row>
    <row r="18" spans="1:10" ht="29.45" customHeight="1" thickBot="1" x14ac:dyDescent="0.55000000000000004">
      <c r="A18" s="3"/>
      <c r="B18" s="115" t="s">
        <v>101</v>
      </c>
      <c r="C18" s="116" t="s">
        <v>102</v>
      </c>
      <c r="D18" s="116" t="s">
        <v>103</v>
      </c>
      <c r="E18" s="157" t="str">
        <f>+E5</f>
        <v>June 1
20x1</v>
      </c>
      <c r="G18" s="116" t="s">
        <v>101</v>
      </c>
      <c r="H18" s="116" t="s">
        <v>102</v>
      </c>
      <c r="I18" s="116" t="s">
        <v>103</v>
      </c>
      <c r="J18" s="154" t="str">
        <f>+J5</f>
        <v>June 1
20x1</v>
      </c>
    </row>
    <row r="19" spans="1:10" ht="14.7" thickTop="1" x14ac:dyDescent="0.5">
      <c r="A19" s="3"/>
      <c r="B19" s="121" t="str">
        <f t="shared" ref="B19:D28" si="0">+B6</f>
        <v>ABC</v>
      </c>
      <c r="C19" s="121" t="str">
        <f t="shared" si="0"/>
        <v>ABC Chem Inc</v>
      </c>
      <c r="D19" s="121" t="str">
        <f t="shared" si="0"/>
        <v>Chemicals</v>
      </c>
      <c r="E19" s="122">
        <v>400</v>
      </c>
      <c r="G19" s="177" t="str">
        <f>+G6</f>
        <v>AAA</v>
      </c>
      <c r="H19" s="177" t="str">
        <f t="shared" ref="H19:I19" si="1">+H6</f>
        <v>Alpha Inc.</v>
      </c>
      <c r="I19" s="177" t="str">
        <f t="shared" si="1"/>
        <v>Healthcare</v>
      </c>
      <c r="J19" s="182">
        <v>15</v>
      </c>
    </row>
    <row r="20" spans="1:10" x14ac:dyDescent="0.5">
      <c r="A20" s="3"/>
      <c r="B20" s="121" t="str">
        <f t="shared" si="0"/>
        <v>BCD</v>
      </c>
      <c r="C20" s="121" t="str">
        <f t="shared" si="0"/>
        <v>BCD  Precision Inc</v>
      </c>
      <c r="D20" s="121" t="str">
        <f t="shared" si="0"/>
        <v>Industrial</v>
      </c>
      <c r="E20" s="122">
        <v>350</v>
      </c>
      <c r="G20" s="177" t="str">
        <f t="shared" ref="G20:I22" si="2">+G7</f>
        <v>BBB</v>
      </c>
      <c r="H20" s="177" t="str">
        <f t="shared" si="2"/>
        <v>Beta Inc.</v>
      </c>
      <c r="I20" s="177" t="str">
        <f t="shared" si="2"/>
        <v>Retail</v>
      </c>
      <c r="J20" s="182">
        <v>20</v>
      </c>
    </row>
    <row r="21" spans="1:10" x14ac:dyDescent="0.5">
      <c r="A21" s="3"/>
      <c r="B21" s="121" t="str">
        <f t="shared" si="0"/>
        <v>CDE</v>
      </c>
      <c r="C21" s="121" t="str">
        <f t="shared" si="0"/>
        <v>CDE Inc</v>
      </c>
      <c r="D21" s="121" t="str">
        <f t="shared" si="0"/>
        <v>Publishing</v>
      </c>
      <c r="E21" s="122">
        <v>300</v>
      </c>
      <c r="G21" s="177" t="str">
        <f t="shared" si="2"/>
        <v>CCC</v>
      </c>
      <c r="H21" s="177" t="str">
        <f t="shared" si="2"/>
        <v>CC Corporation</v>
      </c>
      <c r="I21" s="177" t="str">
        <f t="shared" si="2"/>
        <v>Industrial</v>
      </c>
      <c r="J21" s="182">
        <v>30</v>
      </c>
    </row>
    <row r="22" spans="1:10" x14ac:dyDescent="0.5">
      <c r="A22" s="3"/>
      <c r="B22" s="121" t="str">
        <f t="shared" si="0"/>
        <v>DEF</v>
      </c>
      <c r="C22" s="121" t="str">
        <f t="shared" si="0"/>
        <v>DEF Inc</v>
      </c>
      <c r="D22" s="121" t="str">
        <f t="shared" si="0"/>
        <v>Hospitality</v>
      </c>
      <c r="E22" s="122">
        <v>300</v>
      </c>
      <c r="G22" s="177" t="str">
        <f t="shared" si="2"/>
        <v>DDD</v>
      </c>
      <c r="H22" s="177" t="str">
        <f t="shared" si="2"/>
        <v>Delta D Inc.</v>
      </c>
      <c r="I22" s="177" t="str">
        <f t="shared" si="2"/>
        <v>Hospitality</v>
      </c>
      <c r="J22" s="182">
        <v>40</v>
      </c>
    </row>
    <row r="23" spans="1:10" x14ac:dyDescent="0.5">
      <c r="A23" s="3"/>
      <c r="B23" s="121" t="str">
        <f t="shared" si="0"/>
        <v>EFG</v>
      </c>
      <c r="C23" s="121" t="str">
        <f t="shared" si="0"/>
        <v>Effective Inc</v>
      </c>
      <c r="D23" s="121" t="str">
        <f t="shared" si="0"/>
        <v>TV/Cable</v>
      </c>
      <c r="E23" s="122">
        <v>200</v>
      </c>
      <c r="G23" s="177"/>
      <c r="H23" s="177"/>
      <c r="I23" s="177"/>
      <c r="J23" s="182"/>
    </row>
    <row r="24" spans="1:10" x14ac:dyDescent="0.5">
      <c r="A24" s="3"/>
      <c r="B24" s="121" t="str">
        <f t="shared" si="0"/>
        <v>FGH</v>
      </c>
      <c r="C24" s="121" t="str">
        <f t="shared" si="0"/>
        <v>FGH Inc</v>
      </c>
      <c r="D24" s="121" t="str">
        <f t="shared" si="0"/>
        <v>Techonlogy</v>
      </c>
      <c r="E24" s="122">
        <v>400</v>
      </c>
      <c r="G24" s="177"/>
      <c r="H24" s="177"/>
      <c r="I24" s="177"/>
      <c r="J24" s="182"/>
    </row>
    <row r="25" spans="1:10" x14ac:dyDescent="0.5">
      <c r="A25" s="3"/>
      <c r="B25" s="121" t="str">
        <f t="shared" si="0"/>
        <v>GHI</v>
      </c>
      <c r="C25" s="121" t="str">
        <f t="shared" si="0"/>
        <v>General HI</v>
      </c>
      <c r="D25" s="121" t="str">
        <f t="shared" si="0"/>
        <v>Service</v>
      </c>
      <c r="E25" s="122">
        <v>600</v>
      </c>
    </row>
    <row r="26" spans="1:10" x14ac:dyDescent="0.5">
      <c r="A26" s="3"/>
      <c r="B26" s="121" t="str">
        <f t="shared" si="0"/>
        <v>HIK</v>
      </c>
      <c r="C26" s="121" t="str">
        <f t="shared" si="0"/>
        <v>Hicks Kental Inc</v>
      </c>
      <c r="D26" s="121" t="str">
        <f t="shared" si="0"/>
        <v>Retail</v>
      </c>
      <c r="E26" s="122">
        <v>1000</v>
      </c>
    </row>
    <row r="27" spans="1:10" x14ac:dyDescent="0.5">
      <c r="A27" s="3"/>
      <c r="B27" s="121" t="str">
        <f t="shared" si="0"/>
        <v>IKL</v>
      </c>
      <c r="C27" s="121" t="str">
        <f t="shared" si="0"/>
        <v>IKL Inc</v>
      </c>
      <c r="D27" s="121" t="str">
        <f t="shared" si="0"/>
        <v>Pharmaceutical</v>
      </c>
      <c r="E27" s="122">
        <v>300</v>
      </c>
    </row>
    <row r="28" spans="1:10" x14ac:dyDescent="0.5">
      <c r="A28" s="3"/>
      <c r="B28" s="121" t="str">
        <f t="shared" si="0"/>
        <v>KLM</v>
      </c>
      <c r="C28" s="121" t="str">
        <f t="shared" si="0"/>
        <v>KLM Health</v>
      </c>
      <c r="D28" s="121" t="str">
        <f t="shared" si="0"/>
        <v>Healthcare</v>
      </c>
      <c r="E28" s="122">
        <v>300</v>
      </c>
    </row>
    <row r="29" spans="1:10" x14ac:dyDescent="0.5">
      <c r="A29" s="3"/>
      <c r="B29" s="3"/>
      <c r="C29" s="112"/>
      <c r="D29" s="112"/>
    </row>
    <row r="30" spans="1:10" x14ac:dyDescent="0.5">
      <c r="A30" s="120"/>
      <c r="B30" s="120" t="s">
        <v>239</v>
      </c>
      <c r="C30" s="112"/>
      <c r="E30" s="114"/>
      <c r="G30" s="120" t="s">
        <v>240</v>
      </c>
      <c r="I30" s="112"/>
      <c r="J30" s="114"/>
    </row>
    <row r="31" spans="1:10" ht="26.35" thickBot="1" x14ac:dyDescent="0.55000000000000004">
      <c r="A31" s="3"/>
      <c r="B31" s="156" t="s">
        <v>101</v>
      </c>
      <c r="C31" s="156" t="s">
        <v>102</v>
      </c>
      <c r="D31" s="156" t="s">
        <v>103</v>
      </c>
      <c r="E31" s="157" t="str">
        <f>+E18</f>
        <v>June 1
20x1</v>
      </c>
      <c r="G31" s="156" t="s">
        <v>101</v>
      </c>
      <c r="H31" s="156" t="s">
        <v>102</v>
      </c>
      <c r="I31" s="156" t="s">
        <v>103</v>
      </c>
      <c r="J31" s="157" t="str">
        <f>+J18</f>
        <v>June 1
20x1</v>
      </c>
    </row>
    <row r="32" spans="1:10" ht="14.7" thickTop="1" x14ac:dyDescent="0.5">
      <c r="A32" s="3"/>
      <c r="B32" s="121" t="str">
        <f>+B19</f>
        <v>ABC</v>
      </c>
      <c r="C32" s="121" t="str">
        <f>+C19</f>
        <v>ABC Chem Inc</v>
      </c>
      <c r="D32" s="121" t="str">
        <f>+D19</f>
        <v>Chemicals</v>
      </c>
      <c r="E32" s="128">
        <f t="shared" ref="E32:E40" si="3">+E6*E19</f>
        <v>9200</v>
      </c>
      <c r="G32" s="121" t="str">
        <f>+G19</f>
        <v>AAA</v>
      </c>
      <c r="H32" s="121" t="str">
        <f t="shared" ref="H32:I32" si="4">+H19</f>
        <v>Alpha Inc.</v>
      </c>
      <c r="I32" s="121" t="str">
        <f t="shared" si="4"/>
        <v>Healthcare</v>
      </c>
      <c r="J32" s="128">
        <f>+J6*J19</f>
        <v>13350</v>
      </c>
    </row>
    <row r="33" spans="1:10" x14ac:dyDescent="0.5">
      <c r="A33" s="3"/>
      <c r="B33" s="121" t="str">
        <f t="shared" ref="B33:D33" si="5">+B20</f>
        <v>BCD</v>
      </c>
      <c r="C33" s="121" t="str">
        <f t="shared" si="5"/>
        <v>BCD  Precision Inc</v>
      </c>
      <c r="D33" s="121" t="str">
        <f t="shared" si="5"/>
        <v>Industrial</v>
      </c>
      <c r="E33" s="128">
        <f t="shared" si="3"/>
        <v>4200</v>
      </c>
      <c r="G33" s="121" t="str">
        <f t="shared" ref="G33:I33" si="6">+G20</f>
        <v>BBB</v>
      </c>
      <c r="H33" s="121" t="str">
        <f t="shared" si="6"/>
        <v>Beta Inc.</v>
      </c>
      <c r="I33" s="121" t="str">
        <f t="shared" si="6"/>
        <v>Retail</v>
      </c>
      <c r="J33" s="128">
        <f>+J7*J20</f>
        <v>18200</v>
      </c>
    </row>
    <row r="34" spans="1:10" x14ac:dyDescent="0.5">
      <c r="A34" s="3"/>
      <c r="B34" s="121" t="str">
        <f t="shared" ref="B34:D34" si="7">+B21</f>
        <v>CDE</v>
      </c>
      <c r="C34" s="121" t="str">
        <f t="shared" si="7"/>
        <v>CDE Inc</v>
      </c>
      <c r="D34" s="121" t="str">
        <f t="shared" si="7"/>
        <v>Publishing</v>
      </c>
      <c r="E34" s="128">
        <f t="shared" si="3"/>
        <v>5400</v>
      </c>
      <c r="G34" s="121" t="str">
        <f t="shared" ref="G34:I34" si="8">+G21</f>
        <v>CCC</v>
      </c>
      <c r="H34" s="121" t="str">
        <f t="shared" si="8"/>
        <v>CC Corporation</v>
      </c>
      <c r="I34" s="121" t="str">
        <f t="shared" si="8"/>
        <v>Industrial</v>
      </c>
      <c r="J34" s="128">
        <f>+J8*J21</f>
        <v>23700</v>
      </c>
    </row>
    <row r="35" spans="1:10" x14ac:dyDescent="0.5">
      <c r="A35" s="3"/>
      <c r="B35" s="121" t="str">
        <f t="shared" ref="B35:D35" si="9">+B22</f>
        <v>DEF</v>
      </c>
      <c r="C35" s="121" t="str">
        <f t="shared" si="9"/>
        <v>DEF Inc</v>
      </c>
      <c r="D35" s="121" t="str">
        <f t="shared" si="9"/>
        <v>Hospitality</v>
      </c>
      <c r="E35" s="128">
        <f t="shared" si="3"/>
        <v>12000</v>
      </c>
      <c r="G35" s="121" t="str">
        <f t="shared" ref="G35:I35" si="10">+G22</f>
        <v>DDD</v>
      </c>
      <c r="H35" s="121" t="str">
        <f t="shared" si="10"/>
        <v>Delta D Inc.</v>
      </c>
      <c r="I35" s="121" t="str">
        <f t="shared" si="10"/>
        <v>Hospitality</v>
      </c>
      <c r="J35" s="128">
        <f>+J9*J22</f>
        <v>40400</v>
      </c>
    </row>
    <row r="36" spans="1:10" x14ac:dyDescent="0.5">
      <c r="A36" s="3"/>
      <c r="B36" s="121" t="str">
        <f t="shared" ref="B36:D36" si="11">+B23</f>
        <v>EFG</v>
      </c>
      <c r="C36" s="121" t="str">
        <f t="shared" si="11"/>
        <v>Effective Inc</v>
      </c>
      <c r="D36" s="121" t="str">
        <f t="shared" si="11"/>
        <v>TV/Cable</v>
      </c>
      <c r="E36" s="128">
        <f t="shared" si="3"/>
        <v>10400</v>
      </c>
    </row>
    <row r="37" spans="1:10" x14ac:dyDescent="0.5">
      <c r="A37" s="3"/>
      <c r="B37" s="121" t="str">
        <f t="shared" ref="B37:D37" si="12">+B24</f>
        <v>FGH</v>
      </c>
      <c r="C37" s="121" t="str">
        <f t="shared" si="12"/>
        <v>FGH Inc</v>
      </c>
      <c r="D37" s="121" t="str">
        <f t="shared" si="12"/>
        <v>Techonlogy</v>
      </c>
      <c r="E37" s="128">
        <f t="shared" si="3"/>
        <v>12400</v>
      </c>
    </row>
    <row r="38" spans="1:10" x14ac:dyDescent="0.5">
      <c r="A38" s="3"/>
      <c r="B38" s="121" t="str">
        <f t="shared" ref="B38:D38" si="13">+B25</f>
        <v>GHI</v>
      </c>
      <c r="C38" s="121" t="str">
        <f t="shared" si="13"/>
        <v>General HI</v>
      </c>
      <c r="D38" s="121" t="str">
        <f t="shared" si="13"/>
        <v>Service</v>
      </c>
      <c r="E38" s="128">
        <f t="shared" si="3"/>
        <v>9000</v>
      </c>
    </row>
    <row r="39" spans="1:10" x14ac:dyDescent="0.5">
      <c r="A39" s="3"/>
      <c r="B39" s="121" t="str">
        <f t="shared" ref="B39:D39" si="14">+B26</f>
        <v>HIK</v>
      </c>
      <c r="C39" s="121" t="str">
        <f t="shared" si="14"/>
        <v>Hicks Kental Inc</v>
      </c>
      <c r="D39" s="121" t="str">
        <f t="shared" si="14"/>
        <v>Retail</v>
      </c>
      <c r="E39" s="128">
        <f t="shared" si="3"/>
        <v>8000</v>
      </c>
    </row>
    <row r="40" spans="1:10" x14ac:dyDescent="0.5">
      <c r="A40" s="3"/>
      <c r="B40" s="121" t="str">
        <f t="shared" ref="B40:D40" si="15">+B27</f>
        <v>IKL</v>
      </c>
      <c r="C40" s="121" t="str">
        <f t="shared" si="15"/>
        <v>IKL Inc</v>
      </c>
      <c r="D40" s="121" t="str">
        <f t="shared" si="15"/>
        <v>Pharmaceutical</v>
      </c>
      <c r="E40" s="128">
        <f t="shared" si="3"/>
        <v>4500</v>
      </c>
    </row>
    <row r="41" spans="1:10" x14ac:dyDescent="0.5">
      <c r="A41" s="3"/>
      <c r="B41" s="121" t="str">
        <f t="shared" ref="B41:D41" si="16">+B28</f>
        <v>KLM</v>
      </c>
      <c r="C41" s="121" t="str">
        <f t="shared" si="16"/>
        <v>KLM Health</v>
      </c>
      <c r="D41" s="121" t="str">
        <f t="shared" si="16"/>
        <v>Healthcare</v>
      </c>
      <c r="E41" s="128">
        <f t="shared" ref="E41" si="17">+E15*E28</f>
        <v>7500</v>
      </c>
    </row>
    <row r="42" spans="1:10" ht="14.7" thickBot="1" x14ac:dyDescent="0.55000000000000004">
      <c r="B42" s="159" t="s">
        <v>146</v>
      </c>
      <c r="C42" s="159"/>
      <c r="D42" s="159"/>
      <c r="E42" s="129">
        <f>SUM(E32:E41)</f>
        <v>82600</v>
      </c>
      <c r="G42" s="159" t="s">
        <v>146</v>
      </c>
      <c r="H42" s="159"/>
      <c r="I42" s="159"/>
      <c r="J42" s="129">
        <f>SUM(J32:J41)</f>
        <v>95650</v>
      </c>
    </row>
    <row r="43" spans="1:10" ht="7.45" customHeight="1" thickTop="1" x14ac:dyDescent="0.5"/>
    <row r="44" spans="1:10" x14ac:dyDescent="0.5">
      <c r="J44" s="108" t="s">
        <v>243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Fig. 1.1</vt:lpstr>
      <vt:lpstr>Fig. 1.2</vt:lpstr>
      <vt:lpstr>Fig. 1.3</vt:lpstr>
      <vt:lpstr>Fig. 1.4</vt:lpstr>
      <vt:lpstr>Fig. 1.5</vt:lpstr>
      <vt:lpstr>Fig. 1.6</vt:lpstr>
      <vt:lpstr>Fig. 1.7</vt:lpstr>
      <vt:lpstr>Fig. 1.8</vt:lpstr>
      <vt:lpstr>Fig. 1.9</vt:lpstr>
      <vt:lpstr>Fig. 1.10</vt:lpstr>
      <vt:lpstr>Fig 1.11</vt:lpstr>
      <vt:lpstr>Fig. 1.12</vt:lpstr>
      <vt:lpstr>Fig. 1.13</vt:lpstr>
      <vt:lpstr>Fig. 1.14</vt:lpstr>
      <vt:lpstr>backup info 1</vt:lpstr>
      <vt:lpstr>Backup info 2</vt:lpstr>
      <vt:lpstr>Spreadsheet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2019-01-03T12:48:53Z</cp:lastPrinted>
  <dcterms:created xsi:type="dcterms:W3CDTF">2018-12-05T15:20:38Z</dcterms:created>
  <dcterms:modified xsi:type="dcterms:W3CDTF">2019-09-16T01:34:50Z</dcterms:modified>
</cp:coreProperties>
</file>