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V - FINANCIAL MODELS\"/>
    </mc:Choice>
  </mc:AlternateContent>
  <xr:revisionPtr revIDLastSave="0" documentId="8_{5F75EAF2-B154-4088-9E30-4ECFF0AC7F24}" xr6:coauthVersionLast="47" xr6:coauthVersionMax="47" xr10:uidLastSave="{00000000-0000-0000-0000-000000000000}"/>
  <bookViews>
    <workbookView xWindow="-110" yWindow="-110" windowWidth="19420" windowHeight="10420" xr2:uid="{20267EF7-3EB3-415A-87A9-93BFAE03166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3" i="1" l="1"/>
  <c r="B82" i="1" s="1"/>
  <c r="B104" i="1" s="1"/>
  <c r="A97" i="1"/>
  <c r="B80" i="1"/>
  <c r="B102" i="1" s="1"/>
  <c r="B74" i="1"/>
  <c r="AZ73" i="1"/>
  <c r="AY73" i="1"/>
  <c r="AZ72" i="1"/>
  <c r="AY72" i="1"/>
  <c r="AU72" i="1"/>
  <c r="AT72" i="1"/>
  <c r="AP72" i="1"/>
  <c r="AO72" i="1"/>
  <c r="AK72" i="1"/>
  <c r="AJ72" i="1"/>
  <c r="AF72" i="1"/>
  <c r="AE72" i="1"/>
  <c r="AA72" i="1"/>
  <c r="Z72" i="1"/>
  <c r="AZ71" i="1"/>
  <c r="AY71" i="1"/>
  <c r="AU71" i="1"/>
  <c r="AT71" i="1"/>
  <c r="AP71" i="1"/>
  <c r="AO71" i="1"/>
  <c r="AK71" i="1"/>
  <c r="AJ71" i="1"/>
  <c r="AF71" i="1"/>
  <c r="AE71" i="1"/>
  <c r="AA71" i="1"/>
  <c r="Z71" i="1"/>
  <c r="AZ70" i="1"/>
  <c r="AY70" i="1"/>
  <c r="AU70" i="1"/>
  <c r="AT70" i="1"/>
  <c r="AP70" i="1"/>
  <c r="AO70" i="1"/>
  <c r="AK70" i="1"/>
  <c r="AJ70" i="1"/>
  <c r="AF70" i="1"/>
  <c r="AE70" i="1"/>
  <c r="AA70" i="1"/>
  <c r="Z70" i="1"/>
  <c r="B70" i="1"/>
  <c r="B79" i="1" s="1"/>
  <c r="B101" i="1" s="1"/>
  <c r="AZ69" i="1"/>
  <c r="AY69" i="1"/>
  <c r="AU69" i="1"/>
  <c r="AT69" i="1"/>
  <c r="AP69" i="1"/>
  <c r="AO69" i="1"/>
  <c r="AK69" i="1"/>
  <c r="AJ69" i="1"/>
  <c r="AF69" i="1"/>
  <c r="AE69" i="1"/>
  <c r="AA69" i="1"/>
  <c r="Z69" i="1"/>
  <c r="AZ68" i="1"/>
  <c r="AY68" i="1"/>
  <c r="AU68" i="1"/>
  <c r="AT68" i="1"/>
  <c r="AP68" i="1"/>
  <c r="AO68" i="1"/>
  <c r="AK68" i="1"/>
  <c r="AJ68" i="1"/>
  <c r="AF68" i="1"/>
  <c r="AE68" i="1"/>
  <c r="AA68" i="1"/>
  <c r="Z68" i="1"/>
  <c r="AZ67" i="1"/>
  <c r="AY67" i="1"/>
  <c r="AU67" i="1"/>
  <c r="AT67" i="1"/>
  <c r="AP67" i="1"/>
  <c r="AO67" i="1"/>
  <c r="AK67" i="1"/>
  <c r="AJ67" i="1"/>
  <c r="AF67" i="1"/>
  <c r="AE67" i="1"/>
  <c r="AA67" i="1"/>
  <c r="Z67" i="1"/>
  <c r="AZ66" i="1"/>
  <c r="AY66" i="1"/>
  <c r="AU66" i="1"/>
  <c r="AT66" i="1"/>
  <c r="AP66" i="1"/>
  <c r="AO66" i="1"/>
  <c r="AK66" i="1"/>
  <c r="AJ66" i="1"/>
  <c r="AF66" i="1"/>
  <c r="AE66" i="1"/>
  <c r="AA66" i="1"/>
  <c r="Z66" i="1"/>
  <c r="B66" i="1"/>
  <c r="AZ65" i="1"/>
  <c r="AY65" i="1"/>
  <c r="AU65" i="1"/>
  <c r="AT65" i="1"/>
  <c r="AP65" i="1"/>
  <c r="AO65" i="1"/>
  <c r="AK65" i="1"/>
  <c r="AJ65" i="1"/>
  <c r="AF65" i="1"/>
  <c r="AE65" i="1"/>
  <c r="AA65" i="1"/>
  <c r="Z65" i="1"/>
  <c r="AZ64" i="1"/>
  <c r="AY64" i="1"/>
  <c r="AU64" i="1"/>
  <c r="AT64" i="1"/>
  <c r="AP64" i="1"/>
  <c r="AO64" i="1"/>
  <c r="AK64" i="1"/>
  <c r="AJ64" i="1"/>
  <c r="AF64" i="1"/>
  <c r="AE64" i="1"/>
  <c r="AA64" i="1"/>
  <c r="Z64" i="1"/>
  <c r="AZ63" i="1"/>
  <c r="AY63" i="1"/>
  <c r="AU63" i="1"/>
  <c r="AT63" i="1"/>
  <c r="AP63" i="1"/>
  <c r="AO63" i="1"/>
  <c r="AK63" i="1"/>
  <c r="AJ63" i="1"/>
  <c r="AF63" i="1"/>
  <c r="AE63" i="1"/>
  <c r="AA63" i="1"/>
  <c r="Z63" i="1"/>
  <c r="AZ62" i="1"/>
  <c r="AY62" i="1"/>
  <c r="AU62" i="1"/>
  <c r="AT62" i="1"/>
  <c r="AP62" i="1"/>
  <c r="AO62" i="1"/>
  <c r="AK62" i="1"/>
  <c r="AJ62" i="1"/>
  <c r="AF62" i="1"/>
  <c r="AE62" i="1"/>
  <c r="AA62" i="1"/>
  <c r="Z62" i="1"/>
  <c r="B62" i="1"/>
  <c r="AZ61" i="1"/>
  <c r="AY61" i="1"/>
  <c r="AU61" i="1"/>
  <c r="AT61" i="1"/>
  <c r="AP61" i="1"/>
  <c r="AO61" i="1"/>
  <c r="AK61" i="1"/>
  <c r="AJ61" i="1"/>
  <c r="AF61" i="1"/>
  <c r="AE61" i="1"/>
  <c r="AA61" i="1"/>
  <c r="Z61" i="1"/>
  <c r="AZ60" i="1"/>
  <c r="AY60" i="1"/>
  <c r="AU60" i="1"/>
  <c r="AT60" i="1"/>
  <c r="AP60" i="1"/>
  <c r="AO60" i="1"/>
  <c r="AK60" i="1"/>
  <c r="AJ60" i="1"/>
  <c r="AF60" i="1"/>
  <c r="AE60" i="1"/>
  <c r="AA60" i="1"/>
  <c r="Z60" i="1"/>
  <c r="AZ59" i="1"/>
  <c r="AY59" i="1"/>
  <c r="AU59" i="1"/>
  <c r="AT59" i="1"/>
  <c r="AP59" i="1"/>
  <c r="AO59" i="1"/>
  <c r="AK59" i="1"/>
  <c r="AJ59" i="1"/>
  <c r="AF59" i="1"/>
  <c r="AE59" i="1"/>
  <c r="AA59" i="1"/>
  <c r="Z59" i="1"/>
  <c r="AZ58" i="1"/>
  <c r="AY58" i="1"/>
  <c r="AU58" i="1"/>
  <c r="AT58" i="1"/>
  <c r="AP58" i="1"/>
  <c r="AO58" i="1"/>
  <c r="AK58" i="1"/>
  <c r="AJ58" i="1"/>
  <c r="AF58" i="1"/>
  <c r="AE58" i="1"/>
  <c r="AA58" i="1"/>
  <c r="Z58" i="1"/>
  <c r="AZ57" i="1"/>
  <c r="AY57" i="1"/>
  <c r="AU57" i="1"/>
  <c r="AT57" i="1"/>
  <c r="AP57" i="1"/>
  <c r="AO57" i="1"/>
  <c r="AK57" i="1"/>
  <c r="AJ57" i="1"/>
  <c r="AF57" i="1"/>
  <c r="AE57" i="1"/>
  <c r="AA57" i="1"/>
  <c r="Z57" i="1"/>
  <c r="AZ56" i="1"/>
  <c r="AY56" i="1"/>
  <c r="AU56" i="1"/>
  <c r="AT56" i="1"/>
  <c r="AP56" i="1"/>
  <c r="AO56" i="1"/>
  <c r="AK56" i="1"/>
  <c r="AJ56" i="1"/>
  <c r="AF56" i="1"/>
  <c r="AE56" i="1"/>
  <c r="AA56" i="1"/>
  <c r="Z56" i="1"/>
  <c r="G56" i="1"/>
  <c r="H56" i="1" s="1"/>
  <c r="F56" i="1"/>
  <c r="AZ55" i="1"/>
  <c r="AY55" i="1"/>
  <c r="AU55" i="1"/>
  <c r="AT55" i="1"/>
  <c r="AP55" i="1"/>
  <c r="AO55" i="1"/>
  <c r="AK55" i="1"/>
  <c r="AJ55" i="1"/>
  <c r="AF55" i="1"/>
  <c r="AE55" i="1"/>
  <c r="AA55" i="1"/>
  <c r="Z55" i="1"/>
  <c r="K55" i="1"/>
  <c r="AZ54" i="1"/>
  <c r="AY54" i="1"/>
  <c r="AU54" i="1"/>
  <c r="AT54" i="1"/>
  <c r="AP54" i="1"/>
  <c r="AO54" i="1"/>
  <c r="AK54" i="1"/>
  <c r="AJ54" i="1"/>
  <c r="AF54" i="1"/>
  <c r="AE54" i="1"/>
  <c r="AA54" i="1"/>
  <c r="Z54" i="1"/>
  <c r="N54" i="1"/>
  <c r="K54" i="1"/>
  <c r="AZ53" i="1"/>
  <c r="AY53" i="1"/>
  <c r="AU53" i="1"/>
  <c r="AT53" i="1"/>
  <c r="AP53" i="1"/>
  <c r="AO53" i="1"/>
  <c r="AK53" i="1"/>
  <c r="AJ53" i="1"/>
  <c r="AF53" i="1"/>
  <c r="AE53" i="1"/>
  <c r="AA53" i="1"/>
  <c r="Z53" i="1"/>
  <c r="D53" i="1"/>
  <c r="D54" i="1" s="1"/>
  <c r="D57" i="1" s="1"/>
  <c r="D60" i="1" s="1"/>
  <c r="C53" i="1"/>
  <c r="C54" i="1" s="1"/>
  <c r="AZ52" i="1"/>
  <c r="AY52" i="1"/>
  <c r="AU52" i="1"/>
  <c r="AT52" i="1"/>
  <c r="AP52" i="1"/>
  <c r="AO52" i="1"/>
  <c r="AK52" i="1"/>
  <c r="AJ52" i="1"/>
  <c r="AF52" i="1"/>
  <c r="AE52" i="1"/>
  <c r="AA52" i="1"/>
  <c r="Z52" i="1"/>
  <c r="K52" i="1"/>
  <c r="AZ51" i="1"/>
  <c r="AY51" i="1"/>
  <c r="AU51" i="1"/>
  <c r="AT51" i="1"/>
  <c r="AP51" i="1"/>
  <c r="AO51" i="1"/>
  <c r="AK51" i="1"/>
  <c r="AJ51" i="1"/>
  <c r="AF51" i="1"/>
  <c r="AE51" i="1"/>
  <c r="AA51" i="1"/>
  <c r="Z51" i="1"/>
  <c r="N51" i="1"/>
  <c r="K51" i="1"/>
  <c r="AZ50" i="1"/>
  <c r="AY50" i="1"/>
  <c r="AU50" i="1"/>
  <c r="AT50" i="1"/>
  <c r="AP50" i="1"/>
  <c r="AO50" i="1"/>
  <c r="AK50" i="1"/>
  <c r="AJ50" i="1"/>
  <c r="AF50" i="1"/>
  <c r="AE50" i="1"/>
  <c r="AA50" i="1"/>
  <c r="Z50" i="1"/>
  <c r="D50" i="1"/>
  <c r="E50" i="1" s="1"/>
  <c r="AZ49" i="1"/>
  <c r="AY49" i="1"/>
  <c r="AU49" i="1"/>
  <c r="AT49" i="1"/>
  <c r="AP49" i="1"/>
  <c r="AO49" i="1"/>
  <c r="AK49" i="1"/>
  <c r="AJ49" i="1"/>
  <c r="AF49" i="1"/>
  <c r="AE49" i="1"/>
  <c r="AA49" i="1"/>
  <c r="Z49" i="1"/>
  <c r="N49" i="1"/>
  <c r="K49" i="1"/>
  <c r="AZ48" i="1"/>
  <c r="AY48" i="1"/>
  <c r="AU48" i="1"/>
  <c r="AT48" i="1"/>
  <c r="AP48" i="1"/>
  <c r="AO48" i="1"/>
  <c r="AK48" i="1"/>
  <c r="AJ48" i="1"/>
  <c r="AF48" i="1"/>
  <c r="AE48" i="1"/>
  <c r="AA48" i="1"/>
  <c r="Z48" i="1"/>
  <c r="N48" i="1"/>
  <c r="K48" i="1"/>
  <c r="AZ47" i="1"/>
  <c r="AY47" i="1"/>
  <c r="AU47" i="1"/>
  <c r="AT47" i="1"/>
  <c r="AP47" i="1"/>
  <c r="AO47" i="1"/>
  <c r="AK47" i="1"/>
  <c r="AJ47" i="1"/>
  <c r="AF47" i="1"/>
  <c r="AE47" i="1"/>
  <c r="AA47" i="1"/>
  <c r="Z47" i="1"/>
  <c r="E47" i="1"/>
  <c r="F47" i="1" s="1"/>
  <c r="G47" i="1" s="1"/>
  <c r="H47" i="1" s="1"/>
  <c r="I47" i="1" s="1"/>
  <c r="D47" i="1"/>
  <c r="AZ46" i="1"/>
  <c r="AY46" i="1"/>
  <c r="AU46" i="1"/>
  <c r="AT46" i="1"/>
  <c r="AP46" i="1"/>
  <c r="AO46" i="1"/>
  <c r="AK46" i="1"/>
  <c r="AJ46" i="1"/>
  <c r="AF46" i="1"/>
  <c r="AE46" i="1"/>
  <c r="AA46" i="1"/>
  <c r="Z46" i="1"/>
  <c r="AZ45" i="1"/>
  <c r="AY45" i="1"/>
  <c r="AU45" i="1"/>
  <c r="AT45" i="1"/>
  <c r="AP45" i="1"/>
  <c r="AO45" i="1"/>
  <c r="AK45" i="1"/>
  <c r="AJ45" i="1"/>
  <c r="AF45" i="1"/>
  <c r="AE45" i="1"/>
  <c r="AA45" i="1"/>
  <c r="Z45" i="1"/>
  <c r="AU44" i="1"/>
  <c r="AT44" i="1"/>
  <c r="AP44" i="1"/>
  <c r="AO44" i="1"/>
  <c r="AK44" i="1"/>
  <c r="AJ44" i="1"/>
  <c r="AF44" i="1"/>
  <c r="AE44" i="1"/>
  <c r="AA44" i="1"/>
  <c r="Z44" i="1"/>
  <c r="AZ43" i="1"/>
  <c r="AY43" i="1"/>
  <c r="AU43" i="1"/>
  <c r="AT43" i="1"/>
  <c r="AP43" i="1"/>
  <c r="AO43" i="1"/>
  <c r="AK43" i="1"/>
  <c r="AJ43" i="1"/>
  <c r="AF43" i="1"/>
  <c r="AE43" i="1"/>
  <c r="AA43" i="1"/>
  <c r="Z43" i="1"/>
  <c r="V43" i="1"/>
  <c r="U43" i="1"/>
  <c r="AZ42" i="1"/>
  <c r="AY42" i="1"/>
  <c r="AU42" i="1"/>
  <c r="AT42" i="1"/>
  <c r="AP42" i="1"/>
  <c r="AO42" i="1"/>
  <c r="AK42" i="1"/>
  <c r="AJ42" i="1"/>
  <c r="AF42" i="1"/>
  <c r="AE42" i="1"/>
  <c r="AA42" i="1"/>
  <c r="Z42" i="1"/>
  <c r="V42" i="1"/>
  <c r="U42" i="1"/>
  <c r="K42" i="1"/>
  <c r="B42" i="1"/>
  <c r="B94" i="1" s="1"/>
  <c r="AZ41" i="1"/>
  <c r="AY41" i="1"/>
  <c r="AU41" i="1"/>
  <c r="AT41" i="1"/>
  <c r="AP41" i="1"/>
  <c r="AO41" i="1"/>
  <c r="AK41" i="1"/>
  <c r="AJ41" i="1"/>
  <c r="AF41" i="1"/>
  <c r="AE41" i="1"/>
  <c r="AA41" i="1"/>
  <c r="Z41" i="1"/>
  <c r="V41" i="1"/>
  <c r="U41" i="1"/>
  <c r="N41" i="1"/>
  <c r="K41" i="1"/>
  <c r="B41" i="1"/>
  <c r="B93" i="1" s="1"/>
  <c r="AZ40" i="1"/>
  <c r="AY40" i="1"/>
  <c r="AU40" i="1"/>
  <c r="AT40" i="1"/>
  <c r="AP40" i="1"/>
  <c r="AO40" i="1"/>
  <c r="AK40" i="1"/>
  <c r="AJ40" i="1"/>
  <c r="AF40" i="1"/>
  <c r="AE40" i="1"/>
  <c r="AA40" i="1"/>
  <c r="Z40" i="1"/>
  <c r="V40" i="1"/>
  <c r="U40" i="1"/>
  <c r="AZ39" i="1"/>
  <c r="AY39" i="1"/>
  <c r="AU39" i="1"/>
  <c r="AT39" i="1"/>
  <c r="AP39" i="1"/>
  <c r="AO39" i="1"/>
  <c r="AK39" i="1"/>
  <c r="AJ39" i="1"/>
  <c r="AF39" i="1"/>
  <c r="AE39" i="1"/>
  <c r="AA39" i="1"/>
  <c r="Z39" i="1"/>
  <c r="V39" i="1"/>
  <c r="U39" i="1"/>
  <c r="K39" i="1"/>
  <c r="B39" i="1"/>
  <c r="B91" i="1" s="1"/>
  <c r="AZ38" i="1"/>
  <c r="AY38" i="1"/>
  <c r="AU38" i="1"/>
  <c r="AT38" i="1"/>
  <c r="AP38" i="1"/>
  <c r="AO38" i="1"/>
  <c r="AK38" i="1"/>
  <c r="AJ38" i="1"/>
  <c r="AF38" i="1"/>
  <c r="AE38" i="1"/>
  <c r="AA38" i="1"/>
  <c r="Z38" i="1"/>
  <c r="V38" i="1"/>
  <c r="U38" i="1"/>
  <c r="K38" i="1"/>
  <c r="B38" i="1"/>
  <c r="B90" i="1" s="1"/>
  <c r="AZ37" i="1"/>
  <c r="AY37" i="1"/>
  <c r="AU37" i="1"/>
  <c r="AT37" i="1"/>
  <c r="AP37" i="1"/>
  <c r="AO37" i="1"/>
  <c r="AK37" i="1"/>
  <c r="AJ37" i="1"/>
  <c r="AF37" i="1"/>
  <c r="AE37" i="1"/>
  <c r="AA37" i="1"/>
  <c r="Z37" i="1"/>
  <c r="V37" i="1"/>
  <c r="U37" i="1"/>
  <c r="AZ36" i="1"/>
  <c r="AY36" i="1"/>
  <c r="AU36" i="1"/>
  <c r="AT36" i="1"/>
  <c r="AP36" i="1"/>
  <c r="AO36" i="1"/>
  <c r="AK36" i="1"/>
  <c r="AJ36" i="1"/>
  <c r="AF36" i="1"/>
  <c r="AE36" i="1"/>
  <c r="AA36" i="1"/>
  <c r="Z36" i="1"/>
  <c r="V36" i="1"/>
  <c r="U36" i="1"/>
  <c r="N36" i="1"/>
  <c r="K36" i="1"/>
  <c r="AZ35" i="1"/>
  <c r="AY35" i="1"/>
  <c r="AU35" i="1"/>
  <c r="AT35" i="1"/>
  <c r="AP35" i="1"/>
  <c r="AO35" i="1"/>
  <c r="AK35" i="1"/>
  <c r="AJ35" i="1"/>
  <c r="AF35" i="1"/>
  <c r="AE35" i="1"/>
  <c r="AA35" i="1"/>
  <c r="Z35" i="1"/>
  <c r="V35" i="1"/>
  <c r="U35" i="1"/>
  <c r="N35" i="1"/>
  <c r="K35" i="1"/>
  <c r="AZ34" i="1"/>
  <c r="AY34" i="1"/>
  <c r="AU34" i="1"/>
  <c r="AT34" i="1"/>
  <c r="AP34" i="1"/>
  <c r="AO34" i="1"/>
  <c r="AK34" i="1"/>
  <c r="AJ34" i="1"/>
  <c r="AF34" i="1"/>
  <c r="AE34" i="1"/>
  <c r="AA34" i="1"/>
  <c r="Z34" i="1"/>
  <c r="V34" i="1"/>
  <c r="U34" i="1"/>
  <c r="AZ33" i="1"/>
  <c r="AY33" i="1"/>
  <c r="AU33" i="1"/>
  <c r="AT33" i="1"/>
  <c r="AP33" i="1"/>
  <c r="AO33" i="1"/>
  <c r="AK33" i="1"/>
  <c r="AJ33" i="1"/>
  <c r="AF33" i="1"/>
  <c r="AE33" i="1"/>
  <c r="AA33" i="1"/>
  <c r="Z33" i="1"/>
  <c r="V33" i="1"/>
  <c r="U33" i="1"/>
  <c r="AZ32" i="1"/>
  <c r="AY32" i="1"/>
  <c r="AU32" i="1"/>
  <c r="AT32" i="1"/>
  <c r="AP32" i="1"/>
  <c r="AO32" i="1"/>
  <c r="AK32" i="1"/>
  <c r="AJ32" i="1"/>
  <c r="AF32" i="1"/>
  <c r="AE32" i="1"/>
  <c r="AA32" i="1"/>
  <c r="Z32" i="1"/>
  <c r="V32" i="1"/>
  <c r="U32" i="1"/>
  <c r="K32" i="1"/>
  <c r="AZ31" i="1"/>
  <c r="AY31" i="1"/>
  <c r="AU31" i="1"/>
  <c r="AT31" i="1"/>
  <c r="AP31" i="1"/>
  <c r="AO31" i="1"/>
  <c r="AK31" i="1"/>
  <c r="AJ31" i="1"/>
  <c r="AF31" i="1"/>
  <c r="AE31" i="1"/>
  <c r="AA31" i="1"/>
  <c r="Z31" i="1"/>
  <c r="V31" i="1"/>
  <c r="U31" i="1"/>
  <c r="AZ30" i="1"/>
  <c r="AY30" i="1"/>
  <c r="AU30" i="1"/>
  <c r="AT30" i="1"/>
  <c r="AP30" i="1"/>
  <c r="AO30" i="1"/>
  <c r="AK30" i="1"/>
  <c r="AJ30" i="1"/>
  <c r="AF30" i="1"/>
  <c r="AE30" i="1"/>
  <c r="AA30" i="1"/>
  <c r="Z30" i="1"/>
  <c r="V30" i="1"/>
  <c r="U30" i="1"/>
  <c r="D30" i="1"/>
  <c r="AZ29" i="1"/>
  <c r="AY29" i="1"/>
  <c r="AU29" i="1"/>
  <c r="AT29" i="1"/>
  <c r="AP29" i="1"/>
  <c r="AO29" i="1"/>
  <c r="AK29" i="1"/>
  <c r="AJ29" i="1"/>
  <c r="AF29" i="1"/>
  <c r="AE29" i="1"/>
  <c r="AA29" i="1"/>
  <c r="Z29" i="1"/>
  <c r="V29" i="1"/>
  <c r="U29" i="1"/>
  <c r="AZ28" i="1"/>
  <c r="AY28" i="1"/>
  <c r="AU28" i="1"/>
  <c r="AT28" i="1"/>
  <c r="AP28" i="1"/>
  <c r="AO28" i="1"/>
  <c r="AK28" i="1"/>
  <c r="AJ28" i="1"/>
  <c r="AF28" i="1"/>
  <c r="AE28" i="1"/>
  <c r="AA28" i="1"/>
  <c r="Z28" i="1"/>
  <c r="V28" i="1"/>
  <c r="U28" i="1"/>
  <c r="AZ27" i="1"/>
  <c r="AY27" i="1"/>
  <c r="AU27" i="1"/>
  <c r="AT27" i="1"/>
  <c r="AP27" i="1"/>
  <c r="AO27" i="1"/>
  <c r="AK27" i="1"/>
  <c r="AJ27" i="1"/>
  <c r="AF27" i="1"/>
  <c r="AE27" i="1"/>
  <c r="AA27" i="1"/>
  <c r="Z27" i="1"/>
  <c r="V27" i="1"/>
  <c r="U27" i="1"/>
  <c r="AZ26" i="1"/>
  <c r="AY26" i="1"/>
  <c r="AU26" i="1"/>
  <c r="AT26" i="1"/>
  <c r="AP26" i="1"/>
  <c r="AO26" i="1"/>
  <c r="AK26" i="1"/>
  <c r="AJ26" i="1"/>
  <c r="AF26" i="1"/>
  <c r="AE26" i="1"/>
  <c r="AA26" i="1"/>
  <c r="Z26" i="1"/>
  <c r="V26" i="1"/>
  <c r="U26" i="1"/>
  <c r="AZ25" i="1"/>
  <c r="AY25" i="1"/>
  <c r="AU25" i="1"/>
  <c r="AT25" i="1"/>
  <c r="AP25" i="1"/>
  <c r="AO25" i="1"/>
  <c r="AK25" i="1"/>
  <c r="AJ25" i="1"/>
  <c r="AF25" i="1"/>
  <c r="AE25" i="1"/>
  <c r="AA25" i="1"/>
  <c r="Z25" i="1"/>
  <c r="V25" i="1"/>
  <c r="U25" i="1"/>
  <c r="AY24" i="1"/>
  <c r="AT24" i="1"/>
  <c r="AO24" i="1"/>
  <c r="AJ24" i="1"/>
  <c r="AE24" i="1"/>
  <c r="Z24" i="1"/>
  <c r="U24" i="1"/>
  <c r="AY23" i="1"/>
  <c r="AT23" i="1"/>
  <c r="AO23" i="1"/>
  <c r="AJ23" i="1"/>
  <c r="AE23" i="1"/>
  <c r="Z23" i="1"/>
  <c r="U23" i="1"/>
  <c r="AY22" i="1"/>
  <c r="AT22" i="1"/>
  <c r="AO22" i="1"/>
  <c r="AJ22" i="1"/>
  <c r="AE22" i="1"/>
  <c r="Z22" i="1"/>
  <c r="U22" i="1"/>
  <c r="AY21" i="1"/>
  <c r="AT21" i="1"/>
  <c r="AO21" i="1"/>
  <c r="AJ21" i="1"/>
  <c r="AE21" i="1"/>
  <c r="Z21" i="1"/>
  <c r="U21" i="1"/>
  <c r="AY20" i="1"/>
  <c r="AT20" i="1"/>
  <c r="AO20" i="1"/>
  <c r="AJ20" i="1"/>
  <c r="AE20" i="1"/>
  <c r="Z20" i="1"/>
  <c r="U20" i="1"/>
  <c r="B20" i="1"/>
  <c r="AY19" i="1"/>
  <c r="AT19" i="1"/>
  <c r="AO19" i="1"/>
  <c r="AJ19" i="1"/>
  <c r="AE19" i="1"/>
  <c r="Z19" i="1"/>
  <c r="U19" i="1"/>
  <c r="AY18" i="1"/>
  <c r="AT18" i="1"/>
  <c r="AO18" i="1"/>
  <c r="AJ18" i="1"/>
  <c r="AE18" i="1"/>
  <c r="Z18" i="1"/>
  <c r="U18" i="1"/>
  <c r="AY17" i="1"/>
  <c r="AT17" i="1"/>
  <c r="AO17" i="1"/>
  <c r="AJ17" i="1"/>
  <c r="AE17" i="1"/>
  <c r="Z17" i="1"/>
  <c r="U17" i="1"/>
  <c r="AY16" i="1"/>
  <c r="AT16" i="1"/>
  <c r="AO16" i="1"/>
  <c r="AJ16" i="1"/>
  <c r="AE16" i="1"/>
  <c r="Z16" i="1"/>
  <c r="U16" i="1"/>
  <c r="AY15" i="1"/>
  <c r="AT15" i="1"/>
  <c r="AO15" i="1"/>
  <c r="AJ15" i="1"/>
  <c r="AE15" i="1"/>
  <c r="Z15" i="1"/>
  <c r="U15" i="1"/>
  <c r="H15" i="1"/>
  <c r="G15" i="1"/>
  <c r="F15" i="1"/>
  <c r="AY14" i="1"/>
  <c r="AT14" i="1"/>
  <c r="AO14" i="1"/>
  <c r="AJ14" i="1"/>
  <c r="AE14" i="1"/>
  <c r="Z14" i="1"/>
  <c r="U14" i="1"/>
  <c r="C12" i="1"/>
  <c r="N38" i="1" s="1"/>
  <c r="AM11" i="1"/>
  <c r="AH11" i="1"/>
  <c r="AC11" i="1"/>
  <c r="X11" i="1"/>
  <c r="D9" i="1"/>
  <c r="E9" i="1" s="1"/>
  <c r="AZ7" i="1"/>
  <c r="Q28" i="1" s="1"/>
  <c r="AY7" i="1"/>
  <c r="AU7" i="1"/>
  <c r="Q27" i="1" s="1"/>
  <c r="Q29" i="1" s="1"/>
  <c r="AT7" i="1"/>
  <c r="AP7" i="1"/>
  <c r="Q22" i="1" s="1"/>
  <c r="AO7" i="1"/>
  <c r="AK7" i="1"/>
  <c r="Q21" i="1" s="1"/>
  <c r="AJ7" i="1"/>
  <c r="AF7" i="1"/>
  <c r="Q20" i="1" s="1"/>
  <c r="AE7" i="1"/>
  <c r="AA7" i="1"/>
  <c r="Q19" i="1" s="1"/>
  <c r="Q24" i="1" s="1"/>
  <c r="B34" i="1" s="1"/>
  <c r="Z7" i="1"/>
  <c r="V7" i="1"/>
  <c r="Q23" i="1" s="1"/>
  <c r="U7" i="1"/>
  <c r="D6" i="1"/>
  <c r="E6" i="1" s="1"/>
  <c r="F6" i="1" s="1"/>
  <c r="G6" i="1" s="1"/>
  <c r="H6" i="1" s="1"/>
  <c r="I6" i="1" s="1"/>
  <c r="F9" i="1" l="1"/>
  <c r="E12" i="1"/>
  <c r="E13" i="1" s="1"/>
  <c r="E16" i="1" s="1"/>
  <c r="N52" i="1"/>
  <c r="C57" i="1"/>
  <c r="C60" i="1" s="1"/>
  <c r="B75" i="1"/>
  <c r="B78" i="1" s="1"/>
  <c r="I80" i="1" s="1"/>
  <c r="B37" i="1"/>
  <c r="I39" i="1" s="1"/>
  <c r="D62" i="1"/>
  <c r="I56" i="1"/>
  <c r="F50" i="1"/>
  <c r="E53" i="1"/>
  <c r="E54" i="1" s="1"/>
  <c r="E57" i="1" s="1"/>
  <c r="B89" i="1"/>
  <c r="I91" i="1" s="1"/>
  <c r="B100" i="1"/>
  <c r="I102" i="1" s="1"/>
  <c r="D12" i="1"/>
  <c r="D13" i="1" s="1"/>
  <c r="D16" i="1" s="1"/>
  <c r="D19" i="1" s="1"/>
  <c r="I15" i="1"/>
  <c r="H39" i="1"/>
  <c r="C13" i="1"/>
  <c r="D20" i="1"/>
  <c r="B61" i="1"/>
  <c r="D71" i="1"/>
  <c r="B83" i="1" s="1"/>
  <c r="B105" i="1" s="1"/>
  <c r="H102" i="1" s="1"/>
  <c r="N39" i="1" l="1"/>
  <c r="C16" i="1"/>
  <c r="C19" i="1" s="1"/>
  <c r="C62" i="1"/>
  <c r="C63" i="1" s="1"/>
  <c r="C65" i="1" s="1"/>
  <c r="C66" i="1" s="1"/>
  <c r="E60" i="1"/>
  <c r="E61" i="1" s="1"/>
  <c r="N55" i="1"/>
  <c r="G50" i="1"/>
  <c r="F53" i="1"/>
  <c r="F54" i="1" s="1"/>
  <c r="F57" i="1" s="1"/>
  <c r="F60" i="1" s="1"/>
  <c r="D21" i="1"/>
  <c r="D22" i="1"/>
  <c r="D24" i="1" s="1"/>
  <c r="D25" i="1" s="1"/>
  <c r="C61" i="1"/>
  <c r="D61" i="1"/>
  <c r="D63" i="1" s="1"/>
  <c r="D65" i="1" s="1"/>
  <c r="D66" i="1" s="1"/>
  <c r="H80" i="1"/>
  <c r="H91" i="1"/>
  <c r="N42" i="1"/>
  <c r="E19" i="1"/>
  <c r="G9" i="1"/>
  <c r="F12" i="1"/>
  <c r="F13" i="1" s="1"/>
  <c r="F16" i="1" s="1"/>
  <c r="F19" i="1" s="1"/>
  <c r="H9" i="1" l="1"/>
  <c r="G12" i="1"/>
  <c r="G13" i="1" s="1"/>
  <c r="G16" i="1" s="1"/>
  <c r="G19" i="1" s="1"/>
  <c r="E21" i="1"/>
  <c r="E20" i="1"/>
  <c r="E22" i="1" s="1"/>
  <c r="E24" i="1" s="1"/>
  <c r="E25" i="1" s="1"/>
  <c r="F62" i="1"/>
  <c r="F63" i="1" s="1"/>
  <c r="F65" i="1" s="1"/>
  <c r="F66" i="1" s="1"/>
  <c r="C21" i="1"/>
  <c r="C20" i="1"/>
  <c r="C22" i="1" s="1"/>
  <c r="C24" i="1" s="1"/>
  <c r="C25" i="1" s="1"/>
  <c r="E63" i="1"/>
  <c r="E65" i="1" s="1"/>
  <c r="E66" i="1" s="1"/>
  <c r="E62" i="1"/>
  <c r="F21" i="1"/>
  <c r="F20" i="1"/>
  <c r="F22" i="1" s="1"/>
  <c r="F24" i="1" s="1"/>
  <c r="F25" i="1" s="1"/>
  <c r="F61" i="1"/>
  <c r="G53" i="1"/>
  <c r="G54" i="1" s="1"/>
  <c r="G57" i="1" s="1"/>
  <c r="G60" i="1" s="1"/>
  <c r="H50" i="1"/>
  <c r="H53" i="1" l="1"/>
  <c r="H54" i="1" s="1"/>
  <c r="H57" i="1" s="1"/>
  <c r="H60" i="1" s="1"/>
  <c r="I50" i="1"/>
  <c r="I53" i="1" s="1"/>
  <c r="I54" i="1" s="1"/>
  <c r="I57" i="1" s="1"/>
  <c r="I60" i="1" s="1"/>
  <c r="G21" i="1"/>
  <c r="G20" i="1"/>
  <c r="G22" i="1" s="1"/>
  <c r="G24" i="1" s="1"/>
  <c r="G25" i="1" s="1"/>
  <c r="G62" i="1"/>
  <c r="G61" i="1"/>
  <c r="G63" i="1" s="1"/>
  <c r="G65" i="1" s="1"/>
  <c r="G66" i="1" s="1"/>
  <c r="H12" i="1"/>
  <c r="H13" i="1" s="1"/>
  <c r="H16" i="1" s="1"/>
  <c r="H19" i="1" s="1"/>
  <c r="I9" i="1"/>
  <c r="I12" i="1" s="1"/>
  <c r="I13" i="1" s="1"/>
  <c r="I16" i="1" s="1"/>
  <c r="I19" i="1" s="1"/>
  <c r="I20" i="1" l="1"/>
  <c r="I22" i="1" s="1"/>
  <c r="I24" i="1" s="1"/>
  <c r="I25" i="1" s="1"/>
  <c r="I21" i="1"/>
  <c r="I62" i="1"/>
  <c r="I61" i="1"/>
  <c r="I63" i="1" s="1"/>
  <c r="I65" i="1" s="1"/>
  <c r="I66" i="1" s="1"/>
  <c r="H21" i="1"/>
  <c r="H20" i="1"/>
  <c r="H22" i="1" s="1"/>
  <c r="H24" i="1" s="1"/>
  <c r="H25" i="1" s="1"/>
  <c r="C26" i="1" s="1"/>
  <c r="B40" i="1" s="1"/>
  <c r="H62" i="1"/>
  <c r="H61" i="1"/>
  <c r="H63" i="1" s="1"/>
  <c r="H65" i="1" s="1"/>
  <c r="H66" i="1" s="1"/>
  <c r="B92" i="1" l="1"/>
  <c r="F39" i="1"/>
  <c r="D37" i="1" s="1"/>
  <c r="C67" i="1"/>
  <c r="B81" i="1" s="1"/>
  <c r="B103" i="1" l="1"/>
  <c r="F80" i="1"/>
  <c r="D78" i="1" s="1"/>
  <c r="D39" i="1"/>
  <c r="D38" i="1"/>
  <c r="D40" i="1" s="1"/>
  <c r="F91" i="1"/>
  <c r="D89" i="1" s="1"/>
  <c r="D42" i="1" l="1"/>
  <c r="D90" i="1"/>
  <c r="D92" i="1" s="1"/>
  <c r="D91" i="1"/>
  <c r="D80" i="1"/>
  <c r="D79" i="1"/>
  <c r="D81" i="1" s="1"/>
  <c r="F102" i="1"/>
  <c r="D100" i="1" s="1"/>
  <c r="D83" i="1" l="1"/>
  <c r="D94" i="1"/>
  <c r="Q14" i="1" s="1"/>
  <c r="H71" i="1"/>
  <c r="H74" i="1" s="1"/>
  <c r="Q11" i="1"/>
  <c r="D102" i="1"/>
  <c r="D101" i="1"/>
  <c r="D103" i="1" s="1"/>
  <c r="H30" i="1"/>
  <c r="Q10" i="1"/>
  <c r="D105" i="1" l="1"/>
  <c r="Q15" i="1" s="1"/>
</calcChain>
</file>

<file path=xl/sharedStrings.xml><?xml version="1.0" encoding="utf-8"?>
<sst xmlns="http://schemas.openxmlformats.org/spreadsheetml/2006/main" count="253" uniqueCount="104">
  <si>
    <t>IP Valution - using DCF and Black-Scholes Option Pricing Model</t>
  </si>
  <si>
    <t xml:space="preserve">TAM Scenario 1: Online Shops </t>
  </si>
  <si>
    <t>Assmum.</t>
  </si>
  <si>
    <t>Year 1</t>
  </si>
  <si>
    <t>Year 2</t>
  </si>
  <si>
    <t>Year 3</t>
  </si>
  <si>
    <t>Year 4</t>
  </si>
  <si>
    <t>Year 5</t>
  </si>
  <si>
    <t>Year 6</t>
  </si>
  <si>
    <t>Year 7</t>
  </si>
  <si>
    <t>INPUT ASSUMPTIONS</t>
  </si>
  <si>
    <t>Valuation</t>
  </si>
  <si>
    <t>VOLATILITY ANALYSIS</t>
  </si>
  <si>
    <t>Addressable Market (Online Shops)</t>
  </si>
  <si>
    <r>
      <t xml:space="preserve">Years for potential competitors to replicate: </t>
    </r>
    <r>
      <rPr>
        <sz val="11"/>
        <color rgb="FF000000"/>
        <rFont val="Calibri"/>
        <family val="2"/>
        <scheme val="minor"/>
      </rPr>
      <t>2-3 years</t>
    </r>
  </si>
  <si>
    <t>£ millions</t>
  </si>
  <si>
    <t>Montly</t>
  </si>
  <si>
    <t>TTM</t>
  </si>
  <si>
    <t xml:space="preserve">  Growth</t>
  </si>
  <si>
    <r>
      <t xml:space="preserve">Cost of developing platform: </t>
    </r>
    <r>
      <rPr>
        <sz val="11"/>
        <color rgb="FF000000"/>
        <rFont val="Calibri"/>
        <family val="2"/>
        <scheme val="minor"/>
      </rPr>
      <t>£200,000</t>
    </r>
  </si>
  <si>
    <t>Standard Deviation (m)</t>
  </si>
  <si>
    <t>ARPU</t>
  </si>
  <si>
    <t>Based Web Tech / software - volatility factor</t>
  </si>
  <si>
    <t xml:space="preserve">  Price (Increase/Decreease)</t>
  </si>
  <si>
    <r>
      <t>TAM Scenario 1:</t>
    </r>
    <r>
      <rPr>
        <sz val="11"/>
        <color rgb="FF000000"/>
        <rFont val="Calibri"/>
        <family val="2"/>
        <scheme val="minor"/>
      </rPr>
      <t xml:space="preserve"> 12 Million Online Shops (ARPU $1000 p/a) </t>
    </r>
  </si>
  <si>
    <r>
      <t xml:space="preserve">TAM Scenario 2: </t>
    </r>
    <r>
      <rPr>
        <sz val="11"/>
        <color rgb="FF000000"/>
        <rFont val="Calibri"/>
        <family val="2"/>
        <scheme val="minor"/>
      </rPr>
      <t>1 Billion Products ($50 per product)</t>
    </r>
  </si>
  <si>
    <t>EBIZ</t>
  </si>
  <si>
    <t>AMZN</t>
  </si>
  <si>
    <t>SHOP</t>
  </si>
  <si>
    <t>Size of Market $ million</t>
  </si>
  <si>
    <t>£/$</t>
  </si>
  <si>
    <t>Date</t>
  </si>
  <si>
    <t>Close</t>
  </si>
  <si>
    <r>
      <t xml:space="preserve">Size of Market </t>
    </r>
    <r>
      <rPr>
        <sz val="11"/>
        <color theme="1"/>
        <rFont val="Calibri"/>
        <family val="2"/>
      </rPr>
      <t>£</t>
    </r>
    <r>
      <rPr>
        <sz val="11"/>
        <color theme="1"/>
        <rFont val="Calibri"/>
        <family val="2"/>
        <scheme val="minor"/>
      </rPr>
      <t xml:space="preserve"> million</t>
    </r>
  </si>
  <si>
    <t>Based e-commerce retail - volatility factor</t>
  </si>
  <si>
    <t>Scenario</t>
  </si>
  <si>
    <t>Market Penetration %</t>
  </si>
  <si>
    <r>
      <t xml:space="preserve">Market Penetration </t>
    </r>
    <r>
      <rPr>
        <sz val="11"/>
        <color theme="1"/>
        <rFont val="Calibri"/>
        <family val="2"/>
      </rPr>
      <t>£</t>
    </r>
    <r>
      <rPr>
        <sz val="11"/>
        <color theme="1"/>
        <rFont val="Calibri"/>
        <family val="2"/>
        <scheme val="minor"/>
      </rPr>
      <t xml:space="preserve"> million</t>
    </r>
  </si>
  <si>
    <t>ETFs (webtech)</t>
  </si>
  <si>
    <t>Trailing σ</t>
  </si>
  <si>
    <r>
      <t>Cash Flows (</t>
    </r>
    <r>
      <rPr>
        <b/>
        <u/>
        <sz val="11"/>
        <color theme="1"/>
        <rFont val="Calibri"/>
        <family val="2"/>
      </rPr>
      <t>£)</t>
    </r>
  </si>
  <si>
    <t>MRAD</t>
  </si>
  <si>
    <t>Advertising &amp; Marketing Tech</t>
  </si>
  <si>
    <t>New</t>
  </si>
  <si>
    <t>Total Revenues</t>
  </si>
  <si>
    <t>IGV</t>
  </si>
  <si>
    <t>Expanded Tech-Software Sector</t>
  </si>
  <si>
    <t>Cost of Revenue</t>
  </si>
  <si>
    <t>PSJ</t>
  </si>
  <si>
    <t>Invesco Dynamic Software</t>
  </si>
  <si>
    <t>Operating Expenses</t>
  </si>
  <si>
    <t>XSW</t>
  </si>
  <si>
    <t>SPDR S&amp;P Software &amp; Services</t>
  </si>
  <si>
    <t>EBIT</t>
  </si>
  <si>
    <t>ARKK</t>
  </si>
  <si>
    <t>Disruptive Innovation (AI, DNA Tech)</t>
  </si>
  <si>
    <t>Terminal Value</t>
  </si>
  <si>
    <t xml:space="preserve">Ecommerce </t>
  </si>
  <si>
    <t>Cash Flow</t>
  </si>
  <si>
    <t>Average</t>
  </si>
  <si>
    <t>Present Value (VC Expec. Return)</t>
  </si>
  <si>
    <t>Total Present Value</t>
  </si>
  <si>
    <t>Stocks (e-commerce retailer)</t>
  </si>
  <si>
    <t>Amazon</t>
  </si>
  <si>
    <t>BLACK-SCHOLES OPTION VALUATION METHODOLOGY</t>
  </si>
  <si>
    <t>Shopify</t>
  </si>
  <si>
    <t>Product Life =</t>
  </si>
  <si>
    <t>years</t>
  </si>
  <si>
    <t>Product Delay  to the Market =</t>
  </si>
  <si>
    <t>Time Decay</t>
  </si>
  <si>
    <t>Ratio = Market Share / Value</t>
  </si>
  <si>
    <t>Years to Replicate =</t>
  </si>
  <si>
    <t xml:space="preserve">Per </t>
  </si>
  <si>
    <t>million</t>
  </si>
  <si>
    <t>Cost of Development =</t>
  </si>
  <si>
    <t>Risk Free Rate =</t>
  </si>
  <si>
    <t>(T-Bill)</t>
  </si>
  <si>
    <t>Volatility =</t>
  </si>
  <si>
    <t>(Web Tech ETF)</t>
  </si>
  <si>
    <t>INPUT</t>
  </si>
  <si>
    <t>OUTPUT</t>
  </si>
  <si>
    <t>Calculations (deviation)</t>
  </si>
  <si>
    <t>Standard Deviation  (σ) =</t>
  </si>
  <si>
    <t>d1 =</t>
  </si>
  <si>
    <t>d1</t>
  </si>
  <si>
    <t>Expiration (in years)  (T) =</t>
  </si>
  <si>
    <t>d2 =</t>
  </si>
  <si>
    <t>ln(s/x)</t>
  </si>
  <si>
    <t>(i-d+(sigma^2)/2)*t</t>
  </si>
  <si>
    <t>Risk-Free Rate (Annual) (i) =</t>
  </si>
  <si>
    <t>N(d1) =</t>
  </si>
  <si>
    <t>Stock/Spot (S ) =</t>
  </si>
  <si>
    <t>N(d2) =</t>
  </si>
  <si>
    <t>Exercise Price (X) =</t>
  </si>
  <si>
    <t>Dividend Yield (annual) (δ) =</t>
  </si>
  <si>
    <t>Value=</t>
  </si>
  <si>
    <t>TAM Scenario 2: Based on Total Market SKUs</t>
  </si>
  <si>
    <t>Addressable Market (SKUs)</t>
  </si>
  <si>
    <t>Revenue per Product</t>
  </si>
  <si>
    <t>Years to Relicate =</t>
  </si>
  <si>
    <t>or</t>
  </si>
  <si>
    <r>
      <t xml:space="preserve">(Web Tech ETF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)</t>
    </r>
  </si>
  <si>
    <t xml:space="preserve">BASED ON E-COMMERCE RETAIL </t>
  </si>
  <si>
    <t>SaaS Incorpoated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</si>
</sst>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00.00"/>
    <numFmt numFmtId="167" formatCode="_-[$£-809]* #,##0.00_-;\-[$£-809]* #,##0.00_-;_-[$£-809]* &quot;-&quot;??_-;_-@_-"/>
    <numFmt numFmtId="168" formatCode="&quot;$&quot;#,#00"/>
    <numFmt numFmtId="169" formatCode="0.0\x"/>
    <numFmt numFmtId="170" formatCode="\£#,#00"/>
    <numFmt numFmtId="171" formatCode="[$-409]d\-mmm\-yyyy;@"/>
    <numFmt numFmtId="172" formatCode="\£0.00"/>
    <numFmt numFmtId="173" formatCode="0.0000"/>
    <numFmt numFmtId="174" formatCode="[$£-809]#,##0;\-[$£-809]#,##0"/>
    <numFmt numFmtId="175" formatCode="0.00\x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66FF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rgb="FF1E17AF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40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1" xfId="0" applyFill="1" applyBorder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4" fontId="0" fillId="0" borderId="0" xfId="1" applyNumberFormat="1" applyFont="1"/>
    <xf numFmtId="0" fontId="7" fillId="4" borderId="0" xfId="0" applyFont="1" applyFill="1" applyAlignment="1">
      <alignment horizontal="left" vertical="center" indent="1"/>
    </xf>
    <xf numFmtId="0" fontId="0" fillId="4" borderId="0" xfId="0" applyFill="1"/>
    <xf numFmtId="0" fontId="9" fillId="3" borderId="2" xfId="0" applyFont="1" applyFill="1" applyBorder="1" applyAlignment="1">
      <alignment horizontal="center"/>
    </xf>
    <xf numFmtId="0" fontId="3" fillId="4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65" fontId="10" fillId="0" borderId="0" xfId="3" applyNumberFormat="1" applyFont="1"/>
    <xf numFmtId="0" fontId="7" fillId="4" borderId="1" xfId="0" applyFont="1" applyFill="1" applyBorder="1" applyAlignment="1">
      <alignment horizontal="left" vertical="center" indent="1"/>
    </xf>
    <xf numFmtId="0" fontId="0" fillId="4" borderId="1" xfId="0" applyFill="1" applyBorder="1"/>
    <xf numFmtId="0" fontId="3" fillId="4" borderId="3" xfId="0" applyFont="1" applyFill="1" applyBorder="1" applyAlignment="1">
      <alignment horizontal="center"/>
    </xf>
    <xf numFmtId="165" fontId="0" fillId="4" borderId="2" xfId="3" applyNumberFormat="1" applyFont="1" applyFill="1" applyBorder="1" applyAlignment="1">
      <alignment horizontal="center"/>
    </xf>
    <xf numFmtId="0" fontId="0" fillId="0" borderId="4" xfId="0" applyBorder="1"/>
    <xf numFmtId="166" fontId="0" fillId="0" borderId="0" xfId="2" applyNumberFormat="1" applyFont="1"/>
    <xf numFmtId="0" fontId="0" fillId="3" borderId="0" xfId="0" applyFill="1"/>
    <xf numFmtId="0" fontId="3" fillId="3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center" indent="1"/>
    </xf>
    <xf numFmtId="0" fontId="0" fillId="4" borderId="2" xfId="0" applyFill="1" applyBorder="1"/>
    <xf numFmtId="0" fontId="0" fillId="4" borderId="5" xfId="0" applyFill="1" applyBorder="1"/>
    <xf numFmtId="0" fontId="0" fillId="4" borderId="6" xfId="0" applyFill="1" applyBorder="1"/>
    <xf numFmtId="167" fontId="3" fillId="5" borderId="2" xfId="1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43" fontId="3" fillId="3" borderId="1" xfId="1" applyFont="1" applyFill="1" applyBorder="1"/>
    <xf numFmtId="0" fontId="11" fillId="0" borderId="0" xfId="0" applyFont="1" applyAlignment="1">
      <alignment horizontal="center"/>
    </xf>
    <xf numFmtId="168" fontId="0" fillId="0" borderId="0" xfId="2" applyNumberFormat="1" applyFont="1"/>
    <xf numFmtId="167" fontId="0" fillId="0" borderId="4" xfId="0" applyNumberFormat="1" applyBorder="1"/>
    <xf numFmtId="43" fontId="3" fillId="4" borderId="3" xfId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/>
    <xf numFmtId="167" fontId="3" fillId="3" borderId="3" xfId="0" applyNumberFormat="1" applyFont="1" applyFill="1" applyBorder="1" applyAlignment="1">
      <alignment horizontal="center"/>
    </xf>
    <xf numFmtId="171" fontId="0" fillId="0" borderId="2" xfId="1" applyNumberFormat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3" applyNumberFormat="1" applyFont="1" applyBorder="1" applyAlignment="1">
      <alignment horizontal="center"/>
    </xf>
    <xf numFmtId="10" fontId="10" fillId="0" borderId="0" xfId="3" applyNumberFormat="1" applyFont="1"/>
    <xf numFmtId="10" fontId="10" fillId="6" borderId="0" xfId="3" applyNumberFormat="1" applyFont="1" applyFill="1"/>
    <xf numFmtId="172" fontId="0" fillId="0" borderId="0" xfId="0" applyNumberFormat="1"/>
    <xf numFmtId="0" fontId="12" fillId="0" borderId="0" xfId="0" quotePrefix="1" applyFont="1"/>
    <xf numFmtId="0" fontId="0" fillId="0" borderId="0" xfId="0" quotePrefix="1" applyAlignment="1">
      <alignment horizontal="center"/>
    </xf>
    <xf numFmtId="0" fontId="0" fillId="4" borderId="4" xfId="0" applyFill="1" applyBorder="1" applyAlignment="1">
      <alignment horizontal="center"/>
    </xf>
    <xf numFmtId="164" fontId="0" fillId="0" borderId="0" xfId="0" applyNumberFormat="1"/>
    <xf numFmtId="165" fontId="0" fillId="4" borderId="4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10" fillId="0" borderId="0" xfId="0" applyNumberFormat="1" applyFont="1" applyAlignment="1">
      <alignment horizontal="center"/>
    </xf>
    <xf numFmtId="164" fontId="0" fillId="0" borderId="9" xfId="0" applyNumberFormat="1" applyBorder="1"/>
    <xf numFmtId="0" fontId="3" fillId="4" borderId="6" xfId="0" applyFont="1" applyFill="1" applyBorder="1"/>
    <xf numFmtId="165" fontId="3" fillId="4" borderId="10" xfId="3" applyNumberFormat="1" applyFont="1" applyFill="1" applyBorder="1" applyAlignment="1">
      <alignment horizontal="center"/>
    </xf>
    <xf numFmtId="9" fontId="14" fillId="0" borderId="0" xfId="0" applyNumberFormat="1" applyFont="1" applyAlignment="1">
      <alignment horizontal="center"/>
    </xf>
    <xf numFmtId="9" fontId="0" fillId="0" borderId="2" xfId="3" applyFont="1" applyBorder="1"/>
    <xf numFmtId="9" fontId="0" fillId="0" borderId="0" xfId="3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165" fontId="0" fillId="0" borderId="0" xfId="3" applyNumberFormat="1" applyFont="1"/>
    <xf numFmtId="10" fontId="3" fillId="0" borderId="0" xfId="3" applyNumberFormat="1" applyFont="1"/>
    <xf numFmtId="9" fontId="0" fillId="0" borderId="0" xfId="0" applyNumberFormat="1"/>
    <xf numFmtId="168" fontId="3" fillId="0" borderId="0" xfId="2" applyNumberFormat="1" applyFont="1"/>
    <xf numFmtId="164" fontId="14" fillId="0" borderId="0" xfId="1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165" fontId="14" fillId="0" borderId="0" xfId="3" applyNumberFormat="1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3" borderId="11" xfId="0" applyFont="1" applyFill="1" applyBorder="1" applyAlignment="1">
      <alignment horizontal="centerContinuous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Continuous" vertical="center"/>
    </xf>
    <xf numFmtId="0" fontId="17" fillId="3" borderId="11" xfId="0" applyFont="1" applyFill="1" applyBorder="1" applyAlignment="1">
      <alignment vertical="center"/>
    </xf>
    <xf numFmtId="0" fontId="0" fillId="3" borderId="12" xfId="0" applyFill="1" applyBorder="1"/>
    <xf numFmtId="0" fontId="0" fillId="3" borderId="13" xfId="0" applyFill="1" applyBorder="1"/>
    <xf numFmtId="166" fontId="0" fillId="0" borderId="0" xfId="0" applyNumberFormat="1"/>
    <xf numFmtId="0" fontId="0" fillId="0" borderId="3" xfId="0" applyBorder="1" applyAlignment="1">
      <alignment horizontal="right"/>
    </xf>
    <xf numFmtId="10" fontId="18" fillId="7" borderId="14" xfId="3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173" fontId="0" fillId="7" borderId="16" xfId="0" quotePrefix="1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 applyAlignment="1">
      <alignment horizontal="right"/>
    </xf>
    <xf numFmtId="0" fontId="18" fillId="7" borderId="7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173" fontId="0" fillId="7" borderId="20" xfId="0" quotePrefix="1" applyNumberFormat="1" applyFill="1" applyBorder="1" applyAlignment="1">
      <alignment horizontal="center"/>
    </xf>
    <xf numFmtId="168" fontId="0" fillId="0" borderId="0" xfId="0" applyNumberFormat="1"/>
    <xf numFmtId="9" fontId="18" fillId="7" borderId="7" xfId="3" applyFont="1" applyFill="1" applyBorder="1" applyAlignment="1">
      <alignment horizontal="center"/>
    </xf>
    <xf numFmtId="0" fontId="0" fillId="0" borderId="17" xfId="0" applyBorder="1"/>
    <xf numFmtId="164" fontId="18" fillId="7" borderId="7" xfId="1" applyNumberFormat="1" applyFont="1" applyFill="1" applyBorder="1" applyAlignment="1">
      <alignment horizontal="center"/>
    </xf>
    <xf numFmtId="0" fontId="0" fillId="0" borderId="19" xfId="0" applyBorder="1"/>
    <xf numFmtId="0" fontId="0" fillId="7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0" fontId="0" fillId="0" borderId="0" xfId="0" applyNumberFormat="1"/>
    <xf numFmtId="9" fontId="18" fillId="7" borderId="7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horizontal="right"/>
    </xf>
    <xf numFmtId="174" fontId="16" fillId="5" borderId="24" xfId="1" quotePrefix="1" applyNumberFormat="1" applyFont="1" applyFill="1" applyBorder="1" applyAlignment="1">
      <alignment horizontal="center"/>
    </xf>
    <xf numFmtId="171" fontId="0" fillId="0" borderId="0" xfId="1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9" fontId="0" fillId="0" borderId="0" xfId="3" applyFont="1" applyBorder="1"/>
    <xf numFmtId="170" fontId="14" fillId="0" borderId="0" xfId="0" applyNumberFormat="1" applyFont="1"/>
    <xf numFmtId="14" fontId="0" fillId="0" borderId="0" xfId="0" applyNumberFormat="1"/>
    <xf numFmtId="0" fontId="0" fillId="4" borderId="17" xfId="0" applyFill="1" applyBorder="1" applyAlignment="1">
      <alignment horizontal="center"/>
    </xf>
    <xf numFmtId="0" fontId="0" fillId="4" borderId="18" xfId="0" applyFill="1" applyBorder="1"/>
    <xf numFmtId="0" fontId="0" fillId="4" borderId="17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4" fillId="8" borderId="0" xfId="0" applyFont="1" applyFill="1"/>
    <xf numFmtId="0" fontId="4" fillId="8" borderId="0" xfId="0" applyFont="1" applyFill="1" applyAlignment="1">
      <alignment horizontal="center"/>
    </xf>
    <xf numFmtId="175" fontId="0" fillId="0" borderId="0" xfId="0" applyNumberForma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Kinisis%20Ventures/AAA%20Projects/PORTFOLIO/Threedium/Financial%20Model/Financial%20Model%20-%20Threedium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ABLE SUMMARY"/>
      <sheetName val="DELIVERABLE PIPELINE"/>
      <sheetName val="Revenue Pipeline"/>
      <sheetName val="Financial Model"/>
      <sheetName val="Revenue &amp; Cost Assumptions"/>
      <sheetName val="Ecosystem"/>
      <sheetName val="CEO REPORTS"/>
      <sheetName val="CAP TABLE 2021 RAISE"/>
      <sheetName val="MONTHLY INPUT"/>
      <sheetName val="Operating Assumptions"/>
      <sheetName val="Income Statement"/>
      <sheetName val="Balance Sheet"/>
      <sheetName val="Cash Flow Statement"/>
      <sheetName val="Cap Table &amp; Val"/>
      <sheetName val="IP VALUATION"/>
      <sheetName val="M-Assumptions Revenue"/>
      <sheetName val="M-Budget"/>
      <sheetName val="M-Assumptions (Expenses)"/>
      <sheetName val="M-Marketing"/>
      <sheetName val="M-Salaries + New Hires"/>
      <sheetName val="Product Offering"/>
      <sheetName val="HubSpot Database"/>
      <sheetName val="Salesforce INPUT FY19"/>
    </sheetNames>
    <sheetDataSet>
      <sheetData sheetId="0"/>
      <sheetData sheetId="1"/>
      <sheetData sheetId="2"/>
      <sheetData sheetId="3">
        <row r="14">
          <cell r="R14">
            <v>0.51227484139827684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3104-4ECD-4269-A53B-DBB8F7660E4D}">
  <dimension ref="A1:AZ106"/>
  <sheetViews>
    <sheetView tabSelected="1" workbookViewId="0">
      <selection activeCell="B1" sqref="B1"/>
    </sheetView>
  </sheetViews>
  <sheetFormatPr defaultRowHeight="14.5" x14ac:dyDescent="0.35"/>
  <cols>
    <col min="1" max="1" width="32.6328125" customWidth="1"/>
    <col min="2" max="2" width="14.453125" style="5" customWidth="1"/>
    <col min="3" max="9" width="13.54296875" customWidth="1"/>
    <col min="10" max="10" width="8.26953125" customWidth="1"/>
    <col min="11" max="11" width="17.1796875" customWidth="1"/>
    <col min="12" max="12" width="8.26953125" customWidth="1"/>
    <col min="13" max="13" width="13.6328125" bestFit="1" customWidth="1"/>
    <col min="14" max="14" width="13.81640625" customWidth="1"/>
    <col min="17" max="17" width="10" customWidth="1"/>
    <col min="18" max="18" width="3.81640625" customWidth="1"/>
    <col min="19" max="19" width="13" customWidth="1"/>
    <col min="20" max="20" width="6.90625" bestFit="1" customWidth="1"/>
    <col min="21" max="21" width="8.453125" bestFit="1" customWidth="1"/>
    <col min="22" max="22" width="5.81640625" bestFit="1" customWidth="1"/>
    <col min="23" max="23" width="5.54296875" customWidth="1"/>
    <col min="24" max="24" width="11.7265625" bestFit="1" customWidth="1"/>
    <col min="25" max="25" width="7.6328125" bestFit="1" customWidth="1"/>
    <col min="26" max="26" width="8.453125" bestFit="1" customWidth="1"/>
    <col min="27" max="27" width="5.81640625" bestFit="1" customWidth="1"/>
    <col min="28" max="28" width="3.36328125" customWidth="1"/>
    <col min="29" max="29" width="12.1796875" customWidth="1"/>
    <col min="30" max="30" width="7.6328125" bestFit="1" customWidth="1"/>
    <col min="31" max="31" width="8.453125" bestFit="1" customWidth="1"/>
    <col min="32" max="32" width="5.81640625" bestFit="1" customWidth="1"/>
    <col min="33" max="33" width="4.36328125" customWidth="1"/>
    <col min="34" max="34" width="11.36328125" customWidth="1"/>
    <col min="35" max="35" width="7.6328125" bestFit="1" customWidth="1"/>
    <col min="36" max="36" width="8.453125" bestFit="1" customWidth="1"/>
    <col min="37" max="37" width="5.81640625" bestFit="1" customWidth="1"/>
    <col min="38" max="38" width="3.26953125" customWidth="1"/>
    <col min="39" max="39" width="10.6328125" customWidth="1"/>
    <col min="40" max="40" width="7.6328125" bestFit="1" customWidth="1"/>
    <col min="41" max="41" width="8.453125" bestFit="1" customWidth="1"/>
    <col min="42" max="42" width="5.81640625" bestFit="1" customWidth="1"/>
    <col min="43" max="43" width="3.453125" customWidth="1"/>
    <col min="44" max="44" width="11.08984375" customWidth="1"/>
    <col min="45" max="45" width="9.08984375" bestFit="1" customWidth="1"/>
    <col min="46" max="46" width="8.453125" bestFit="1" customWidth="1"/>
    <col min="47" max="47" width="5.81640625" customWidth="1"/>
    <col min="48" max="48" width="4.08984375" customWidth="1"/>
    <col min="49" max="49" width="10.54296875" customWidth="1"/>
    <col min="50" max="50" width="9.08984375" bestFit="1" customWidth="1"/>
    <col min="51" max="51" width="8.453125" bestFit="1" customWidth="1"/>
    <col min="52" max="52" width="5.81640625" customWidth="1"/>
  </cols>
  <sheetData>
    <row r="1" spans="1:52" ht="23.5" x14ac:dyDescent="0.55000000000000004">
      <c r="A1" s="1" t="s">
        <v>103</v>
      </c>
      <c r="B1" s="2"/>
    </row>
    <row r="2" spans="1:52" ht="13" customHeight="1" x14ac:dyDescent="0.35">
      <c r="A2" s="3" t="s">
        <v>0</v>
      </c>
      <c r="B2" s="4"/>
      <c r="C2" s="5"/>
      <c r="D2" s="5"/>
      <c r="E2" s="5"/>
      <c r="F2" s="5"/>
      <c r="G2" s="5"/>
      <c r="H2" s="5"/>
      <c r="I2" s="5"/>
    </row>
    <row r="3" spans="1:52" x14ac:dyDescent="0.3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</row>
    <row r="4" spans="1:52" x14ac:dyDescent="0.35">
      <c r="A4" s="6" t="s">
        <v>1</v>
      </c>
      <c r="B4" s="7"/>
      <c r="C4" s="7"/>
      <c r="D4" s="7"/>
      <c r="E4" s="7"/>
      <c r="F4" s="7"/>
      <c r="G4" s="7"/>
      <c r="H4" s="7"/>
      <c r="I4" s="7"/>
      <c r="K4" s="7"/>
      <c r="L4" s="7"/>
      <c r="M4" s="7"/>
      <c r="N4" s="7"/>
      <c r="O4" s="7"/>
      <c r="P4" s="7"/>
      <c r="Q4" s="7"/>
    </row>
    <row r="5" spans="1:52" x14ac:dyDescent="0.35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K5" s="9" t="s">
        <v>10</v>
      </c>
      <c r="L5" s="10"/>
      <c r="M5" s="10"/>
      <c r="N5" s="10"/>
      <c r="O5" s="10"/>
      <c r="P5" s="10"/>
      <c r="Q5" s="11" t="s">
        <v>11</v>
      </c>
      <c r="S5" s="12" t="s">
        <v>12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x14ac:dyDescent="0.35">
      <c r="A6" t="s">
        <v>13</v>
      </c>
      <c r="C6" s="13">
        <v>12000000</v>
      </c>
      <c r="D6" s="13">
        <f>+C6*(1+D7)</f>
        <v>12000000</v>
      </c>
      <c r="E6" s="13">
        <f t="shared" ref="E6:I6" si="0">+D6*(1+E7)</f>
        <v>12000000</v>
      </c>
      <c r="F6" s="13">
        <f t="shared" si="0"/>
        <v>12000000</v>
      </c>
      <c r="G6" s="13">
        <f t="shared" si="0"/>
        <v>12000000</v>
      </c>
      <c r="H6" s="13">
        <f t="shared" si="0"/>
        <v>12000000</v>
      </c>
      <c r="I6" s="13">
        <f t="shared" si="0"/>
        <v>12000000</v>
      </c>
      <c r="K6" s="14" t="s">
        <v>14</v>
      </c>
      <c r="L6" s="15"/>
      <c r="M6" s="15"/>
      <c r="N6" s="15"/>
      <c r="O6" s="15"/>
      <c r="P6" s="15"/>
      <c r="Q6" s="16" t="s">
        <v>15</v>
      </c>
      <c r="S6" s="17"/>
      <c r="T6" s="17"/>
      <c r="U6" s="18" t="s">
        <v>16</v>
      </c>
      <c r="V6" s="18" t="s">
        <v>17</v>
      </c>
      <c r="W6" s="4"/>
      <c r="X6" s="19"/>
      <c r="Y6" s="19"/>
      <c r="Z6" s="18" t="s">
        <v>16</v>
      </c>
      <c r="AA6" s="18" t="s">
        <v>17</v>
      </c>
      <c r="AB6" s="4"/>
      <c r="AC6" s="19"/>
      <c r="AD6" s="19"/>
      <c r="AE6" s="18" t="s">
        <v>16</v>
      </c>
      <c r="AF6" s="18" t="s">
        <v>17</v>
      </c>
      <c r="AG6" s="4"/>
      <c r="AH6" s="19"/>
      <c r="AI6" s="19"/>
      <c r="AJ6" s="18" t="s">
        <v>16</v>
      </c>
      <c r="AK6" s="18" t="s">
        <v>17</v>
      </c>
      <c r="AL6" s="4"/>
      <c r="AM6" s="19"/>
      <c r="AN6" s="19"/>
      <c r="AO6" s="18" t="s">
        <v>16</v>
      </c>
      <c r="AP6" s="18" t="s">
        <v>17</v>
      </c>
      <c r="AQ6" s="4"/>
      <c r="AR6" s="19"/>
      <c r="AS6" s="19"/>
      <c r="AT6" s="18" t="s">
        <v>16</v>
      </c>
      <c r="AU6" s="18" t="s">
        <v>17</v>
      </c>
      <c r="AV6" s="4"/>
      <c r="AW6" s="19"/>
      <c r="AX6" s="19"/>
      <c r="AY6" s="18" t="s">
        <v>16</v>
      </c>
      <c r="AZ6" s="18" t="s">
        <v>17</v>
      </c>
    </row>
    <row r="7" spans="1:52" x14ac:dyDescent="0.35">
      <c r="A7" t="s">
        <v>18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K7" s="21" t="s">
        <v>19</v>
      </c>
      <c r="L7" s="22"/>
      <c r="M7" s="22"/>
      <c r="N7" s="22"/>
      <c r="O7" s="22"/>
      <c r="P7" s="22"/>
      <c r="Q7" s="23"/>
      <c r="S7" s="22" t="s">
        <v>20</v>
      </c>
      <c r="T7" s="22"/>
      <c r="U7" s="24">
        <f>STDEV(U13:U141)</f>
        <v>7.9946820967562698E-2</v>
      </c>
      <c r="V7" s="24">
        <f>STDEV(V13:V141)</f>
        <v>0.36200118785417773</v>
      </c>
      <c r="X7" s="22" t="s">
        <v>20</v>
      </c>
      <c r="Y7" s="22"/>
      <c r="Z7" s="24">
        <f>STDEV(Z13:Z141)</f>
        <v>5.3281790732114698E-2</v>
      </c>
      <c r="AA7" s="24">
        <f>STDEV(AA13:AA141)</f>
        <v>0.13849397211263514</v>
      </c>
      <c r="AC7" s="22" t="s">
        <v>20</v>
      </c>
      <c r="AD7" s="22"/>
      <c r="AE7" s="24">
        <f>STDEV(AE13:AE141)</f>
        <v>5.7144553283409817E-2</v>
      </c>
      <c r="AF7" s="24">
        <f>STDEV(AF13:AF141)</f>
        <v>0.16655575570159539</v>
      </c>
      <c r="AH7" s="22" t="s">
        <v>20</v>
      </c>
      <c r="AI7" s="22"/>
      <c r="AJ7" s="24">
        <f>STDEV(AJ13:AJ141)</f>
        <v>6.0223568828163522E-2</v>
      </c>
      <c r="AK7" s="24">
        <f>STDEV(AK13:AK141)</f>
        <v>0.1787799059921337</v>
      </c>
      <c r="AM7" s="22" t="s">
        <v>20</v>
      </c>
      <c r="AN7" s="22"/>
      <c r="AO7" s="24">
        <f>STDEV(AO13:AO141)</f>
        <v>9.3085386004083545E-2</v>
      </c>
      <c r="AP7" s="24">
        <f>STDEV(AP13:AP141)</f>
        <v>0.4793188985688705</v>
      </c>
      <c r="AR7" s="22" t="s">
        <v>20</v>
      </c>
      <c r="AS7" s="22"/>
      <c r="AT7" s="24">
        <f>STDEV(AT13:AT141)</f>
        <v>8.1252464074104261E-2</v>
      </c>
      <c r="AU7" s="24">
        <f>STDEV(AU13:AU141)</f>
        <v>0.30317405403280995</v>
      </c>
      <c r="AW7" s="22" t="s">
        <v>20</v>
      </c>
      <c r="AX7" s="22"/>
      <c r="AY7" s="24">
        <f>STDEV(AY13:AY141)</f>
        <v>0.12681425455520492</v>
      </c>
      <c r="AZ7" s="24">
        <f>STDEV(AZ13:AZ141)</f>
        <v>0.59250176041170866</v>
      </c>
    </row>
    <row r="8" spans="1:52" x14ac:dyDescent="0.35">
      <c r="Q8" s="25"/>
    </row>
    <row r="9" spans="1:52" x14ac:dyDescent="0.35">
      <c r="A9" t="s">
        <v>21</v>
      </c>
      <c r="C9" s="26">
        <v>1000</v>
      </c>
      <c r="D9" s="26">
        <f>+C9*(1+D10)</f>
        <v>1000</v>
      </c>
      <c r="E9" s="26">
        <f t="shared" ref="E9:I9" si="1">+D9*(1+E10)</f>
        <v>1000</v>
      </c>
      <c r="F9" s="26">
        <f t="shared" si="1"/>
        <v>1000</v>
      </c>
      <c r="G9" s="26">
        <f t="shared" si="1"/>
        <v>1000</v>
      </c>
      <c r="H9" s="26">
        <f t="shared" si="1"/>
        <v>1000</v>
      </c>
      <c r="I9" s="26">
        <f t="shared" si="1"/>
        <v>1000</v>
      </c>
      <c r="K9" s="9" t="s">
        <v>22</v>
      </c>
      <c r="L9" s="10"/>
      <c r="M9" s="10"/>
      <c r="N9" s="27"/>
      <c r="O9" s="27"/>
      <c r="P9" s="27"/>
      <c r="Q9" s="28"/>
    </row>
    <row r="10" spans="1:52" x14ac:dyDescent="0.35">
      <c r="A10" t="s">
        <v>23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K10" s="29" t="s">
        <v>24</v>
      </c>
      <c r="L10" s="30"/>
      <c r="M10" s="30"/>
      <c r="N10" s="31"/>
      <c r="O10" s="32"/>
      <c r="P10" s="32"/>
      <c r="Q10" s="33">
        <f>+D42/1000000</f>
        <v>102.758201383849</v>
      </c>
    </row>
    <row r="11" spans="1:52" x14ac:dyDescent="0.35">
      <c r="K11" s="29" t="s">
        <v>25</v>
      </c>
      <c r="L11" s="30"/>
      <c r="M11" s="30"/>
      <c r="N11" s="34"/>
      <c r="O11" s="35"/>
      <c r="P11" s="35"/>
      <c r="Q11" s="33">
        <f>+D83/1000000</f>
        <v>273.88016190987184</v>
      </c>
      <c r="S11" s="36" t="s">
        <v>26</v>
      </c>
      <c r="T11" s="36"/>
      <c r="U11" s="36"/>
      <c r="V11" s="36"/>
      <c r="X11" s="36" t="str">
        <f>+K19</f>
        <v>IGV</v>
      </c>
      <c r="Y11" s="36"/>
      <c r="Z11" s="36"/>
      <c r="AA11" s="36"/>
      <c r="AC11" s="36" t="str">
        <f>+K20</f>
        <v>PSJ</v>
      </c>
      <c r="AD11" s="36"/>
      <c r="AE11" s="36"/>
      <c r="AF11" s="36"/>
      <c r="AH11" s="36" t="str">
        <f>+K21</f>
        <v>XSW</v>
      </c>
      <c r="AI11" s="36"/>
      <c r="AJ11" s="36"/>
      <c r="AK11" s="36"/>
      <c r="AM11" s="36" t="str">
        <f>+K22</f>
        <v>ARKK</v>
      </c>
      <c r="AN11" s="36"/>
      <c r="AO11" s="36"/>
      <c r="AP11" s="36"/>
      <c r="AR11" s="36" t="s">
        <v>27</v>
      </c>
      <c r="AS11" s="36"/>
      <c r="AT11" s="36"/>
      <c r="AU11" s="36"/>
      <c r="AW11" s="36" t="s">
        <v>28</v>
      </c>
      <c r="AX11" s="36"/>
      <c r="AY11" s="36"/>
      <c r="AZ11" s="36"/>
    </row>
    <row r="12" spans="1:52" x14ac:dyDescent="0.35">
      <c r="A12" t="s">
        <v>29</v>
      </c>
      <c r="B12" s="37" t="s">
        <v>30</v>
      </c>
      <c r="C12" s="38">
        <f>+C9*C6/1000000</f>
        <v>12000</v>
      </c>
      <c r="D12" s="38">
        <f t="shared" ref="D12:I12" si="2">+D9*D6/1000000</f>
        <v>12000</v>
      </c>
      <c r="E12" s="38">
        <f t="shared" si="2"/>
        <v>12000</v>
      </c>
      <c r="F12" s="38">
        <f t="shared" si="2"/>
        <v>12000</v>
      </c>
      <c r="G12" s="38">
        <f t="shared" si="2"/>
        <v>12000</v>
      </c>
      <c r="H12" s="38">
        <f t="shared" si="2"/>
        <v>12000</v>
      </c>
      <c r="I12" s="38">
        <f t="shared" si="2"/>
        <v>12000</v>
      </c>
      <c r="Q12" s="39"/>
      <c r="S12" s="40" t="s">
        <v>31</v>
      </c>
      <c r="T12" s="40" t="s">
        <v>32</v>
      </c>
      <c r="U12" s="40" t="s">
        <v>16</v>
      </c>
      <c r="V12" s="18" t="s">
        <v>17</v>
      </c>
      <c r="X12" s="40" t="s">
        <v>31</v>
      </c>
      <c r="Y12" s="40" t="s">
        <v>32</v>
      </c>
      <c r="Z12" s="40" t="s">
        <v>16</v>
      </c>
      <c r="AA12" s="18" t="s">
        <v>17</v>
      </c>
      <c r="AC12" s="40" t="s">
        <v>31</v>
      </c>
      <c r="AD12" s="40" t="s">
        <v>32</v>
      </c>
      <c r="AE12" s="40" t="s">
        <v>16</v>
      </c>
      <c r="AF12" s="18" t="s">
        <v>17</v>
      </c>
      <c r="AH12" s="40" t="s">
        <v>31</v>
      </c>
      <c r="AI12" s="40" t="s">
        <v>32</v>
      </c>
      <c r="AJ12" s="40" t="s">
        <v>16</v>
      </c>
      <c r="AK12" s="18" t="s">
        <v>17</v>
      </c>
      <c r="AM12" s="40" t="s">
        <v>31</v>
      </c>
      <c r="AN12" s="40" t="s">
        <v>32</v>
      </c>
      <c r="AO12" s="40" t="s">
        <v>16</v>
      </c>
      <c r="AP12" s="18" t="s">
        <v>17</v>
      </c>
      <c r="AR12" s="40" t="s">
        <v>31</v>
      </c>
      <c r="AS12" s="40" t="s">
        <v>32</v>
      </c>
      <c r="AT12" s="40" t="s">
        <v>16</v>
      </c>
      <c r="AU12" s="18" t="s">
        <v>17</v>
      </c>
      <c r="AW12" s="40" t="s">
        <v>31</v>
      </c>
      <c r="AX12" s="40" t="s">
        <v>32</v>
      </c>
      <c r="AY12" s="40" t="s">
        <v>16</v>
      </c>
      <c r="AZ12" s="18" t="s">
        <v>17</v>
      </c>
    </row>
    <row r="13" spans="1:52" x14ac:dyDescent="0.35">
      <c r="A13" t="s">
        <v>33</v>
      </c>
      <c r="B13" s="41">
        <v>0.7</v>
      </c>
      <c r="C13" s="42">
        <f>+$B$13*C12</f>
        <v>8400</v>
      </c>
      <c r="D13" s="42">
        <f t="shared" ref="D13:I13" si="3">+$B$13*D12</f>
        <v>8400</v>
      </c>
      <c r="E13" s="42">
        <f t="shared" si="3"/>
        <v>8400</v>
      </c>
      <c r="F13" s="42">
        <f t="shared" si="3"/>
        <v>8400</v>
      </c>
      <c r="G13" s="42">
        <f t="shared" si="3"/>
        <v>8400</v>
      </c>
      <c r="H13" s="42">
        <f t="shared" si="3"/>
        <v>8400</v>
      </c>
      <c r="I13" s="42">
        <f t="shared" si="3"/>
        <v>8400</v>
      </c>
      <c r="K13" s="9" t="s">
        <v>34</v>
      </c>
      <c r="L13" s="10"/>
      <c r="M13" s="10"/>
      <c r="N13" s="10"/>
      <c r="O13" s="27"/>
      <c r="P13" s="27"/>
      <c r="Q13" s="43" t="s">
        <v>35</v>
      </c>
      <c r="S13" s="44">
        <v>43435</v>
      </c>
      <c r="T13" s="45">
        <v>13.89</v>
      </c>
      <c r="U13" s="46"/>
      <c r="X13" s="44">
        <v>42522</v>
      </c>
      <c r="Y13" s="45">
        <v>105.16999800000001</v>
      </c>
      <c r="Z13" s="46"/>
      <c r="AC13" s="44">
        <v>42522</v>
      </c>
      <c r="AD13" s="45">
        <v>44.139999000000003</v>
      </c>
      <c r="AE13" s="46"/>
      <c r="AH13" s="44">
        <v>42522</v>
      </c>
      <c r="AI13" s="45">
        <v>50.470001000000003</v>
      </c>
      <c r="AJ13" s="46"/>
      <c r="AM13" s="44">
        <v>42522</v>
      </c>
      <c r="AN13" s="45">
        <v>19.290001</v>
      </c>
      <c r="AO13" s="46"/>
      <c r="AR13" s="44">
        <v>42522</v>
      </c>
      <c r="AS13" s="45">
        <v>715.61999500000002</v>
      </c>
      <c r="AT13" s="46"/>
      <c r="AW13" s="44">
        <v>42522</v>
      </c>
      <c r="AX13" s="45">
        <v>30.76</v>
      </c>
      <c r="AY13" s="46"/>
    </row>
    <row r="14" spans="1:52" x14ac:dyDescent="0.35">
      <c r="K14" s="29" t="s">
        <v>24</v>
      </c>
      <c r="L14" s="30"/>
      <c r="M14" s="30"/>
      <c r="N14" s="34"/>
      <c r="O14" s="32"/>
      <c r="P14" s="32"/>
      <c r="Q14" s="33">
        <f>+D94/1000000</f>
        <v>105.44792114655274</v>
      </c>
      <c r="S14" s="44">
        <v>43466</v>
      </c>
      <c r="T14" s="45">
        <v>16.149999999999999</v>
      </c>
      <c r="U14" s="47">
        <f>+T14/T13-1</f>
        <v>0.16270698344132462</v>
      </c>
      <c r="X14" s="44">
        <v>42552</v>
      </c>
      <c r="Y14" s="45">
        <v>110.269997</v>
      </c>
      <c r="Z14" s="47">
        <f t="shared" ref="Z14:Z72" si="4">+Y14/Y13-1</f>
        <v>4.8492907644630767E-2</v>
      </c>
      <c r="AC14" s="44">
        <v>42552</v>
      </c>
      <c r="AD14" s="45">
        <v>46.880001</v>
      </c>
      <c r="AE14" s="47">
        <f t="shared" ref="AE14:AE72" si="5">+AD14/AD13-1</f>
        <v>6.2075261940989002E-2</v>
      </c>
      <c r="AH14" s="44">
        <v>42552</v>
      </c>
      <c r="AI14" s="45">
        <v>53.84</v>
      </c>
      <c r="AJ14" s="47">
        <f t="shared" ref="AJ14:AJ72" si="6">+AI14/AI13-1</f>
        <v>6.677231886720203E-2</v>
      </c>
      <c r="AM14" s="44">
        <v>42552</v>
      </c>
      <c r="AN14" s="45">
        <v>20.59</v>
      </c>
      <c r="AO14" s="47">
        <f t="shared" ref="AO14:AO72" si="7">+AN14/AN13-1</f>
        <v>6.7392375977585406E-2</v>
      </c>
      <c r="AR14" s="44">
        <v>42552</v>
      </c>
      <c r="AS14" s="45">
        <v>758.80999799999995</v>
      </c>
      <c r="AT14" s="47">
        <f t="shared" ref="AT14:AT72" si="8">+AS14/AS13-1</f>
        <v>6.0353264723968403E-2</v>
      </c>
      <c r="AW14" s="44">
        <v>42552</v>
      </c>
      <c r="AX14" s="45">
        <v>34.270000000000003</v>
      </c>
      <c r="AY14" s="47">
        <f t="shared" ref="AY14:AY73" si="9">+AX14/AX13-1</f>
        <v>0.11410923276983098</v>
      </c>
    </row>
    <row r="15" spans="1:52" x14ac:dyDescent="0.35">
      <c r="A15" t="s">
        <v>36</v>
      </c>
      <c r="C15" s="48">
        <v>0.01</v>
      </c>
      <c r="D15" s="48">
        <v>0.02</v>
      </c>
      <c r="E15" s="49">
        <v>0.02</v>
      </c>
      <c r="F15" s="48">
        <f>+E15*(1-$D$31)</f>
        <v>0.01</v>
      </c>
      <c r="G15" s="48">
        <f>+F15*(1-$D$31)</f>
        <v>5.0000000000000001E-3</v>
      </c>
      <c r="H15" s="48">
        <f>+G15*(1-$D$31)</f>
        <v>2.5000000000000001E-3</v>
      </c>
      <c r="I15" s="48">
        <f>+H15*(1-$D$31)</f>
        <v>1.25E-3</v>
      </c>
      <c r="K15" s="29" t="s">
        <v>25</v>
      </c>
      <c r="L15" s="30"/>
      <c r="M15" s="30"/>
      <c r="N15" s="34"/>
      <c r="O15" s="35"/>
      <c r="P15" s="35"/>
      <c r="Q15" s="33">
        <f>+D105/1000000</f>
        <v>277.89985481270639</v>
      </c>
      <c r="S15" s="44">
        <v>43497</v>
      </c>
      <c r="T15" s="45">
        <v>17.100000000000001</v>
      </c>
      <c r="U15" s="47">
        <f t="shared" ref="U15:U43" si="10">+T15/T14-1</f>
        <v>5.8823529411764941E-2</v>
      </c>
      <c r="X15" s="44">
        <v>42583</v>
      </c>
      <c r="Y15" s="45">
        <v>112.57</v>
      </c>
      <c r="Z15" s="47">
        <f t="shared" si="4"/>
        <v>2.0857922032953224E-2</v>
      </c>
      <c r="AC15" s="44">
        <v>42583</v>
      </c>
      <c r="AD15" s="45">
        <v>47.82</v>
      </c>
      <c r="AE15" s="47">
        <f t="shared" si="5"/>
        <v>2.005117278047841E-2</v>
      </c>
      <c r="AH15" s="44">
        <v>42583</v>
      </c>
      <c r="AI15" s="45">
        <v>54.720001000000003</v>
      </c>
      <c r="AJ15" s="47">
        <f t="shared" si="6"/>
        <v>1.6344743684992613E-2</v>
      </c>
      <c r="AM15" s="44">
        <v>42583</v>
      </c>
      <c r="AN15" s="45">
        <v>20.614000000000001</v>
      </c>
      <c r="AO15" s="47">
        <f t="shared" si="7"/>
        <v>1.165614375910673E-3</v>
      </c>
      <c r="AR15" s="44">
        <v>42583</v>
      </c>
      <c r="AS15" s="45">
        <v>769.15997300000004</v>
      </c>
      <c r="AT15" s="47">
        <f t="shared" si="8"/>
        <v>1.363974516318911E-2</v>
      </c>
      <c r="AW15" s="44">
        <v>42583</v>
      </c>
      <c r="AX15" s="45">
        <v>41.360000999999997</v>
      </c>
      <c r="AY15" s="47">
        <f t="shared" si="9"/>
        <v>0.20688651882112619</v>
      </c>
    </row>
    <row r="16" spans="1:52" x14ac:dyDescent="0.35">
      <c r="A16" t="s">
        <v>37</v>
      </c>
      <c r="C16" s="50">
        <f>+C15*C13</f>
        <v>84</v>
      </c>
      <c r="D16" s="50">
        <f t="shared" ref="D16:I16" si="11">+D15*D13</f>
        <v>168</v>
      </c>
      <c r="E16" s="50">
        <f t="shared" si="11"/>
        <v>168</v>
      </c>
      <c r="F16" s="50">
        <f t="shared" si="11"/>
        <v>84</v>
      </c>
      <c r="G16" s="50">
        <f t="shared" si="11"/>
        <v>42</v>
      </c>
      <c r="H16" s="50">
        <f t="shared" si="11"/>
        <v>21</v>
      </c>
      <c r="I16" s="50">
        <f t="shared" si="11"/>
        <v>10.5</v>
      </c>
      <c r="S16" s="44">
        <v>43525</v>
      </c>
      <c r="T16" s="45">
        <v>17.597999999999999</v>
      </c>
      <c r="U16" s="47">
        <f t="shared" si="10"/>
        <v>2.9122807017543773E-2</v>
      </c>
      <c r="X16" s="44">
        <v>42614</v>
      </c>
      <c r="Y16" s="45">
        <v>113.540001</v>
      </c>
      <c r="Z16" s="47">
        <f t="shared" si="4"/>
        <v>8.6168695034201104E-3</v>
      </c>
      <c r="AC16" s="44">
        <v>42614</v>
      </c>
      <c r="AD16" s="45">
        <v>48.610000999999997</v>
      </c>
      <c r="AE16" s="47">
        <f t="shared" si="5"/>
        <v>1.6520305311584993E-2</v>
      </c>
      <c r="AH16" s="44">
        <v>42614</v>
      </c>
      <c r="AI16" s="45">
        <v>55.599997999999999</v>
      </c>
      <c r="AJ16" s="47">
        <f t="shared" si="6"/>
        <v>1.6081816226575008E-2</v>
      </c>
      <c r="AM16" s="44">
        <v>42614</v>
      </c>
      <c r="AN16" s="45">
        <v>22.18</v>
      </c>
      <c r="AO16" s="47">
        <f t="shared" si="7"/>
        <v>7.5967788881342813E-2</v>
      </c>
      <c r="AR16" s="44">
        <v>42614</v>
      </c>
      <c r="AS16" s="45">
        <v>837.30999799999995</v>
      </c>
      <c r="AT16" s="47">
        <f t="shared" si="8"/>
        <v>8.8603187103185155E-2</v>
      </c>
      <c r="AW16" s="44">
        <v>42614</v>
      </c>
      <c r="AX16" s="45">
        <v>42.919998</v>
      </c>
      <c r="AY16" s="47">
        <f t="shared" si="9"/>
        <v>3.7717528101607334E-2</v>
      </c>
    </row>
    <row r="17" spans="1:52" x14ac:dyDescent="0.35">
      <c r="K17" s="9" t="s">
        <v>38</v>
      </c>
      <c r="L17" s="10"/>
      <c r="M17" s="10"/>
      <c r="N17" s="10"/>
      <c r="O17" s="10"/>
      <c r="P17" s="10"/>
      <c r="Q17" s="28" t="s">
        <v>39</v>
      </c>
      <c r="S17" s="44">
        <v>43556</v>
      </c>
      <c r="T17" s="45">
        <v>18.77</v>
      </c>
      <c r="U17" s="47">
        <f t="shared" si="10"/>
        <v>6.6598477099670372E-2</v>
      </c>
      <c r="X17" s="44">
        <v>42644</v>
      </c>
      <c r="Y17" s="45">
        <v>112.43</v>
      </c>
      <c r="Z17" s="47">
        <f t="shared" si="4"/>
        <v>-9.7762990155336738E-3</v>
      </c>
      <c r="AC17" s="44">
        <v>42644</v>
      </c>
      <c r="AD17" s="45">
        <v>46.990001999999997</v>
      </c>
      <c r="AE17" s="47">
        <f t="shared" si="5"/>
        <v>-3.3326454776250625E-2</v>
      </c>
      <c r="AH17" s="44">
        <v>42644</v>
      </c>
      <c r="AI17" s="45">
        <v>53.630001</v>
      </c>
      <c r="AJ17" s="47">
        <f t="shared" si="6"/>
        <v>-3.5431601993942463E-2</v>
      </c>
      <c r="AM17" s="44">
        <v>42644</v>
      </c>
      <c r="AN17" s="45">
        <v>19.917000000000002</v>
      </c>
      <c r="AO17" s="47">
        <f t="shared" si="7"/>
        <v>-0.10202885482416579</v>
      </c>
      <c r="AR17" s="44">
        <v>42644</v>
      </c>
      <c r="AS17" s="45">
        <v>789.82000700000003</v>
      </c>
      <c r="AT17" s="47">
        <f t="shared" si="8"/>
        <v>-5.6717334217236903E-2</v>
      </c>
      <c r="AW17" s="44">
        <v>42644</v>
      </c>
      <c r="AX17" s="45">
        <v>41.450001</v>
      </c>
      <c r="AY17" s="47">
        <f t="shared" si="9"/>
        <v>-3.4249698706882548E-2</v>
      </c>
    </row>
    <row r="18" spans="1:52" x14ac:dyDescent="0.35">
      <c r="A18" s="51" t="s">
        <v>40</v>
      </c>
      <c r="B18" s="52"/>
      <c r="K18" s="15" t="s">
        <v>41</v>
      </c>
      <c r="L18" s="15" t="s">
        <v>42</v>
      </c>
      <c r="M18" s="15"/>
      <c r="N18" s="15"/>
      <c r="O18" s="15"/>
      <c r="P18" s="15"/>
      <c r="Q18" s="53" t="s">
        <v>43</v>
      </c>
      <c r="S18" s="44">
        <v>43586</v>
      </c>
      <c r="T18" s="45">
        <v>17.010000000000002</v>
      </c>
      <c r="U18" s="47">
        <f t="shared" si="10"/>
        <v>-9.3766648907831596E-2</v>
      </c>
      <c r="X18" s="44">
        <v>42675</v>
      </c>
      <c r="Y18" s="45">
        <v>111.80999799999999</v>
      </c>
      <c r="Z18" s="47">
        <f t="shared" si="4"/>
        <v>-5.5145601707730085E-3</v>
      </c>
      <c r="AC18" s="44">
        <v>42675</v>
      </c>
      <c r="AD18" s="45">
        <v>48.060001</v>
      </c>
      <c r="AE18" s="47">
        <f t="shared" si="5"/>
        <v>2.27707800480621E-2</v>
      </c>
      <c r="AH18" s="44">
        <v>42675</v>
      </c>
      <c r="AI18" s="45">
        <v>55.32</v>
      </c>
      <c r="AJ18" s="47">
        <f t="shared" si="6"/>
        <v>3.1512194079578615E-2</v>
      </c>
      <c r="AM18" s="44">
        <v>42675</v>
      </c>
      <c r="AN18" s="45">
        <v>20.110001</v>
      </c>
      <c r="AO18" s="47">
        <f t="shared" si="7"/>
        <v>9.6902645980820878E-3</v>
      </c>
      <c r="AR18" s="44">
        <v>42675</v>
      </c>
      <c r="AS18" s="45">
        <v>750.57000700000003</v>
      </c>
      <c r="AT18" s="47">
        <f t="shared" si="8"/>
        <v>-4.9694866744493638E-2</v>
      </c>
      <c r="AW18" s="44">
        <v>42675</v>
      </c>
      <c r="AX18" s="45">
        <v>41.669998</v>
      </c>
      <c r="AY18" s="47">
        <f t="shared" si="9"/>
        <v>5.3075270130873431E-3</v>
      </c>
    </row>
    <row r="19" spans="1:52" x14ac:dyDescent="0.35">
      <c r="A19" t="s">
        <v>44</v>
      </c>
      <c r="C19" s="54">
        <f>+C16*1000000</f>
        <v>84000000</v>
      </c>
      <c r="D19" s="54">
        <f t="shared" ref="D19:I19" si="12">+D16*1000000</f>
        <v>168000000</v>
      </c>
      <c r="E19" s="54">
        <f t="shared" si="12"/>
        <v>168000000</v>
      </c>
      <c r="F19" s="54">
        <f t="shared" si="12"/>
        <v>84000000</v>
      </c>
      <c r="G19" s="54">
        <f t="shared" si="12"/>
        <v>42000000</v>
      </c>
      <c r="H19" s="54">
        <f t="shared" si="12"/>
        <v>21000000</v>
      </c>
      <c r="I19" s="54">
        <f t="shared" si="12"/>
        <v>10500000</v>
      </c>
      <c r="K19" s="15" t="s">
        <v>45</v>
      </c>
      <c r="L19" s="15" t="s">
        <v>46</v>
      </c>
      <c r="M19" s="15"/>
      <c r="N19" s="15"/>
      <c r="O19" s="15"/>
      <c r="P19" s="15"/>
      <c r="Q19" s="55">
        <f>+AA7</f>
        <v>0.13849397211263514</v>
      </c>
      <c r="S19" s="44">
        <v>43617</v>
      </c>
      <c r="T19" s="45">
        <v>18.239000000000001</v>
      </c>
      <c r="U19" s="47">
        <f t="shared" si="10"/>
        <v>7.2251616696061172E-2</v>
      </c>
      <c r="X19" s="44">
        <v>42705</v>
      </c>
      <c r="Y19" s="45">
        <v>108.849998</v>
      </c>
      <c r="Z19" s="47">
        <f t="shared" si="4"/>
        <v>-2.6473482273025262E-2</v>
      </c>
      <c r="AC19" s="44">
        <v>42705</v>
      </c>
      <c r="AD19" s="45">
        <v>47.18</v>
      </c>
      <c r="AE19" s="47">
        <f t="shared" si="5"/>
        <v>-1.8310465703069823E-2</v>
      </c>
      <c r="AH19" s="44">
        <v>42705</v>
      </c>
      <c r="AI19" s="45">
        <v>54.540000999999997</v>
      </c>
      <c r="AJ19" s="47">
        <f t="shared" si="6"/>
        <v>-1.4099765003615428E-2</v>
      </c>
      <c r="AM19" s="44">
        <v>42705</v>
      </c>
      <c r="AN19" s="45">
        <v>20.049999</v>
      </c>
      <c r="AO19" s="47">
        <f t="shared" si="7"/>
        <v>-2.9836895582452394E-3</v>
      </c>
      <c r="AR19" s="44">
        <v>42705</v>
      </c>
      <c r="AS19" s="45">
        <v>749.86999500000002</v>
      </c>
      <c r="AT19" s="47">
        <f t="shared" si="8"/>
        <v>-9.3264051783514823E-4</v>
      </c>
      <c r="AW19" s="44">
        <v>42705</v>
      </c>
      <c r="AX19" s="45">
        <v>42.869999</v>
      </c>
      <c r="AY19" s="47">
        <f t="shared" si="9"/>
        <v>2.8797721564565393E-2</v>
      </c>
    </row>
    <row r="20" spans="1:52" x14ac:dyDescent="0.35">
      <c r="A20" t="s">
        <v>47</v>
      </c>
      <c r="B20" s="56">
        <f>1-+'[1]Financial Model'!R14</f>
        <v>0.48772515860172316</v>
      </c>
      <c r="C20" s="54">
        <f t="shared" ref="C20:I20" si="13">-$B$20*C19</f>
        <v>-40968913.322544746</v>
      </c>
      <c r="D20" s="54">
        <f t="shared" si="13"/>
        <v>-81937826.645089492</v>
      </c>
      <c r="E20" s="54">
        <f t="shared" si="13"/>
        <v>-81937826.645089492</v>
      </c>
      <c r="F20" s="54">
        <f t="shared" si="13"/>
        <v>-40968913.322544746</v>
      </c>
      <c r="G20" s="54">
        <f t="shared" si="13"/>
        <v>-20484456.661272373</v>
      </c>
      <c r="H20" s="54">
        <f t="shared" si="13"/>
        <v>-10242228.330636187</v>
      </c>
      <c r="I20" s="54">
        <f t="shared" si="13"/>
        <v>-5121114.1653180933</v>
      </c>
      <c r="K20" s="15" t="s">
        <v>48</v>
      </c>
      <c r="L20" s="15" t="s">
        <v>49</v>
      </c>
      <c r="M20" s="15"/>
      <c r="N20" s="15"/>
      <c r="O20" s="15"/>
      <c r="P20" s="15"/>
      <c r="Q20" s="55">
        <f>+AF7</f>
        <v>0.16655575570159539</v>
      </c>
      <c r="S20" s="44">
        <v>43647</v>
      </c>
      <c r="T20" s="45">
        <v>18.261998999999999</v>
      </c>
      <c r="U20" s="47">
        <f t="shared" si="10"/>
        <v>1.2609792203519543E-3</v>
      </c>
      <c r="X20" s="44">
        <v>42736</v>
      </c>
      <c r="Y20" s="45">
        <v>117.16999800000001</v>
      </c>
      <c r="Z20" s="47">
        <f t="shared" si="4"/>
        <v>7.6435463048883268E-2</v>
      </c>
      <c r="AC20" s="44">
        <v>42736</v>
      </c>
      <c r="AD20" s="45">
        <v>49.029998999999997</v>
      </c>
      <c r="AE20" s="47">
        <f t="shared" si="5"/>
        <v>3.9211509114031262E-2</v>
      </c>
      <c r="AH20" s="44">
        <v>42736</v>
      </c>
      <c r="AI20" s="45">
        <v>56.139999000000003</v>
      </c>
      <c r="AJ20" s="47">
        <f t="shared" si="6"/>
        <v>2.933622975181116E-2</v>
      </c>
      <c r="AM20" s="44">
        <v>42736</v>
      </c>
      <c r="AN20" s="45">
        <v>22.091000000000001</v>
      </c>
      <c r="AO20" s="47">
        <f t="shared" si="7"/>
        <v>0.1017955661743426</v>
      </c>
      <c r="AR20" s="44">
        <v>42736</v>
      </c>
      <c r="AS20" s="45">
        <v>823.47997999999995</v>
      </c>
      <c r="AT20" s="47">
        <f t="shared" si="8"/>
        <v>9.8163662355899461E-2</v>
      </c>
      <c r="AW20" s="44">
        <v>42736</v>
      </c>
      <c r="AX20" s="45">
        <v>50.82</v>
      </c>
      <c r="AY20" s="47">
        <f t="shared" si="9"/>
        <v>0.1854443943420665</v>
      </c>
    </row>
    <row r="21" spans="1:52" x14ac:dyDescent="0.35">
      <c r="A21" t="s">
        <v>50</v>
      </c>
      <c r="B21" s="57">
        <v>0.1</v>
      </c>
      <c r="C21" s="54">
        <f t="shared" ref="C21:I21" si="14">-$B$21*C19</f>
        <v>-8400000</v>
      </c>
      <c r="D21" s="54">
        <f t="shared" si="14"/>
        <v>-16800000</v>
      </c>
      <c r="E21" s="54">
        <f t="shared" si="14"/>
        <v>-16800000</v>
      </c>
      <c r="F21" s="54">
        <f t="shared" si="14"/>
        <v>-8400000</v>
      </c>
      <c r="G21" s="54">
        <f t="shared" si="14"/>
        <v>-4200000</v>
      </c>
      <c r="H21" s="54">
        <f t="shared" si="14"/>
        <v>-2100000</v>
      </c>
      <c r="I21" s="54">
        <f t="shared" si="14"/>
        <v>-1050000</v>
      </c>
      <c r="K21" s="15" t="s">
        <v>51</v>
      </c>
      <c r="L21" s="15" t="s">
        <v>52</v>
      </c>
      <c r="M21" s="15"/>
      <c r="N21" s="15"/>
      <c r="O21" s="15"/>
      <c r="P21" s="15"/>
      <c r="Q21" s="55">
        <f>+AK7</f>
        <v>0.1787799059921337</v>
      </c>
      <c r="S21" s="44">
        <v>43678</v>
      </c>
      <c r="T21" s="45">
        <v>17.527999999999999</v>
      </c>
      <c r="U21" s="47">
        <f t="shared" si="10"/>
        <v>-4.0192697414998202E-2</v>
      </c>
      <c r="X21" s="44">
        <v>42767</v>
      </c>
      <c r="Y21" s="45">
        <v>122.790001</v>
      </c>
      <c r="Z21" s="47">
        <f t="shared" si="4"/>
        <v>4.7964522453947556E-2</v>
      </c>
      <c r="AC21" s="44">
        <v>42767</v>
      </c>
      <c r="AD21" s="45">
        <v>50.490001999999997</v>
      </c>
      <c r="AE21" s="47">
        <f t="shared" si="5"/>
        <v>2.9777748924693981E-2</v>
      </c>
      <c r="AH21" s="44">
        <v>42767</v>
      </c>
      <c r="AI21" s="45">
        <v>58.18</v>
      </c>
      <c r="AJ21" s="47">
        <f t="shared" si="6"/>
        <v>3.6337745570675928E-2</v>
      </c>
      <c r="AM21" s="44">
        <v>42767</v>
      </c>
      <c r="AN21" s="45">
        <v>23.125</v>
      </c>
      <c r="AO21" s="47">
        <f t="shared" si="7"/>
        <v>4.6806391743243747E-2</v>
      </c>
      <c r="AR21" s="44">
        <v>42767</v>
      </c>
      <c r="AS21" s="45">
        <v>845.03997800000002</v>
      </c>
      <c r="AT21" s="47">
        <f t="shared" si="8"/>
        <v>2.6181569101412894E-2</v>
      </c>
      <c r="AW21" s="44">
        <v>42767</v>
      </c>
      <c r="AX21" s="45">
        <v>59.209999000000003</v>
      </c>
      <c r="AY21" s="47">
        <f t="shared" si="9"/>
        <v>0.16509246359700902</v>
      </c>
    </row>
    <row r="22" spans="1:52" ht="15" thickBot="1" x14ac:dyDescent="0.4">
      <c r="A22" t="s">
        <v>53</v>
      </c>
      <c r="C22" s="58">
        <f>SUM(C19:C21)</f>
        <v>34631086.677455254</v>
      </c>
      <c r="D22" s="58">
        <f t="shared" ref="D22:I22" si="15">SUM(D19:D21)</f>
        <v>69262173.354910508</v>
      </c>
      <c r="E22" s="58">
        <f t="shared" si="15"/>
        <v>69262173.354910508</v>
      </c>
      <c r="F22" s="58">
        <f t="shared" si="15"/>
        <v>34631086.677455254</v>
      </c>
      <c r="G22" s="58">
        <f t="shared" si="15"/>
        <v>17315543.338727627</v>
      </c>
      <c r="H22" s="58">
        <f t="shared" si="15"/>
        <v>8657771.6693638135</v>
      </c>
      <c r="I22" s="58">
        <f t="shared" si="15"/>
        <v>4328885.8346819067</v>
      </c>
      <c r="K22" s="15" t="s">
        <v>54</v>
      </c>
      <c r="L22" s="15" t="s">
        <v>55</v>
      </c>
      <c r="M22" s="15"/>
      <c r="N22" s="15"/>
      <c r="O22" s="15"/>
      <c r="P22" s="15"/>
      <c r="Q22" s="55">
        <f>+AP7</f>
        <v>0.4793188985688705</v>
      </c>
      <c r="S22" s="44">
        <v>43709</v>
      </c>
      <c r="T22" s="45">
        <v>17.190000999999999</v>
      </c>
      <c r="U22" s="47">
        <f t="shared" si="10"/>
        <v>-1.9283375171154749E-2</v>
      </c>
      <c r="X22" s="44">
        <v>42795</v>
      </c>
      <c r="Y22" s="45">
        <v>126.470001</v>
      </c>
      <c r="Z22" s="47">
        <f t="shared" si="4"/>
        <v>2.9969867008959428E-2</v>
      </c>
      <c r="AC22" s="44">
        <v>42795</v>
      </c>
      <c r="AD22" s="45">
        <v>51.560001</v>
      </c>
      <c r="AE22" s="47">
        <f t="shared" si="5"/>
        <v>2.1192294664595268E-2</v>
      </c>
      <c r="AH22" s="44">
        <v>42795</v>
      </c>
      <c r="AI22" s="45">
        <v>58.939999</v>
      </c>
      <c r="AJ22" s="47">
        <f t="shared" si="6"/>
        <v>1.3062891027844525E-2</v>
      </c>
      <c r="AM22" s="44">
        <v>42795</v>
      </c>
      <c r="AN22" s="45">
        <v>23.959999</v>
      </c>
      <c r="AO22" s="47">
        <f t="shared" si="7"/>
        <v>3.6108064864864842E-2</v>
      </c>
      <c r="AR22" s="44">
        <v>42795</v>
      </c>
      <c r="AS22" s="45">
        <v>886.53997800000002</v>
      </c>
      <c r="AT22" s="47">
        <f t="shared" si="8"/>
        <v>4.9110102575525616E-2</v>
      </c>
      <c r="AW22" s="44">
        <v>42795</v>
      </c>
      <c r="AX22" s="45">
        <v>68.089995999999999</v>
      </c>
      <c r="AY22" s="47">
        <f t="shared" si="9"/>
        <v>0.14997461830728964</v>
      </c>
    </row>
    <row r="23" spans="1:52" ht="15" thickTop="1" x14ac:dyDescent="0.35">
      <c r="A23" t="s">
        <v>56</v>
      </c>
      <c r="B23" s="41">
        <v>0</v>
      </c>
      <c r="K23" s="15" t="s">
        <v>26</v>
      </c>
      <c r="L23" s="15" t="s">
        <v>57</v>
      </c>
      <c r="M23" s="15"/>
      <c r="N23" s="15"/>
      <c r="O23" s="15"/>
      <c r="P23" s="15"/>
      <c r="Q23" s="55">
        <f>+V7</f>
        <v>0.36200118785417773</v>
      </c>
      <c r="S23" s="44">
        <v>43739</v>
      </c>
      <c r="T23" s="45">
        <v>17.533999999999999</v>
      </c>
      <c r="U23" s="47">
        <f t="shared" si="10"/>
        <v>2.0011575333823473E-2</v>
      </c>
      <c r="X23" s="44">
        <v>42826</v>
      </c>
      <c r="Y23" s="45">
        <v>130.64999399999999</v>
      </c>
      <c r="Z23" s="47">
        <f t="shared" si="4"/>
        <v>3.3051260907319691E-2</v>
      </c>
      <c r="AC23" s="44">
        <v>42826</v>
      </c>
      <c r="AD23" s="45">
        <v>53.439999</v>
      </c>
      <c r="AE23" s="47">
        <f t="shared" si="5"/>
        <v>3.6462334436339505E-2</v>
      </c>
      <c r="AH23" s="44">
        <v>42826</v>
      </c>
      <c r="AI23" s="45">
        <v>59.52</v>
      </c>
      <c r="AJ23" s="47">
        <f t="shared" si="6"/>
        <v>9.8405329121231677E-3</v>
      </c>
      <c r="AM23" s="44">
        <v>42826</v>
      </c>
      <c r="AN23" s="45">
        <v>25.17</v>
      </c>
      <c r="AO23" s="47">
        <f t="shared" si="7"/>
        <v>5.0500878568484175E-2</v>
      </c>
      <c r="AR23" s="44">
        <v>42826</v>
      </c>
      <c r="AS23" s="45">
        <v>924.98999000000003</v>
      </c>
      <c r="AT23" s="47">
        <f t="shared" si="8"/>
        <v>4.3370872102961089E-2</v>
      </c>
      <c r="AW23" s="44">
        <v>42826</v>
      </c>
      <c r="AX23" s="45">
        <v>75.949996999999996</v>
      </c>
      <c r="AY23" s="47">
        <f t="shared" si="9"/>
        <v>0.11543547454460112</v>
      </c>
    </row>
    <row r="24" spans="1:52" ht="15" thickBot="1" x14ac:dyDescent="0.4">
      <c r="A24" t="s">
        <v>58</v>
      </c>
      <c r="B24" s="56"/>
      <c r="C24" s="58">
        <f>+C23+C22</f>
        <v>34631086.677455254</v>
      </c>
      <c r="D24" s="58">
        <f t="shared" ref="D24:I24" si="16">+D23+D22</f>
        <v>69262173.354910508</v>
      </c>
      <c r="E24" s="58">
        <f t="shared" si="16"/>
        <v>69262173.354910508</v>
      </c>
      <c r="F24" s="58">
        <f t="shared" si="16"/>
        <v>34631086.677455254</v>
      </c>
      <c r="G24" s="58">
        <f t="shared" si="16"/>
        <v>17315543.338727627</v>
      </c>
      <c r="H24" s="58">
        <f t="shared" si="16"/>
        <v>8657771.6693638135</v>
      </c>
      <c r="I24" s="58">
        <f t="shared" si="16"/>
        <v>4328885.8346819067</v>
      </c>
      <c r="K24" s="59" t="s">
        <v>59</v>
      </c>
      <c r="L24" s="32"/>
      <c r="M24" s="32"/>
      <c r="N24" s="32"/>
      <c r="O24" s="32"/>
      <c r="P24" s="32"/>
      <c r="Q24" s="60">
        <f>AVERAGE(Q18:Q23)</f>
        <v>0.26502994404588248</v>
      </c>
      <c r="S24" s="44">
        <v>43770</v>
      </c>
      <c r="T24" s="45">
        <v>17.91</v>
      </c>
      <c r="U24" s="47">
        <f t="shared" si="10"/>
        <v>2.1444051556975152E-2</v>
      </c>
      <c r="X24" s="44">
        <v>42856</v>
      </c>
      <c r="Y24" s="45">
        <v>138.529999</v>
      </c>
      <c r="Z24" s="47">
        <f t="shared" si="4"/>
        <v>6.0313856577750791E-2</v>
      </c>
      <c r="AC24" s="44">
        <v>42856</v>
      </c>
      <c r="AD24" s="45">
        <v>56.540000999999997</v>
      </c>
      <c r="AE24" s="47">
        <f t="shared" si="5"/>
        <v>5.8009020546575973E-2</v>
      </c>
      <c r="AH24" s="44">
        <v>42856</v>
      </c>
      <c r="AI24" s="45">
        <v>62.459999000000003</v>
      </c>
      <c r="AJ24" s="47">
        <f t="shared" si="6"/>
        <v>4.9395144489247311E-2</v>
      </c>
      <c r="AM24" s="44">
        <v>42856</v>
      </c>
      <c r="AN24" s="45">
        <v>28.35</v>
      </c>
      <c r="AO24" s="47">
        <f t="shared" si="7"/>
        <v>0.12634088200238369</v>
      </c>
      <c r="AR24" s="44">
        <v>42856</v>
      </c>
      <c r="AS24" s="45">
        <v>994.61999500000002</v>
      </c>
      <c r="AT24" s="47">
        <f t="shared" si="8"/>
        <v>7.5276495694834411E-2</v>
      </c>
      <c r="AW24" s="44">
        <v>42856</v>
      </c>
      <c r="AX24" s="45">
        <v>91.860000999999997</v>
      </c>
      <c r="AY24" s="47">
        <f t="shared" si="9"/>
        <v>0.20947998194127648</v>
      </c>
    </row>
    <row r="25" spans="1:52" ht="15" thickTop="1" x14ac:dyDescent="0.35">
      <c r="A25" t="s">
        <v>60</v>
      </c>
      <c r="B25" s="61">
        <v>0.25</v>
      </c>
      <c r="C25" s="13">
        <f t="shared" ref="C25:I25" si="17">+C24/(1+$B$25)^C3</f>
        <v>27704869.341964204</v>
      </c>
      <c r="D25" s="13">
        <f t="shared" si="17"/>
        <v>44327790.947142728</v>
      </c>
      <c r="E25" s="13">
        <f t="shared" si="17"/>
        <v>35462232.757714182</v>
      </c>
      <c r="F25" s="13">
        <f t="shared" si="17"/>
        <v>14184893.103085672</v>
      </c>
      <c r="G25" s="13">
        <f t="shared" si="17"/>
        <v>5673957.241234269</v>
      </c>
      <c r="H25" s="13">
        <f t="shared" si="17"/>
        <v>2269582.8964937073</v>
      </c>
      <c r="I25" s="13">
        <f t="shared" si="17"/>
        <v>907833.15859748295</v>
      </c>
      <c r="Q25" s="5"/>
      <c r="S25" s="44">
        <v>43800</v>
      </c>
      <c r="T25" s="45">
        <v>18.405999999999999</v>
      </c>
      <c r="U25" s="47">
        <f t="shared" si="10"/>
        <v>2.7694025683975276E-2</v>
      </c>
      <c r="V25" s="62">
        <f>+T25/T13-1</f>
        <v>0.3251259899208061</v>
      </c>
      <c r="W25" s="63"/>
      <c r="X25" s="44">
        <v>42887</v>
      </c>
      <c r="Y25" s="45">
        <v>136.779999</v>
      </c>
      <c r="Z25" s="47">
        <f t="shared" si="4"/>
        <v>-1.2632642840053721E-2</v>
      </c>
      <c r="AA25" s="62">
        <f>+Y25/Y13-1</f>
        <v>0.3005610117060189</v>
      </c>
      <c r="AC25" s="44">
        <v>42887</v>
      </c>
      <c r="AD25" s="45">
        <v>56.060001</v>
      </c>
      <c r="AE25" s="47">
        <f t="shared" si="5"/>
        <v>-8.4895647596467949E-3</v>
      </c>
      <c r="AF25" s="62">
        <f>+AD25/AD13-1</f>
        <v>0.27004989284209091</v>
      </c>
      <c r="AH25" s="44">
        <v>42887</v>
      </c>
      <c r="AI25" s="45">
        <v>62.799999</v>
      </c>
      <c r="AJ25" s="47">
        <f t="shared" si="6"/>
        <v>5.443483916802494E-3</v>
      </c>
      <c r="AK25" s="62">
        <f>+AI25/AI13-1</f>
        <v>0.24430350219331265</v>
      </c>
      <c r="AM25" s="44">
        <v>42887</v>
      </c>
      <c r="AN25" s="45">
        <v>28.950001</v>
      </c>
      <c r="AO25" s="47">
        <f t="shared" si="7"/>
        <v>2.1164056437389833E-2</v>
      </c>
      <c r="AP25" s="62">
        <f>+AN25/AN13-1</f>
        <v>0.50077757901619591</v>
      </c>
      <c r="AR25" s="44">
        <v>42887</v>
      </c>
      <c r="AS25" s="45">
        <v>968</v>
      </c>
      <c r="AT25" s="47">
        <f t="shared" si="8"/>
        <v>-2.6763985375138133E-2</v>
      </c>
      <c r="AU25" s="62">
        <f>+AS25/AS13-1</f>
        <v>0.35267321590140854</v>
      </c>
      <c r="AW25" s="44">
        <v>42887</v>
      </c>
      <c r="AX25" s="45">
        <v>86.900002000000001</v>
      </c>
      <c r="AY25" s="47">
        <f t="shared" si="9"/>
        <v>-5.3995198628399743E-2</v>
      </c>
      <c r="AZ25" s="62">
        <f>+AX25/AX13-1</f>
        <v>1.8250975942782834</v>
      </c>
    </row>
    <row r="26" spans="1:52" x14ac:dyDescent="0.35">
      <c r="A26" t="s">
        <v>61</v>
      </c>
      <c r="C26" s="54">
        <f>SUM(C25:I25)</f>
        <v>130531159.44623224</v>
      </c>
      <c r="K26" s="9" t="s">
        <v>62</v>
      </c>
      <c r="L26" s="10"/>
      <c r="M26" s="10"/>
      <c r="N26" s="10"/>
      <c r="O26" s="10"/>
      <c r="P26" s="10"/>
      <c r="Q26" s="28" t="s">
        <v>39</v>
      </c>
      <c r="S26" s="44">
        <v>43831</v>
      </c>
      <c r="T26" s="45">
        <v>18.752001</v>
      </c>
      <c r="U26" s="47">
        <f t="shared" si="10"/>
        <v>1.8798272302510188E-2</v>
      </c>
      <c r="V26" s="62">
        <f t="shared" ref="V26:V43" si="18">+T26/T14-1</f>
        <v>0.16111461300309604</v>
      </c>
      <c r="W26" s="63"/>
      <c r="X26" s="44">
        <v>42917</v>
      </c>
      <c r="Y26" s="45">
        <v>142.14999399999999</v>
      </c>
      <c r="Z26" s="47">
        <f t="shared" si="4"/>
        <v>3.9260089481357507E-2</v>
      </c>
      <c r="AA26" s="62">
        <f t="shared" ref="AA26:AA72" si="19">+Y26/Y14-1</f>
        <v>0.28910853239616929</v>
      </c>
      <c r="AC26" s="44">
        <v>42917</v>
      </c>
      <c r="AD26" s="45">
        <v>58.299999</v>
      </c>
      <c r="AE26" s="47">
        <f t="shared" si="5"/>
        <v>3.9957152337546376E-2</v>
      </c>
      <c r="AF26" s="62">
        <f t="shared" ref="AF26:AF72" si="20">+AD26/AD14-1</f>
        <v>0.24360063473548133</v>
      </c>
      <c r="AH26" s="44">
        <v>42917</v>
      </c>
      <c r="AI26" s="45">
        <v>64.089995999999999</v>
      </c>
      <c r="AJ26" s="47">
        <f t="shared" si="6"/>
        <v>2.0541353830276332E-2</v>
      </c>
      <c r="AK26" s="62">
        <f t="shared" ref="AK26:AK72" si="21">+AI26/AI14-1</f>
        <v>0.19037882615155999</v>
      </c>
      <c r="AM26" s="44">
        <v>42917</v>
      </c>
      <c r="AN26" s="45">
        <v>29.622</v>
      </c>
      <c r="AO26" s="47">
        <f t="shared" si="7"/>
        <v>2.3212399889036339E-2</v>
      </c>
      <c r="AP26" s="62">
        <f t="shared" ref="AP26:AP72" si="22">+AN26/AN14-1</f>
        <v>0.43865954346770275</v>
      </c>
      <c r="AR26" s="44">
        <v>42917</v>
      </c>
      <c r="AS26" s="45">
        <v>987.78002900000001</v>
      </c>
      <c r="AT26" s="47">
        <f t="shared" si="8"/>
        <v>2.0433914256198449E-2</v>
      </c>
      <c r="AU26" s="62">
        <f t="shared" ref="AU26:AU72" si="23">+AS26/AS14-1</f>
        <v>0.30174883251867768</v>
      </c>
      <c r="AW26" s="44">
        <v>42917</v>
      </c>
      <c r="AX26" s="45">
        <v>92.370002999999997</v>
      </c>
      <c r="AY26" s="47">
        <f t="shared" si="9"/>
        <v>6.2945924903430983E-2</v>
      </c>
      <c r="AZ26" s="62">
        <f t="shared" ref="AZ26:AZ73" si="24">+AX26/AX14-1</f>
        <v>1.6953604610446451</v>
      </c>
    </row>
    <row r="27" spans="1:52" x14ac:dyDescent="0.35">
      <c r="K27" s="15" t="s">
        <v>27</v>
      </c>
      <c r="L27" s="15" t="s">
        <v>63</v>
      </c>
      <c r="M27" s="15"/>
      <c r="N27" s="15"/>
      <c r="O27" s="15"/>
      <c r="P27" s="15"/>
      <c r="Q27" s="55">
        <f>+AU7</f>
        <v>0.30317405403280995</v>
      </c>
      <c r="S27" s="44">
        <v>43862</v>
      </c>
      <c r="T27" s="45">
        <v>17.219999000000001</v>
      </c>
      <c r="U27" s="47">
        <f t="shared" si="10"/>
        <v>-8.1698054516955221E-2</v>
      </c>
      <c r="V27" s="62">
        <f t="shared" si="18"/>
        <v>7.0174853801170389E-3</v>
      </c>
      <c r="W27" s="63"/>
      <c r="X27" s="44">
        <v>42948</v>
      </c>
      <c r="Y27" s="45">
        <v>147.30999800000001</v>
      </c>
      <c r="Z27" s="47">
        <f t="shared" si="4"/>
        <v>3.6299713104455122E-2</v>
      </c>
      <c r="AA27" s="62">
        <f t="shared" si="19"/>
        <v>0.30860795949187181</v>
      </c>
      <c r="AC27" s="44">
        <v>42948</v>
      </c>
      <c r="AD27" s="45">
        <v>60.080002</v>
      </c>
      <c r="AE27" s="47">
        <f t="shared" si="5"/>
        <v>3.0531784400202211E-2</v>
      </c>
      <c r="AF27" s="62">
        <f t="shared" si="20"/>
        <v>0.25637812630698442</v>
      </c>
      <c r="AH27" s="44">
        <v>42948</v>
      </c>
      <c r="AI27" s="45">
        <v>64.760002</v>
      </c>
      <c r="AJ27" s="47">
        <f t="shared" si="6"/>
        <v>1.0454143264418292E-2</v>
      </c>
      <c r="AK27" s="62">
        <f t="shared" si="21"/>
        <v>0.1834795470855346</v>
      </c>
      <c r="AM27" s="44">
        <v>42948</v>
      </c>
      <c r="AN27" s="45">
        <v>34.141998000000001</v>
      </c>
      <c r="AO27" s="47">
        <f t="shared" si="7"/>
        <v>0.15258922422523802</v>
      </c>
      <c r="AP27" s="62">
        <f t="shared" si="22"/>
        <v>0.65625293489861258</v>
      </c>
      <c r="AR27" s="44">
        <v>42948</v>
      </c>
      <c r="AS27" s="45">
        <v>980.59997599999997</v>
      </c>
      <c r="AT27" s="47">
        <f t="shared" si="8"/>
        <v>-7.2688784842804832E-3</v>
      </c>
      <c r="AU27" s="62">
        <f t="shared" si="23"/>
        <v>0.27489730410087265</v>
      </c>
      <c r="AW27" s="44">
        <v>42948</v>
      </c>
      <c r="AX27" s="45">
        <v>110.91999800000001</v>
      </c>
      <c r="AY27" s="47">
        <f t="shared" si="9"/>
        <v>0.20082271730574708</v>
      </c>
      <c r="AZ27" s="62">
        <f t="shared" si="24"/>
        <v>1.6818180686214204</v>
      </c>
    </row>
    <row r="28" spans="1:52" x14ac:dyDescent="0.35">
      <c r="A28" s="64" t="s">
        <v>64</v>
      </c>
      <c r="B28" s="65"/>
      <c r="C28" s="64"/>
      <c r="D28" s="64"/>
      <c r="E28" s="64"/>
      <c r="F28" s="64"/>
      <c r="G28" s="64"/>
      <c r="H28" s="64"/>
      <c r="I28" s="64"/>
      <c r="K28" s="15" t="s">
        <v>28</v>
      </c>
      <c r="L28" s="15" t="s">
        <v>65</v>
      </c>
      <c r="M28" s="15"/>
      <c r="N28" s="15"/>
      <c r="O28" s="15"/>
      <c r="P28" s="15"/>
      <c r="Q28" s="55">
        <f>+AZ7</f>
        <v>0.59250176041170866</v>
      </c>
      <c r="S28" s="44">
        <v>43891</v>
      </c>
      <c r="T28" s="45">
        <v>15.12</v>
      </c>
      <c r="U28" s="47">
        <f t="shared" si="10"/>
        <v>-0.12195116852213539</v>
      </c>
      <c r="V28" s="62">
        <f t="shared" si="18"/>
        <v>-0.14081145584725541</v>
      </c>
      <c r="W28" s="63"/>
      <c r="X28" s="44">
        <v>42979</v>
      </c>
      <c r="Y28" s="45">
        <v>146.259995</v>
      </c>
      <c r="Z28" s="47">
        <f t="shared" si="4"/>
        <v>-7.1278461357389133E-3</v>
      </c>
      <c r="AA28" s="62">
        <f t="shared" si="19"/>
        <v>0.28818032157671025</v>
      </c>
      <c r="AC28" s="44">
        <v>42979</v>
      </c>
      <c r="AD28" s="45">
        <v>61.830002</v>
      </c>
      <c r="AE28" s="47">
        <f t="shared" si="5"/>
        <v>2.9127828590951088E-2</v>
      </c>
      <c r="AF28" s="62">
        <f t="shared" si="20"/>
        <v>0.27196051693148493</v>
      </c>
      <c r="AH28" s="44">
        <v>42979</v>
      </c>
      <c r="AI28" s="45">
        <v>65.720000999999996</v>
      </c>
      <c r="AJ28" s="47">
        <f t="shared" si="6"/>
        <v>1.4823949511304724E-2</v>
      </c>
      <c r="AK28" s="62">
        <f t="shared" si="21"/>
        <v>0.18201444899332553</v>
      </c>
      <c r="AM28" s="44">
        <v>42979</v>
      </c>
      <c r="AN28" s="45">
        <v>34.287998000000002</v>
      </c>
      <c r="AO28" s="47">
        <f t="shared" si="7"/>
        <v>4.276258231870278E-3</v>
      </c>
      <c r="AP28" s="62">
        <f t="shared" si="22"/>
        <v>0.54589711451758349</v>
      </c>
      <c r="AR28" s="44">
        <v>42979</v>
      </c>
      <c r="AS28" s="45">
        <v>961.34997599999997</v>
      </c>
      <c r="AT28" s="47">
        <f t="shared" si="8"/>
        <v>-1.9630838742749512E-2</v>
      </c>
      <c r="AU28" s="62">
        <f t="shared" si="23"/>
        <v>0.14814104488932678</v>
      </c>
      <c r="AW28" s="44">
        <v>42979</v>
      </c>
      <c r="AX28" s="45">
        <v>116.489998</v>
      </c>
      <c r="AY28" s="47">
        <f t="shared" si="9"/>
        <v>5.0216373065567366E-2</v>
      </c>
      <c r="AZ28" s="62">
        <f t="shared" si="24"/>
        <v>1.714119371580586</v>
      </c>
    </row>
    <row r="29" spans="1:52" ht="15" thickBot="1" x14ac:dyDescent="0.4">
      <c r="A29" s="66" t="s">
        <v>66</v>
      </c>
      <c r="B29" s="67">
        <v>7</v>
      </c>
      <c r="C29" t="s">
        <v>67</v>
      </c>
      <c r="K29" s="59" t="s">
        <v>59</v>
      </c>
      <c r="L29" s="32"/>
      <c r="M29" s="32"/>
      <c r="N29" s="32"/>
      <c r="O29" s="32"/>
      <c r="P29" s="32"/>
      <c r="Q29" s="60">
        <f>AVERAGE(Q27:Q28)</f>
        <v>0.4478379072222593</v>
      </c>
      <c r="S29" s="44">
        <v>43922</v>
      </c>
      <c r="T29" s="45">
        <v>18.743998999999999</v>
      </c>
      <c r="U29" s="47">
        <f t="shared" si="10"/>
        <v>0.23968247354497363</v>
      </c>
      <c r="V29" s="62">
        <f t="shared" si="18"/>
        <v>-1.3852424080981196E-3</v>
      </c>
      <c r="W29" s="63"/>
      <c r="X29" s="44">
        <v>43009</v>
      </c>
      <c r="Y29" s="45">
        <v>156.479996</v>
      </c>
      <c r="Z29" s="47">
        <f t="shared" si="4"/>
        <v>6.9875573289880144E-2</v>
      </c>
      <c r="AA29" s="62">
        <f t="shared" si="19"/>
        <v>0.39179930623499049</v>
      </c>
      <c r="AC29" s="44">
        <v>43009</v>
      </c>
      <c r="AD29" s="45">
        <v>65.769997000000004</v>
      </c>
      <c r="AE29" s="47">
        <f t="shared" si="5"/>
        <v>6.3723028829919981E-2</v>
      </c>
      <c r="AF29" s="62">
        <f t="shared" si="20"/>
        <v>0.39965937860568745</v>
      </c>
      <c r="AH29" s="44">
        <v>43009</v>
      </c>
      <c r="AI29" s="45">
        <v>68.839995999999999</v>
      </c>
      <c r="AJ29" s="47">
        <f t="shared" si="6"/>
        <v>4.7474055881405075E-2</v>
      </c>
      <c r="AK29" s="62">
        <f t="shared" si="21"/>
        <v>0.28360982130132717</v>
      </c>
      <c r="AM29" s="44">
        <v>43009</v>
      </c>
      <c r="AN29" s="45">
        <v>35.509998000000003</v>
      </c>
      <c r="AO29" s="47">
        <f t="shared" si="7"/>
        <v>3.563929279277267E-2</v>
      </c>
      <c r="AP29" s="62">
        <f t="shared" si="22"/>
        <v>0.78289893056183169</v>
      </c>
      <c r="AR29" s="44">
        <v>43009</v>
      </c>
      <c r="AS29" s="45">
        <v>1105.280029</v>
      </c>
      <c r="AT29" s="47">
        <f t="shared" si="8"/>
        <v>0.14971660331117542</v>
      </c>
      <c r="AU29" s="62">
        <f t="shared" si="23"/>
        <v>0.39940748424216599</v>
      </c>
      <c r="AW29" s="44">
        <v>43009</v>
      </c>
      <c r="AX29" s="45">
        <v>99.489998</v>
      </c>
      <c r="AY29" s="47">
        <f t="shared" si="9"/>
        <v>-0.14593527591956867</v>
      </c>
      <c r="AZ29" s="62">
        <f t="shared" si="24"/>
        <v>1.4002411483657142</v>
      </c>
    </row>
    <row r="30" spans="1:52" ht="15" thickTop="1" x14ac:dyDescent="0.35">
      <c r="A30" s="66" t="s">
        <v>68</v>
      </c>
      <c r="B30" s="67">
        <v>0</v>
      </c>
      <c r="C30" t="s">
        <v>67</v>
      </c>
      <c r="D30" s="68">
        <f>+B30/B29</f>
        <v>0</v>
      </c>
      <c r="E30" t="s">
        <v>69</v>
      </c>
      <c r="F30" t="s">
        <v>70</v>
      </c>
      <c r="H30" s="69">
        <f>+D42/E15/1000000000000</f>
        <v>5.1379100691924494E-3</v>
      </c>
      <c r="I30" s="3"/>
      <c r="S30" s="44">
        <v>43952</v>
      </c>
      <c r="T30" s="45">
        <v>21.610001</v>
      </c>
      <c r="U30" s="47">
        <f t="shared" si="10"/>
        <v>0.15290237691540653</v>
      </c>
      <c r="V30" s="62">
        <f t="shared" si="18"/>
        <v>0.27042921810699583</v>
      </c>
      <c r="W30" s="63"/>
      <c r="X30" s="44">
        <v>43040</v>
      </c>
      <c r="Y30" s="45">
        <v>155.800003</v>
      </c>
      <c r="Z30" s="47">
        <f t="shared" si="4"/>
        <v>-4.3455586489150599E-3</v>
      </c>
      <c r="AA30" s="62">
        <f t="shared" si="19"/>
        <v>0.39343534376952594</v>
      </c>
      <c r="AC30" s="44">
        <v>43040</v>
      </c>
      <c r="AD30" s="45">
        <v>64.790001000000004</v>
      </c>
      <c r="AE30" s="47">
        <f t="shared" si="5"/>
        <v>-1.4900350383169392E-2</v>
      </c>
      <c r="AF30" s="62">
        <f t="shared" si="20"/>
        <v>0.34810652625662675</v>
      </c>
      <c r="AH30" s="44">
        <v>43040</v>
      </c>
      <c r="AI30" s="45">
        <v>69.790001000000004</v>
      </c>
      <c r="AJ30" s="47">
        <f t="shared" si="6"/>
        <v>1.3800189645565952E-2</v>
      </c>
      <c r="AK30" s="62">
        <f t="shared" si="21"/>
        <v>0.26156907086044834</v>
      </c>
      <c r="AM30" s="44">
        <v>43040</v>
      </c>
      <c r="AN30" s="45">
        <v>37.200001</v>
      </c>
      <c r="AO30" s="47">
        <f t="shared" si="7"/>
        <v>4.7592314705283689E-2</v>
      </c>
      <c r="AP30" s="62">
        <f t="shared" si="22"/>
        <v>0.84982591497633431</v>
      </c>
      <c r="AR30" s="44">
        <v>43040</v>
      </c>
      <c r="AS30" s="45">
        <v>1176.75</v>
      </c>
      <c r="AT30" s="47">
        <f t="shared" si="8"/>
        <v>6.4662320068030521E-2</v>
      </c>
      <c r="AU30" s="62">
        <f t="shared" si="23"/>
        <v>0.56780845094440324</v>
      </c>
      <c r="AW30" s="44">
        <v>43040</v>
      </c>
      <c r="AX30" s="45">
        <v>103.82</v>
      </c>
      <c r="AY30" s="47">
        <f t="shared" si="9"/>
        <v>4.3521982983656171E-2</v>
      </c>
      <c r="AZ30" s="62">
        <f t="shared" si="24"/>
        <v>1.491480801126988</v>
      </c>
    </row>
    <row r="31" spans="1:52" x14ac:dyDescent="0.35">
      <c r="A31" s="66" t="s">
        <v>71</v>
      </c>
      <c r="B31" s="67">
        <v>3</v>
      </c>
      <c r="C31" t="s">
        <v>67</v>
      </c>
      <c r="D31" s="70">
        <v>0.5</v>
      </c>
      <c r="E31" t="s">
        <v>6</v>
      </c>
      <c r="G31" t="s">
        <v>72</v>
      </c>
      <c r="H31" s="71">
        <v>100</v>
      </c>
      <c r="I31" s="3" t="s">
        <v>73</v>
      </c>
      <c r="S31" s="44">
        <v>43983</v>
      </c>
      <c r="T31" s="45">
        <v>23.639999</v>
      </c>
      <c r="U31" s="47">
        <f t="shared" si="10"/>
        <v>9.3937894773813202E-2</v>
      </c>
      <c r="V31" s="62">
        <f t="shared" si="18"/>
        <v>0.2961236361642634</v>
      </c>
      <c r="W31" s="63"/>
      <c r="X31" s="44">
        <v>43070</v>
      </c>
      <c r="Y31" s="45">
        <v>154.570007</v>
      </c>
      <c r="Z31" s="47">
        <f t="shared" si="4"/>
        <v>-7.8947110161480261E-3</v>
      </c>
      <c r="AA31" s="62">
        <f t="shared" si="19"/>
        <v>0.42002765126371444</v>
      </c>
      <c r="AC31" s="44">
        <v>43070</v>
      </c>
      <c r="AD31" s="45">
        <v>63.5</v>
      </c>
      <c r="AE31" s="47">
        <f t="shared" si="5"/>
        <v>-1.9910495139520146E-2</v>
      </c>
      <c r="AF31" s="62">
        <f t="shared" si="20"/>
        <v>0.34590928359474349</v>
      </c>
      <c r="AH31" s="44">
        <v>43070</v>
      </c>
      <c r="AI31" s="45">
        <v>69.440002000000007</v>
      </c>
      <c r="AJ31" s="47">
        <f t="shared" si="6"/>
        <v>-5.0150307348468814E-3</v>
      </c>
      <c r="AK31" s="62">
        <f t="shared" si="21"/>
        <v>0.27319399939138278</v>
      </c>
      <c r="AM31" s="44">
        <v>43070</v>
      </c>
      <c r="AN31" s="45">
        <v>37.080002</v>
      </c>
      <c r="AO31" s="47">
        <f t="shared" si="7"/>
        <v>-3.2257794831779263E-3</v>
      </c>
      <c r="AP31" s="62">
        <f t="shared" si="22"/>
        <v>0.84937675059235662</v>
      </c>
      <c r="AR31" s="44">
        <v>43070</v>
      </c>
      <c r="AS31" s="45">
        <v>1169.469971</v>
      </c>
      <c r="AT31" s="47">
        <f t="shared" si="8"/>
        <v>-6.1865553431059706E-3</v>
      </c>
      <c r="AU31" s="62">
        <f t="shared" si="23"/>
        <v>0.55956362942619142</v>
      </c>
      <c r="AW31" s="44">
        <v>43070</v>
      </c>
      <c r="AX31" s="45">
        <v>101</v>
      </c>
      <c r="AY31" s="47">
        <f t="shared" si="9"/>
        <v>-2.7162396455403526E-2</v>
      </c>
      <c r="AZ31" s="62">
        <f t="shared" si="24"/>
        <v>1.3559599336589674</v>
      </c>
    </row>
    <row r="32" spans="1:52" x14ac:dyDescent="0.35">
      <c r="A32" s="66" t="s">
        <v>74</v>
      </c>
      <c r="B32" s="72">
        <v>30000000</v>
      </c>
      <c r="D32" s="70"/>
      <c r="K32" s="6" t="str">
        <f>+A4</f>
        <v xml:space="preserve">TAM Scenario 1: Online Shops </v>
      </c>
      <c r="L32" s="6"/>
      <c r="M32" s="6"/>
      <c r="N32" s="6"/>
      <c r="S32" s="44">
        <v>44013</v>
      </c>
      <c r="T32" s="45">
        <v>26.43</v>
      </c>
      <c r="U32" s="47">
        <f t="shared" si="10"/>
        <v>0.11802035186211302</v>
      </c>
      <c r="V32" s="62">
        <f t="shared" si="18"/>
        <v>0.44726762935426723</v>
      </c>
      <c r="W32" s="63"/>
      <c r="X32" s="44">
        <v>43101</v>
      </c>
      <c r="Y32" s="45">
        <v>170.16000399999999</v>
      </c>
      <c r="Z32" s="47">
        <f t="shared" si="4"/>
        <v>0.10086042759899705</v>
      </c>
      <c r="AA32" s="62">
        <f t="shared" si="19"/>
        <v>0.4522489280916433</v>
      </c>
      <c r="AC32" s="44">
        <v>43101</v>
      </c>
      <c r="AD32" s="45">
        <v>68.839995999999999</v>
      </c>
      <c r="AE32" s="47">
        <f t="shared" si="5"/>
        <v>8.4094425196850286E-2</v>
      </c>
      <c r="AF32" s="62">
        <f t="shared" si="20"/>
        <v>0.40403829092470511</v>
      </c>
      <c r="AH32" s="44">
        <v>43101</v>
      </c>
      <c r="AI32" s="45">
        <v>74.519997000000004</v>
      </c>
      <c r="AJ32" s="47">
        <f t="shared" si="6"/>
        <v>7.3156607915996208E-2</v>
      </c>
      <c r="AK32" s="62">
        <f t="shared" si="21"/>
        <v>0.32739576643027735</v>
      </c>
      <c r="AM32" s="44">
        <v>43101</v>
      </c>
      <c r="AN32" s="45">
        <v>41.240001999999997</v>
      </c>
      <c r="AO32" s="47">
        <f t="shared" si="7"/>
        <v>0.11218985371144252</v>
      </c>
      <c r="AP32" s="62">
        <f t="shared" si="22"/>
        <v>0.86682368385315267</v>
      </c>
      <c r="AR32" s="44">
        <v>43101</v>
      </c>
      <c r="AS32" s="45">
        <v>1450.8900149999999</v>
      </c>
      <c r="AT32" s="47">
        <f t="shared" si="8"/>
        <v>0.240638965495934</v>
      </c>
      <c r="AU32" s="62">
        <f t="shared" si="23"/>
        <v>0.76190077504980747</v>
      </c>
      <c r="AW32" s="44">
        <v>43101</v>
      </c>
      <c r="AX32" s="45">
        <v>127.91999800000001</v>
      </c>
      <c r="AY32" s="47">
        <f t="shared" si="9"/>
        <v>0.26653463366336649</v>
      </c>
      <c r="AZ32" s="62">
        <f t="shared" si="24"/>
        <v>1.5171192050373872</v>
      </c>
    </row>
    <row r="33" spans="1:52" x14ac:dyDescent="0.35">
      <c r="A33" s="66" t="s">
        <v>75</v>
      </c>
      <c r="B33" s="73">
        <v>0.01</v>
      </c>
      <c r="C33" t="s">
        <v>76</v>
      </c>
      <c r="S33" s="44">
        <v>44044</v>
      </c>
      <c r="T33" s="45">
        <v>28.1</v>
      </c>
      <c r="U33" s="47">
        <f t="shared" si="10"/>
        <v>6.3185773741959883E-2</v>
      </c>
      <c r="V33" s="62">
        <f t="shared" si="18"/>
        <v>0.60314924691921523</v>
      </c>
      <c r="W33" s="63"/>
      <c r="X33" s="44">
        <v>43132</v>
      </c>
      <c r="Y33" s="45">
        <v>171.58999600000001</v>
      </c>
      <c r="Z33" s="47">
        <f t="shared" si="4"/>
        <v>8.4038079829853451E-3</v>
      </c>
      <c r="AA33" s="62">
        <f t="shared" si="19"/>
        <v>0.39742645657279541</v>
      </c>
      <c r="AC33" s="44">
        <v>43132</v>
      </c>
      <c r="AD33" s="45">
        <v>69.669998000000007</v>
      </c>
      <c r="AE33" s="47">
        <f t="shared" si="5"/>
        <v>1.2056973390875969E-2</v>
      </c>
      <c r="AF33" s="62">
        <f t="shared" si="20"/>
        <v>0.37987710913538897</v>
      </c>
      <c r="AH33" s="44">
        <v>43132</v>
      </c>
      <c r="AI33" s="45">
        <v>75.699996999999996</v>
      </c>
      <c r="AJ33" s="47">
        <f t="shared" si="6"/>
        <v>1.5834675892431926E-2</v>
      </c>
      <c r="AK33" s="62">
        <f t="shared" si="21"/>
        <v>0.3011343588862152</v>
      </c>
      <c r="AM33" s="44">
        <v>43132</v>
      </c>
      <c r="AN33" s="45">
        <v>40.909999999999997</v>
      </c>
      <c r="AO33" s="47">
        <f t="shared" si="7"/>
        <v>-8.001987972745539E-3</v>
      </c>
      <c r="AP33" s="62">
        <f t="shared" si="22"/>
        <v>0.76908108108108086</v>
      </c>
      <c r="AR33" s="44">
        <v>43132</v>
      </c>
      <c r="AS33" s="45">
        <v>1512.4499510000001</v>
      </c>
      <c r="AT33" s="47">
        <f t="shared" si="8"/>
        <v>4.2429085157085433E-2</v>
      </c>
      <c r="AU33" s="62">
        <f t="shared" si="23"/>
        <v>0.78979692130021339</v>
      </c>
      <c r="AW33" s="44">
        <v>43132</v>
      </c>
      <c r="AX33" s="45">
        <v>138.21000699999999</v>
      </c>
      <c r="AY33" s="47">
        <f t="shared" si="9"/>
        <v>8.0440972177000747E-2</v>
      </c>
      <c r="AZ33" s="62">
        <f t="shared" si="24"/>
        <v>1.3342342397269755</v>
      </c>
    </row>
    <row r="34" spans="1:52" x14ac:dyDescent="0.35">
      <c r="A34" s="66" t="s">
        <v>77</v>
      </c>
      <c r="B34" s="74">
        <f>+Q24</f>
        <v>0.26502994404588248</v>
      </c>
      <c r="C34" t="s">
        <v>78</v>
      </c>
      <c r="S34" s="44">
        <v>44075</v>
      </c>
      <c r="T34" s="45">
        <v>27.27</v>
      </c>
      <c r="U34" s="47">
        <f t="shared" si="10"/>
        <v>-2.9537366548042732E-2</v>
      </c>
      <c r="V34" s="62">
        <f t="shared" si="18"/>
        <v>0.5863873422694974</v>
      </c>
      <c r="W34" s="63"/>
      <c r="X34" s="44">
        <v>43160</v>
      </c>
      <c r="Y34" s="45">
        <v>169.699997</v>
      </c>
      <c r="Z34" s="47">
        <f t="shared" si="4"/>
        <v>-1.1014622320989043E-2</v>
      </c>
      <c r="AA34" s="62">
        <f t="shared" si="19"/>
        <v>0.34182016018170192</v>
      </c>
      <c r="AC34" s="44">
        <v>43160</v>
      </c>
      <c r="AD34" s="45">
        <v>69.410004000000001</v>
      </c>
      <c r="AE34" s="47">
        <f t="shared" si="5"/>
        <v>-3.7317928443173498E-3</v>
      </c>
      <c r="AF34" s="62">
        <f t="shared" si="20"/>
        <v>0.34619865503881586</v>
      </c>
      <c r="AH34" s="44">
        <v>43160</v>
      </c>
      <c r="AI34" s="45">
        <v>75.599997999999999</v>
      </c>
      <c r="AJ34" s="47">
        <f t="shared" si="6"/>
        <v>-1.3209908053232189E-3</v>
      </c>
      <c r="AK34" s="62">
        <f t="shared" si="21"/>
        <v>0.28266032037089106</v>
      </c>
      <c r="AM34" s="44">
        <v>43160</v>
      </c>
      <c r="AN34" s="45">
        <v>39.07</v>
      </c>
      <c r="AO34" s="47">
        <f t="shared" si="7"/>
        <v>-4.4976778293815634E-2</v>
      </c>
      <c r="AP34" s="62">
        <f t="shared" si="22"/>
        <v>0.63063445870761514</v>
      </c>
      <c r="AR34" s="44">
        <v>43160</v>
      </c>
      <c r="AS34" s="45">
        <v>1447.339966</v>
      </c>
      <c r="AT34" s="47">
        <f t="shared" si="8"/>
        <v>-4.3049348480556748E-2</v>
      </c>
      <c r="AU34" s="62">
        <f t="shared" si="23"/>
        <v>0.63257157253657437</v>
      </c>
      <c r="AW34" s="44">
        <v>43160</v>
      </c>
      <c r="AX34" s="45">
        <v>124.589996</v>
      </c>
      <c r="AY34" s="47">
        <f t="shared" si="9"/>
        <v>-9.854576593719433E-2</v>
      </c>
      <c r="AZ34" s="62">
        <f t="shared" si="24"/>
        <v>0.82978415801346217</v>
      </c>
    </row>
    <row r="35" spans="1:52" ht="15" thickBot="1" x14ac:dyDescent="0.4">
      <c r="A35" s="75"/>
      <c r="B35" s="76"/>
      <c r="K35" t="str">
        <f>+A6</f>
        <v>Addressable Market (Online Shops)</v>
      </c>
      <c r="M35" s="54"/>
      <c r="N35" s="54">
        <f>+C6</f>
        <v>12000000</v>
      </c>
      <c r="S35" s="44">
        <v>44105</v>
      </c>
      <c r="T35" s="45">
        <v>26.84</v>
      </c>
      <c r="U35" s="47">
        <f t="shared" si="10"/>
        <v>-1.5768243491015799E-2</v>
      </c>
      <c r="V35" s="62">
        <f t="shared" si="18"/>
        <v>0.53074027603513185</v>
      </c>
      <c r="W35" s="63"/>
      <c r="X35" s="44">
        <v>43191</v>
      </c>
      <c r="Y35" s="45">
        <v>173.69000199999999</v>
      </c>
      <c r="Z35" s="47">
        <f t="shared" si="4"/>
        <v>2.3512110020838639E-2</v>
      </c>
      <c r="AA35" s="62">
        <f t="shared" si="19"/>
        <v>0.32942985056700436</v>
      </c>
      <c r="AC35" s="44">
        <v>43191</v>
      </c>
      <c r="AD35" s="45">
        <v>70.980002999999996</v>
      </c>
      <c r="AE35" s="47">
        <f t="shared" si="5"/>
        <v>2.2619203422031164E-2</v>
      </c>
      <c r="AF35" s="62">
        <f t="shared" si="20"/>
        <v>0.32821864386636679</v>
      </c>
      <c r="AH35" s="44">
        <v>43191</v>
      </c>
      <c r="AI35" s="45">
        <v>77.440002000000007</v>
      </c>
      <c r="AJ35" s="47">
        <f t="shared" si="6"/>
        <v>2.4338677892557614E-2</v>
      </c>
      <c r="AK35" s="62">
        <f t="shared" si="21"/>
        <v>0.30107530241935487</v>
      </c>
      <c r="AM35" s="44">
        <v>43191</v>
      </c>
      <c r="AN35" s="45">
        <v>39.090000000000003</v>
      </c>
      <c r="AO35" s="47">
        <f t="shared" si="7"/>
        <v>5.1190171487092151E-4</v>
      </c>
      <c r="AP35" s="62">
        <f t="shared" si="22"/>
        <v>0.55303933253873661</v>
      </c>
      <c r="AR35" s="44">
        <v>43191</v>
      </c>
      <c r="AS35" s="45">
        <v>1566.130005</v>
      </c>
      <c r="AT35" s="47">
        <f t="shared" si="8"/>
        <v>8.2074731431827308E-2</v>
      </c>
      <c r="AU35" s="62">
        <f t="shared" si="23"/>
        <v>0.69313184135106143</v>
      </c>
      <c r="AW35" s="44">
        <v>43191</v>
      </c>
      <c r="AX35" s="45">
        <v>133.63000500000001</v>
      </c>
      <c r="AY35" s="47">
        <f t="shared" si="9"/>
        <v>7.2558064774318032E-2</v>
      </c>
      <c r="AZ35" s="62">
        <f t="shared" si="24"/>
        <v>0.75944713993866286</v>
      </c>
    </row>
    <row r="36" spans="1:52" ht="23.75" customHeight="1" thickBot="1" x14ac:dyDescent="0.4">
      <c r="A36" s="77" t="s">
        <v>79</v>
      </c>
      <c r="B36" s="78"/>
      <c r="C36" s="77" t="s">
        <v>80</v>
      </c>
      <c r="D36" s="79"/>
      <c r="F36" s="80" t="s">
        <v>81</v>
      </c>
      <c r="G36" s="81"/>
      <c r="H36" s="81"/>
      <c r="I36" s="82"/>
      <c r="K36" t="str">
        <f>+A9</f>
        <v>ARPU</v>
      </c>
      <c r="M36" s="83"/>
      <c r="N36" s="83">
        <f>+C9</f>
        <v>1000</v>
      </c>
      <c r="S36" s="44">
        <v>44136</v>
      </c>
      <c r="T36" s="45">
        <v>30.99</v>
      </c>
      <c r="U36" s="47">
        <f t="shared" si="10"/>
        <v>0.15461997019374074</v>
      </c>
      <c r="V36" s="62">
        <f t="shared" si="18"/>
        <v>0.73031825795644889</v>
      </c>
      <c r="W36" s="63"/>
      <c r="X36" s="44">
        <v>43221</v>
      </c>
      <c r="Y36" s="45">
        <v>182.949997</v>
      </c>
      <c r="Z36" s="47">
        <f t="shared" si="4"/>
        <v>5.3313345001861467E-2</v>
      </c>
      <c r="AA36" s="62">
        <f t="shared" si="19"/>
        <v>0.32065255410851479</v>
      </c>
      <c r="AC36" s="44">
        <v>43221</v>
      </c>
      <c r="AD36" s="45">
        <v>76.540001000000004</v>
      </c>
      <c r="AE36" s="47">
        <f t="shared" si="5"/>
        <v>7.8331892998088515E-2</v>
      </c>
      <c r="AF36" s="62">
        <f t="shared" si="20"/>
        <v>0.35373186498528719</v>
      </c>
      <c r="AH36" s="44">
        <v>43221</v>
      </c>
      <c r="AI36" s="45">
        <v>80.879997000000003</v>
      </c>
      <c r="AJ36" s="47">
        <f t="shared" si="6"/>
        <v>4.4421421889942581E-2</v>
      </c>
      <c r="AK36" s="62">
        <f t="shared" si="21"/>
        <v>0.29490871429568855</v>
      </c>
      <c r="AM36" s="44">
        <v>43221</v>
      </c>
      <c r="AN36" s="45">
        <v>43.48</v>
      </c>
      <c r="AO36" s="47">
        <f t="shared" si="7"/>
        <v>0.11230493732412361</v>
      </c>
      <c r="AP36" s="62">
        <f t="shared" si="22"/>
        <v>0.53368606701940013</v>
      </c>
      <c r="AR36" s="44">
        <v>43221</v>
      </c>
      <c r="AS36" s="45">
        <v>1629.619995</v>
      </c>
      <c r="AT36" s="47">
        <f t="shared" si="8"/>
        <v>4.0539412307600831E-2</v>
      </c>
      <c r="AU36" s="62">
        <f t="shared" si="23"/>
        <v>0.63843478232106121</v>
      </c>
      <c r="AW36" s="44">
        <v>43221</v>
      </c>
      <c r="AX36" s="45">
        <v>148.08999600000001</v>
      </c>
      <c r="AY36" s="47">
        <f t="shared" si="9"/>
        <v>0.10820916305436046</v>
      </c>
      <c r="AZ36" s="62">
        <f t="shared" si="24"/>
        <v>0.61212708891653533</v>
      </c>
    </row>
    <row r="37" spans="1:52" x14ac:dyDescent="0.35">
      <c r="A37" s="84" t="s">
        <v>82</v>
      </c>
      <c r="B37" s="85">
        <f>+B34</f>
        <v>0.26502994404588248</v>
      </c>
      <c r="C37" s="86" t="s">
        <v>83</v>
      </c>
      <c r="D37" s="87">
        <f>(F39+H39)/I39</f>
        <v>2.5474175318044296</v>
      </c>
      <c r="F37" s="88" t="s">
        <v>84</v>
      </c>
      <c r="I37" s="89"/>
      <c r="S37" s="44">
        <v>44166</v>
      </c>
      <c r="T37" s="45">
        <v>31.83</v>
      </c>
      <c r="U37" s="47">
        <f t="shared" si="10"/>
        <v>2.7105517909002952E-2</v>
      </c>
      <c r="V37" s="62">
        <f t="shared" si="18"/>
        <v>0.72932739324133444</v>
      </c>
      <c r="W37" s="63"/>
      <c r="X37" s="44">
        <v>43252</v>
      </c>
      <c r="Y37" s="45">
        <v>182.679993</v>
      </c>
      <c r="Z37" s="47">
        <f t="shared" si="4"/>
        <v>-1.4758349517765001E-3</v>
      </c>
      <c r="AA37" s="62">
        <f t="shared" si="19"/>
        <v>0.3355753351043671</v>
      </c>
      <c r="AC37" s="44">
        <v>43252</v>
      </c>
      <c r="AD37" s="45">
        <v>76.319999999999993</v>
      </c>
      <c r="AE37" s="47">
        <f t="shared" si="5"/>
        <v>-2.8743271116499214E-3</v>
      </c>
      <c r="AF37" s="62">
        <f t="shared" si="20"/>
        <v>0.36139847732075481</v>
      </c>
      <c r="AH37" s="44">
        <v>43252</v>
      </c>
      <c r="AI37" s="45">
        <v>81</v>
      </c>
      <c r="AJ37" s="47">
        <f t="shared" si="6"/>
        <v>1.4837166722445616E-3</v>
      </c>
      <c r="AK37" s="62">
        <f t="shared" si="21"/>
        <v>0.28980893773581107</v>
      </c>
      <c r="AM37" s="44">
        <v>43252</v>
      </c>
      <c r="AN37" s="45">
        <v>44.98</v>
      </c>
      <c r="AO37" s="47">
        <f t="shared" si="7"/>
        <v>3.4498620055197771E-2</v>
      </c>
      <c r="AP37" s="62">
        <f t="shared" si="22"/>
        <v>0.55371324512216757</v>
      </c>
      <c r="AR37" s="44">
        <v>43252</v>
      </c>
      <c r="AS37" s="45">
        <v>1699.8000489999999</v>
      </c>
      <c r="AT37" s="47">
        <f t="shared" si="8"/>
        <v>4.3065287745196024E-2</v>
      </c>
      <c r="AU37" s="62">
        <f t="shared" si="23"/>
        <v>0.75599178615702467</v>
      </c>
      <c r="AW37" s="44">
        <v>43252</v>
      </c>
      <c r="AX37" s="45">
        <v>145.88999899999999</v>
      </c>
      <c r="AY37" s="47">
        <f t="shared" si="9"/>
        <v>-1.4855811056946888E-2</v>
      </c>
      <c r="AZ37" s="62">
        <f t="shared" si="24"/>
        <v>0.67882618690848817</v>
      </c>
    </row>
    <row r="38" spans="1:52" x14ac:dyDescent="0.35">
      <c r="A38" s="90" t="s">
        <v>85</v>
      </c>
      <c r="B38" s="91">
        <f>+B29</f>
        <v>7</v>
      </c>
      <c r="C38" s="92" t="s">
        <v>86</v>
      </c>
      <c r="D38" s="93">
        <f>D37-I39</f>
        <v>1.8462142098736609</v>
      </c>
      <c r="F38" s="88" t="s">
        <v>87</v>
      </c>
      <c r="H38" t="s">
        <v>88</v>
      </c>
      <c r="I38" s="89"/>
      <c r="K38" t="str">
        <f>+A12</f>
        <v>Size of Market $ million</v>
      </c>
      <c r="M38" s="94"/>
      <c r="N38" s="94">
        <f>+C12</f>
        <v>12000</v>
      </c>
      <c r="S38" s="44">
        <v>44197</v>
      </c>
      <c r="T38" s="45">
        <v>33.467998999999999</v>
      </c>
      <c r="U38" s="47">
        <f t="shared" si="10"/>
        <v>5.1460854539742362E-2</v>
      </c>
      <c r="V38" s="62">
        <f t="shared" si="18"/>
        <v>0.7847694760681807</v>
      </c>
      <c r="W38" s="63"/>
      <c r="X38" s="44">
        <v>43282</v>
      </c>
      <c r="Y38" s="45">
        <v>185.520004</v>
      </c>
      <c r="Z38" s="47">
        <f t="shared" si="4"/>
        <v>1.5546371298579942E-2</v>
      </c>
      <c r="AA38" s="62">
        <f t="shared" si="19"/>
        <v>0.30510032944496657</v>
      </c>
      <c r="AC38" s="44">
        <v>43282</v>
      </c>
      <c r="AD38" s="45">
        <v>77.139999000000003</v>
      </c>
      <c r="AE38" s="47">
        <f t="shared" si="5"/>
        <v>1.0744221698113288E-2</v>
      </c>
      <c r="AF38" s="62">
        <f t="shared" si="20"/>
        <v>0.32315609473681128</v>
      </c>
      <c r="AH38" s="44">
        <v>43282</v>
      </c>
      <c r="AI38" s="45">
        <v>81.980002999999996</v>
      </c>
      <c r="AJ38" s="47">
        <f t="shared" si="6"/>
        <v>1.209880246913575E-2</v>
      </c>
      <c r="AK38" s="62">
        <f t="shared" si="21"/>
        <v>0.27913883783047821</v>
      </c>
      <c r="AM38" s="44">
        <v>43282</v>
      </c>
      <c r="AN38" s="45">
        <v>44.549999</v>
      </c>
      <c r="AO38" s="47">
        <f t="shared" si="7"/>
        <v>-9.5598265895953105E-3</v>
      </c>
      <c r="AP38" s="62">
        <f t="shared" si="22"/>
        <v>0.50394973330632631</v>
      </c>
      <c r="AR38" s="44">
        <v>43282</v>
      </c>
      <c r="AS38" s="45">
        <v>1777.4399410000001</v>
      </c>
      <c r="AT38" s="47">
        <f t="shared" si="8"/>
        <v>4.5675897024285872E-2</v>
      </c>
      <c r="AU38" s="62">
        <f t="shared" si="23"/>
        <v>0.7994289100979588</v>
      </c>
      <c r="AW38" s="44">
        <v>43282</v>
      </c>
      <c r="AX38" s="45">
        <v>138.21000699999999</v>
      </c>
      <c r="AY38" s="47">
        <f t="shared" si="9"/>
        <v>-5.2642347334583173E-2</v>
      </c>
      <c r="AZ38" s="62">
        <f t="shared" si="24"/>
        <v>0.4962650482971187</v>
      </c>
    </row>
    <row r="39" spans="1:52" x14ac:dyDescent="0.35">
      <c r="A39" s="90" t="s">
        <v>89</v>
      </c>
      <c r="B39" s="95">
        <f>+B33</f>
        <v>0.01</v>
      </c>
      <c r="C39" s="92" t="s">
        <v>90</v>
      </c>
      <c r="D39" s="93">
        <f>NORMSDIST(D37)</f>
        <v>0.99457382498583224</v>
      </c>
      <c r="F39" s="96">
        <f>LN(B40/B41)</f>
        <v>1.470414586302573</v>
      </c>
      <c r="H39">
        <f>(B39-B42+(B37^2)/2)*B38</f>
        <v>0.31584304934337259</v>
      </c>
      <c r="I39" s="89">
        <f>+B37*SQRT(B38)</f>
        <v>0.70120332193076873</v>
      </c>
      <c r="K39" t="str">
        <f>+A13</f>
        <v>Size of Market £ million</v>
      </c>
      <c r="M39" s="42"/>
      <c r="N39" s="42">
        <f>+C13</f>
        <v>8400</v>
      </c>
      <c r="S39" s="44">
        <v>44228</v>
      </c>
      <c r="T39" s="45">
        <v>35.110000999999997</v>
      </c>
      <c r="U39" s="47">
        <f t="shared" si="10"/>
        <v>4.9061851591426064E-2</v>
      </c>
      <c r="V39" s="62">
        <f t="shared" si="18"/>
        <v>1.0389084227008372</v>
      </c>
      <c r="W39" s="63"/>
      <c r="X39" s="44">
        <v>43313</v>
      </c>
      <c r="Y39" s="45">
        <v>200.85000600000001</v>
      </c>
      <c r="Z39" s="47">
        <f t="shared" si="4"/>
        <v>8.2632609257597966E-2</v>
      </c>
      <c r="AA39" s="62">
        <f t="shared" si="19"/>
        <v>0.36345128454892794</v>
      </c>
      <c r="AC39" s="44">
        <v>43313</v>
      </c>
      <c r="AD39" s="45">
        <v>86.650002000000001</v>
      </c>
      <c r="AE39" s="47">
        <f t="shared" si="5"/>
        <v>0.12328238427900406</v>
      </c>
      <c r="AF39" s="62">
        <f t="shared" si="20"/>
        <v>0.44224366037804064</v>
      </c>
      <c r="AH39" s="44">
        <v>43313</v>
      </c>
      <c r="AI39" s="45">
        <v>91.239998</v>
      </c>
      <c r="AJ39" s="47">
        <f t="shared" si="6"/>
        <v>0.11295431399288924</v>
      </c>
      <c r="AK39" s="62">
        <f t="shared" si="21"/>
        <v>0.40889430485193623</v>
      </c>
      <c r="AM39" s="44">
        <v>43313</v>
      </c>
      <c r="AN39" s="45">
        <v>49.700001</v>
      </c>
      <c r="AO39" s="47">
        <f t="shared" si="7"/>
        <v>0.11560049642200898</v>
      </c>
      <c r="AP39" s="62">
        <f t="shared" si="22"/>
        <v>0.45568519452200773</v>
      </c>
      <c r="AR39" s="44">
        <v>43313</v>
      </c>
      <c r="AS39" s="45">
        <v>2012.709961</v>
      </c>
      <c r="AT39" s="47">
        <f t="shared" si="8"/>
        <v>0.13236453990543007</v>
      </c>
      <c r="AU39" s="62">
        <f t="shared" si="23"/>
        <v>1.0525290743021598</v>
      </c>
      <c r="AW39" s="44">
        <v>43313</v>
      </c>
      <c r="AX39" s="45">
        <v>145.66999799999999</v>
      </c>
      <c r="AY39" s="47">
        <f t="shared" si="9"/>
        <v>5.3975766023946381E-2</v>
      </c>
      <c r="AZ39" s="62">
        <f t="shared" si="24"/>
        <v>0.31328886248266952</v>
      </c>
    </row>
    <row r="40" spans="1:52" x14ac:dyDescent="0.35">
      <c r="A40" s="90" t="s">
        <v>91</v>
      </c>
      <c r="B40" s="97">
        <f>+C26</f>
        <v>130531159.44623224</v>
      </c>
      <c r="C40" s="92" t="s">
        <v>92</v>
      </c>
      <c r="D40" s="93">
        <f>NORMSDIST(D38)</f>
        <v>0.96756944575043036</v>
      </c>
      <c r="F40" s="96"/>
      <c r="I40" s="89"/>
      <c r="S40" s="44">
        <v>44256</v>
      </c>
      <c r="T40" s="45">
        <v>34.220001000000003</v>
      </c>
      <c r="U40" s="47">
        <f t="shared" si="10"/>
        <v>-2.5348902724326106E-2</v>
      </c>
      <c r="V40" s="62">
        <f t="shared" si="18"/>
        <v>1.2632275793650796</v>
      </c>
      <c r="W40" s="63"/>
      <c r="X40" s="44">
        <v>43344</v>
      </c>
      <c r="Y40" s="45">
        <v>204.970001</v>
      </c>
      <c r="Z40" s="47">
        <f t="shared" si="4"/>
        <v>2.0512795005841244E-2</v>
      </c>
      <c r="AA40" s="62">
        <f t="shared" si="19"/>
        <v>0.40140850544949069</v>
      </c>
      <c r="AC40" s="44">
        <v>43344</v>
      </c>
      <c r="AD40" s="45">
        <v>87.080001999999993</v>
      </c>
      <c r="AE40" s="47">
        <f t="shared" si="5"/>
        <v>4.9624926725333474E-3</v>
      </c>
      <c r="AF40" s="62">
        <f t="shared" si="20"/>
        <v>0.40837779691483744</v>
      </c>
      <c r="AH40" s="44">
        <v>43344</v>
      </c>
      <c r="AI40" s="45">
        <v>90.690002000000007</v>
      </c>
      <c r="AJ40" s="47">
        <f t="shared" si="6"/>
        <v>-6.0280141610699056E-3</v>
      </c>
      <c r="AK40" s="62">
        <f t="shared" si="21"/>
        <v>0.37994523158939097</v>
      </c>
      <c r="AM40" s="44">
        <v>43344</v>
      </c>
      <c r="AN40" s="45">
        <v>47.34</v>
      </c>
      <c r="AO40" s="47">
        <f t="shared" si="7"/>
        <v>-4.7484928622033573E-2</v>
      </c>
      <c r="AP40" s="62">
        <f t="shared" si="22"/>
        <v>0.38065803666927422</v>
      </c>
      <c r="AR40" s="44">
        <v>43344</v>
      </c>
      <c r="AS40" s="45">
        <v>2003</v>
      </c>
      <c r="AT40" s="47">
        <f t="shared" si="8"/>
        <v>-4.8243220275889787E-3</v>
      </c>
      <c r="AU40" s="62">
        <f t="shared" si="23"/>
        <v>1.0835284235758902</v>
      </c>
      <c r="AW40" s="44">
        <v>43344</v>
      </c>
      <c r="AX40" s="45">
        <v>164.46000699999999</v>
      </c>
      <c r="AY40" s="47">
        <f t="shared" si="9"/>
        <v>0.128990246845476</v>
      </c>
      <c r="AZ40" s="62">
        <f t="shared" si="24"/>
        <v>0.41179508819289357</v>
      </c>
    </row>
    <row r="41" spans="1:52" ht="16" customHeight="1" thickBot="1" x14ac:dyDescent="0.4">
      <c r="A41" s="90" t="s">
        <v>93</v>
      </c>
      <c r="B41" s="97">
        <f>+B32</f>
        <v>30000000</v>
      </c>
      <c r="C41" s="98"/>
      <c r="D41" s="99"/>
      <c r="F41" s="100"/>
      <c r="G41" s="101"/>
      <c r="H41" s="101"/>
      <c r="I41" s="102"/>
      <c r="K41" t="str">
        <f>+A15</f>
        <v>Market Penetration %</v>
      </c>
      <c r="M41" s="103"/>
      <c r="N41" s="103">
        <f>+E15</f>
        <v>0.02</v>
      </c>
      <c r="S41" s="44">
        <v>44287</v>
      </c>
      <c r="T41" s="45">
        <v>34.639999000000003</v>
      </c>
      <c r="U41" s="47">
        <f t="shared" si="10"/>
        <v>1.2273465450804544E-2</v>
      </c>
      <c r="V41" s="62">
        <f t="shared" si="18"/>
        <v>0.84805809048538716</v>
      </c>
      <c r="W41" s="63"/>
      <c r="X41" s="44">
        <v>43374</v>
      </c>
      <c r="Y41" s="45">
        <v>183.259995</v>
      </c>
      <c r="Z41" s="47">
        <f t="shared" si="4"/>
        <v>-0.10591796796644404</v>
      </c>
      <c r="AA41" s="62">
        <f t="shared" si="19"/>
        <v>0.17114007978374435</v>
      </c>
      <c r="AC41" s="44">
        <v>43374</v>
      </c>
      <c r="AD41" s="45">
        <v>76.069999999999993</v>
      </c>
      <c r="AE41" s="47">
        <f t="shared" si="5"/>
        <v>-0.1264354817079586</v>
      </c>
      <c r="AF41" s="62">
        <f t="shared" si="20"/>
        <v>0.15660640823809047</v>
      </c>
      <c r="AH41" s="44">
        <v>43374</v>
      </c>
      <c r="AI41" s="45">
        <v>80.489998</v>
      </c>
      <c r="AJ41" s="47">
        <f t="shared" si="6"/>
        <v>-0.1124710968690904</v>
      </c>
      <c r="AK41" s="62">
        <f t="shared" si="21"/>
        <v>0.16923304295369213</v>
      </c>
      <c r="AM41" s="44">
        <v>43374</v>
      </c>
      <c r="AN41" s="45">
        <v>42.580002</v>
      </c>
      <c r="AO41" s="47">
        <f t="shared" si="7"/>
        <v>-0.10054917617237014</v>
      </c>
      <c r="AP41" s="62">
        <f t="shared" si="22"/>
        <v>0.1990989692536731</v>
      </c>
      <c r="AR41" s="44">
        <v>43374</v>
      </c>
      <c r="AS41" s="45">
        <v>1598.01001</v>
      </c>
      <c r="AT41" s="47">
        <f t="shared" si="8"/>
        <v>-0.20219170743884174</v>
      </c>
      <c r="AU41" s="62">
        <f t="shared" si="23"/>
        <v>0.44579651135630893</v>
      </c>
      <c r="AW41" s="44">
        <v>43374</v>
      </c>
      <c r="AX41" s="45">
        <v>138.14999399999999</v>
      </c>
      <c r="AY41" s="47">
        <f t="shared" si="9"/>
        <v>-0.15997818241610562</v>
      </c>
      <c r="AZ41" s="62">
        <f t="shared" si="24"/>
        <v>0.38858173461818746</v>
      </c>
    </row>
    <row r="42" spans="1:52" ht="16" customHeight="1" thickBot="1" x14ac:dyDescent="0.4">
      <c r="A42" s="90" t="s">
        <v>94</v>
      </c>
      <c r="B42" s="104">
        <f>+D30</f>
        <v>0</v>
      </c>
      <c r="C42" s="105" t="s">
        <v>95</v>
      </c>
      <c r="D42" s="106">
        <f>(B40*EXP(-B42*B38)*D39)-(B41*EXP(-B39*B38)*D40)</f>
        <v>102758201.38384899</v>
      </c>
      <c r="K42" t="str">
        <f>+A16</f>
        <v>Market Penetration £ million</v>
      </c>
      <c r="M42" s="50"/>
      <c r="N42" s="50">
        <f>+E16</f>
        <v>168</v>
      </c>
      <c r="S42" s="44">
        <v>44317</v>
      </c>
      <c r="T42" s="45">
        <v>32.936999999999998</v>
      </c>
      <c r="U42" s="47">
        <f t="shared" si="10"/>
        <v>-4.9162790102852072E-2</v>
      </c>
      <c r="V42" s="62">
        <f t="shared" si="18"/>
        <v>0.52415541304232227</v>
      </c>
      <c r="W42" s="63"/>
      <c r="X42" s="44">
        <v>43405</v>
      </c>
      <c r="Y42" s="45">
        <v>185.64999399999999</v>
      </c>
      <c r="Z42" s="47">
        <f t="shared" si="4"/>
        <v>1.3041575167564545E-2</v>
      </c>
      <c r="AA42" s="62">
        <f t="shared" si="19"/>
        <v>0.19159172288334281</v>
      </c>
      <c r="AC42" s="44">
        <v>43405</v>
      </c>
      <c r="AD42" s="45">
        <v>79.519997000000004</v>
      </c>
      <c r="AE42" s="47">
        <f t="shared" si="5"/>
        <v>4.5352924937557715E-2</v>
      </c>
      <c r="AF42" s="62">
        <f t="shared" si="20"/>
        <v>0.22734983442892687</v>
      </c>
      <c r="AH42" s="44">
        <v>43405</v>
      </c>
      <c r="AI42" s="45">
        <v>81.029999000000004</v>
      </c>
      <c r="AJ42" s="47">
        <f t="shared" si="6"/>
        <v>6.7089205294799115E-3</v>
      </c>
      <c r="AK42" s="62">
        <f t="shared" si="21"/>
        <v>0.16105456138337071</v>
      </c>
      <c r="AM42" s="44">
        <v>43405</v>
      </c>
      <c r="AN42" s="45">
        <v>44.450001</v>
      </c>
      <c r="AO42" s="47">
        <f t="shared" si="7"/>
        <v>4.3917306532770928E-2</v>
      </c>
      <c r="AP42" s="62">
        <f t="shared" si="22"/>
        <v>0.19489246787923475</v>
      </c>
      <c r="AR42" s="44">
        <v>43405</v>
      </c>
      <c r="AS42" s="45">
        <v>1690.170044</v>
      </c>
      <c r="AT42" s="47">
        <f t="shared" si="8"/>
        <v>5.7671750128774235E-2</v>
      </c>
      <c r="AU42" s="62">
        <f t="shared" si="23"/>
        <v>0.43630341533885697</v>
      </c>
      <c r="AW42" s="44">
        <v>43405</v>
      </c>
      <c r="AX42" s="45">
        <v>152.66000399999999</v>
      </c>
      <c r="AY42" s="47">
        <f t="shared" si="9"/>
        <v>0.10503084060937407</v>
      </c>
      <c r="AZ42" s="62">
        <f t="shared" si="24"/>
        <v>0.47042962820265832</v>
      </c>
    </row>
    <row r="43" spans="1:52" x14ac:dyDescent="0.35">
      <c r="B43"/>
      <c r="S43" s="44">
        <v>44326</v>
      </c>
      <c r="T43" s="45">
        <v>32.937401000000001</v>
      </c>
      <c r="U43" s="47">
        <f t="shared" si="10"/>
        <v>1.2174757871186159E-5</v>
      </c>
      <c r="V43" s="62">
        <f t="shared" si="18"/>
        <v>0.39329113338794985</v>
      </c>
      <c r="W43" s="63"/>
      <c r="X43" s="44">
        <v>43435</v>
      </c>
      <c r="Y43" s="45">
        <v>173.529999</v>
      </c>
      <c r="Z43" s="47">
        <f t="shared" si="4"/>
        <v>-6.5284111994100003E-2</v>
      </c>
      <c r="AA43" s="62">
        <f t="shared" si="19"/>
        <v>0.1226628138795387</v>
      </c>
      <c r="AC43" s="44">
        <v>43435</v>
      </c>
      <c r="AD43" s="45">
        <v>73.900002000000001</v>
      </c>
      <c r="AE43" s="47">
        <f t="shared" si="5"/>
        <v>-7.0673984054602013E-2</v>
      </c>
      <c r="AF43" s="62">
        <f t="shared" si="20"/>
        <v>0.1637795590551181</v>
      </c>
      <c r="AH43" s="44">
        <v>43435</v>
      </c>
      <c r="AI43" s="45">
        <v>74.540001000000004</v>
      </c>
      <c r="AJ43" s="47">
        <f t="shared" si="6"/>
        <v>-8.0093768728788928E-2</v>
      </c>
      <c r="AK43" s="62">
        <f t="shared" si="21"/>
        <v>7.3444683944565492E-2</v>
      </c>
      <c r="AM43" s="44">
        <v>43435</v>
      </c>
      <c r="AN43" s="45">
        <v>37.189999</v>
      </c>
      <c r="AO43" s="47">
        <f t="shared" si="7"/>
        <v>-0.16332962512194316</v>
      </c>
      <c r="AP43" s="62">
        <f t="shared" si="22"/>
        <v>2.9664777256483976E-3</v>
      </c>
      <c r="AR43" s="44">
        <v>43435</v>
      </c>
      <c r="AS43" s="45">
        <v>1501.969971</v>
      </c>
      <c r="AT43" s="47">
        <f t="shared" si="8"/>
        <v>-0.11134978617571567</v>
      </c>
      <c r="AU43" s="62">
        <f t="shared" si="23"/>
        <v>0.28431683433109711</v>
      </c>
      <c r="AW43" s="44">
        <v>43435</v>
      </c>
      <c r="AX43" s="45">
        <v>138.449997</v>
      </c>
      <c r="AY43" s="47">
        <f t="shared" si="9"/>
        <v>-9.3082710779962996E-2</v>
      </c>
      <c r="AZ43" s="62">
        <f t="shared" si="24"/>
        <v>0.37079204950495037</v>
      </c>
    </row>
    <row r="44" spans="1:52" x14ac:dyDescent="0.35">
      <c r="C44" s="5">
        <v>1</v>
      </c>
      <c r="D44" s="5">
        <v>2</v>
      </c>
      <c r="E44" s="5">
        <v>3</v>
      </c>
      <c r="F44" s="5">
        <v>4</v>
      </c>
      <c r="G44" s="5">
        <v>5</v>
      </c>
      <c r="H44" s="5">
        <v>6</v>
      </c>
      <c r="I44" s="5">
        <v>7</v>
      </c>
      <c r="S44" s="107"/>
      <c r="T44" s="108"/>
      <c r="U44" s="109"/>
      <c r="V44" s="110"/>
      <c r="W44" s="63"/>
      <c r="X44" s="44">
        <v>43466</v>
      </c>
      <c r="Y44" s="45">
        <v>192.220001</v>
      </c>
      <c r="Z44" s="47">
        <f t="shared" si="4"/>
        <v>0.10770473179107198</v>
      </c>
      <c r="AA44" s="62">
        <f t="shared" si="19"/>
        <v>0.12964266855564954</v>
      </c>
      <c r="AC44" s="44">
        <v>43466</v>
      </c>
      <c r="AD44" s="45">
        <v>84.099997999999999</v>
      </c>
      <c r="AE44" s="47">
        <f t="shared" si="5"/>
        <v>0.13802429937687966</v>
      </c>
      <c r="AF44" s="62">
        <f t="shared" si="20"/>
        <v>0.22167348760450256</v>
      </c>
      <c r="AH44" s="44">
        <v>43466</v>
      </c>
      <c r="AI44" s="45">
        <v>85.010002</v>
      </c>
      <c r="AJ44" s="47">
        <f t="shared" si="6"/>
        <v>0.14046150871395868</v>
      </c>
      <c r="AK44" s="62">
        <f t="shared" si="21"/>
        <v>0.14076765193643248</v>
      </c>
      <c r="AM44" s="44">
        <v>43466</v>
      </c>
      <c r="AN44" s="45">
        <v>43.049999</v>
      </c>
      <c r="AO44" s="47">
        <f t="shared" si="7"/>
        <v>0.15756924327962474</v>
      </c>
      <c r="AP44" s="62">
        <f t="shared" si="22"/>
        <v>4.3889352866665732E-2</v>
      </c>
      <c r="AR44" s="44">
        <v>43466</v>
      </c>
      <c r="AS44" s="45">
        <v>1718.7299800000001</v>
      </c>
      <c r="AT44" s="47">
        <f t="shared" si="8"/>
        <v>0.14431713894764675</v>
      </c>
      <c r="AU44" s="62">
        <f t="shared" si="23"/>
        <v>0.18460390672686522</v>
      </c>
      <c r="AW44" s="44"/>
      <c r="AX44" s="45"/>
      <c r="AY44" s="47"/>
      <c r="AZ44" s="62"/>
    </row>
    <row r="45" spans="1:52" x14ac:dyDescent="0.35">
      <c r="A45" s="6" t="s">
        <v>96</v>
      </c>
      <c r="B45" s="7"/>
      <c r="C45" s="7"/>
      <c r="D45" s="7"/>
      <c r="E45" s="7"/>
      <c r="F45" s="7"/>
      <c r="G45" s="7"/>
      <c r="H45" s="7"/>
      <c r="I45" s="7"/>
      <c r="K45" s="6" t="s">
        <v>96</v>
      </c>
      <c r="L45" s="6"/>
      <c r="M45" s="6"/>
      <c r="N45" s="6"/>
      <c r="X45" s="44">
        <v>43497</v>
      </c>
      <c r="Y45" s="45">
        <v>207.11999499999999</v>
      </c>
      <c r="Z45" s="47">
        <f t="shared" si="4"/>
        <v>7.7515315380733973E-2</v>
      </c>
      <c r="AA45" s="62">
        <f t="shared" si="19"/>
        <v>0.20706334767908019</v>
      </c>
      <c r="AC45" s="44">
        <v>43497</v>
      </c>
      <c r="AD45" s="45">
        <v>88.089995999999999</v>
      </c>
      <c r="AE45" s="47">
        <f t="shared" si="5"/>
        <v>4.744349696655159E-2</v>
      </c>
      <c r="AF45" s="62">
        <f t="shared" si="20"/>
        <v>0.26438924255459284</v>
      </c>
      <c r="AH45" s="44">
        <v>43497</v>
      </c>
      <c r="AI45" s="45">
        <v>92.470000999999996</v>
      </c>
      <c r="AJ45" s="47">
        <f t="shared" si="6"/>
        <v>8.7754368009543171E-2</v>
      </c>
      <c r="AK45" s="62">
        <f t="shared" si="21"/>
        <v>0.22153242621660874</v>
      </c>
      <c r="AM45" s="44">
        <v>43497</v>
      </c>
      <c r="AN45" s="45">
        <v>46.560001</v>
      </c>
      <c r="AO45" s="47">
        <f t="shared" si="7"/>
        <v>8.1533149396821214E-2</v>
      </c>
      <c r="AP45" s="62">
        <f t="shared" si="22"/>
        <v>0.13810806648741147</v>
      </c>
      <c r="AR45" s="44">
        <v>43497</v>
      </c>
      <c r="AS45" s="45">
        <v>1639.829956</v>
      </c>
      <c r="AT45" s="47">
        <f t="shared" si="8"/>
        <v>-4.5906003222216496E-2</v>
      </c>
      <c r="AU45" s="62">
        <f t="shared" si="23"/>
        <v>8.4220972016812112E-2</v>
      </c>
      <c r="AW45" s="44">
        <v>43466</v>
      </c>
      <c r="AX45" s="45">
        <v>168.470001</v>
      </c>
      <c r="AY45" s="47">
        <f>+AX45/AX43-1</f>
        <v>0.21682921379911613</v>
      </c>
      <c r="AZ45" s="62">
        <f t="shared" ref="AZ45:AZ56" si="25">+AX45/AX32-1</f>
        <v>0.31699502528134804</v>
      </c>
    </row>
    <row r="46" spans="1:52" x14ac:dyDescent="0.35">
      <c r="B46" s="8" t="s">
        <v>2</v>
      </c>
      <c r="C46" s="8" t="s">
        <v>3</v>
      </c>
      <c r="D46" s="8" t="s">
        <v>4</v>
      </c>
      <c r="E46" s="8" t="s">
        <v>5</v>
      </c>
      <c r="F46" s="8" t="s">
        <v>6</v>
      </c>
      <c r="G46" s="8" t="s">
        <v>7</v>
      </c>
      <c r="H46" s="8" t="s">
        <v>8</v>
      </c>
      <c r="I46" s="8" t="s">
        <v>9</v>
      </c>
      <c r="X46" s="44">
        <v>43525</v>
      </c>
      <c r="Y46" s="45">
        <v>210.820007</v>
      </c>
      <c r="Z46" s="47">
        <f t="shared" si="4"/>
        <v>1.786409853862736E-2</v>
      </c>
      <c r="AA46" s="62">
        <f t="shared" si="19"/>
        <v>0.24231002196187434</v>
      </c>
      <c r="AC46" s="44">
        <v>43525</v>
      </c>
      <c r="AD46" s="45">
        <v>91.419998000000007</v>
      </c>
      <c r="AE46" s="47">
        <f t="shared" si="5"/>
        <v>3.7802272121796987E-2</v>
      </c>
      <c r="AF46" s="62">
        <f t="shared" si="20"/>
        <v>0.31710117751902178</v>
      </c>
      <c r="AH46" s="44">
        <v>43525</v>
      </c>
      <c r="AI46" s="45">
        <v>94.410004000000001</v>
      </c>
      <c r="AJ46" s="47">
        <f t="shared" si="6"/>
        <v>2.0979809441118213E-2</v>
      </c>
      <c r="AK46" s="62">
        <f t="shared" si="21"/>
        <v>0.24880960975686794</v>
      </c>
      <c r="AM46" s="44">
        <v>43525</v>
      </c>
      <c r="AN46" s="45">
        <v>46.73</v>
      </c>
      <c r="AO46" s="47">
        <f t="shared" si="7"/>
        <v>3.65118119305885E-3</v>
      </c>
      <c r="AP46" s="62">
        <f t="shared" si="22"/>
        <v>0.19605835679549521</v>
      </c>
      <c r="AR46" s="44">
        <v>43525</v>
      </c>
      <c r="AS46" s="45">
        <v>1780.75</v>
      </c>
      <c r="AT46" s="47">
        <f t="shared" si="8"/>
        <v>8.5935766378937961E-2</v>
      </c>
      <c r="AU46" s="62">
        <f t="shared" si="23"/>
        <v>0.23036055234586117</v>
      </c>
      <c r="AW46" s="44">
        <v>43497</v>
      </c>
      <c r="AX46" s="45">
        <v>189.14999399999999</v>
      </c>
      <c r="AY46" s="47">
        <f t="shared" si="9"/>
        <v>0.12275178297173506</v>
      </c>
      <c r="AZ46" s="62">
        <f t="shared" si="25"/>
        <v>0.36856945532171204</v>
      </c>
    </row>
    <row r="47" spans="1:52" x14ac:dyDescent="0.35">
      <c r="A47" t="s">
        <v>97</v>
      </c>
      <c r="C47" s="13">
        <v>1000000000</v>
      </c>
      <c r="D47" s="13">
        <f>+C47*(1+D48)</f>
        <v>1000000000</v>
      </c>
      <c r="E47" s="13">
        <f t="shared" ref="E47:I47" si="26">+D47*(1+E48)</f>
        <v>1000000000</v>
      </c>
      <c r="F47" s="13">
        <f t="shared" si="26"/>
        <v>1000000000</v>
      </c>
      <c r="G47" s="13">
        <f t="shared" si="26"/>
        <v>1000000000</v>
      </c>
      <c r="H47" s="13">
        <f t="shared" si="26"/>
        <v>1000000000</v>
      </c>
      <c r="I47" s="13">
        <f t="shared" si="26"/>
        <v>1000000000</v>
      </c>
      <c r="X47" s="44">
        <v>43556</v>
      </c>
      <c r="Y47" s="45">
        <v>221.88000500000001</v>
      </c>
      <c r="Z47" s="47">
        <f t="shared" si="4"/>
        <v>5.2461804538314061E-2</v>
      </c>
      <c r="AA47" s="62">
        <f t="shared" si="19"/>
        <v>0.27744834155739162</v>
      </c>
      <c r="AC47" s="44">
        <v>43556</v>
      </c>
      <c r="AD47" s="45">
        <v>96.160004000000001</v>
      </c>
      <c r="AE47" s="47">
        <f t="shared" si="5"/>
        <v>5.1848677572712276E-2</v>
      </c>
      <c r="AF47" s="62">
        <f t="shared" si="20"/>
        <v>0.3547478153811856</v>
      </c>
      <c r="AH47" s="44">
        <v>43556</v>
      </c>
      <c r="AI47" s="45">
        <v>98.599997999999999</v>
      </c>
      <c r="AJ47" s="47">
        <f t="shared" si="6"/>
        <v>4.4380826421742237E-2</v>
      </c>
      <c r="AK47" s="62">
        <f t="shared" si="21"/>
        <v>0.27324374294308496</v>
      </c>
      <c r="AM47" s="44">
        <v>43556</v>
      </c>
      <c r="AN47" s="45">
        <v>47.220001000000003</v>
      </c>
      <c r="AO47" s="47">
        <f t="shared" si="7"/>
        <v>1.0485790712604359E-2</v>
      </c>
      <c r="AP47" s="62">
        <f t="shared" si="22"/>
        <v>0.20798160654898945</v>
      </c>
      <c r="AR47" s="44">
        <v>43556</v>
      </c>
      <c r="AS47" s="45">
        <v>1926.5200199999999</v>
      </c>
      <c r="AT47" s="47">
        <f t="shared" si="8"/>
        <v>8.1858778604520621E-2</v>
      </c>
      <c r="AU47" s="62">
        <f t="shared" si="23"/>
        <v>0.2301150056824306</v>
      </c>
      <c r="AW47" s="44">
        <v>43525</v>
      </c>
      <c r="AX47" s="45">
        <v>206.61999499999999</v>
      </c>
      <c r="AY47" s="47">
        <f t="shared" si="9"/>
        <v>9.2360568618363281E-2</v>
      </c>
      <c r="AZ47" s="62">
        <f t="shared" si="25"/>
        <v>0.65839956363751706</v>
      </c>
    </row>
    <row r="48" spans="1:52" x14ac:dyDescent="0.35">
      <c r="A48" t="s">
        <v>18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K48" t="str">
        <f>+A47</f>
        <v>Addressable Market (SKUs)</v>
      </c>
      <c r="N48" s="54">
        <f>+C47</f>
        <v>1000000000</v>
      </c>
      <c r="X48" s="44">
        <v>43586</v>
      </c>
      <c r="Y48" s="45">
        <v>206.25</v>
      </c>
      <c r="Z48" s="47">
        <f t="shared" si="4"/>
        <v>-7.0443503911044258E-2</v>
      </c>
      <c r="AA48" s="62">
        <f t="shared" si="19"/>
        <v>0.12735721990747018</v>
      </c>
      <c r="AC48" s="44">
        <v>43586</v>
      </c>
      <c r="AD48" s="45">
        <v>91.550003000000004</v>
      </c>
      <c r="AE48" s="47">
        <f t="shared" si="5"/>
        <v>-4.7940940185485004E-2</v>
      </c>
      <c r="AF48" s="62">
        <f t="shared" si="20"/>
        <v>0.19610663449037591</v>
      </c>
      <c r="AH48" s="44">
        <v>43586</v>
      </c>
      <c r="AI48" s="45">
        <v>92.440002000000007</v>
      </c>
      <c r="AJ48" s="47">
        <f t="shared" si="6"/>
        <v>-6.2474605729707977E-2</v>
      </c>
      <c r="AK48" s="62">
        <f t="shared" si="21"/>
        <v>0.14292786138456459</v>
      </c>
      <c r="AM48" s="44">
        <v>43586</v>
      </c>
      <c r="AN48" s="45">
        <v>40.729999999999997</v>
      </c>
      <c r="AO48" s="47">
        <f t="shared" si="7"/>
        <v>-0.13744178023206743</v>
      </c>
      <c r="AP48" s="62">
        <f t="shared" si="22"/>
        <v>-6.3247470101195913E-2</v>
      </c>
      <c r="AR48" s="44">
        <v>43586</v>
      </c>
      <c r="AS48" s="45">
        <v>1775.0699460000001</v>
      </c>
      <c r="AT48" s="47">
        <f t="shared" si="8"/>
        <v>-7.8613288430815165E-2</v>
      </c>
      <c r="AU48" s="62">
        <f t="shared" si="23"/>
        <v>8.9253906706023178E-2</v>
      </c>
      <c r="AW48" s="44">
        <v>43556</v>
      </c>
      <c r="AX48" s="45">
        <v>243.529999</v>
      </c>
      <c r="AY48" s="47">
        <f t="shared" si="9"/>
        <v>0.17863713528789904</v>
      </c>
      <c r="AZ48" s="62">
        <f t="shared" si="25"/>
        <v>0.82242003957120247</v>
      </c>
    </row>
    <row r="49" spans="1:52" x14ac:dyDescent="0.35">
      <c r="K49" t="str">
        <f>+A50</f>
        <v>Revenue per Product</v>
      </c>
      <c r="N49" s="83">
        <f>+C50</f>
        <v>50</v>
      </c>
      <c r="X49" s="44">
        <v>43617</v>
      </c>
      <c r="Y49" s="45">
        <v>218.46000699999999</v>
      </c>
      <c r="Z49" s="47">
        <f t="shared" si="4"/>
        <v>5.9200033939393881E-2</v>
      </c>
      <c r="AA49" s="62">
        <f t="shared" si="19"/>
        <v>0.19586170008228532</v>
      </c>
      <c r="AC49" s="44">
        <v>43617</v>
      </c>
      <c r="AD49" s="45">
        <v>95.830001999999993</v>
      </c>
      <c r="AE49" s="47">
        <f t="shared" si="5"/>
        <v>4.6750397157278023E-2</v>
      </c>
      <c r="AF49" s="62">
        <f t="shared" si="20"/>
        <v>0.25563419811320753</v>
      </c>
      <c r="AH49" s="44">
        <v>43617</v>
      </c>
      <c r="AI49" s="45">
        <v>96.239998</v>
      </c>
      <c r="AJ49" s="47">
        <f t="shared" si="6"/>
        <v>4.110770140398734E-2</v>
      </c>
      <c r="AK49" s="62">
        <f t="shared" si="21"/>
        <v>0.18814812345679011</v>
      </c>
      <c r="AM49" s="44">
        <v>43617</v>
      </c>
      <c r="AN49" s="45">
        <v>47.98</v>
      </c>
      <c r="AO49" s="47">
        <f t="shared" si="7"/>
        <v>0.17800147311563963</v>
      </c>
      <c r="AP49" s="62">
        <f t="shared" si="22"/>
        <v>6.6696309470875903E-2</v>
      </c>
      <c r="AR49" s="44">
        <v>43617</v>
      </c>
      <c r="AS49" s="45">
        <v>1893.630005</v>
      </c>
      <c r="AT49" s="47">
        <f t="shared" si="8"/>
        <v>6.6791767427062165E-2</v>
      </c>
      <c r="AU49" s="62">
        <f t="shared" si="23"/>
        <v>0.11403103330537667</v>
      </c>
      <c r="AW49" s="44">
        <v>43586</v>
      </c>
      <c r="AX49" s="45">
        <v>274.89999399999999</v>
      </c>
      <c r="AY49" s="47">
        <f t="shared" si="9"/>
        <v>0.12881367851522874</v>
      </c>
      <c r="AZ49" s="62">
        <f t="shared" si="25"/>
        <v>0.85630360878664602</v>
      </c>
    </row>
    <row r="50" spans="1:52" x14ac:dyDescent="0.35">
      <c r="A50" t="s">
        <v>98</v>
      </c>
      <c r="C50" s="26">
        <v>50</v>
      </c>
      <c r="D50" s="26">
        <f>+C50*(1+D51)</f>
        <v>50</v>
      </c>
      <c r="E50" s="26">
        <f t="shared" ref="E50:I50" si="27">+D50*(1+E51)</f>
        <v>50</v>
      </c>
      <c r="F50" s="26">
        <f t="shared" si="27"/>
        <v>50</v>
      </c>
      <c r="G50" s="26">
        <f t="shared" si="27"/>
        <v>50</v>
      </c>
      <c r="H50" s="26">
        <f t="shared" si="27"/>
        <v>50</v>
      </c>
      <c r="I50" s="26">
        <f t="shared" si="27"/>
        <v>50</v>
      </c>
      <c r="X50" s="44">
        <v>43647</v>
      </c>
      <c r="Y50" s="45">
        <v>221.96000699999999</v>
      </c>
      <c r="Z50" s="47">
        <f t="shared" si="4"/>
        <v>1.6021239072834037E-2</v>
      </c>
      <c r="AA50" s="62">
        <f t="shared" si="19"/>
        <v>0.19642088300084337</v>
      </c>
      <c r="AC50" s="44">
        <v>43647</v>
      </c>
      <c r="AD50" s="45">
        <v>101.80999799999999</v>
      </c>
      <c r="AE50" s="47">
        <f t="shared" si="5"/>
        <v>6.2402127467345858E-2</v>
      </c>
      <c r="AF50" s="62">
        <f t="shared" si="20"/>
        <v>0.31980813222463222</v>
      </c>
      <c r="AH50" s="44">
        <v>43647</v>
      </c>
      <c r="AI50" s="45">
        <v>99.110000999999997</v>
      </c>
      <c r="AJ50" s="47">
        <f t="shared" si="6"/>
        <v>2.9821311924798533E-2</v>
      </c>
      <c r="AK50" s="62">
        <f t="shared" si="21"/>
        <v>0.20895337122639535</v>
      </c>
      <c r="AM50" s="44">
        <v>43647</v>
      </c>
      <c r="AN50" s="45">
        <v>48.459999000000003</v>
      </c>
      <c r="AO50" s="47">
        <f t="shared" si="7"/>
        <v>1.0004147561484045E-2</v>
      </c>
      <c r="AP50" s="62">
        <f t="shared" si="22"/>
        <v>8.7766556403289897E-2</v>
      </c>
      <c r="AR50" s="44">
        <v>43647</v>
      </c>
      <c r="AS50" s="45">
        <v>1866.780029</v>
      </c>
      <c r="AT50" s="47">
        <f t="shared" si="8"/>
        <v>-1.4179103588929487E-2</v>
      </c>
      <c r="AU50" s="62">
        <f t="shared" si="23"/>
        <v>5.026335120484382E-2</v>
      </c>
      <c r="AW50" s="44">
        <v>43617</v>
      </c>
      <c r="AX50" s="45">
        <v>300.14999399999999</v>
      </c>
      <c r="AY50" s="47">
        <f t="shared" si="9"/>
        <v>9.1851584398361164E-2</v>
      </c>
      <c r="AZ50" s="62">
        <f t="shared" si="25"/>
        <v>1.0573719655724996</v>
      </c>
    </row>
    <row r="51" spans="1:52" x14ac:dyDescent="0.35">
      <c r="A51" t="s">
        <v>23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K51" t="str">
        <f>+A53</f>
        <v>Size of Market $ million</v>
      </c>
      <c r="N51" s="94">
        <f>+C53</f>
        <v>50000</v>
      </c>
      <c r="X51" s="44">
        <v>43678</v>
      </c>
      <c r="Y51" s="45">
        <v>215.78999300000001</v>
      </c>
      <c r="Z51" s="47">
        <f t="shared" si="4"/>
        <v>-2.7797863603419293E-2</v>
      </c>
      <c r="AA51" s="62">
        <f t="shared" si="19"/>
        <v>7.4383801611636491E-2</v>
      </c>
      <c r="AC51" s="44">
        <v>43678</v>
      </c>
      <c r="AD51" s="45">
        <v>97.559997999999993</v>
      </c>
      <c r="AE51" s="47">
        <f t="shared" si="5"/>
        <v>-4.1744426711411986E-2</v>
      </c>
      <c r="AF51" s="62">
        <f t="shared" si="20"/>
        <v>0.12590877955201885</v>
      </c>
      <c r="AH51" s="44">
        <v>43678</v>
      </c>
      <c r="AI51" s="45">
        <v>96.300003000000004</v>
      </c>
      <c r="AJ51" s="47">
        <f t="shared" si="6"/>
        <v>-2.8352315322850097E-2</v>
      </c>
      <c r="AK51" s="62">
        <f t="shared" si="21"/>
        <v>5.5458188414252207E-2</v>
      </c>
      <c r="AM51" s="44">
        <v>43678</v>
      </c>
      <c r="AN51" s="45">
        <v>44.32</v>
      </c>
      <c r="AO51" s="47">
        <f t="shared" si="7"/>
        <v>-8.5431264660158268E-2</v>
      </c>
      <c r="AP51" s="62">
        <f t="shared" si="22"/>
        <v>-0.10824951492455703</v>
      </c>
      <c r="AR51" s="44">
        <v>43678</v>
      </c>
      <c r="AS51" s="45">
        <v>1776.290039</v>
      </c>
      <c r="AT51" s="47">
        <f t="shared" si="8"/>
        <v>-4.8473836549705274E-2</v>
      </c>
      <c r="AU51" s="62">
        <f t="shared" si="23"/>
        <v>-0.11746348285698183</v>
      </c>
      <c r="AW51" s="44">
        <v>43647</v>
      </c>
      <c r="AX51" s="45">
        <v>317.88000499999998</v>
      </c>
      <c r="AY51" s="47">
        <f t="shared" si="9"/>
        <v>5.9070502596778374E-2</v>
      </c>
      <c r="AZ51" s="62">
        <f t="shared" si="25"/>
        <v>1.2999782135891218</v>
      </c>
    </row>
    <row r="52" spans="1:52" x14ac:dyDescent="0.35">
      <c r="K52" t="str">
        <f>+A54</f>
        <v>Size of Market £ million</v>
      </c>
      <c r="N52" s="42">
        <f>+C54</f>
        <v>35000</v>
      </c>
      <c r="X52" s="44">
        <v>43709</v>
      </c>
      <c r="Y52" s="45">
        <v>211.88000500000001</v>
      </c>
      <c r="Z52" s="47">
        <f t="shared" si="4"/>
        <v>-1.8119412979451743E-2</v>
      </c>
      <c r="AA52" s="62">
        <f t="shared" si="19"/>
        <v>3.3712269923831473E-2</v>
      </c>
      <c r="AC52" s="44">
        <v>43709</v>
      </c>
      <c r="AD52" s="45">
        <v>93.080001999999993</v>
      </c>
      <c r="AE52" s="47">
        <f t="shared" si="5"/>
        <v>-4.5920419145559999E-2</v>
      </c>
      <c r="AF52" s="62">
        <f t="shared" si="20"/>
        <v>6.8902157351810711E-2</v>
      </c>
      <c r="AH52" s="44">
        <v>43709</v>
      </c>
      <c r="AI52" s="45">
        <v>93.360000999999997</v>
      </c>
      <c r="AJ52" s="47">
        <f t="shared" si="6"/>
        <v>-3.0529614832930041E-2</v>
      </c>
      <c r="AK52" s="62">
        <f t="shared" si="21"/>
        <v>2.9440941020157707E-2</v>
      </c>
      <c r="AM52" s="44">
        <v>43709</v>
      </c>
      <c r="AN52" s="45">
        <v>42.889999000000003</v>
      </c>
      <c r="AO52" s="47">
        <f t="shared" si="7"/>
        <v>-3.2265365523465594E-2</v>
      </c>
      <c r="AP52" s="62">
        <f t="shared" si="22"/>
        <v>-9.400086607520064E-2</v>
      </c>
      <c r="AR52" s="44">
        <v>43709</v>
      </c>
      <c r="AS52" s="45">
        <v>1735.910034</v>
      </c>
      <c r="AT52" s="47">
        <f t="shared" si="8"/>
        <v>-2.2732776806389521E-2</v>
      </c>
      <c r="AU52" s="62">
        <f t="shared" si="23"/>
        <v>-0.13334496555167252</v>
      </c>
      <c r="AW52" s="44">
        <v>43678</v>
      </c>
      <c r="AX52" s="45">
        <v>385.39001500000001</v>
      </c>
      <c r="AY52" s="47">
        <f t="shared" si="9"/>
        <v>0.21237576739059127</v>
      </c>
      <c r="AZ52" s="62">
        <f t="shared" si="25"/>
        <v>1.6456375388980238</v>
      </c>
    </row>
    <row r="53" spans="1:52" x14ac:dyDescent="0.35">
      <c r="A53" t="s">
        <v>29</v>
      </c>
      <c r="B53" s="37" t="s">
        <v>30</v>
      </c>
      <c r="C53" s="38">
        <f>+C50*C47/1000000</f>
        <v>50000</v>
      </c>
      <c r="D53" s="38">
        <f t="shared" ref="D53:I53" si="28">+D50*D47/1000000</f>
        <v>50000</v>
      </c>
      <c r="E53" s="38">
        <f t="shared" si="28"/>
        <v>50000</v>
      </c>
      <c r="F53" s="38">
        <f t="shared" si="28"/>
        <v>50000</v>
      </c>
      <c r="G53" s="38">
        <f t="shared" si="28"/>
        <v>50000</v>
      </c>
      <c r="H53" s="38">
        <f t="shared" si="28"/>
        <v>50000</v>
      </c>
      <c r="I53" s="38">
        <f t="shared" si="28"/>
        <v>50000</v>
      </c>
      <c r="X53" s="44">
        <v>43739</v>
      </c>
      <c r="Y53" s="45">
        <v>214.91999799999999</v>
      </c>
      <c r="Z53" s="47">
        <f t="shared" si="4"/>
        <v>1.4347710629891486E-2</v>
      </c>
      <c r="AA53" s="62">
        <f t="shared" si="19"/>
        <v>0.17276003417985453</v>
      </c>
      <c r="AC53" s="44">
        <v>43739</v>
      </c>
      <c r="AD53" s="45">
        <v>94.239998</v>
      </c>
      <c r="AE53" s="47">
        <f t="shared" si="5"/>
        <v>1.246235469569501E-2</v>
      </c>
      <c r="AF53" s="62">
        <f t="shared" si="20"/>
        <v>0.23885891941632709</v>
      </c>
      <c r="AH53" s="44">
        <v>43739</v>
      </c>
      <c r="AI53" s="45">
        <v>95.739998</v>
      </c>
      <c r="AJ53" s="47">
        <f t="shared" si="6"/>
        <v>2.549268396001847E-2</v>
      </c>
      <c r="AK53" s="62">
        <f t="shared" si="21"/>
        <v>0.18946453446302725</v>
      </c>
      <c r="AM53" s="44">
        <v>43739</v>
      </c>
      <c r="AN53" s="45">
        <v>44.23</v>
      </c>
      <c r="AO53" s="47">
        <f t="shared" si="7"/>
        <v>3.1242737963225187E-2</v>
      </c>
      <c r="AP53" s="62">
        <f t="shared" si="22"/>
        <v>3.8750538339570761E-2</v>
      </c>
      <c r="AR53" s="44">
        <v>43739</v>
      </c>
      <c r="AS53" s="45">
        <v>1776.660034</v>
      </c>
      <c r="AT53" s="47">
        <f t="shared" si="8"/>
        <v>2.3474718851702825E-2</v>
      </c>
      <c r="AU53" s="62">
        <f t="shared" si="23"/>
        <v>0.11179530971774088</v>
      </c>
      <c r="AW53" s="44">
        <v>43709</v>
      </c>
      <c r="AX53" s="45">
        <v>311.66000400000001</v>
      </c>
      <c r="AY53" s="47">
        <f t="shared" si="9"/>
        <v>-0.19131271732610922</v>
      </c>
      <c r="AZ53" s="62">
        <f t="shared" si="25"/>
        <v>0.89505041186092149</v>
      </c>
    </row>
    <row r="54" spans="1:52" x14ac:dyDescent="0.35">
      <c r="A54" t="s">
        <v>33</v>
      </c>
      <c r="B54" s="41">
        <v>0.7</v>
      </c>
      <c r="C54" s="42">
        <f t="shared" ref="C54:I54" si="29">+$B$54*C53</f>
        <v>35000</v>
      </c>
      <c r="D54" s="42">
        <f t="shared" si="29"/>
        <v>35000</v>
      </c>
      <c r="E54" s="42">
        <f t="shared" si="29"/>
        <v>35000</v>
      </c>
      <c r="F54" s="42">
        <f t="shared" si="29"/>
        <v>35000</v>
      </c>
      <c r="G54" s="42">
        <f t="shared" si="29"/>
        <v>35000</v>
      </c>
      <c r="H54" s="42">
        <f t="shared" si="29"/>
        <v>35000</v>
      </c>
      <c r="I54" s="42">
        <f t="shared" si="29"/>
        <v>35000</v>
      </c>
      <c r="K54" t="str">
        <f t="shared" ref="K54:K55" si="30">+A56</f>
        <v>Market Penetration %</v>
      </c>
      <c r="N54" s="103">
        <f>+E56</f>
        <v>0.01</v>
      </c>
      <c r="X54" s="44">
        <v>43770</v>
      </c>
      <c r="Y54" s="45">
        <v>232</v>
      </c>
      <c r="Z54" s="47">
        <f t="shared" si="4"/>
        <v>7.9471441275557941E-2</v>
      </c>
      <c r="AA54" s="62">
        <f t="shared" si="19"/>
        <v>0.24966338539176047</v>
      </c>
      <c r="AC54" s="44">
        <v>43770</v>
      </c>
      <c r="AD54" s="45">
        <v>101.349998</v>
      </c>
      <c r="AE54" s="47">
        <f t="shared" si="5"/>
        <v>7.5445672229322414E-2</v>
      </c>
      <c r="AF54" s="62">
        <f t="shared" si="20"/>
        <v>0.27452215572895455</v>
      </c>
      <c r="AH54" s="44">
        <v>43770</v>
      </c>
      <c r="AI54" s="45">
        <v>102.790001</v>
      </c>
      <c r="AJ54" s="47">
        <f t="shared" si="6"/>
        <v>7.3636966234321477E-2</v>
      </c>
      <c r="AK54" s="62">
        <f t="shared" si="21"/>
        <v>0.26854254311418657</v>
      </c>
      <c r="AM54" s="44">
        <v>43770</v>
      </c>
      <c r="AN54" s="45">
        <v>50.43</v>
      </c>
      <c r="AO54" s="47">
        <f t="shared" si="7"/>
        <v>0.14017635089305913</v>
      </c>
      <c r="AP54" s="62">
        <f t="shared" si="22"/>
        <v>0.13453315782827535</v>
      </c>
      <c r="AR54" s="44">
        <v>43770</v>
      </c>
      <c r="AS54" s="45">
        <v>1800.8000489999999</v>
      </c>
      <c r="AT54" s="47">
        <f t="shared" si="8"/>
        <v>1.358730119326812E-2</v>
      </c>
      <c r="AU54" s="62">
        <f t="shared" si="23"/>
        <v>6.5454955489673727E-2</v>
      </c>
      <c r="AW54" s="44">
        <v>43739</v>
      </c>
      <c r="AX54" s="45">
        <v>313.57000699999998</v>
      </c>
      <c r="AY54" s="47">
        <f t="shared" si="9"/>
        <v>6.1284828835461713E-3</v>
      </c>
      <c r="AZ54" s="62">
        <f t="shared" si="25"/>
        <v>1.2697793747280222</v>
      </c>
    </row>
    <row r="55" spans="1:52" x14ac:dyDescent="0.35">
      <c r="K55" t="str">
        <f t="shared" si="30"/>
        <v>Market Penetration £ million</v>
      </c>
      <c r="N55" s="50">
        <f>+E57</f>
        <v>350</v>
      </c>
      <c r="X55" s="44">
        <v>43800</v>
      </c>
      <c r="Y55" s="45">
        <v>233.03999300000001</v>
      </c>
      <c r="Z55" s="47">
        <f t="shared" si="4"/>
        <v>4.4827284482757968E-3</v>
      </c>
      <c r="AA55" s="62">
        <f t="shared" si="19"/>
        <v>0.34293778794985186</v>
      </c>
      <c r="AC55" s="44">
        <v>43800</v>
      </c>
      <c r="AD55" s="45">
        <v>99.760002</v>
      </c>
      <c r="AE55" s="47">
        <f t="shared" si="5"/>
        <v>-1.5688170018513414E-2</v>
      </c>
      <c r="AF55" s="62">
        <f t="shared" si="20"/>
        <v>0.34993233153092462</v>
      </c>
      <c r="AH55" s="44">
        <v>43800</v>
      </c>
      <c r="AI55" s="45">
        <v>101.620003</v>
      </c>
      <c r="AJ55" s="47">
        <f t="shared" si="6"/>
        <v>-1.1382410629609874E-2</v>
      </c>
      <c r="AK55" s="62">
        <f t="shared" si="21"/>
        <v>0.36329489719217989</v>
      </c>
      <c r="AM55" s="44">
        <v>43800</v>
      </c>
      <c r="AN55" s="45">
        <v>50.049999</v>
      </c>
      <c r="AO55" s="47">
        <f t="shared" si="7"/>
        <v>-7.5352171326591444E-3</v>
      </c>
      <c r="AP55" s="62">
        <f t="shared" si="22"/>
        <v>0.3457918888354905</v>
      </c>
      <c r="AR55" s="44">
        <v>43800</v>
      </c>
      <c r="AS55" s="45">
        <v>1847.839966</v>
      </c>
      <c r="AT55" s="47">
        <f t="shared" si="8"/>
        <v>2.6121676876964539E-2</v>
      </c>
      <c r="AU55" s="62">
        <f t="shared" si="23"/>
        <v>0.23027756991021753</v>
      </c>
      <c r="AW55" s="44">
        <v>43770</v>
      </c>
      <c r="AX55" s="45">
        <v>336.75</v>
      </c>
      <c r="AY55" s="47">
        <f t="shared" si="9"/>
        <v>7.3922864057594628E-2</v>
      </c>
      <c r="AZ55" s="62">
        <f t="shared" si="25"/>
        <v>1.2058822951426102</v>
      </c>
    </row>
    <row r="56" spans="1:52" x14ac:dyDescent="0.35">
      <c r="A56" t="s">
        <v>36</v>
      </c>
      <c r="C56" s="48">
        <v>0.01</v>
      </c>
      <c r="D56" s="48">
        <v>0.01</v>
      </c>
      <c r="E56" s="49">
        <v>0.01</v>
      </c>
      <c r="F56" s="48">
        <f>+E56*(1-$D$31)</f>
        <v>5.0000000000000001E-3</v>
      </c>
      <c r="G56" s="48">
        <f>+F56*(1-$D$31)</f>
        <v>2.5000000000000001E-3</v>
      </c>
      <c r="H56" s="48">
        <f>+G56*(1-$D$31)</f>
        <v>1.25E-3</v>
      </c>
      <c r="I56" s="48">
        <f>+H56*(1-$D$31)</f>
        <v>6.2500000000000001E-4</v>
      </c>
      <c r="X56" s="44">
        <v>43831</v>
      </c>
      <c r="Y56" s="45">
        <v>248.66999799999999</v>
      </c>
      <c r="Z56" s="47">
        <f t="shared" si="4"/>
        <v>6.707005436616198E-2</v>
      </c>
      <c r="AA56" s="62">
        <f t="shared" si="19"/>
        <v>0.29367389817046141</v>
      </c>
      <c r="AC56" s="44">
        <v>43831</v>
      </c>
      <c r="AD56" s="45">
        <v>100.41999800000001</v>
      </c>
      <c r="AE56" s="47">
        <f t="shared" si="5"/>
        <v>6.6158378785918792E-3</v>
      </c>
      <c r="AF56" s="62">
        <f t="shared" si="20"/>
        <v>0.19405470140439252</v>
      </c>
      <c r="AH56" s="44">
        <v>43831</v>
      </c>
      <c r="AI56" s="45">
        <v>105.129997</v>
      </c>
      <c r="AJ56" s="47">
        <f t="shared" si="6"/>
        <v>3.4540384731144069E-2</v>
      </c>
      <c r="AK56" s="62">
        <f t="shared" si="21"/>
        <v>0.23667797349304864</v>
      </c>
      <c r="AM56" s="44">
        <v>43831</v>
      </c>
      <c r="AN56" s="45">
        <v>51.799999</v>
      </c>
      <c r="AO56" s="47">
        <f t="shared" si="7"/>
        <v>3.4965035663637067E-2</v>
      </c>
      <c r="AP56" s="62">
        <f t="shared" si="22"/>
        <v>0.20325203724162688</v>
      </c>
      <c r="AR56" s="44">
        <v>43831</v>
      </c>
      <c r="AS56" s="45">
        <v>2008.719971</v>
      </c>
      <c r="AT56" s="47">
        <f t="shared" si="8"/>
        <v>8.7063819356746119E-2</v>
      </c>
      <c r="AU56" s="62">
        <f t="shared" si="23"/>
        <v>0.16872341459942408</v>
      </c>
      <c r="AW56" s="44">
        <v>43800</v>
      </c>
      <c r="AX56" s="45">
        <v>397.57998700000002</v>
      </c>
      <c r="AY56" s="47">
        <f t="shared" si="9"/>
        <v>0.18063841722345964</v>
      </c>
      <c r="AZ56" s="62">
        <f t="shared" si="25"/>
        <v>1.8716503836399507</v>
      </c>
    </row>
    <row r="57" spans="1:52" x14ac:dyDescent="0.35">
      <c r="A57" t="s">
        <v>37</v>
      </c>
      <c r="C57" s="50">
        <f>+C56*C54</f>
        <v>350</v>
      </c>
      <c r="D57" s="50">
        <f t="shared" ref="D57:I57" si="31">+D56*D54</f>
        <v>350</v>
      </c>
      <c r="E57" s="50">
        <f t="shared" si="31"/>
        <v>350</v>
      </c>
      <c r="F57" s="50">
        <f t="shared" si="31"/>
        <v>175</v>
      </c>
      <c r="G57" s="50">
        <f t="shared" si="31"/>
        <v>87.5</v>
      </c>
      <c r="H57" s="50">
        <f t="shared" si="31"/>
        <v>43.75</v>
      </c>
      <c r="I57" s="50">
        <f t="shared" si="31"/>
        <v>21.875</v>
      </c>
      <c r="X57" s="44">
        <v>43862</v>
      </c>
      <c r="Y57" s="45">
        <v>234.58000200000001</v>
      </c>
      <c r="Z57" s="47">
        <f t="shared" si="4"/>
        <v>-5.6661423224847463E-2</v>
      </c>
      <c r="AA57" s="62">
        <f t="shared" si="19"/>
        <v>0.13258018377221381</v>
      </c>
      <c r="AC57" s="44">
        <v>43862</v>
      </c>
      <c r="AD57" s="45">
        <v>95.230002999999996</v>
      </c>
      <c r="AE57" s="47">
        <f t="shared" si="5"/>
        <v>-5.1682882925371154E-2</v>
      </c>
      <c r="AF57" s="62">
        <f t="shared" si="20"/>
        <v>8.1053551188718487E-2</v>
      </c>
      <c r="AH57" s="44">
        <v>43862</v>
      </c>
      <c r="AI57" s="45">
        <v>99</v>
      </c>
      <c r="AJ57" s="47">
        <f t="shared" si="6"/>
        <v>-5.8308733709942051E-2</v>
      </c>
      <c r="AK57" s="62">
        <f t="shared" si="21"/>
        <v>7.061748598878026E-2</v>
      </c>
      <c r="AM57" s="44">
        <v>43862</v>
      </c>
      <c r="AN57" s="45">
        <v>52.84</v>
      </c>
      <c r="AO57" s="47">
        <f t="shared" si="7"/>
        <v>2.0077239769831001E-2</v>
      </c>
      <c r="AP57" s="62">
        <f t="shared" si="22"/>
        <v>0.1348797007113467</v>
      </c>
      <c r="AR57" s="44">
        <v>43862</v>
      </c>
      <c r="AS57" s="45">
        <v>1883.75</v>
      </c>
      <c r="AT57" s="47">
        <f t="shared" si="8"/>
        <v>-6.2213734519593666E-2</v>
      </c>
      <c r="AU57" s="62">
        <f t="shared" si="23"/>
        <v>0.14874715704973984</v>
      </c>
      <c r="AW57" s="44">
        <v>43831</v>
      </c>
      <c r="AX57" s="45">
        <v>465.66000400000001</v>
      </c>
      <c r="AY57" s="47">
        <f t="shared" si="9"/>
        <v>0.17123602602260757</v>
      </c>
      <c r="AZ57" s="62">
        <f t="shared" si="24"/>
        <v>1.764052954448549</v>
      </c>
    </row>
    <row r="58" spans="1:52" x14ac:dyDescent="0.35">
      <c r="X58" s="44">
        <v>43891</v>
      </c>
      <c r="Y58" s="45">
        <v>210.28999300000001</v>
      </c>
      <c r="Z58" s="47">
        <f t="shared" si="4"/>
        <v>-0.10354680191366017</v>
      </c>
      <c r="AA58" s="62">
        <f t="shared" si="19"/>
        <v>-2.5140593036788728E-3</v>
      </c>
      <c r="AC58" s="44">
        <v>43891</v>
      </c>
      <c r="AD58" s="45">
        <v>85.739998</v>
      </c>
      <c r="AE58" s="47">
        <f t="shared" si="5"/>
        <v>-9.9653519910106403E-2</v>
      </c>
      <c r="AF58" s="62">
        <f t="shared" si="20"/>
        <v>-6.2130826124061067E-2</v>
      </c>
      <c r="AH58" s="44">
        <v>43891</v>
      </c>
      <c r="AI58" s="45">
        <v>82.089995999999999</v>
      </c>
      <c r="AJ58" s="47">
        <f t="shared" si="6"/>
        <v>-0.17080812121212119</v>
      </c>
      <c r="AK58" s="62">
        <f t="shared" si="21"/>
        <v>-0.13049473019829549</v>
      </c>
      <c r="AM58" s="44">
        <v>43891</v>
      </c>
      <c r="AN58" s="45">
        <v>44</v>
      </c>
      <c r="AO58" s="47">
        <f t="shared" si="7"/>
        <v>-0.1672975018925057</v>
      </c>
      <c r="AP58" s="62">
        <f t="shared" si="22"/>
        <v>-5.842071474427557E-2</v>
      </c>
      <c r="AR58" s="44">
        <v>43891</v>
      </c>
      <c r="AS58" s="45">
        <v>1949.719971</v>
      </c>
      <c r="AT58" s="47">
        <f t="shared" si="8"/>
        <v>3.5020555275381504E-2</v>
      </c>
      <c r="AU58" s="62">
        <f t="shared" si="23"/>
        <v>9.4886969535308063E-2</v>
      </c>
      <c r="AW58" s="44">
        <v>43862</v>
      </c>
      <c r="AX58" s="45">
        <v>463.30999800000001</v>
      </c>
      <c r="AY58" s="47">
        <f t="shared" si="9"/>
        <v>-5.0466133655747702E-3</v>
      </c>
      <c r="AZ58" s="62">
        <f t="shared" si="24"/>
        <v>1.4494317351128228</v>
      </c>
    </row>
    <row r="59" spans="1:52" x14ac:dyDescent="0.35">
      <c r="A59" s="51" t="s">
        <v>40</v>
      </c>
      <c r="B59" s="52"/>
      <c r="X59" s="44">
        <v>43922</v>
      </c>
      <c r="Y59" s="45">
        <v>240.88000500000001</v>
      </c>
      <c r="Z59" s="47">
        <f t="shared" si="4"/>
        <v>0.14546584725027789</v>
      </c>
      <c r="AA59" s="62">
        <f t="shared" si="19"/>
        <v>8.5631871154861372E-2</v>
      </c>
      <c r="AC59" s="44">
        <v>43922</v>
      </c>
      <c r="AD59" s="45">
        <v>98.879997000000003</v>
      </c>
      <c r="AE59" s="47">
        <f t="shared" si="5"/>
        <v>0.153254015704549</v>
      </c>
      <c r="AF59" s="62">
        <f t="shared" si="20"/>
        <v>2.8286115711892101E-2</v>
      </c>
      <c r="AH59" s="44">
        <v>43922</v>
      </c>
      <c r="AI59" s="45">
        <v>94.699996999999996</v>
      </c>
      <c r="AJ59" s="47">
        <f t="shared" si="6"/>
        <v>0.15361190905649447</v>
      </c>
      <c r="AK59" s="62">
        <f t="shared" si="21"/>
        <v>-3.9553763479792448E-2</v>
      </c>
      <c r="AM59" s="44">
        <v>43922</v>
      </c>
      <c r="AN59" s="45">
        <v>55.330002</v>
      </c>
      <c r="AO59" s="47">
        <f t="shared" si="7"/>
        <v>0.25750004545454552</v>
      </c>
      <c r="AP59" s="62">
        <f t="shared" si="22"/>
        <v>0.17174927632890125</v>
      </c>
      <c r="AR59" s="44">
        <v>43922</v>
      </c>
      <c r="AS59" s="45">
        <v>2474</v>
      </c>
      <c r="AT59" s="47">
        <f t="shared" si="8"/>
        <v>0.26890016863862765</v>
      </c>
      <c r="AU59" s="62">
        <f t="shared" si="23"/>
        <v>0.28418078935925095</v>
      </c>
      <c r="AW59" s="44">
        <v>43891</v>
      </c>
      <c r="AX59" s="45">
        <v>416.92999300000002</v>
      </c>
      <c r="AY59" s="47">
        <f t="shared" si="9"/>
        <v>-0.10010577194580628</v>
      </c>
      <c r="AZ59" s="62">
        <f t="shared" si="24"/>
        <v>1.0178588863096238</v>
      </c>
    </row>
    <row r="60" spans="1:52" x14ac:dyDescent="0.35">
      <c r="A60" t="s">
        <v>44</v>
      </c>
      <c r="C60" s="54">
        <f>+C57*1000000</f>
        <v>350000000</v>
      </c>
      <c r="D60" s="54">
        <f t="shared" ref="D60:I60" si="32">+D57*1000000</f>
        <v>350000000</v>
      </c>
      <c r="E60" s="54">
        <f t="shared" si="32"/>
        <v>350000000</v>
      </c>
      <c r="F60" s="54">
        <f t="shared" si="32"/>
        <v>175000000</v>
      </c>
      <c r="G60" s="54">
        <f t="shared" si="32"/>
        <v>87500000</v>
      </c>
      <c r="H60" s="54">
        <f t="shared" si="32"/>
        <v>43750000</v>
      </c>
      <c r="I60" s="54">
        <f t="shared" si="32"/>
        <v>21875000</v>
      </c>
      <c r="X60" s="44">
        <v>43952</v>
      </c>
      <c r="Y60" s="45">
        <v>267.26998900000001</v>
      </c>
      <c r="Z60" s="47">
        <f t="shared" si="4"/>
        <v>0.10955655700854039</v>
      </c>
      <c r="AA60" s="62">
        <f t="shared" si="19"/>
        <v>0.29585449212121206</v>
      </c>
      <c r="AC60" s="44">
        <v>43952</v>
      </c>
      <c r="AD60" s="45">
        <v>110.349998</v>
      </c>
      <c r="AE60" s="47">
        <f t="shared" si="5"/>
        <v>0.1159992045711733</v>
      </c>
      <c r="AF60" s="62">
        <f t="shared" si="20"/>
        <v>0.20535220517688013</v>
      </c>
      <c r="AH60" s="44">
        <v>43952</v>
      </c>
      <c r="AI60" s="45">
        <v>106.900002</v>
      </c>
      <c r="AJ60" s="47">
        <f t="shared" si="6"/>
        <v>0.12882793438736861</v>
      </c>
      <c r="AK60" s="62">
        <f t="shared" si="21"/>
        <v>0.15642578631705351</v>
      </c>
      <c r="AM60" s="44">
        <v>43952</v>
      </c>
      <c r="AN60" s="45">
        <v>62.82</v>
      </c>
      <c r="AO60" s="47">
        <f t="shared" si="7"/>
        <v>0.13536955953842189</v>
      </c>
      <c r="AP60" s="62">
        <f t="shared" si="22"/>
        <v>0.54235207463785917</v>
      </c>
      <c r="AR60" s="44">
        <v>43952</v>
      </c>
      <c r="AS60" s="45">
        <v>2442.3701169999999</v>
      </c>
      <c r="AT60" s="47">
        <f t="shared" si="8"/>
        <v>-1.2784916329830254E-2</v>
      </c>
      <c r="AU60" s="62">
        <f t="shared" si="23"/>
        <v>0.37592894437975</v>
      </c>
      <c r="AW60" s="44">
        <v>43922</v>
      </c>
      <c r="AX60" s="45">
        <v>632.28997800000002</v>
      </c>
      <c r="AY60" s="47">
        <f t="shared" si="9"/>
        <v>0.51653752096458061</v>
      </c>
      <c r="AZ60" s="62">
        <f t="shared" si="24"/>
        <v>1.5963535523194414</v>
      </c>
    </row>
    <row r="61" spans="1:52" x14ac:dyDescent="0.35">
      <c r="A61" t="s">
        <v>47</v>
      </c>
      <c r="B61" s="56">
        <f>+B20</f>
        <v>0.48772515860172316</v>
      </c>
      <c r="C61" s="54">
        <f t="shared" ref="C61:I61" si="33">-$B$61*C60</f>
        <v>-170703805.5106031</v>
      </c>
      <c r="D61" s="54">
        <f t="shared" si="33"/>
        <v>-170703805.5106031</v>
      </c>
      <c r="E61" s="54">
        <f t="shared" si="33"/>
        <v>-170703805.5106031</v>
      </c>
      <c r="F61" s="54">
        <f t="shared" si="33"/>
        <v>-85351902.75530155</v>
      </c>
      <c r="G61" s="54">
        <f t="shared" si="33"/>
        <v>-42675951.377650775</v>
      </c>
      <c r="H61" s="54">
        <f t="shared" si="33"/>
        <v>-21337975.688825388</v>
      </c>
      <c r="I61" s="54">
        <f t="shared" si="33"/>
        <v>-10668987.844412694</v>
      </c>
      <c r="X61" s="44">
        <v>43983</v>
      </c>
      <c r="Y61" s="45">
        <v>284.25</v>
      </c>
      <c r="Z61" s="47">
        <f t="shared" si="4"/>
        <v>6.3531304294699442E-2</v>
      </c>
      <c r="AA61" s="62">
        <f t="shared" si="19"/>
        <v>0.30115348755802263</v>
      </c>
      <c r="AC61" s="44">
        <v>43983</v>
      </c>
      <c r="AD61" s="45">
        <v>114.800003</v>
      </c>
      <c r="AE61" s="47">
        <f t="shared" si="5"/>
        <v>4.0326280749003685E-2</v>
      </c>
      <c r="AF61" s="62">
        <f t="shared" si="20"/>
        <v>0.19795471777199802</v>
      </c>
      <c r="AH61" s="44">
        <v>43983</v>
      </c>
      <c r="AI61" s="45">
        <v>111.510002</v>
      </c>
      <c r="AJ61" s="47">
        <f t="shared" si="6"/>
        <v>4.312441453462279E-2</v>
      </c>
      <c r="AK61" s="62">
        <f t="shared" si="21"/>
        <v>0.15866588027152706</v>
      </c>
      <c r="AM61" s="44">
        <v>43983</v>
      </c>
      <c r="AN61" s="45">
        <v>71.309997999999993</v>
      </c>
      <c r="AO61" s="47">
        <f t="shared" si="7"/>
        <v>0.13514801018783817</v>
      </c>
      <c r="AP61" s="62">
        <f t="shared" si="22"/>
        <v>0.48624422676115042</v>
      </c>
      <c r="AR61" s="44">
        <v>43983</v>
      </c>
      <c r="AS61" s="45">
        <v>2758.820068</v>
      </c>
      <c r="AT61" s="47">
        <f t="shared" si="8"/>
        <v>0.12956674698783988</v>
      </c>
      <c r="AU61" s="62">
        <f t="shared" si="23"/>
        <v>0.45689499042343273</v>
      </c>
      <c r="AW61" s="44">
        <v>43952</v>
      </c>
      <c r="AX61" s="45">
        <v>757.79998799999998</v>
      </c>
      <c r="AY61" s="47">
        <f t="shared" si="9"/>
        <v>0.19850071069764752</v>
      </c>
      <c r="AZ61" s="62">
        <f t="shared" si="24"/>
        <v>1.7566387942518471</v>
      </c>
    </row>
    <row r="62" spans="1:52" x14ac:dyDescent="0.35">
      <c r="A62" t="s">
        <v>50</v>
      </c>
      <c r="B62" s="56">
        <f>+B21</f>
        <v>0.1</v>
      </c>
      <c r="C62" s="54">
        <f t="shared" ref="C62:I62" si="34">-$B$62*C60</f>
        <v>-35000000</v>
      </c>
      <c r="D62" s="54">
        <f t="shared" si="34"/>
        <v>-35000000</v>
      </c>
      <c r="E62" s="54">
        <f t="shared" si="34"/>
        <v>-35000000</v>
      </c>
      <c r="F62" s="54">
        <f t="shared" si="34"/>
        <v>-17500000</v>
      </c>
      <c r="G62" s="54">
        <f t="shared" si="34"/>
        <v>-8750000</v>
      </c>
      <c r="H62" s="54">
        <f t="shared" si="34"/>
        <v>-4375000</v>
      </c>
      <c r="I62" s="54">
        <f t="shared" si="34"/>
        <v>-2187500</v>
      </c>
      <c r="X62" s="44">
        <v>44013</v>
      </c>
      <c r="Y62" s="45">
        <v>295.25</v>
      </c>
      <c r="Z62" s="47">
        <f t="shared" si="4"/>
        <v>3.8698328935796056E-2</v>
      </c>
      <c r="AA62" s="62">
        <f t="shared" si="19"/>
        <v>0.33019458771237109</v>
      </c>
      <c r="AC62" s="44">
        <v>44013</v>
      </c>
      <c r="AD62" s="45">
        <v>121.68</v>
      </c>
      <c r="AE62" s="47">
        <f t="shared" si="5"/>
        <v>5.9930285890323454E-2</v>
      </c>
      <c r="AF62" s="62">
        <f t="shared" si="20"/>
        <v>0.19516749229284946</v>
      </c>
      <c r="AH62" s="44">
        <v>44013</v>
      </c>
      <c r="AI62" s="45">
        <v>116.25</v>
      </c>
      <c r="AJ62" s="47">
        <f t="shared" si="6"/>
        <v>4.2507379741594908E-2</v>
      </c>
      <c r="AK62" s="62">
        <f t="shared" si="21"/>
        <v>0.17293914667602528</v>
      </c>
      <c r="AM62" s="44">
        <v>44013</v>
      </c>
      <c r="AN62" s="45">
        <v>80.370002999999997</v>
      </c>
      <c r="AO62" s="47">
        <f t="shared" si="7"/>
        <v>0.12705097818120836</v>
      </c>
      <c r="AP62" s="62">
        <f t="shared" si="22"/>
        <v>0.65848131775652718</v>
      </c>
      <c r="AR62" s="44">
        <v>44013</v>
      </c>
      <c r="AS62" s="45">
        <v>3164.679932</v>
      </c>
      <c r="AT62" s="47">
        <f t="shared" si="8"/>
        <v>0.14711356811835397</v>
      </c>
      <c r="AU62" s="62">
        <f t="shared" si="23"/>
        <v>0.69526129636991096</v>
      </c>
      <c r="AW62" s="44">
        <v>43983</v>
      </c>
      <c r="AX62" s="45">
        <v>949.20001200000002</v>
      </c>
      <c r="AY62" s="47">
        <f t="shared" si="9"/>
        <v>0.25257327399165908</v>
      </c>
      <c r="AZ62" s="62">
        <f t="shared" si="24"/>
        <v>2.1624188938014774</v>
      </c>
    </row>
    <row r="63" spans="1:52" ht="15" thickBot="1" x14ac:dyDescent="0.4">
      <c r="A63" t="s">
        <v>53</v>
      </c>
      <c r="C63" s="58">
        <f>SUM(C60:C62)</f>
        <v>144296194.4893969</v>
      </c>
      <c r="D63" s="58">
        <f t="shared" ref="D63:I63" si="35">SUM(D60:D62)</f>
        <v>144296194.4893969</v>
      </c>
      <c r="E63" s="58">
        <f t="shared" si="35"/>
        <v>144296194.4893969</v>
      </c>
      <c r="F63" s="58">
        <f t="shared" si="35"/>
        <v>72148097.24469845</v>
      </c>
      <c r="G63" s="58">
        <f t="shared" si="35"/>
        <v>36074048.622349225</v>
      </c>
      <c r="H63" s="58">
        <f t="shared" si="35"/>
        <v>18037024.311174612</v>
      </c>
      <c r="I63" s="58">
        <f t="shared" si="35"/>
        <v>9018512.1555873062</v>
      </c>
      <c r="X63" s="44">
        <v>44044</v>
      </c>
      <c r="Y63" s="45">
        <v>324.07000699999998</v>
      </c>
      <c r="Z63" s="47">
        <f t="shared" si="4"/>
        <v>9.7612216765452953E-2</v>
      </c>
      <c r="AA63" s="62">
        <f t="shared" si="19"/>
        <v>0.50178422314513882</v>
      </c>
      <c r="AC63" s="44">
        <v>44044</v>
      </c>
      <c r="AD63" s="45">
        <v>125.55999799999999</v>
      </c>
      <c r="AE63" s="47">
        <f t="shared" si="5"/>
        <v>3.1886900065746016E-2</v>
      </c>
      <c r="AF63" s="62">
        <f t="shared" si="20"/>
        <v>0.28700287591231799</v>
      </c>
      <c r="AH63" s="44">
        <v>44044</v>
      </c>
      <c r="AI63" s="45">
        <v>124.44000200000001</v>
      </c>
      <c r="AJ63" s="47">
        <f t="shared" si="6"/>
        <v>7.0451630107526864E-2</v>
      </c>
      <c r="AK63" s="62">
        <f t="shared" si="21"/>
        <v>0.2922118185188427</v>
      </c>
      <c r="AM63" s="44">
        <v>44044</v>
      </c>
      <c r="AN63" s="45">
        <v>95.330001999999993</v>
      </c>
      <c r="AO63" s="47">
        <f t="shared" si="7"/>
        <v>0.18613908724129313</v>
      </c>
      <c r="AP63" s="62">
        <f t="shared" si="22"/>
        <v>1.1509476985559566</v>
      </c>
      <c r="AR63" s="44">
        <v>44044</v>
      </c>
      <c r="AS63" s="45">
        <v>3450.959961</v>
      </c>
      <c r="AT63" s="47">
        <f t="shared" si="8"/>
        <v>9.0460973985156956E-2</v>
      </c>
      <c r="AU63" s="62">
        <f t="shared" si="23"/>
        <v>0.94279080850039043</v>
      </c>
      <c r="AW63" s="44">
        <v>44013</v>
      </c>
      <c r="AX63" s="45">
        <v>1024</v>
      </c>
      <c r="AY63" s="47">
        <f t="shared" si="9"/>
        <v>7.8803189058535228E-2</v>
      </c>
      <c r="AZ63" s="62">
        <f t="shared" si="24"/>
        <v>2.2213413360176588</v>
      </c>
    </row>
    <row r="64" spans="1:52" ht="15" thickTop="1" x14ac:dyDescent="0.35">
      <c r="A64" t="s">
        <v>56</v>
      </c>
      <c r="B64" s="41">
        <v>0</v>
      </c>
      <c r="X64" s="44">
        <v>44075</v>
      </c>
      <c r="Y64" s="45">
        <v>311.11999500000002</v>
      </c>
      <c r="Z64" s="47">
        <f t="shared" si="4"/>
        <v>-3.9960538526479406E-2</v>
      </c>
      <c r="AA64" s="62">
        <f t="shared" si="19"/>
        <v>0.4683782691056666</v>
      </c>
      <c r="AC64" s="44">
        <v>44075</v>
      </c>
      <c r="AD64" s="45">
        <v>123.720001</v>
      </c>
      <c r="AE64" s="47">
        <f t="shared" si="5"/>
        <v>-1.4654324859100454E-2</v>
      </c>
      <c r="AF64" s="62">
        <f t="shared" si="20"/>
        <v>0.32917918287109615</v>
      </c>
      <c r="AH64" s="44">
        <v>44075</v>
      </c>
      <c r="AI64" s="45">
        <v>119.30999799999999</v>
      </c>
      <c r="AJ64" s="47">
        <f t="shared" si="6"/>
        <v>-4.1224718077391365E-2</v>
      </c>
      <c r="AK64" s="62">
        <f t="shared" si="21"/>
        <v>0.27795626308958576</v>
      </c>
      <c r="AM64" s="44">
        <v>44075</v>
      </c>
      <c r="AN64" s="45">
        <v>92</v>
      </c>
      <c r="AO64" s="47">
        <f t="shared" si="7"/>
        <v>-3.4931311550795874E-2</v>
      </c>
      <c r="AP64" s="62">
        <f t="shared" si="22"/>
        <v>1.1450221996974164</v>
      </c>
      <c r="AR64" s="44">
        <v>44075</v>
      </c>
      <c r="AS64" s="45">
        <v>3148.7299800000001</v>
      </c>
      <c r="AT64" s="47">
        <f t="shared" si="8"/>
        <v>-8.757852435715352E-2</v>
      </c>
      <c r="AU64" s="62">
        <f t="shared" si="23"/>
        <v>0.81387855264854125</v>
      </c>
      <c r="AW64" s="44">
        <v>44044</v>
      </c>
      <c r="AX64" s="45">
        <v>1066.420044</v>
      </c>
      <c r="AY64" s="47">
        <f t="shared" si="9"/>
        <v>4.1425824218749963E-2</v>
      </c>
      <c r="AZ64" s="62">
        <f t="shared" si="24"/>
        <v>1.7671190287584384</v>
      </c>
    </row>
    <row r="65" spans="1:52" ht="15" thickBot="1" x14ac:dyDescent="0.4">
      <c r="A65" t="s">
        <v>58</v>
      </c>
      <c r="B65" s="56"/>
      <c r="C65" s="58">
        <f>+C64+C63</f>
        <v>144296194.4893969</v>
      </c>
      <c r="D65" s="58">
        <f t="shared" ref="D65:I65" si="36">+D64+D63</f>
        <v>144296194.4893969</v>
      </c>
      <c r="E65" s="58">
        <f t="shared" si="36"/>
        <v>144296194.4893969</v>
      </c>
      <c r="F65" s="58">
        <f t="shared" si="36"/>
        <v>72148097.24469845</v>
      </c>
      <c r="G65" s="58">
        <f t="shared" si="36"/>
        <v>36074048.622349225</v>
      </c>
      <c r="H65" s="58">
        <f t="shared" si="36"/>
        <v>18037024.311174612</v>
      </c>
      <c r="I65" s="58">
        <f t="shared" si="36"/>
        <v>9018512.1555873062</v>
      </c>
      <c r="X65" s="44">
        <v>44105</v>
      </c>
      <c r="Y65" s="45">
        <v>304.64001500000001</v>
      </c>
      <c r="Z65" s="47">
        <f t="shared" si="4"/>
        <v>-2.0827912394380199E-2</v>
      </c>
      <c r="AA65" s="62">
        <f t="shared" si="19"/>
        <v>0.41745774164766192</v>
      </c>
      <c r="AC65" s="44">
        <v>44105</v>
      </c>
      <c r="AD65" s="45">
        <v>123.650002</v>
      </c>
      <c r="AE65" s="47">
        <f t="shared" si="5"/>
        <v>-5.657856404317485E-4</v>
      </c>
      <c r="AF65" s="62">
        <f t="shared" si="20"/>
        <v>0.31207560085050079</v>
      </c>
      <c r="AH65" s="44">
        <v>44105</v>
      </c>
      <c r="AI65" s="45">
        <v>117.970001</v>
      </c>
      <c r="AJ65" s="47">
        <f t="shared" si="6"/>
        <v>-1.1231221376770129E-2</v>
      </c>
      <c r="AK65" s="62">
        <f t="shared" si="21"/>
        <v>0.23219138776251058</v>
      </c>
      <c r="AM65" s="44">
        <v>44105</v>
      </c>
      <c r="AN65" s="45">
        <v>90.790001000000004</v>
      </c>
      <c r="AO65" s="47">
        <f t="shared" si="7"/>
        <v>-1.3152163043478216E-2</v>
      </c>
      <c r="AP65" s="62">
        <f t="shared" si="22"/>
        <v>1.0526791996382547</v>
      </c>
      <c r="AR65" s="44">
        <v>44105</v>
      </c>
      <c r="AS65" s="45">
        <v>3036.1499020000001</v>
      </c>
      <c r="AT65" s="47">
        <f t="shared" si="8"/>
        <v>-3.5754122682822076E-2</v>
      </c>
      <c r="AU65" s="62">
        <f t="shared" si="23"/>
        <v>0.7089087635772191</v>
      </c>
      <c r="AW65" s="44">
        <v>44075</v>
      </c>
      <c r="AX65" s="45">
        <v>1022.969971</v>
      </c>
      <c r="AY65" s="47">
        <f t="shared" si="9"/>
        <v>-4.0743863775313693E-2</v>
      </c>
      <c r="AZ65" s="62">
        <f t="shared" si="24"/>
        <v>2.2823267595157959</v>
      </c>
    </row>
    <row r="66" spans="1:52" ht="15" thickTop="1" x14ac:dyDescent="0.35">
      <c r="A66" t="s">
        <v>60</v>
      </c>
      <c r="B66" s="56">
        <f>+B25</f>
        <v>0.25</v>
      </c>
      <c r="C66" s="13">
        <f t="shared" ref="C66:I66" si="37">+C65/(1+$B$66)^C44</f>
        <v>115436955.59151752</v>
      </c>
      <c r="D66" s="13">
        <f t="shared" si="37"/>
        <v>92349564.473214015</v>
      </c>
      <c r="E66" s="13">
        <f t="shared" si="37"/>
        <v>73879651.578571215</v>
      </c>
      <c r="F66" s="13">
        <f t="shared" si="37"/>
        <v>29551860.631428484</v>
      </c>
      <c r="G66" s="13">
        <f t="shared" si="37"/>
        <v>11820744.252571395</v>
      </c>
      <c r="H66" s="13">
        <f t="shared" si="37"/>
        <v>4728297.7010285575</v>
      </c>
      <c r="I66" s="13">
        <f t="shared" si="37"/>
        <v>1891319.080411423</v>
      </c>
      <c r="X66" s="44">
        <v>44136</v>
      </c>
      <c r="Y66" s="45">
        <v>337.709991</v>
      </c>
      <c r="Z66" s="47">
        <f t="shared" si="4"/>
        <v>0.10855427511714111</v>
      </c>
      <c r="AA66" s="62">
        <f t="shared" si="19"/>
        <v>0.45564651293103453</v>
      </c>
      <c r="AC66" s="44">
        <v>44136</v>
      </c>
      <c r="AD66" s="45">
        <v>141.33999600000001</v>
      </c>
      <c r="AE66" s="47">
        <f t="shared" si="5"/>
        <v>0.14306505227553501</v>
      </c>
      <c r="AF66" s="62">
        <f t="shared" si="20"/>
        <v>0.39457324902956592</v>
      </c>
      <c r="AH66" s="44">
        <v>44136</v>
      </c>
      <c r="AI66" s="45">
        <v>139.66000399999999</v>
      </c>
      <c r="AJ66" s="47">
        <f t="shared" si="6"/>
        <v>0.18386032733864255</v>
      </c>
      <c r="AK66" s="62">
        <f t="shared" si="21"/>
        <v>0.35869250550936349</v>
      </c>
      <c r="AM66" s="44">
        <v>44136</v>
      </c>
      <c r="AN66" s="45">
        <v>112.370003</v>
      </c>
      <c r="AO66" s="47">
        <f t="shared" si="7"/>
        <v>0.23769139511299264</v>
      </c>
      <c r="AP66" s="62">
        <f t="shared" si="22"/>
        <v>1.2282372199087845</v>
      </c>
      <c r="AR66" s="44">
        <v>44136</v>
      </c>
      <c r="AS66" s="45">
        <v>3168.040039</v>
      </c>
      <c r="AT66" s="47">
        <f t="shared" si="8"/>
        <v>4.3439929271318345E-2</v>
      </c>
      <c r="AU66" s="62">
        <f t="shared" si="23"/>
        <v>0.75924031141560677</v>
      </c>
      <c r="AW66" s="44">
        <v>44105</v>
      </c>
      <c r="AX66" s="45">
        <v>925.42999299999997</v>
      </c>
      <c r="AY66" s="47">
        <f t="shared" si="9"/>
        <v>-9.5349795952123784E-2</v>
      </c>
      <c r="AZ66" s="62">
        <f t="shared" si="24"/>
        <v>1.9512707604078985</v>
      </c>
    </row>
    <row r="67" spans="1:52" x14ac:dyDescent="0.35">
      <c r="A67" t="s">
        <v>61</v>
      </c>
      <c r="C67" s="54">
        <f>SUM(C66:I66)</f>
        <v>329658393.30874264</v>
      </c>
      <c r="X67" s="44">
        <v>44166</v>
      </c>
      <c r="Y67" s="45">
        <v>354.10000600000001</v>
      </c>
      <c r="Z67" s="47">
        <f t="shared" si="4"/>
        <v>4.8532810508410407E-2</v>
      </c>
      <c r="AA67" s="62">
        <f t="shared" si="19"/>
        <v>0.51948170544272187</v>
      </c>
      <c r="AC67" s="44">
        <v>44166</v>
      </c>
      <c r="AD67" s="45">
        <v>153.820007</v>
      </c>
      <c r="AE67" s="47">
        <f t="shared" si="5"/>
        <v>8.8297802130969272E-2</v>
      </c>
      <c r="AF67" s="62">
        <f t="shared" si="20"/>
        <v>0.54190060060343637</v>
      </c>
      <c r="AH67" s="44">
        <v>44166</v>
      </c>
      <c r="AI67" s="45">
        <v>154.10000600000001</v>
      </c>
      <c r="AJ67" s="47">
        <f t="shared" si="6"/>
        <v>0.10339396811129986</v>
      </c>
      <c r="AK67" s="62">
        <f t="shared" si="21"/>
        <v>0.51643378715507438</v>
      </c>
      <c r="AM67" s="44">
        <v>44166</v>
      </c>
      <c r="AN67" s="45">
        <v>124.489998</v>
      </c>
      <c r="AO67" s="47">
        <f t="shared" si="7"/>
        <v>0.10785792183346299</v>
      </c>
      <c r="AP67" s="62">
        <f t="shared" si="22"/>
        <v>1.4873126970492048</v>
      </c>
      <c r="AR67" s="44">
        <v>44166</v>
      </c>
      <c r="AS67" s="45">
        <v>3256.929932</v>
      </c>
      <c r="AT67" s="47">
        <f t="shared" si="8"/>
        <v>2.8058323728780366E-2</v>
      </c>
      <c r="AU67" s="62">
        <f t="shared" si="23"/>
        <v>0.76256060693948635</v>
      </c>
      <c r="AW67" s="44">
        <v>44136</v>
      </c>
      <c r="AX67" s="45">
        <v>1090.380005</v>
      </c>
      <c r="AY67" s="47">
        <f t="shared" si="9"/>
        <v>0.17824148044443167</v>
      </c>
      <c r="AZ67" s="62">
        <f t="shared" si="24"/>
        <v>2.2379510170749812</v>
      </c>
    </row>
    <row r="68" spans="1:52" x14ac:dyDescent="0.35">
      <c r="X68" s="44">
        <v>44197</v>
      </c>
      <c r="Y68" s="45">
        <v>348.85998499999999</v>
      </c>
      <c r="Z68" s="47">
        <f t="shared" si="4"/>
        <v>-1.4798138693056129E-2</v>
      </c>
      <c r="AA68" s="62">
        <f t="shared" si="19"/>
        <v>0.40290339729684632</v>
      </c>
      <c r="AC68" s="44">
        <v>44197</v>
      </c>
      <c r="AD68" s="45">
        <v>158.80999800000001</v>
      </c>
      <c r="AE68" s="47">
        <f t="shared" si="5"/>
        <v>3.2440454901292437E-2</v>
      </c>
      <c r="AF68" s="62">
        <f t="shared" si="20"/>
        <v>0.58145788849746838</v>
      </c>
      <c r="AH68" s="44">
        <v>44197</v>
      </c>
      <c r="AI68" s="45">
        <v>154.38999899999999</v>
      </c>
      <c r="AJ68" s="47">
        <f t="shared" si="6"/>
        <v>1.8818493751386889E-3</v>
      </c>
      <c r="AK68" s="62">
        <f t="shared" si="21"/>
        <v>0.46856276425081589</v>
      </c>
      <c r="AM68" s="44">
        <v>44197</v>
      </c>
      <c r="AN68" s="45">
        <v>137.44000199999999</v>
      </c>
      <c r="AO68" s="47">
        <f t="shared" si="7"/>
        <v>0.10402445343440347</v>
      </c>
      <c r="AP68" s="62">
        <f t="shared" si="22"/>
        <v>1.653281943113551</v>
      </c>
      <c r="AR68" s="44">
        <v>44197</v>
      </c>
      <c r="AS68" s="45">
        <v>3206.1999510000001</v>
      </c>
      <c r="AT68" s="47">
        <f t="shared" si="8"/>
        <v>-1.5576012397923389E-2</v>
      </c>
      <c r="AU68" s="62">
        <f t="shared" si="23"/>
        <v>0.59614082464857421</v>
      </c>
      <c r="AW68" s="44">
        <v>44166</v>
      </c>
      <c r="AX68" s="45">
        <v>1131.9499510000001</v>
      </c>
      <c r="AY68" s="47">
        <f t="shared" si="9"/>
        <v>3.8124273931453789E-2</v>
      </c>
      <c r="AZ68" s="62">
        <f t="shared" si="24"/>
        <v>1.8470999245744228</v>
      </c>
    </row>
    <row r="69" spans="1:52" x14ac:dyDescent="0.35">
      <c r="A69" s="64" t="s">
        <v>64</v>
      </c>
      <c r="B69" s="65"/>
      <c r="C69" s="64"/>
      <c r="D69" s="64"/>
      <c r="E69" s="64"/>
      <c r="F69" s="64"/>
      <c r="G69" s="64"/>
      <c r="H69" s="64"/>
      <c r="I69" s="64"/>
      <c r="X69" s="44">
        <v>44228</v>
      </c>
      <c r="Y69" s="45">
        <v>354.60000600000001</v>
      </c>
      <c r="Z69" s="47">
        <f t="shared" si="4"/>
        <v>1.6453652602203661E-2</v>
      </c>
      <c r="AA69" s="62">
        <f t="shared" si="19"/>
        <v>0.51163783347567704</v>
      </c>
      <c r="AC69" s="44">
        <v>44228</v>
      </c>
      <c r="AD69" s="45">
        <v>169.44000199999999</v>
      </c>
      <c r="AE69" s="47">
        <f t="shared" si="5"/>
        <v>6.6935357558533415E-2</v>
      </c>
      <c r="AF69" s="62">
        <f t="shared" si="20"/>
        <v>0.77927120300521246</v>
      </c>
      <c r="AH69" s="44">
        <v>44228</v>
      </c>
      <c r="AI69" s="45">
        <v>160.58999600000001</v>
      </c>
      <c r="AJ69" s="47">
        <f t="shared" si="6"/>
        <v>4.0158022152717354E-2</v>
      </c>
      <c r="AK69" s="62">
        <f t="shared" si="21"/>
        <v>0.62212117171717196</v>
      </c>
      <c r="AM69" s="44">
        <v>44228</v>
      </c>
      <c r="AN69" s="45">
        <v>130.36000100000001</v>
      </c>
      <c r="AO69" s="47">
        <f t="shared" si="7"/>
        <v>-5.151339418635914E-2</v>
      </c>
      <c r="AP69" s="62">
        <f t="shared" si="22"/>
        <v>1.4670704201362605</v>
      </c>
      <c r="AR69" s="44">
        <v>44228</v>
      </c>
      <c r="AS69" s="45">
        <v>3092.929932</v>
      </c>
      <c r="AT69" s="47">
        <f t="shared" si="8"/>
        <v>-3.5328432640226226E-2</v>
      </c>
      <c r="AU69" s="62">
        <f t="shared" si="23"/>
        <v>0.64190042840079631</v>
      </c>
      <c r="AW69" s="44">
        <v>44197</v>
      </c>
      <c r="AX69" s="45">
        <v>1098.589966</v>
      </c>
      <c r="AY69" s="47">
        <f t="shared" si="9"/>
        <v>-2.9471254422979376E-2</v>
      </c>
      <c r="AZ69" s="62">
        <f t="shared" si="24"/>
        <v>1.3592104895485075</v>
      </c>
    </row>
    <row r="70" spans="1:52" x14ac:dyDescent="0.35">
      <c r="A70" s="66" t="s">
        <v>66</v>
      </c>
      <c r="B70" s="67">
        <f>+B29</f>
        <v>7</v>
      </c>
      <c r="C70" t="s">
        <v>67</v>
      </c>
      <c r="X70" s="44">
        <v>44256</v>
      </c>
      <c r="Y70" s="45">
        <v>341.42001299999998</v>
      </c>
      <c r="Z70" s="47">
        <f t="shared" si="4"/>
        <v>-3.7168620352476922E-2</v>
      </c>
      <c r="AA70" s="62">
        <f t="shared" si="19"/>
        <v>0.62356757033131838</v>
      </c>
      <c r="AC70" s="44">
        <v>44256</v>
      </c>
      <c r="AD70" s="45">
        <v>155.80999800000001</v>
      </c>
      <c r="AE70" s="47">
        <f t="shared" si="5"/>
        <v>-8.0441476859755889E-2</v>
      </c>
      <c r="AF70" s="62">
        <f t="shared" si="20"/>
        <v>0.81723818094793987</v>
      </c>
      <c r="AH70" s="44">
        <v>44256</v>
      </c>
      <c r="AI70" s="45">
        <v>157.490005</v>
      </c>
      <c r="AJ70" s="47">
        <f t="shared" si="6"/>
        <v>-1.9303761611651149E-2</v>
      </c>
      <c r="AK70" s="62">
        <f t="shared" si="21"/>
        <v>0.91850423527855929</v>
      </c>
      <c r="AM70" s="44">
        <v>44256</v>
      </c>
      <c r="AN70" s="45">
        <v>119.949997</v>
      </c>
      <c r="AO70" s="47">
        <f t="shared" si="7"/>
        <v>-7.9855814054496821E-2</v>
      </c>
      <c r="AP70" s="62">
        <f t="shared" si="22"/>
        <v>1.7261362954545452</v>
      </c>
      <c r="AR70" s="44">
        <v>44256</v>
      </c>
      <c r="AS70" s="45">
        <v>3094.080078</v>
      </c>
      <c r="AT70" s="47">
        <f t="shared" si="8"/>
        <v>3.7186293426838546E-4</v>
      </c>
      <c r="AU70" s="62">
        <f t="shared" si="23"/>
        <v>0.5869356235875578</v>
      </c>
      <c r="AW70" s="44">
        <v>44228</v>
      </c>
      <c r="AX70" s="45">
        <v>1280.969971</v>
      </c>
      <c r="AY70" s="47">
        <f t="shared" si="9"/>
        <v>0.16601280791235618</v>
      </c>
      <c r="AZ70" s="62">
        <f t="shared" si="24"/>
        <v>1.7648226382543983</v>
      </c>
    </row>
    <row r="71" spans="1:52" x14ac:dyDescent="0.35">
      <c r="A71" s="66" t="s">
        <v>68</v>
      </c>
      <c r="B71" s="67">
        <v>0</v>
      </c>
      <c r="C71" t="s">
        <v>67</v>
      </c>
      <c r="D71" s="68">
        <f>+B71/B70</f>
        <v>0</v>
      </c>
      <c r="E71" t="s">
        <v>69</v>
      </c>
      <c r="F71" t="s">
        <v>70</v>
      </c>
      <c r="H71" s="69">
        <f>+E56/D83*100000000</f>
        <v>3.6512319586296978E-3</v>
      </c>
      <c r="I71" s="3"/>
      <c r="X71" s="44">
        <v>44287</v>
      </c>
      <c r="Y71" s="45">
        <v>361.58999599999999</v>
      </c>
      <c r="Z71" s="47">
        <f t="shared" si="4"/>
        <v>5.9076744865568243E-2</v>
      </c>
      <c r="AA71" s="62">
        <f t="shared" si="19"/>
        <v>0.50112084230486453</v>
      </c>
      <c r="AC71" s="44">
        <v>44287</v>
      </c>
      <c r="AD71" s="45">
        <v>163.220001</v>
      </c>
      <c r="AE71" s="47">
        <f t="shared" si="5"/>
        <v>4.7557942976162559E-2</v>
      </c>
      <c r="AF71" s="62">
        <f t="shared" si="20"/>
        <v>0.65068776246018678</v>
      </c>
      <c r="AH71" s="44">
        <v>44287</v>
      </c>
      <c r="AI71" s="45">
        <v>163.08000200000001</v>
      </c>
      <c r="AJ71" s="47">
        <f t="shared" si="6"/>
        <v>3.5494296923795243E-2</v>
      </c>
      <c r="AK71" s="62">
        <f t="shared" si="21"/>
        <v>0.72206976944254819</v>
      </c>
      <c r="AM71" s="44">
        <v>44287</v>
      </c>
      <c r="AN71" s="45">
        <v>120.769997</v>
      </c>
      <c r="AO71" s="47">
        <f t="shared" si="7"/>
        <v>6.8361819133684332E-3</v>
      </c>
      <c r="AP71" s="62">
        <f t="shared" si="22"/>
        <v>1.1827217175954559</v>
      </c>
      <c r="AR71" s="44">
        <v>44287</v>
      </c>
      <c r="AS71" s="45">
        <v>3467.419922</v>
      </c>
      <c r="AT71" s="47">
        <f t="shared" si="8"/>
        <v>0.12066263140846867</v>
      </c>
      <c r="AU71" s="62">
        <f t="shared" si="23"/>
        <v>0.40154402667744549</v>
      </c>
      <c r="AW71" s="44">
        <v>44256</v>
      </c>
      <c r="AX71" s="45">
        <v>1106.5</v>
      </c>
      <c r="AY71" s="47">
        <f t="shared" si="9"/>
        <v>-0.13620145276613982</v>
      </c>
      <c r="AZ71" s="62">
        <f t="shared" si="24"/>
        <v>1.6539227653981707</v>
      </c>
    </row>
    <row r="72" spans="1:52" x14ac:dyDescent="0.35">
      <c r="A72" s="66" t="s">
        <v>99</v>
      </c>
      <c r="B72" s="67">
        <v>3</v>
      </c>
      <c r="C72" t="s">
        <v>67</v>
      </c>
      <c r="D72" s="70">
        <v>0.5</v>
      </c>
      <c r="E72" t="s">
        <v>6</v>
      </c>
      <c r="G72" t="s">
        <v>72</v>
      </c>
      <c r="H72" s="71">
        <v>100</v>
      </c>
      <c r="I72" s="3" t="s">
        <v>73</v>
      </c>
      <c r="X72" s="44">
        <v>44317</v>
      </c>
      <c r="Y72" s="45">
        <v>338.61999500000002</v>
      </c>
      <c r="Z72" s="47">
        <f t="shared" si="4"/>
        <v>-6.3524990331867426E-2</v>
      </c>
      <c r="AA72" s="62">
        <f t="shared" si="19"/>
        <v>0.26695853981570683</v>
      </c>
      <c r="AC72" s="44">
        <v>44317</v>
      </c>
      <c r="AD72" s="45">
        <v>153.38999899999999</v>
      </c>
      <c r="AE72" s="47">
        <f t="shared" si="5"/>
        <v>-6.0225474450278926E-2</v>
      </c>
      <c r="AF72" s="62">
        <f t="shared" si="20"/>
        <v>0.39003173339432218</v>
      </c>
      <c r="AH72" s="44">
        <v>44317</v>
      </c>
      <c r="AI72" s="45">
        <v>153.28999300000001</v>
      </c>
      <c r="AJ72" s="47">
        <f t="shared" si="6"/>
        <v>-6.0031940642237602E-2</v>
      </c>
      <c r="AK72" s="62">
        <f t="shared" si="21"/>
        <v>0.4339568768202644</v>
      </c>
      <c r="AM72" s="44">
        <v>44317</v>
      </c>
      <c r="AN72" s="45">
        <v>103.980003</v>
      </c>
      <c r="AO72" s="47">
        <f t="shared" si="7"/>
        <v>-0.13902454597229152</v>
      </c>
      <c r="AP72" s="62">
        <f t="shared" si="22"/>
        <v>0.65520539637058262</v>
      </c>
      <c r="AR72" s="44">
        <v>44317</v>
      </c>
      <c r="AS72" s="45">
        <v>3190.48999</v>
      </c>
      <c r="AT72" s="47">
        <f t="shared" si="8"/>
        <v>-7.9866280470658246E-2</v>
      </c>
      <c r="AU72" s="62">
        <f t="shared" si="23"/>
        <v>0.30630896922327522</v>
      </c>
      <c r="AW72" s="44">
        <v>44287</v>
      </c>
      <c r="AX72" s="45">
        <v>1182.51001</v>
      </c>
      <c r="AY72" s="47">
        <f t="shared" si="9"/>
        <v>6.8694089471305952E-2</v>
      </c>
      <c r="AZ72" s="62">
        <f t="shared" si="24"/>
        <v>0.87020204517617694</v>
      </c>
    </row>
    <row r="73" spans="1:52" x14ac:dyDescent="0.35">
      <c r="A73" s="66" t="s">
        <v>74</v>
      </c>
      <c r="B73" s="111">
        <f>+B32*2</f>
        <v>60000000</v>
      </c>
      <c r="D73" s="70"/>
      <c r="G73" t="s">
        <v>100</v>
      </c>
      <c r="AW73" s="44">
        <v>44317</v>
      </c>
      <c r="AX73" s="45">
        <v>1080.23999</v>
      </c>
      <c r="AY73" s="47">
        <f t="shared" si="9"/>
        <v>-8.6485542731261855E-2</v>
      </c>
      <c r="AZ73" s="62">
        <f t="shared" si="24"/>
        <v>0.42549486290042027</v>
      </c>
    </row>
    <row r="74" spans="1:52" x14ac:dyDescent="0.35">
      <c r="A74" s="66" t="s">
        <v>75</v>
      </c>
      <c r="B74" s="73">
        <f>+B33</f>
        <v>0.01</v>
      </c>
      <c r="C74" t="s">
        <v>76</v>
      </c>
      <c r="F74" t="s">
        <v>70</v>
      </c>
      <c r="H74" s="69">
        <f>+H71*5</f>
        <v>1.8256159793148489E-2</v>
      </c>
      <c r="I74" s="3"/>
      <c r="AM74" s="112"/>
    </row>
    <row r="75" spans="1:52" x14ac:dyDescent="0.35">
      <c r="A75" s="66" t="s">
        <v>77</v>
      </c>
      <c r="B75" s="74">
        <f>+B34</f>
        <v>0.26502994404588248</v>
      </c>
      <c r="C75" t="s">
        <v>101</v>
      </c>
      <c r="G75" t="s">
        <v>72</v>
      </c>
      <c r="H75" s="71">
        <v>500</v>
      </c>
      <c r="I75" s="3" t="s">
        <v>73</v>
      </c>
    </row>
    <row r="76" spans="1:52" ht="15" thickBot="1" x14ac:dyDescent="0.4">
      <c r="A76" s="75"/>
      <c r="B76" s="76"/>
    </row>
    <row r="77" spans="1:52" ht="15" thickBot="1" x14ac:dyDescent="0.4">
      <c r="A77" s="77" t="s">
        <v>79</v>
      </c>
      <c r="B77" s="78"/>
      <c r="C77" s="77" t="s">
        <v>80</v>
      </c>
      <c r="D77" s="79"/>
      <c r="F77" s="80" t="s">
        <v>81</v>
      </c>
      <c r="G77" s="81"/>
      <c r="H77" s="81"/>
      <c r="I77" s="82"/>
    </row>
    <row r="78" spans="1:52" ht="23.75" customHeight="1" x14ac:dyDescent="0.35">
      <c r="A78" s="84" t="s">
        <v>82</v>
      </c>
      <c r="B78" s="85">
        <f>+B75</f>
        <v>0.26502994404588248</v>
      </c>
      <c r="C78" s="86" t="s">
        <v>83</v>
      </c>
      <c r="D78" s="87">
        <f>(F80+H80)/I80</f>
        <v>2.8801281603585172</v>
      </c>
      <c r="F78" s="113" t="s">
        <v>84</v>
      </c>
      <c r="G78" s="15"/>
      <c r="H78" s="15"/>
      <c r="I78" s="114"/>
    </row>
    <row r="79" spans="1:52" x14ac:dyDescent="0.35">
      <c r="A79" s="90" t="s">
        <v>85</v>
      </c>
      <c r="B79" s="91">
        <f>+B70</f>
        <v>7</v>
      </c>
      <c r="C79" s="92" t="s">
        <v>86</v>
      </c>
      <c r="D79" s="93">
        <f>D78-I80</f>
        <v>2.1789248384277484</v>
      </c>
      <c r="F79" s="113" t="s">
        <v>87</v>
      </c>
      <c r="G79" s="15"/>
      <c r="H79" s="15" t="s">
        <v>88</v>
      </c>
      <c r="I79" s="114"/>
    </row>
    <row r="80" spans="1:52" x14ac:dyDescent="0.35">
      <c r="A80" s="90" t="s">
        <v>89</v>
      </c>
      <c r="B80" s="95">
        <f>+B74</f>
        <v>0.01</v>
      </c>
      <c r="C80" s="92" t="s">
        <v>90</v>
      </c>
      <c r="D80" s="93">
        <f>NORMSDIST(D78)</f>
        <v>0.99801243226827041</v>
      </c>
      <c r="F80" s="115">
        <f>LN(B81/B82)</f>
        <v>1.7037123842863731</v>
      </c>
      <c r="G80" s="15"/>
      <c r="H80" s="15">
        <f>(B80-B83+(B78^2)/2)*B79</f>
        <v>0.31584304934337259</v>
      </c>
      <c r="I80" s="114">
        <f>+B78*SQRT(B79)</f>
        <v>0.70120332193076873</v>
      </c>
    </row>
    <row r="81" spans="1:9" x14ac:dyDescent="0.35">
      <c r="A81" s="90" t="s">
        <v>91</v>
      </c>
      <c r="B81" s="97">
        <f>+C67</f>
        <v>329658393.30874264</v>
      </c>
      <c r="C81" s="92" t="s">
        <v>92</v>
      </c>
      <c r="D81" s="93">
        <f>NORMSDIST(D79)</f>
        <v>0.98533137387870551</v>
      </c>
      <c r="F81" s="115"/>
      <c r="G81" s="15"/>
      <c r="H81" s="15"/>
      <c r="I81" s="114"/>
    </row>
    <row r="82" spans="1:9" ht="15" thickBot="1" x14ac:dyDescent="0.4">
      <c r="A82" s="90" t="s">
        <v>93</v>
      </c>
      <c r="B82" s="97">
        <f>+B73</f>
        <v>60000000</v>
      </c>
      <c r="C82" s="98"/>
      <c r="D82" s="99"/>
      <c r="F82" s="116"/>
      <c r="G82" s="117"/>
      <c r="H82" s="117"/>
      <c r="I82" s="118"/>
    </row>
    <row r="83" spans="1:9" ht="15" thickBot="1" x14ac:dyDescent="0.4">
      <c r="A83" s="90" t="s">
        <v>94</v>
      </c>
      <c r="B83" s="104">
        <f>+D71</f>
        <v>0</v>
      </c>
      <c r="C83" s="105" t="s">
        <v>95</v>
      </c>
      <c r="D83" s="106">
        <f>(B81*EXP(-B83*B79)*D80)-(B82*EXP(-B80*B79)*D81)</f>
        <v>273880161.90987182</v>
      </c>
    </row>
    <row r="84" spans="1:9" ht="19.5" customHeight="1" x14ac:dyDescent="0.35"/>
    <row r="85" spans="1:9" x14ac:dyDescent="0.35">
      <c r="A85" s="119" t="s">
        <v>102</v>
      </c>
      <c r="B85" s="120"/>
      <c r="C85" s="119"/>
      <c r="D85" s="119"/>
      <c r="E85" s="119"/>
      <c r="F85" s="119"/>
      <c r="G85" s="119"/>
      <c r="H85" s="119"/>
      <c r="I85" s="119"/>
    </row>
    <row r="86" spans="1:9" x14ac:dyDescent="0.35">
      <c r="A86" s="6" t="s">
        <v>1</v>
      </c>
      <c r="B86" s="7"/>
      <c r="C86" s="7"/>
      <c r="D86" s="7"/>
      <c r="E86" s="7"/>
      <c r="F86" s="7"/>
      <c r="G86" s="7"/>
      <c r="H86" s="7"/>
      <c r="I86" s="7"/>
    </row>
    <row r="87" spans="1:9" ht="15" thickBot="1" x14ac:dyDescent="0.4">
      <c r="A87" s="75"/>
      <c r="B87" s="76"/>
    </row>
    <row r="88" spans="1:9" ht="15" thickBot="1" x14ac:dyDescent="0.4">
      <c r="A88" s="77" t="s">
        <v>79</v>
      </c>
      <c r="B88" s="78"/>
      <c r="C88" s="77" t="s">
        <v>80</v>
      </c>
      <c r="D88" s="79"/>
      <c r="F88" s="80" t="s">
        <v>81</v>
      </c>
      <c r="G88" s="81"/>
      <c r="H88" s="81"/>
      <c r="I88" s="82"/>
    </row>
    <row r="89" spans="1:9" x14ac:dyDescent="0.35">
      <c r="A89" s="84" t="s">
        <v>82</v>
      </c>
      <c r="B89" s="85">
        <f>+Q29</f>
        <v>0.4478379072222593</v>
      </c>
      <c r="C89" s="86" t="s">
        <v>83</v>
      </c>
      <c r="D89" s="87">
        <f>(F91+H91)/I91</f>
        <v>1.8925069003056496</v>
      </c>
      <c r="F89" s="113" t="s">
        <v>84</v>
      </c>
      <c r="G89" s="15"/>
      <c r="H89" s="15"/>
      <c r="I89" s="114"/>
    </row>
    <row r="90" spans="1:9" x14ac:dyDescent="0.35">
      <c r="A90" s="90" t="s">
        <v>85</v>
      </c>
      <c r="B90" s="91">
        <f>+B38</f>
        <v>7</v>
      </c>
      <c r="C90" s="92" t="s">
        <v>86</v>
      </c>
      <c r="D90" s="93">
        <f>D89-I91</f>
        <v>0.70763917012793454</v>
      </c>
      <c r="F90" s="113" t="s">
        <v>87</v>
      </c>
      <c r="G90" s="15"/>
      <c r="H90" s="15" t="s">
        <v>88</v>
      </c>
      <c r="I90" s="114"/>
    </row>
    <row r="91" spans="1:9" x14ac:dyDescent="0.35">
      <c r="A91" s="90" t="s">
        <v>89</v>
      </c>
      <c r="B91" s="95">
        <f>+B39</f>
        <v>0.01</v>
      </c>
      <c r="C91" s="92" t="s">
        <v>90</v>
      </c>
      <c r="D91" s="93">
        <f>NORMSDIST(D89)</f>
        <v>0.9707882624280183</v>
      </c>
      <c r="F91" s="115">
        <f>LN(B92/B93)</f>
        <v>1.470414586302573</v>
      </c>
      <c r="G91" s="15"/>
      <c r="H91" s="15">
        <f>(B91-B94+(B89^2)/2)*B90</f>
        <v>0.77195576900824525</v>
      </c>
      <c r="I91" s="114">
        <f>+B89*SQRT(B90)</f>
        <v>1.1848677301777151</v>
      </c>
    </row>
    <row r="92" spans="1:9" x14ac:dyDescent="0.35">
      <c r="A92" s="90" t="s">
        <v>91</v>
      </c>
      <c r="B92" s="97">
        <f>+B40</f>
        <v>130531159.44623224</v>
      </c>
      <c r="C92" s="92" t="s">
        <v>92</v>
      </c>
      <c r="D92" s="93">
        <f>NORMSDIST(D90)</f>
        <v>0.76041531918044436</v>
      </c>
      <c r="F92" s="115"/>
      <c r="G92" s="15"/>
      <c r="H92" s="15"/>
      <c r="I92" s="114"/>
    </row>
    <row r="93" spans="1:9" ht="15" thickBot="1" x14ac:dyDescent="0.4">
      <c r="A93" s="90" t="s">
        <v>93</v>
      </c>
      <c r="B93" s="97">
        <f>+B41</f>
        <v>30000000</v>
      </c>
      <c r="C93" s="98"/>
      <c r="D93" s="99"/>
      <c r="F93" s="116"/>
      <c r="G93" s="117"/>
      <c r="H93" s="117"/>
      <c r="I93" s="118"/>
    </row>
    <row r="94" spans="1:9" ht="15" thickBot="1" x14ac:dyDescent="0.4">
      <c r="A94" s="90" t="s">
        <v>94</v>
      </c>
      <c r="B94" s="104">
        <f>+B42</f>
        <v>0</v>
      </c>
      <c r="C94" s="105" t="s">
        <v>95</v>
      </c>
      <c r="D94" s="106">
        <f>(B92*EXP(-B94*B90)*D91)-(B93*EXP(-B91*B90)*D92)</f>
        <v>105447921.14655274</v>
      </c>
    </row>
    <row r="95" spans="1:9" x14ac:dyDescent="0.35">
      <c r="B95"/>
    </row>
    <row r="96" spans="1:9" x14ac:dyDescent="0.35">
      <c r="C96" s="66"/>
      <c r="D96" s="121"/>
    </row>
    <row r="97" spans="1:9" x14ac:dyDescent="0.35">
      <c r="A97" s="6" t="str">
        <f>+A45</f>
        <v>TAM Scenario 2: Based on Total Market SKUs</v>
      </c>
      <c r="B97" s="7"/>
      <c r="C97" s="7"/>
      <c r="D97" s="7"/>
      <c r="E97" s="7"/>
      <c r="F97" s="7"/>
      <c r="G97" s="7"/>
      <c r="H97" s="7"/>
      <c r="I97" s="7"/>
    </row>
    <row r="98" spans="1:9" ht="15" thickBot="1" x14ac:dyDescent="0.4">
      <c r="A98" s="75"/>
      <c r="B98" s="76"/>
    </row>
    <row r="99" spans="1:9" ht="15" thickBot="1" x14ac:dyDescent="0.4">
      <c r="A99" s="77" t="s">
        <v>79</v>
      </c>
      <c r="B99" s="78"/>
      <c r="C99" s="77" t="s">
        <v>80</v>
      </c>
      <c r="D99" s="79"/>
      <c r="F99" s="80" t="s">
        <v>81</v>
      </c>
      <c r="G99" s="81"/>
      <c r="H99" s="81"/>
      <c r="I99" s="82"/>
    </row>
    <row r="100" spans="1:9" x14ac:dyDescent="0.35">
      <c r="A100" s="84" t="s">
        <v>82</v>
      </c>
      <c r="B100" s="85">
        <f>+Q29</f>
        <v>0.4478379072222593</v>
      </c>
      <c r="C100" s="86" t="s">
        <v>83</v>
      </c>
      <c r="D100" s="87">
        <f>(F102+H102)/I102</f>
        <v>2.0894046569428468</v>
      </c>
      <c r="F100" s="113" t="s">
        <v>84</v>
      </c>
      <c r="G100" s="15"/>
      <c r="H100" s="15"/>
      <c r="I100" s="114"/>
    </row>
    <row r="101" spans="1:9" x14ac:dyDescent="0.35">
      <c r="A101" s="90" t="s">
        <v>85</v>
      </c>
      <c r="B101" s="91">
        <f>+B79</f>
        <v>7</v>
      </c>
      <c r="C101" s="92" t="s">
        <v>86</v>
      </c>
      <c r="D101" s="93">
        <f>D100-I102</f>
        <v>0.90453692676513175</v>
      </c>
      <c r="F101" s="113" t="s">
        <v>87</v>
      </c>
      <c r="G101" s="15"/>
      <c r="H101" s="15" t="s">
        <v>88</v>
      </c>
      <c r="I101" s="114"/>
    </row>
    <row r="102" spans="1:9" x14ac:dyDescent="0.35">
      <c r="A102" s="90" t="s">
        <v>89</v>
      </c>
      <c r="B102" s="95">
        <f t="shared" ref="B102:B105" si="38">+B80</f>
        <v>0.01</v>
      </c>
      <c r="C102" s="92" t="s">
        <v>90</v>
      </c>
      <c r="D102" s="93">
        <f>NORMSDIST(D100)</f>
        <v>0.98166434380948775</v>
      </c>
      <c r="F102" s="115">
        <f>LN(B103/B104)</f>
        <v>1.7037123842863731</v>
      </c>
      <c r="G102" s="15"/>
      <c r="H102" s="15">
        <f>(B102-B105+(B100^2)/2)*B101</f>
        <v>0.77195576900824525</v>
      </c>
      <c r="I102" s="114">
        <f>+B100*SQRT(B101)</f>
        <v>1.1848677301777151</v>
      </c>
    </row>
    <row r="103" spans="1:9" x14ac:dyDescent="0.35">
      <c r="A103" s="90" t="s">
        <v>91</v>
      </c>
      <c r="B103" s="97">
        <f t="shared" si="38"/>
        <v>329658393.30874264</v>
      </c>
      <c r="C103" s="92" t="s">
        <v>92</v>
      </c>
      <c r="D103" s="93">
        <f>NORMSDIST(D101)</f>
        <v>0.81714461850861975</v>
      </c>
      <c r="F103" s="115"/>
      <c r="G103" s="15"/>
      <c r="H103" s="15"/>
      <c r="I103" s="114"/>
    </row>
    <row r="104" spans="1:9" ht="15" thickBot="1" x14ac:dyDescent="0.4">
      <c r="A104" s="90" t="s">
        <v>93</v>
      </c>
      <c r="B104" s="97">
        <f t="shared" si="38"/>
        <v>60000000</v>
      </c>
      <c r="C104" s="98"/>
      <c r="D104" s="99"/>
      <c r="F104" s="116"/>
      <c r="G104" s="117"/>
      <c r="H104" s="117"/>
      <c r="I104" s="118"/>
    </row>
    <row r="105" spans="1:9" ht="15" thickBot="1" x14ac:dyDescent="0.4">
      <c r="A105" s="90" t="s">
        <v>94</v>
      </c>
      <c r="B105" s="104">
        <f t="shared" si="38"/>
        <v>0</v>
      </c>
      <c r="C105" s="105" t="s">
        <v>95</v>
      </c>
      <c r="D105" s="106">
        <f>(B103*EXP(-B105*B101)*D102)-(B104*EXP(-B102*B101)*D103)</f>
        <v>277899854.81270641</v>
      </c>
    </row>
    <row r="106" spans="1:9" x14ac:dyDescent="0.35">
      <c r="B1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2022-04-27T12:02:39Z</dcterms:created>
  <dcterms:modified xsi:type="dcterms:W3CDTF">2022-04-27T12:07:51Z</dcterms:modified>
</cp:coreProperties>
</file>