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N 4241 FIN 7225 Mergers ^0 Acquisition/"/>
    </mc:Choice>
  </mc:AlternateContent>
  <xr:revisionPtr revIDLastSave="0" documentId="8_{3BC410DA-E7C8-4CF9-A829-B9A160F520B5}" xr6:coauthVersionLast="47" xr6:coauthVersionMax="47" xr10:uidLastSave="{00000000-0000-0000-0000-000000000000}"/>
  <bookViews>
    <workbookView xWindow="-45810" yWindow="375" windowWidth="25440" windowHeight="15390" xr2:uid="{8587EE83-BB9A-447D-BEF2-9DEE735D1869}"/>
  </bookViews>
  <sheets>
    <sheet name="ANSWER" sheetId="2" r:id="rId1"/>
    <sheet name="BALANCE SHEET YAHOO" sheetId="3" r:id="rId2"/>
    <sheet name="INCOME YAHOO" sheetId="4" r:id="rId3"/>
    <sheet name="CASH FLOW YAHOO" sheetId="5" r:id="rId4"/>
    <sheet name="INPUT" sheetId="1" r:id="rId5"/>
    <sheet name="Sheet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H94" i="2"/>
  <c r="I94" i="2" s="1"/>
  <c r="J94" i="2" s="1"/>
  <c r="K94" i="2" s="1"/>
  <c r="K16" i="2"/>
  <c r="C21" i="2"/>
  <c r="C23" i="2" s="1"/>
  <c r="D23" i="2" s="1"/>
  <c r="C60" i="2"/>
  <c r="K7" i="2" s="1"/>
  <c r="H6" i="2"/>
  <c r="C59" i="2" l="1"/>
  <c r="H59" i="2" s="1"/>
  <c r="C64" i="2"/>
  <c r="C50" i="1" s="1"/>
  <c r="C46" i="1"/>
  <c r="C55" i="2"/>
  <c r="C41" i="1" s="1"/>
  <c r="C57" i="2"/>
  <c r="C52" i="2"/>
  <c r="H52" i="2" s="1"/>
  <c r="C51" i="2"/>
  <c r="H51" i="2" s="1"/>
  <c r="E82" i="2"/>
  <c r="E68" i="1" s="1"/>
  <c r="E76" i="2"/>
  <c r="E62" i="1" s="1"/>
  <c r="E73" i="2"/>
  <c r="E59" i="1" s="1"/>
  <c r="C82" i="2"/>
  <c r="C68" i="1" s="1"/>
  <c r="D82" i="2"/>
  <c r="D68" i="1" s="1"/>
  <c r="D76" i="2"/>
  <c r="D62" i="1" s="1"/>
  <c r="C76" i="2"/>
  <c r="C62" i="1" s="1"/>
  <c r="C73" i="2"/>
  <c r="D73" i="2"/>
  <c r="D59" i="1" s="1"/>
  <c r="K14" i="2"/>
  <c r="D111" i="2"/>
  <c r="E111" i="2"/>
  <c r="C111" i="2"/>
  <c r="D108" i="2"/>
  <c r="E108" i="2"/>
  <c r="C108" i="2"/>
  <c r="D105" i="2"/>
  <c r="E105" i="2"/>
  <c r="C105" i="2"/>
  <c r="E58" i="1"/>
  <c r="C58" i="1"/>
  <c r="C53" i="1"/>
  <c r="C48" i="1"/>
  <c r="C47" i="1"/>
  <c r="C42" i="1"/>
  <c r="E100" i="2"/>
  <c r="E94" i="2" s="1"/>
  <c r="C100" i="2"/>
  <c r="H110" i="1"/>
  <c r="I110" i="1" s="1"/>
  <c r="J110" i="1" s="1"/>
  <c r="K110" i="1" s="1"/>
  <c r="B99" i="1"/>
  <c r="B98" i="1"/>
  <c r="B97" i="1"/>
  <c r="E85" i="1"/>
  <c r="C85" i="1"/>
  <c r="H80" i="1"/>
  <c r="I80" i="1" s="1"/>
  <c r="J80" i="1" s="1"/>
  <c r="K80" i="1" s="1"/>
  <c r="K102" i="1" s="1"/>
  <c r="D80" i="1"/>
  <c r="H58" i="1"/>
  <c r="I58" i="1" s="1"/>
  <c r="J58" i="1" s="1"/>
  <c r="K58" i="1" s="1"/>
  <c r="D12" i="1"/>
  <c r="E12" i="1" s="1"/>
  <c r="F12" i="1" s="1"/>
  <c r="G12" i="1" s="1"/>
  <c r="H12" i="1" s="1"/>
  <c r="I12" i="1" s="1"/>
  <c r="J12" i="1" s="1"/>
  <c r="K12" i="1" s="1"/>
  <c r="O7" i="1"/>
  <c r="N7" i="1"/>
  <c r="N6" i="1"/>
  <c r="J122" i="2"/>
  <c r="E121" i="2" s="1"/>
  <c r="D121" i="2"/>
  <c r="B120" i="2"/>
  <c r="B121" i="2"/>
  <c r="B119" i="2"/>
  <c r="H100" i="2"/>
  <c r="I100" i="2" s="1"/>
  <c r="J100" i="2" s="1"/>
  <c r="K100" i="2" s="1"/>
  <c r="K124" i="2" s="1"/>
  <c r="K47" i="2"/>
  <c r="D34" i="2"/>
  <c r="D37" i="2" s="1"/>
  <c r="G15" i="2"/>
  <c r="G14" i="2"/>
  <c r="K6" i="2"/>
  <c r="K8" i="2" s="1"/>
  <c r="H72" i="2"/>
  <c r="I72" i="2" s="1"/>
  <c r="J72" i="2" s="1"/>
  <c r="K72" i="2" s="1"/>
  <c r="D26" i="2"/>
  <c r="E26" i="2" s="1"/>
  <c r="F26" i="2" s="1"/>
  <c r="G26" i="2" s="1"/>
  <c r="H26" i="2" s="1"/>
  <c r="I26" i="2" s="1"/>
  <c r="J26" i="2" s="1"/>
  <c r="K26" i="2" s="1"/>
  <c r="I15" i="2" l="1"/>
  <c r="I14" i="2"/>
  <c r="F62" i="2"/>
  <c r="H62" i="2" s="1"/>
  <c r="E109" i="2"/>
  <c r="N6" i="2"/>
  <c r="N8" i="2" s="1"/>
  <c r="D100" i="2"/>
  <c r="C63" i="2"/>
  <c r="D58" i="1"/>
  <c r="C38" i="1"/>
  <c r="C37" i="1"/>
  <c r="C53" i="2"/>
  <c r="C39" i="1" s="1"/>
  <c r="C109" i="2"/>
  <c r="C43" i="1"/>
  <c r="C45" i="1"/>
  <c r="C59" i="1"/>
  <c r="D106" i="2"/>
  <c r="E112" i="2"/>
  <c r="D112" i="2"/>
  <c r="C112" i="2"/>
  <c r="E106" i="2"/>
  <c r="D109" i="2"/>
  <c r="C106" i="2"/>
  <c r="C79" i="2"/>
  <c r="C85" i="2" s="1"/>
  <c r="D77" i="2"/>
  <c r="E79" i="2"/>
  <c r="E85" i="2" s="1"/>
  <c r="E77" i="2"/>
  <c r="D83" i="2"/>
  <c r="D79" i="2"/>
  <c r="D85" i="2" s="1"/>
  <c r="E83" i="2"/>
  <c r="C77" i="2"/>
  <c r="G73" i="2"/>
  <c r="C83" i="2"/>
  <c r="D74" i="2"/>
  <c r="E60" i="2"/>
  <c r="H60" i="2" s="1"/>
  <c r="E74" i="2"/>
  <c r="E34" i="2"/>
  <c r="C40" i="2"/>
  <c r="K9" i="2"/>
  <c r="K10" i="2" s="1"/>
  <c r="I16" i="2" l="1"/>
  <c r="C28" i="2"/>
  <c r="G29" i="2" s="1"/>
  <c r="J16" i="2"/>
  <c r="D14" i="2"/>
  <c r="N7" i="2"/>
  <c r="C49" i="1"/>
  <c r="H63" i="2"/>
  <c r="H53" i="2"/>
  <c r="G112" i="2"/>
  <c r="D80" i="2"/>
  <c r="D65" i="1"/>
  <c r="E80" i="2"/>
  <c r="E65" i="1"/>
  <c r="C80" i="2"/>
  <c r="C65" i="1"/>
  <c r="G106" i="2"/>
  <c r="H106" i="2" s="1"/>
  <c r="I106" i="2" s="1"/>
  <c r="F61" i="2"/>
  <c r="H61" i="2" s="1"/>
  <c r="C47" i="2"/>
  <c r="C43" i="2"/>
  <c r="G108" i="2"/>
  <c r="H77" i="2"/>
  <c r="I77" i="2" s="1"/>
  <c r="J77" i="2" s="1"/>
  <c r="K77" i="2" s="1"/>
  <c r="C66" i="2"/>
  <c r="E55" i="2" s="1"/>
  <c r="H83" i="2"/>
  <c r="C9" i="2"/>
  <c r="C10" i="2" s="1"/>
  <c r="D8" i="2" s="1"/>
  <c r="I86" i="2"/>
  <c r="I107" i="2" s="1"/>
  <c r="K86" i="2"/>
  <c r="K107" i="2" s="1"/>
  <c r="H86" i="2"/>
  <c r="H107" i="2" s="1"/>
  <c r="E56" i="2"/>
  <c r="H56" i="2" s="1"/>
  <c r="J86" i="2"/>
  <c r="J107" i="2" s="1"/>
  <c r="G86" i="2"/>
  <c r="G107" i="2" s="1"/>
  <c r="H73" i="2"/>
  <c r="F34" i="2"/>
  <c r="E37" i="2"/>
  <c r="D42" i="2"/>
  <c r="D43" i="2" s="1"/>
  <c r="D40" i="2"/>
  <c r="K41" i="2"/>
  <c r="E29" i="2" l="1"/>
  <c r="F29" i="2"/>
  <c r="D29" i="2"/>
  <c r="D28" i="2" s="1"/>
  <c r="J29" i="2"/>
  <c r="I29" i="2"/>
  <c r="H29" i="2"/>
  <c r="D30" i="2"/>
  <c r="D31" i="2" s="1"/>
  <c r="G114" i="2" s="1"/>
  <c r="E97" i="2"/>
  <c r="E96" i="2"/>
  <c r="C31" i="2"/>
  <c r="E95" i="2"/>
  <c r="H64" i="2"/>
  <c r="F66" i="2"/>
  <c r="F68" i="2" s="1"/>
  <c r="C14" i="2"/>
  <c r="E21" i="2" s="1"/>
  <c r="E28" i="2"/>
  <c r="C68" i="2"/>
  <c r="C54" i="1" s="1"/>
  <c r="C52" i="1"/>
  <c r="H105" i="2"/>
  <c r="G105" i="2"/>
  <c r="E30" i="2"/>
  <c r="E31" i="2" s="1"/>
  <c r="D47" i="2"/>
  <c r="F131" i="2"/>
  <c r="H112" i="2"/>
  <c r="G111" i="2"/>
  <c r="G76" i="2"/>
  <c r="G79" i="2" s="1"/>
  <c r="G80" i="2" s="1"/>
  <c r="H108" i="2"/>
  <c r="G82" i="2"/>
  <c r="J106" i="2"/>
  <c r="E66" i="2"/>
  <c r="H76" i="2"/>
  <c r="H79" i="2" s="1"/>
  <c r="I73" i="2"/>
  <c r="I105" i="2" s="1"/>
  <c r="I83" i="2"/>
  <c r="H82" i="2"/>
  <c r="E40" i="2"/>
  <c r="E42" i="2"/>
  <c r="E43" i="2" s="1"/>
  <c r="G34" i="2"/>
  <c r="F37" i="2"/>
  <c r="G88" i="2" l="1"/>
  <c r="F21" i="2"/>
  <c r="E23" i="2"/>
  <c r="F23" i="2" s="1"/>
  <c r="F28" i="2"/>
  <c r="H114" i="2"/>
  <c r="C17" i="2"/>
  <c r="E14" i="2"/>
  <c r="F30" i="2"/>
  <c r="F31" i="2" s="1"/>
  <c r="E47" i="2"/>
  <c r="G85" i="2"/>
  <c r="G87" i="2" s="1"/>
  <c r="H66" i="2"/>
  <c r="H68" i="2" s="1"/>
  <c r="D9" i="2"/>
  <c r="C121" i="2" s="1"/>
  <c r="F121" i="2" s="1"/>
  <c r="E68" i="2"/>
  <c r="I112" i="2"/>
  <c r="H111" i="2"/>
  <c r="I108" i="2"/>
  <c r="K106" i="2"/>
  <c r="D10" i="2"/>
  <c r="D7" i="2"/>
  <c r="C120" i="2" s="1"/>
  <c r="D6" i="2"/>
  <c r="C119" i="2" s="1"/>
  <c r="H55" i="2"/>
  <c r="H57" i="2" s="1"/>
  <c r="J73" i="2"/>
  <c r="J105" i="2" s="1"/>
  <c r="I76" i="2"/>
  <c r="I79" i="2" s="1"/>
  <c r="H88" i="2"/>
  <c r="J83" i="2"/>
  <c r="I82" i="2"/>
  <c r="H80" i="2"/>
  <c r="H85" i="2"/>
  <c r="H87" i="2" s="1"/>
  <c r="H101" i="2" s="1"/>
  <c r="H95" i="2" s="1"/>
  <c r="G28" i="2"/>
  <c r="H34" i="2"/>
  <c r="G37" i="2"/>
  <c r="F40" i="2"/>
  <c r="F42" i="2"/>
  <c r="F43" i="2" s="1"/>
  <c r="G89" i="2" l="1"/>
  <c r="G90" i="2" s="1"/>
  <c r="G91" i="2" s="1"/>
  <c r="H97" i="2"/>
  <c r="H96" i="2"/>
  <c r="F47" i="2"/>
  <c r="G30" i="2"/>
  <c r="G31" i="2" s="1"/>
  <c r="I114" i="2"/>
  <c r="G101" i="2"/>
  <c r="J112" i="2"/>
  <c r="I111" i="2"/>
  <c r="J108" i="2"/>
  <c r="H102" i="2"/>
  <c r="H103" i="2" s="1"/>
  <c r="I88" i="2"/>
  <c r="I80" i="2"/>
  <c r="I85" i="2"/>
  <c r="I87" i="2" s="1"/>
  <c r="I101" i="2" s="1"/>
  <c r="I95" i="2" s="1"/>
  <c r="K73" i="2"/>
  <c r="K105" i="2" s="1"/>
  <c r="J76" i="2"/>
  <c r="J79" i="2" s="1"/>
  <c r="H89" i="2"/>
  <c r="K83" i="2"/>
  <c r="J82" i="2"/>
  <c r="G40" i="2"/>
  <c r="G47" i="2" s="1"/>
  <c r="G42" i="2"/>
  <c r="G43" i="2" s="1"/>
  <c r="I34" i="2"/>
  <c r="H37" i="2"/>
  <c r="H30" i="2" s="1"/>
  <c r="H28" i="2"/>
  <c r="J114" i="2" l="1"/>
  <c r="I96" i="2"/>
  <c r="I97" i="2"/>
  <c r="G102" i="2"/>
  <c r="G103" i="2" s="1"/>
  <c r="G116" i="2" s="1"/>
  <c r="G131" i="2" s="1"/>
  <c r="G95" i="2"/>
  <c r="G96" i="2"/>
  <c r="G97" i="2"/>
  <c r="H116" i="2"/>
  <c r="H131" i="2" s="1"/>
  <c r="K112" i="2"/>
  <c r="K111" i="2" s="1"/>
  <c r="J111" i="2"/>
  <c r="K108" i="2"/>
  <c r="I102" i="2"/>
  <c r="I103" i="2" s="1"/>
  <c r="I89" i="2"/>
  <c r="I90" i="2" s="1"/>
  <c r="I91" i="2" s="1"/>
  <c r="J80" i="2"/>
  <c r="J85" i="2"/>
  <c r="J87" i="2" s="1"/>
  <c r="J101" i="2" s="1"/>
  <c r="J95" i="2" s="1"/>
  <c r="H31" i="2"/>
  <c r="K76" i="2"/>
  <c r="K79" i="2" s="1"/>
  <c r="H90" i="2"/>
  <c r="H91" i="2" s="1"/>
  <c r="J88" i="2"/>
  <c r="K82" i="2"/>
  <c r="I28" i="2"/>
  <c r="J34" i="2"/>
  <c r="I37" i="2"/>
  <c r="I30" i="2" s="1"/>
  <c r="I31" i="2" s="1"/>
  <c r="H40" i="2"/>
  <c r="H47" i="2" s="1"/>
  <c r="H42" i="2"/>
  <c r="H43" i="2" s="1"/>
  <c r="J97" i="2" l="1"/>
  <c r="K129" i="2"/>
  <c r="J96" i="2"/>
  <c r="K114" i="2"/>
  <c r="I116" i="2"/>
  <c r="I131" i="2" s="1"/>
  <c r="J102" i="2"/>
  <c r="J103" i="2" s="1"/>
  <c r="K85" i="2"/>
  <c r="K80" i="2"/>
  <c r="K88" i="2"/>
  <c r="J89" i="2"/>
  <c r="I40" i="2"/>
  <c r="I47" i="2" s="1"/>
  <c r="I42" i="2"/>
  <c r="I43" i="2" s="1"/>
  <c r="K34" i="2"/>
  <c r="K37" i="2" s="1"/>
  <c r="J37" i="2"/>
  <c r="J30" i="2" s="1"/>
  <c r="J31" i="2" s="1"/>
  <c r="C32" i="2" s="1"/>
  <c r="D119" i="2" s="1"/>
  <c r="E119" i="2" s="1"/>
  <c r="F119" i="2" s="1"/>
  <c r="J28" i="2"/>
  <c r="J116" i="2" l="1"/>
  <c r="J131" i="2" s="1"/>
  <c r="K87" i="2"/>
  <c r="K101" i="2" s="1"/>
  <c r="K126" i="2"/>
  <c r="J90" i="2"/>
  <c r="J91" i="2" s="1"/>
  <c r="K30" i="2"/>
  <c r="K31" i="2" s="1"/>
  <c r="J40" i="2"/>
  <c r="J42" i="2"/>
  <c r="J43" i="2" s="1"/>
  <c r="K102" i="2" l="1"/>
  <c r="K103" i="2" s="1"/>
  <c r="K116" i="2" s="1"/>
  <c r="K95" i="2"/>
  <c r="K97" i="2"/>
  <c r="K96" i="2"/>
  <c r="K89" i="2"/>
  <c r="K90" i="2" s="1"/>
  <c r="K91" i="2" s="1"/>
  <c r="K42" i="2"/>
  <c r="K43" i="2" s="1"/>
  <c r="C45" i="2" s="1"/>
  <c r="D120" i="2" s="1"/>
  <c r="E120" i="2" s="1"/>
  <c r="F120" i="2" s="1"/>
  <c r="F122" i="2" s="1"/>
  <c r="D127" i="2" s="1"/>
  <c r="F127" i="2" s="1"/>
  <c r="J47" i="2"/>
  <c r="K127" i="2" l="1"/>
  <c r="K128" i="2" s="1"/>
  <c r="K130" i="2" s="1"/>
  <c r="K131" i="2" s="1"/>
  <c r="D131" i="2" s="1"/>
</calcChain>
</file>

<file path=xl/sharedStrings.xml><?xml version="1.0" encoding="utf-8"?>
<sst xmlns="http://schemas.openxmlformats.org/spreadsheetml/2006/main" count="471" uniqueCount="331">
  <si>
    <t>CASE STUDY #3- Template</t>
  </si>
  <si>
    <t>TRANSACTION SOURCES &amp; USES:</t>
  </si>
  <si>
    <t>SOURCES</t>
  </si>
  <si>
    <t>Facility</t>
  </si>
  <si>
    <t>USES</t>
  </si>
  <si>
    <t>Bank Loan</t>
  </si>
  <si>
    <t>Corporate Bond</t>
  </si>
  <si>
    <t>Equity</t>
  </si>
  <si>
    <t>Purchase of Stock</t>
  </si>
  <si>
    <t>Current Stock Price</t>
  </si>
  <si>
    <t>Premium</t>
  </si>
  <si>
    <t>Purchase 
Stock
 Price</t>
  </si>
  <si>
    <t>Refinancing of Debt</t>
  </si>
  <si>
    <t>Fees</t>
  </si>
  <si>
    <t>DEBT SCHEDULE</t>
  </si>
  <si>
    <t xml:space="preserve">   Outstanding</t>
  </si>
  <si>
    <t xml:space="preserve">   Principal Payment</t>
  </si>
  <si>
    <t xml:space="preserve">   Interest Payment</t>
  </si>
  <si>
    <t xml:space="preserve">   Total Payment</t>
  </si>
  <si>
    <t>LIBOR Rate</t>
  </si>
  <si>
    <t>LIBOR Increase</t>
  </si>
  <si>
    <t>Spread</t>
  </si>
  <si>
    <t>Interest Rate</t>
  </si>
  <si>
    <t>Corporate Bonds</t>
  </si>
  <si>
    <t>INCOME STATEMENT</t>
  </si>
  <si>
    <t xml:space="preserve">Revenues </t>
  </si>
  <si>
    <t xml:space="preserve">  Revenue Growth %</t>
  </si>
  <si>
    <t>Cost of Revenues</t>
  </si>
  <si>
    <t>Gross Profit</t>
  </si>
  <si>
    <t xml:space="preserve">   Gross Margin</t>
  </si>
  <si>
    <t>Operating Expenses</t>
  </si>
  <si>
    <t xml:space="preserve">  as Percentage of Revenues %</t>
  </si>
  <si>
    <t>EBIT</t>
  </si>
  <si>
    <t>Less Amortization of Fees</t>
  </si>
  <si>
    <t>EBITA</t>
  </si>
  <si>
    <t>Interest</t>
  </si>
  <si>
    <t>EBT</t>
  </si>
  <si>
    <t>Taxes</t>
  </si>
  <si>
    <t>Net Income</t>
  </si>
  <si>
    <t>HISTORICAL</t>
  </si>
  <si>
    <t>PROJECTED</t>
  </si>
  <si>
    <t>PROFORMA BALANCE SHEET</t>
  </si>
  <si>
    <t>DEBIT</t>
  </si>
  <si>
    <t>CREDIT</t>
  </si>
  <si>
    <t>Net PP&amp;E</t>
  </si>
  <si>
    <t>Goodwill</t>
  </si>
  <si>
    <t>Transaction Fees</t>
  </si>
  <si>
    <t>Total Assets</t>
  </si>
  <si>
    <t>Current Liabilities</t>
  </si>
  <si>
    <t>Existing Debt</t>
  </si>
  <si>
    <t>New Bank Loan</t>
  </si>
  <si>
    <t>New Corporate Bond</t>
  </si>
  <si>
    <t>Other LT Liabilities</t>
  </si>
  <si>
    <t>Total Liabilities</t>
  </si>
  <si>
    <t>Existing Equity</t>
  </si>
  <si>
    <t>Total Liabilities &amp; Equity</t>
  </si>
  <si>
    <t>Total Current Assets</t>
  </si>
  <si>
    <t>Other LT Assets</t>
  </si>
  <si>
    <t xml:space="preserve">   Total</t>
  </si>
  <si>
    <t>Total</t>
  </si>
  <si>
    <t>% Cap</t>
  </si>
  <si>
    <t>Shares
Outs
(millions)</t>
  </si>
  <si>
    <t>Amount
(millions)</t>
  </si>
  <si>
    <t>($ millions)</t>
  </si>
  <si>
    <t>TotalAssets</t>
  </si>
  <si>
    <t xml:space="preserve">	CurrentAssets</t>
  </si>
  <si>
    <t xml:space="preserve">		CashCashEquivalentsAndShortTermInvestments</t>
  </si>
  <si>
    <t xml:space="preserve">			CashAndCashEquivalents</t>
  </si>
  <si>
    <t xml:space="preserve">			OtherShortTermInvestments</t>
  </si>
  <si>
    <t xml:space="preserve">		Receivables</t>
  </si>
  <si>
    <t xml:space="preserve">			AccountsReceivable</t>
  </si>
  <si>
    <t xml:space="preserve">		CurrentDeferredAssets</t>
  </si>
  <si>
    <t xml:space="preserve">			CurrentDeferredTaxesAssets</t>
  </si>
  <si>
    <t xml:space="preserve">	TotalNonCurrentAssets</t>
  </si>
  <si>
    <t xml:space="preserve">		NetPPE</t>
  </si>
  <si>
    <t xml:space="preserve">			GrossPPE</t>
  </si>
  <si>
    <t xml:space="preserve">				MachineryFurnitureEquipment</t>
  </si>
  <si>
    <t xml:space="preserve">				ConstructionInProgress</t>
  </si>
  <si>
    <t xml:space="preserve">			AccumulatedDepreciation</t>
  </si>
  <si>
    <t xml:space="preserve">		GoodwillAndOtherIntangibleAssets</t>
  </si>
  <si>
    <t xml:space="preserve">			Goodwill</t>
  </si>
  <si>
    <t xml:space="preserve">			OtherIntangibleAssets</t>
  </si>
  <si>
    <t xml:space="preserve">		OtherNonCurrentAssets</t>
  </si>
  <si>
    <t>TotalLiabilitiesNetMinorityInterest</t>
  </si>
  <si>
    <t xml:space="preserve">	CurrentLiabilities</t>
  </si>
  <si>
    <t xml:space="preserve">		PayablesAndAccruedExpenses</t>
  </si>
  <si>
    <t xml:space="preserve">			Payables</t>
  </si>
  <si>
    <t xml:space="preserve">				AccountsPayable</t>
  </si>
  <si>
    <t xml:space="preserve">				TotalTaxPayable</t>
  </si>
  <si>
    <t xml:space="preserve">			CurrentAccruedExpenses</t>
  </si>
  <si>
    <t xml:space="preserve">		CurrentDebtAndCapitalLeaseObligation</t>
  </si>
  <si>
    <t xml:space="preserve">			CurrentDebt</t>
  </si>
  <si>
    <t xml:space="preserve">	TotalNonCurrentLiabilitiesNetMinorityInterest</t>
  </si>
  <si>
    <t xml:space="preserve">		LongTermDebtAndCapitalLeaseObligation</t>
  </si>
  <si>
    <t xml:space="preserve">			LongTermDebt</t>
  </si>
  <si>
    <t xml:space="preserve">		NonCurrentDeferredLiabilities</t>
  </si>
  <si>
    <t xml:space="preserve">			NonCurrentDeferredTaxesLiabilities</t>
  </si>
  <si>
    <t xml:space="preserve">		OtherNonCurrentLiabilities</t>
  </si>
  <si>
    <t>TotalEquityGrossMinorityInterest</t>
  </si>
  <si>
    <t xml:space="preserve">	StockholdersEquity</t>
  </si>
  <si>
    <t xml:space="preserve">		CapitalStock</t>
  </si>
  <si>
    <t xml:space="preserve">			CommonStock</t>
  </si>
  <si>
    <t xml:space="preserve">		AdditionalPaidInCapital</t>
  </si>
  <si>
    <t xml:space="preserve">		RetainedEarnings</t>
  </si>
  <si>
    <t xml:space="preserve">		TreasuryStock</t>
  </si>
  <si>
    <t xml:space="preserve">		GainsLossesNotAffectingRetainedEarnings</t>
  </si>
  <si>
    <t>TotalCapitalization</t>
  </si>
  <si>
    <t>CommonStockEquity</t>
  </si>
  <si>
    <t>NetTangibleAssets</t>
  </si>
  <si>
    <t>WorkingCapital</t>
  </si>
  <si>
    <t>InvestedCapital</t>
  </si>
  <si>
    <t>TangibleBookValue</t>
  </si>
  <si>
    <t>TotalDebt</t>
  </si>
  <si>
    <t>NetDebt</t>
  </si>
  <si>
    <t>ShareIssued</t>
  </si>
  <si>
    <t>OrdinarySharesNumber</t>
  </si>
  <si>
    <t>TreasurySharesNumber</t>
  </si>
  <si>
    <t>EBITDA</t>
  </si>
  <si>
    <t>EBITDA
(LTM)</t>
  </si>
  <si>
    <t>Debt
Capacity</t>
  </si>
  <si>
    <t>LTM
2021</t>
  </si>
  <si>
    <t>name</t>
  </si>
  <si>
    <t>ttm</t>
  </si>
  <si>
    <t>TotalRevenue</t>
  </si>
  <si>
    <t xml:space="preserve">	OperatingRevenue</t>
  </si>
  <si>
    <t>CostOfRevenue</t>
  </si>
  <si>
    <t>GrossProfit</t>
  </si>
  <si>
    <t>OperatingExpense</t>
  </si>
  <si>
    <t xml:space="preserve">	SellingGeneralAndAdministration</t>
  </si>
  <si>
    <t xml:space="preserve">		GeneralAndAdministrativeExpense</t>
  </si>
  <si>
    <t xml:space="preserve">			OtherGandA</t>
  </si>
  <si>
    <t>OperatingIncome</t>
  </si>
  <si>
    <t>NetNonOperatingInterestIncomeExpense</t>
  </si>
  <si>
    <t xml:space="preserve">	InterestExpenseNonOperating</t>
  </si>
  <si>
    <t>OtherIncomeExpense</t>
  </si>
  <si>
    <t xml:space="preserve">	SpecialIncomeCharges</t>
  </si>
  <si>
    <t xml:space="preserve">		OtherSpecialCharges</t>
  </si>
  <si>
    <t xml:space="preserve">	OtherNonOperatingIncomeExpenses</t>
  </si>
  <si>
    <t>PretaxIncome</t>
  </si>
  <si>
    <t>TaxProvision</t>
  </si>
  <si>
    <t>NetIncomeCommonStockholders</t>
  </si>
  <si>
    <t xml:space="preserve">	NetIncome</t>
  </si>
  <si>
    <t xml:space="preserve">		NetIncomeIncludingNoncontrollingInterests</t>
  </si>
  <si>
    <t xml:space="preserve">			NetIncomeContinuousOperations</t>
  </si>
  <si>
    <t>DilutedNIAvailtoComStockholders</t>
  </si>
  <si>
    <t>BasicEPS</t>
  </si>
  <si>
    <t>DilutedEPS</t>
  </si>
  <si>
    <t>BasicAverageShares</t>
  </si>
  <si>
    <t>DilutedAverageShares</t>
  </si>
  <si>
    <t>TotalOperatingIncomeAsReported</t>
  </si>
  <si>
    <t>TotalExpenses</t>
  </si>
  <si>
    <t>InterestExpense</t>
  </si>
  <si>
    <t>NetInterestIncome</t>
  </si>
  <si>
    <t>NetIncomeFromContinuingAndDiscontinuedOperation</t>
  </si>
  <si>
    <t>NormalizedIncome</t>
  </si>
  <si>
    <t>ReconciledCostOfRevenue</t>
  </si>
  <si>
    <t>ReconciledDepreciation</t>
  </si>
  <si>
    <t>NetIncomeFromContinuingOperationNetMinorityInterest</t>
  </si>
  <si>
    <t>TotalUnusualItemsExcludingGoodwill</t>
  </si>
  <si>
    <t>TotalUnusualItems</t>
  </si>
  <si>
    <t>NormalizedEBITDA</t>
  </si>
  <si>
    <t>TaxRateForCalcs</t>
  </si>
  <si>
    <t>TaxEffectOfUnusualItems</t>
  </si>
  <si>
    <t>years</t>
  </si>
  <si>
    <t>tax Rate</t>
  </si>
  <si>
    <t>Total Debt Outstanding</t>
  </si>
  <si>
    <t>DCF AND EQUITY IRR</t>
  </si>
  <si>
    <t>Plus Depreciation</t>
  </si>
  <si>
    <t>Taxes (unlevered)</t>
  </si>
  <si>
    <t>Net Income (unlevered)</t>
  </si>
  <si>
    <t>Plus Amortization of Fees</t>
  </si>
  <si>
    <t>Less Working Capital</t>
  </si>
  <si>
    <t>Less Capex</t>
  </si>
  <si>
    <t>Equity Cash Flow (unlevered)</t>
  </si>
  <si>
    <t>Terminal Value</t>
  </si>
  <si>
    <t xml:space="preserve">  EBITDA Multiple</t>
  </si>
  <si>
    <t xml:space="preserve">  Perpetutuity Mathod</t>
  </si>
  <si>
    <t xml:space="preserve">  Average Terminal Value</t>
  </si>
  <si>
    <t xml:space="preserve">  Less Debt</t>
  </si>
  <si>
    <t xml:space="preserve">   Percentage of Revenue</t>
  </si>
  <si>
    <t xml:space="preserve">   WC as % of Revenue</t>
  </si>
  <si>
    <t xml:space="preserve">  Capex as % of Recvenue</t>
  </si>
  <si>
    <t>Assumptions</t>
  </si>
  <si>
    <t>EXIT YR</t>
  </si>
  <si>
    <t>WACC=</t>
  </si>
  <si>
    <t xml:space="preserve">     Debt IRR</t>
  </si>
  <si>
    <t>WACC Calculation</t>
  </si>
  <si>
    <t>AT Inter.</t>
  </si>
  <si>
    <t>WACC</t>
  </si>
  <si>
    <t>Equity CAPM</t>
  </si>
  <si>
    <t>Risk Free Rate</t>
  </si>
  <si>
    <t>Market Premium Return</t>
  </si>
  <si>
    <t>Beta</t>
  </si>
  <si>
    <t>CAPM</t>
  </si>
  <si>
    <t>Growth=</t>
  </si>
  <si>
    <t>Multiple</t>
  </si>
  <si>
    <t>Equity Terminal Value</t>
  </si>
  <si>
    <t>Equity Value + TV</t>
  </si>
  <si>
    <t>IRR=</t>
  </si>
  <si>
    <t>TV 1</t>
  </si>
  <si>
    <t>TV2</t>
  </si>
  <si>
    <t>Avg (TV1,TV2)</t>
  </si>
  <si>
    <t>Less Debt</t>
  </si>
  <si>
    <t>Equity TV</t>
  </si>
  <si>
    <t xml:space="preserve">	GainOnSaleOfSecurity</t>
  </si>
  <si>
    <t xml:space="preserve">		PrepaidAssets</t>
  </si>
  <si>
    <t xml:space="preserve">				OtherProperties</t>
  </si>
  <si>
    <t xml:space="preserve">		NonCurrentDeferredAssets</t>
  </si>
  <si>
    <t xml:space="preserve">			NonCurrentDeferredTaxesAssets</t>
  </si>
  <si>
    <t xml:space="preserve">			CurrentCapitalLeaseObligation</t>
  </si>
  <si>
    <t xml:space="preserve">		CurrentDeferredLiabilities</t>
  </si>
  <si>
    <t xml:space="preserve">			CurrentDeferredRevenue</t>
  </si>
  <si>
    <t xml:space="preserve">			LongTermCapitalLeaseObligation</t>
  </si>
  <si>
    <t>CapitalLeaseObligations</t>
  </si>
  <si>
    <t>OperatingCashFlow</t>
  </si>
  <si>
    <t xml:space="preserve">	CashFlowFromContinuingOperatingActivities</t>
  </si>
  <si>
    <t xml:space="preserve">		NetIncomeFromContinuingOperations</t>
  </si>
  <si>
    <t xml:space="preserve">		DepreciationAmortizationDepletion</t>
  </si>
  <si>
    <t xml:space="preserve">			DepreciationAndAmortization</t>
  </si>
  <si>
    <t xml:space="preserve">		DeferredTax</t>
  </si>
  <si>
    <t xml:space="preserve">			DeferredIncomeTax</t>
  </si>
  <si>
    <t xml:space="preserve">		AssetImpairmentCharge</t>
  </si>
  <si>
    <t xml:space="preserve">		ProvisionandWriteOffofAssets</t>
  </si>
  <si>
    <t xml:space="preserve">		StockBasedCompensation</t>
  </si>
  <si>
    <t xml:space="preserve">		OtherNonCashItems</t>
  </si>
  <si>
    <t xml:space="preserve">		ChangeInWorkingCapital</t>
  </si>
  <si>
    <t xml:space="preserve">			ChangeInReceivables</t>
  </si>
  <si>
    <t xml:space="preserve">				ChangesInAccountReceivables</t>
  </si>
  <si>
    <t xml:space="preserve">			ChangeInPrepaidAssets</t>
  </si>
  <si>
    <t xml:space="preserve">			ChangeInPayablesAndAccruedExpense</t>
  </si>
  <si>
    <t xml:space="preserve">				ChangeInPayable</t>
  </si>
  <si>
    <t xml:space="preserve">					ChangeInAccountPayable</t>
  </si>
  <si>
    <t xml:space="preserve">				ChangeInAccruedExpense</t>
  </si>
  <si>
    <t xml:space="preserve">			ChangeInOtherCurrentAssets</t>
  </si>
  <si>
    <t xml:space="preserve">			ChangeInOtherCurrentLiabilities</t>
  </si>
  <si>
    <t xml:space="preserve">			ChangeInOtherWorkingCapital</t>
  </si>
  <si>
    <t>InvestingCashFlow</t>
  </si>
  <si>
    <t xml:space="preserve">	CashFlowFromContinuingInvestingActivities</t>
  </si>
  <si>
    <t xml:space="preserve">		NetPPEPurchaseAndSale</t>
  </si>
  <si>
    <t xml:space="preserve">			PurchaseOfPPE</t>
  </si>
  <si>
    <t xml:space="preserve">			SaleOfPPE</t>
  </si>
  <si>
    <t xml:space="preserve">		NetBusinessPurchaseAndSale</t>
  </si>
  <si>
    <t xml:space="preserve">			PurchaseOfBusiness</t>
  </si>
  <si>
    <t xml:space="preserve">		NetInvestmentPurchaseAndSale</t>
  </si>
  <si>
    <t xml:space="preserve">			PurchaseOfInvestment</t>
  </si>
  <si>
    <t xml:space="preserve">			SaleOfInvestment</t>
  </si>
  <si>
    <t xml:space="preserve">		NetOtherInvestingChanges</t>
  </si>
  <si>
    <t>FinancingCashFlow</t>
  </si>
  <si>
    <t xml:space="preserve">	CashFlowFromContinuingFinancingActivities</t>
  </si>
  <si>
    <t xml:space="preserve">		NetIssuancePaymentsOfDebt</t>
  </si>
  <si>
    <t xml:space="preserve">			NetLongTermDebtIssuance</t>
  </si>
  <si>
    <t xml:space="preserve">				LongTermDebtIssuance</t>
  </si>
  <si>
    <t xml:space="preserve">				LongTermDebtPayments</t>
  </si>
  <si>
    <t xml:space="preserve">		NetCommonStockIssuance</t>
  </si>
  <si>
    <t xml:space="preserve">			CommonStockIssuance</t>
  </si>
  <si>
    <t xml:space="preserve">			CommonStockPayments</t>
  </si>
  <si>
    <t xml:space="preserve">		NetOtherFinancingCharges</t>
  </si>
  <si>
    <t>EndCashPosition</t>
  </si>
  <si>
    <t xml:space="preserve">	ChangesInCash</t>
  </si>
  <si>
    <t xml:space="preserve">	BeginningCashPosition</t>
  </si>
  <si>
    <t>IncomeTaxPaidSupplementalData</t>
  </si>
  <si>
    <t>InterestPaidSupplementalData</t>
  </si>
  <si>
    <t>CapitalExpenditure</t>
  </si>
  <si>
    <t>IssuanceOfCapitalStock</t>
  </si>
  <si>
    <t>IssuanceOfDebt</t>
  </si>
  <si>
    <t>RepaymentOfDebt</t>
  </si>
  <si>
    <t>RepurchaseOfCapitalStock</t>
  </si>
  <si>
    <t>FreeCashFlow</t>
  </si>
  <si>
    <t>FYE June 30</t>
  </si>
  <si>
    <t xml:space="preserve">		SellingAndMarketingExpense</t>
  </si>
  <si>
    <t xml:space="preserve">	ResearchAndDevelopment</t>
  </si>
  <si>
    <t xml:space="preserve">	InterestIncomeNonOperating</t>
  </si>
  <si>
    <t xml:space="preserve">	TotalOtherFinanceCost</t>
  </si>
  <si>
    <t xml:space="preserve">	OtherunderPreferredStockDividend</t>
  </si>
  <si>
    <t>AverageDilutionEarnings</t>
  </si>
  <si>
    <t>InterestIncome</t>
  </si>
  <si>
    <t xml:space="preserve">				CashFinancial</t>
  </si>
  <si>
    <t xml:space="preserve">				CashEquivalents</t>
  </si>
  <si>
    <t xml:space="preserve">				GrossAccountsReceivable</t>
  </si>
  <si>
    <t xml:space="preserve">				AllowanceForDoubtfulAccountsReceivable</t>
  </si>
  <si>
    <t xml:space="preserve">		AssetsHeldForSaleCurrent</t>
  </si>
  <si>
    <t xml:space="preserve">		PensionandOtherPostRetirementBenefitPlansCurrent</t>
  </si>
  <si>
    <t xml:space="preserve">				OtherCurrentBorrowings</t>
  </si>
  <si>
    <t xml:space="preserve">		TradeandOtherPayablesNonCurrent</t>
  </si>
  <si>
    <t xml:space="preserve">		PreferredSecuritiesOutsideStockEquity</t>
  </si>
  <si>
    <t xml:space="preserve">			PreferredStock</t>
  </si>
  <si>
    <t xml:space="preserve">		AmortizationOfSecurities</t>
  </si>
  <si>
    <t xml:space="preserve">		NetPreferredStockIssuance</t>
  </si>
  <si>
    <t xml:space="preserve">			PreferredStockIssuance</t>
  </si>
  <si>
    <t xml:space="preserve">		ProceedsFromStockOptionExercised</t>
  </si>
  <si>
    <t xml:space="preserve">	EffectOfExchangeRateChanges</t>
  </si>
  <si>
    <t>Acquisition</t>
  </si>
  <si>
    <t>Acq. Mult EBITDA</t>
  </si>
  <si>
    <t>Acq. Mult Revenue</t>
  </si>
  <si>
    <t>Type of Debt</t>
  </si>
  <si>
    <t xml:space="preserve">CASE STUDY: </t>
  </si>
  <si>
    <t>Acqusition of Twitter</t>
  </si>
  <si>
    <t>Equity*</t>
  </si>
  <si>
    <t xml:space="preserve">  Cash </t>
  </si>
  <si>
    <t>Equity Raise*:</t>
  </si>
  <si>
    <t xml:space="preserve">    Total</t>
  </si>
  <si>
    <t>Debt Service at the Company side</t>
  </si>
  <si>
    <t>Company
Debt</t>
  </si>
  <si>
    <t>Total
Debt</t>
  </si>
  <si>
    <t>Acquisition Stats</t>
  </si>
  <si>
    <t>Margin
Loan</t>
  </si>
  <si>
    <t>Debt</t>
  </si>
  <si>
    <t>Stock
Price</t>
  </si>
  <si>
    <t>Shares
Pleadged
(mm)</t>
  </si>
  <si>
    <t>Amount 
Pledged</t>
  </si>
  <si>
    <t xml:space="preserve"> Margin
%</t>
  </si>
  <si>
    <t>Net Debt
Capacity</t>
  </si>
  <si>
    <t>Ratio Analysis</t>
  </si>
  <si>
    <t>Senior Leverage</t>
  </si>
  <si>
    <t>Net Leverage Ratio</t>
  </si>
  <si>
    <t>Total Debt Leverage</t>
  </si>
  <si>
    <t>Current</t>
  </si>
  <si>
    <t>CCC+/CCC</t>
  </si>
  <si>
    <t>B/B-</t>
  </si>
  <si>
    <t>Facebook</t>
  </si>
  <si>
    <t>Google</t>
  </si>
  <si>
    <t>Rev</t>
  </si>
  <si>
    <t>Snap</t>
  </si>
  <si>
    <t>Pinterest</t>
  </si>
  <si>
    <t>Spot</t>
  </si>
  <si>
    <t>Equity Raise Info</t>
  </si>
  <si>
    <t>Cash</t>
  </si>
  <si>
    <t xml:space="preserve">    Total Debt</t>
  </si>
  <si>
    <t>Twitter Corporate Debt Stats</t>
  </si>
  <si>
    <t>Tesla Margin Loan</t>
  </si>
  <si>
    <t>Total 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</si>
</sst>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\x"/>
    <numFmt numFmtId="167" formatCode="_(* #,##0_);_(* \(#,##0\);_(* &quot;-&quot;??_);_(@_)"/>
    <numFmt numFmtId="168" formatCode="0.00\x"/>
    <numFmt numFmtId="169" formatCode="0.0\X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0E4E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2" fillId="2" borderId="0" xfId="0" applyFont="1" applyFill="1" applyAlignment="1">
      <alignment horizontal="center"/>
    </xf>
    <xf numFmtId="0" fontId="0" fillId="0" borderId="2" xfId="0" applyBorder="1"/>
    <xf numFmtId="9" fontId="0" fillId="0" borderId="2" xfId="3" applyFont="1" applyBorder="1"/>
    <xf numFmtId="164" fontId="0" fillId="0" borderId="2" xfId="3" applyNumberFormat="1" applyFont="1" applyBorder="1"/>
    <xf numFmtId="164" fontId="0" fillId="0" borderId="0" xfId="3" applyNumberFormat="1" applyFont="1"/>
    <xf numFmtId="0" fontId="0" fillId="0" borderId="0" xfId="0" applyAlignment="1">
      <alignment horizontal="right"/>
    </xf>
    <xf numFmtId="10" fontId="0" fillId="0" borderId="2" xfId="0" applyNumberFormat="1" applyBorder="1"/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44" fontId="0" fillId="0" borderId="2" xfId="2" applyFont="1" applyBorder="1"/>
    <xf numFmtId="0" fontId="2" fillId="2" borderId="0" xfId="0" quotePrefix="1" applyFont="1" applyFill="1"/>
    <xf numFmtId="0" fontId="2" fillId="2" borderId="0" xfId="0" applyFont="1" applyFill="1" applyAlignment="1">
      <alignment vertical="center"/>
    </xf>
    <xf numFmtId="164" fontId="0" fillId="0" borderId="4" xfId="3" applyNumberFormat="1" applyFont="1" applyBorder="1"/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65" fontId="0" fillId="0" borderId="2" xfId="0" applyNumberFormat="1" applyBorder="1"/>
    <xf numFmtId="0" fontId="0" fillId="0" borderId="0" xfId="0" applyBorder="1"/>
    <xf numFmtId="3" fontId="0" fillId="0" borderId="0" xfId="0" applyNumberFormat="1"/>
    <xf numFmtId="14" fontId="0" fillId="0" borderId="0" xfId="0" applyNumberFormat="1"/>
    <xf numFmtId="166" fontId="0" fillId="0" borderId="2" xfId="0" applyNumberFormat="1" applyBorder="1"/>
    <xf numFmtId="165" fontId="0" fillId="0" borderId="4" xfId="0" applyNumberFormat="1" applyBorder="1"/>
    <xf numFmtId="165" fontId="3" fillId="0" borderId="1" xfId="0" applyNumberFormat="1" applyFont="1" applyBorder="1"/>
    <xf numFmtId="164" fontId="3" fillId="0" borderId="1" xfId="3" applyNumberFormat="1" applyFont="1" applyBorder="1"/>
    <xf numFmtId="165" fontId="3" fillId="0" borderId="2" xfId="0" applyNumberFormat="1" applyFont="1" applyBorder="1"/>
    <xf numFmtId="167" fontId="0" fillId="0" borderId="2" xfId="1" applyNumberFormat="1" applyFont="1" applyBorder="1"/>
    <xf numFmtId="167" fontId="0" fillId="0" borderId="2" xfId="0" applyNumberFormat="1" applyBorder="1"/>
    <xf numFmtId="164" fontId="0" fillId="0" borderId="0" xfId="3" applyNumberFormat="1" applyFont="1" applyBorder="1"/>
    <xf numFmtId="167" fontId="0" fillId="0" borderId="0" xfId="1" applyNumberFormat="1" applyFont="1"/>
    <xf numFmtId="167" fontId="0" fillId="0" borderId="1" xfId="1" applyNumberFormat="1" applyFont="1" applyBorder="1"/>
    <xf numFmtId="167" fontId="0" fillId="0" borderId="3" xfId="1" applyNumberFormat="1" applyFont="1" applyBorder="1"/>
    <xf numFmtId="164" fontId="3" fillId="0" borderId="2" xfId="3" applyNumberFormat="1" applyFont="1" applyBorder="1"/>
    <xf numFmtId="0" fontId="2" fillId="2" borderId="0" xfId="0" applyFont="1" applyFill="1" applyAlignment="1">
      <alignment horizontal="center" wrapText="1"/>
    </xf>
    <xf numFmtId="167" fontId="0" fillId="0" borderId="3" xfId="0" applyNumberFormat="1" applyBorder="1"/>
    <xf numFmtId="3" fontId="6" fillId="0" borderId="6" xfId="0" applyNumberFormat="1" applyFont="1" applyBorder="1" applyAlignment="1">
      <alignment horizontal="center" vertical="center" wrapText="1"/>
    </xf>
    <xf numFmtId="3" fontId="0" fillId="0" borderId="2" xfId="0" applyNumberFormat="1" applyBorder="1"/>
    <xf numFmtId="167" fontId="0" fillId="0" borderId="0" xfId="0" applyNumberFormat="1"/>
    <xf numFmtId="3" fontId="6" fillId="0" borderId="0" xfId="0" applyNumberFormat="1" applyFont="1" applyBorder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 applyBorder="1"/>
    <xf numFmtId="10" fontId="3" fillId="0" borderId="2" xfId="0" applyNumberFormat="1" applyFont="1" applyBorder="1"/>
    <xf numFmtId="164" fontId="0" fillId="0" borderId="0" xfId="0" applyNumberFormat="1"/>
    <xf numFmtId="10" fontId="0" fillId="0" borderId="0" xfId="0" applyNumberFormat="1"/>
    <xf numFmtId="10" fontId="0" fillId="0" borderId="8" xfId="0" applyNumberFormat="1" applyBorder="1"/>
    <xf numFmtId="10" fontId="3" fillId="0" borderId="7" xfId="0" applyNumberFormat="1" applyFont="1" applyBorder="1"/>
    <xf numFmtId="10" fontId="7" fillId="0" borderId="0" xfId="0" applyNumberFormat="1" applyFont="1"/>
    <xf numFmtId="168" fontId="0" fillId="0" borderId="0" xfId="0" applyNumberFormat="1"/>
    <xf numFmtId="10" fontId="0" fillId="0" borderId="0" xfId="3" applyNumberFormat="1" applyFont="1"/>
    <xf numFmtId="0" fontId="3" fillId="3" borderId="0" xfId="0" applyFont="1" applyFill="1" applyAlignment="1">
      <alignment horizontal="center"/>
    </xf>
    <xf numFmtId="10" fontId="0" fillId="0" borderId="1" xfId="3" applyNumberFormat="1" applyFont="1" applyBorder="1"/>
    <xf numFmtId="10" fontId="0" fillId="0" borderId="1" xfId="0" applyNumberFormat="1" applyBorder="1"/>
    <xf numFmtId="0" fontId="0" fillId="3" borderId="0" xfId="0" applyFont="1" applyFill="1"/>
    <xf numFmtId="9" fontId="7" fillId="0" borderId="0" xfId="0" applyNumberFormat="1" applyFont="1"/>
    <xf numFmtId="164" fontId="3" fillId="4" borderId="2" xfId="0" applyNumberFormat="1" applyFont="1" applyFill="1" applyBorder="1"/>
    <xf numFmtId="167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10" fontId="0" fillId="0" borderId="0" xfId="0" applyNumberFormat="1" applyBorder="1"/>
    <xf numFmtId="10" fontId="0" fillId="0" borderId="0" xfId="3" applyNumberFormat="1" applyFont="1" applyBorder="1"/>
    <xf numFmtId="0" fontId="3" fillId="0" borderId="2" xfId="0" applyFont="1" applyBorder="1" applyAlignment="1">
      <alignment horizontal="right"/>
    </xf>
    <xf numFmtId="166" fontId="3" fillId="4" borderId="7" xfId="0" applyNumberFormat="1" applyFont="1" applyFill="1" applyBorder="1"/>
    <xf numFmtId="165" fontId="7" fillId="0" borderId="5" xfId="2" applyNumberFormat="1" applyFont="1" applyBorder="1"/>
    <xf numFmtId="166" fontId="7" fillId="0" borderId="2" xfId="0" applyNumberFormat="1" applyFont="1" applyBorder="1"/>
    <xf numFmtId="167" fontId="7" fillId="0" borderId="2" xfId="1" applyNumberFormat="1" applyFont="1" applyBorder="1"/>
    <xf numFmtId="167" fontId="7" fillId="0" borderId="3" xfId="1" applyNumberFormat="1" applyFont="1" applyBorder="1"/>
    <xf numFmtId="167" fontId="7" fillId="0" borderId="0" xfId="1" applyNumberFormat="1" applyFont="1"/>
    <xf numFmtId="167" fontId="7" fillId="0" borderId="2" xfId="0" applyNumberFormat="1" applyFont="1" applyBorder="1"/>
    <xf numFmtId="167" fontId="8" fillId="0" borderId="2" xfId="0" applyNumberFormat="1" applyFont="1" applyBorder="1"/>
    <xf numFmtId="167" fontId="7" fillId="0" borderId="0" xfId="0" applyNumberFormat="1" applyFont="1"/>
    <xf numFmtId="0" fontId="7" fillId="0" borderId="0" xfId="0" applyFont="1"/>
    <xf numFmtId="168" fontId="7" fillId="0" borderId="0" xfId="0" applyNumberFormat="1" applyFont="1"/>
    <xf numFmtId="164" fontId="9" fillId="0" borderId="2" xfId="3" applyNumberFormat="1" applyFont="1" applyBorder="1"/>
    <xf numFmtId="167" fontId="0" fillId="0" borderId="2" xfId="0" applyNumberFormat="1" applyFont="1" applyBorder="1"/>
    <xf numFmtId="164" fontId="7" fillId="0" borderId="2" xfId="3" applyNumberFormat="1" applyFont="1" applyBorder="1"/>
    <xf numFmtId="167" fontId="0" fillId="0" borderId="9" xfId="0" applyNumberFormat="1" applyBorder="1"/>
    <xf numFmtId="44" fontId="7" fillId="0" borderId="2" xfId="2" applyFont="1" applyBorder="1"/>
    <xf numFmtId="9" fontId="0" fillId="0" borderId="2" xfId="3" applyFont="1" applyBorder="1" applyAlignment="1">
      <alignment horizontal="center"/>
    </xf>
    <xf numFmtId="165" fontId="7" fillId="0" borderId="2" xfId="0" applyNumberFormat="1" applyFont="1" applyBorder="1"/>
    <xf numFmtId="10" fontId="7" fillId="0" borderId="2" xfId="0" applyNumberFormat="1" applyFont="1" applyBorder="1"/>
    <xf numFmtId="10" fontId="11" fillId="0" borderId="7" xfId="0" applyNumberFormat="1" applyFont="1" applyBorder="1"/>
    <xf numFmtId="164" fontId="11" fillId="0" borderId="2" xfId="3" applyNumberFormat="1" applyFont="1" applyBorder="1"/>
    <xf numFmtId="167" fontId="10" fillId="0" borderId="2" xfId="1" applyNumberFormat="1" applyFont="1" applyBorder="1"/>
    <xf numFmtId="167" fontId="10" fillId="0" borderId="3" xfId="1" applyNumberFormat="1" applyFont="1" applyBorder="1"/>
    <xf numFmtId="167" fontId="10" fillId="0" borderId="0" xfId="1" applyNumberFormat="1" applyFont="1"/>
    <xf numFmtId="167" fontId="10" fillId="0" borderId="1" xfId="1" applyNumberFormat="1" applyFont="1" applyBorder="1"/>
    <xf numFmtId="167" fontId="10" fillId="0" borderId="2" xfId="0" applyNumberFormat="1" applyFont="1" applyBorder="1"/>
    <xf numFmtId="0" fontId="5" fillId="0" borderId="0" xfId="0" applyFont="1" applyAlignment="1">
      <alignment horizontal="right"/>
    </xf>
    <xf numFmtId="0" fontId="12" fillId="0" borderId="0" xfId="0" applyFont="1"/>
    <xf numFmtId="0" fontId="0" fillId="0" borderId="1" xfId="0" applyBorder="1"/>
    <xf numFmtId="0" fontId="3" fillId="3" borderId="5" xfId="0" applyFont="1" applyFill="1" applyBorder="1" applyAlignment="1">
      <alignment horizontal="centerContinuous" vertical="center" wrapText="1"/>
    </xf>
    <xf numFmtId="0" fontId="3" fillId="3" borderId="10" xfId="0" applyFont="1" applyFill="1" applyBorder="1" applyAlignment="1">
      <alignment horizontal="centerContinuous" vertical="center" wrapText="1"/>
    </xf>
    <xf numFmtId="0" fontId="0" fillId="0" borderId="5" xfId="0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3" fillId="3" borderId="2" xfId="0" applyFont="1" applyFill="1" applyBorder="1"/>
    <xf numFmtId="167" fontId="3" fillId="0" borderId="2" xfId="0" applyNumberFormat="1" applyFont="1" applyBorder="1"/>
    <xf numFmtId="0" fontId="3" fillId="3" borderId="2" xfId="0" applyFont="1" applyFill="1" applyBorder="1" applyAlignment="1">
      <alignment horizontal="center" wrapText="1"/>
    </xf>
    <xf numFmtId="165" fontId="3" fillId="0" borderId="3" xfId="0" applyNumberFormat="1" applyFont="1" applyBorder="1"/>
    <xf numFmtId="0" fontId="0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wrapText="1"/>
    </xf>
    <xf numFmtId="43" fontId="0" fillId="0" borderId="2" xfId="1" applyNumberFormat="1" applyFont="1" applyBorder="1"/>
    <xf numFmtId="164" fontId="3" fillId="0" borderId="3" xfId="3" applyNumberFormat="1" applyFont="1" applyBorder="1"/>
    <xf numFmtId="166" fontId="0" fillId="0" borderId="2" xfId="0" applyNumberFormat="1" applyFont="1" applyBorder="1" applyAlignment="1">
      <alignment horizontal="center"/>
    </xf>
    <xf numFmtId="166" fontId="0" fillId="0" borderId="13" xfId="0" applyNumberFormat="1" applyFont="1" applyBorder="1" applyAlignment="1">
      <alignment horizontal="center"/>
    </xf>
    <xf numFmtId="166" fontId="0" fillId="0" borderId="3" xfId="0" applyNumberFormat="1" applyFont="1" applyBorder="1" applyAlignment="1">
      <alignment horizontal="center"/>
    </xf>
    <xf numFmtId="167" fontId="0" fillId="0" borderId="0" xfId="0" applyNumberFormat="1" applyBorder="1"/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/>
    </xf>
    <xf numFmtId="169" fontId="0" fillId="0" borderId="2" xfId="0" applyNumberFormat="1" applyBorder="1"/>
    <xf numFmtId="169" fontId="0" fillId="0" borderId="0" xfId="0" applyNumberFormat="1"/>
    <xf numFmtId="44" fontId="0" fillId="5" borderId="2" xfId="2" applyFont="1" applyFill="1" applyBorder="1"/>
    <xf numFmtId="43" fontId="0" fillId="5" borderId="2" xfId="1" applyNumberFormat="1" applyFont="1" applyFill="1" applyBorder="1"/>
    <xf numFmtId="167" fontId="0" fillId="5" borderId="2" xfId="1" applyNumberFormat="1" applyFont="1" applyFill="1" applyBorder="1"/>
    <xf numFmtId="165" fontId="0" fillId="5" borderId="2" xfId="0" applyNumberFormat="1" applyFill="1" applyBorder="1"/>
    <xf numFmtId="164" fontId="0" fillId="5" borderId="2" xfId="3" applyNumberFormat="1" applyFont="1" applyFill="1" applyBorder="1"/>
    <xf numFmtId="0" fontId="3" fillId="5" borderId="0" xfId="0" applyFont="1" applyFill="1"/>
    <xf numFmtId="0" fontId="0" fillId="5" borderId="0" xfId="0" applyFill="1"/>
    <xf numFmtId="0" fontId="3" fillId="3" borderId="0" xfId="0" applyFont="1" applyFill="1" applyAlignment="1">
      <alignment horizontal="center" vertical="center"/>
    </xf>
    <xf numFmtId="167" fontId="10" fillId="0" borderId="2" xfId="1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/>
    </xf>
    <xf numFmtId="166" fontId="8" fillId="0" borderId="3" xfId="0" applyNumberFormat="1" applyFont="1" applyBorder="1" applyAlignment="1">
      <alignment horizontal="center"/>
    </xf>
    <xf numFmtId="165" fontId="0" fillId="0" borderId="3" xfId="0" applyNumberFormat="1" applyBorder="1"/>
    <xf numFmtId="164" fontId="0" fillId="0" borderId="3" xfId="3" applyNumberFormat="1" applyFont="1" applyBorder="1"/>
    <xf numFmtId="0" fontId="0" fillId="0" borderId="0" xfId="0" applyBorder="1" applyAlignment="1">
      <alignment horizontal="right"/>
    </xf>
    <xf numFmtId="0" fontId="13" fillId="6" borderId="0" xfId="0" applyFont="1" applyFill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14</xdr:row>
      <xdr:rowOff>0</xdr:rowOff>
    </xdr:from>
    <xdr:to>
      <xdr:col>4</xdr:col>
      <xdr:colOff>342900</xdr:colOff>
      <xdr:row>18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83B8E19B-D293-433C-9ED6-090D90E037CA}"/>
            </a:ext>
          </a:extLst>
        </xdr:cNvPr>
        <xdr:cNvCxnSpPr/>
      </xdr:nvCxnSpPr>
      <xdr:spPr>
        <a:xfrm>
          <a:off x="3000375" y="3467100"/>
          <a:ext cx="1085850" cy="8191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171450</xdr:rowOff>
    </xdr:from>
    <xdr:to>
      <xdr:col>6</xdr:col>
      <xdr:colOff>0</xdr:colOff>
      <xdr:row>11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E7C86E2-8A6F-4DB3-81A3-7147EB64E759}"/>
            </a:ext>
          </a:extLst>
        </xdr:cNvPr>
        <xdr:cNvCxnSpPr/>
      </xdr:nvCxnSpPr>
      <xdr:spPr>
        <a:xfrm>
          <a:off x="3743325" y="1743075"/>
          <a:ext cx="1428750" cy="5810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8</xdr:row>
      <xdr:rowOff>95250</xdr:rowOff>
    </xdr:from>
    <xdr:to>
      <xdr:col>1</xdr:col>
      <xdr:colOff>1809750</xdr:colOff>
      <xdr:row>10</xdr:row>
      <xdr:rowOff>390525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9BBB49A3-C9DD-40E5-8C47-4021D6AD1510}"/>
            </a:ext>
          </a:extLst>
        </xdr:cNvPr>
        <xdr:cNvCxnSpPr/>
      </xdr:nvCxnSpPr>
      <xdr:spPr>
        <a:xfrm>
          <a:off x="666750" y="2028825"/>
          <a:ext cx="1409700" cy="6667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0A0A-1563-442F-AE11-178CF19A06CC}">
  <dimension ref="B1:O132"/>
  <sheetViews>
    <sheetView showGridLines="0" tabSelected="1" zoomScaleNormal="100" workbookViewId="0">
      <selection activeCell="I20" sqref="I20"/>
    </sheetView>
  </sheetViews>
  <sheetFormatPr defaultRowHeight="14.5" x14ac:dyDescent="0.35"/>
  <cols>
    <col min="1" max="1" width="3.81640625" customWidth="1"/>
    <col min="2" max="2" width="26.36328125" customWidth="1"/>
    <col min="3" max="3" width="13.26953125" customWidth="1"/>
    <col min="4" max="10" width="10.26953125" customWidth="1"/>
    <col min="11" max="11" width="9.7265625" customWidth="1"/>
    <col min="13" max="13" width="16.54296875" customWidth="1"/>
    <col min="14" max="14" width="14.1796875" customWidth="1"/>
  </cols>
  <sheetData>
    <row r="1" spans="2:15" ht="23.5" x14ac:dyDescent="0.55000000000000004">
      <c r="B1" s="93" t="s">
        <v>295</v>
      </c>
      <c r="C1" s="94" t="s">
        <v>296</v>
      </c>
    </row>
    <row r="3" spans="2:15" x14ac:dyDescent="0.35">
      <c r="B3" s="6" t="s">
        <v>1</v>
      </c>
      <c r="C3" s="5"/>
      <c r="D3" s="5"/>
      <c r="E3" s="5"/>
      <c r="F3" s="5"/>
      <c r="G3" s="5"/>
      <c r="H3" s="5"/>
      <c r="I3" s="5"/>
      <c r="J3" s="5"/>
      <c r="K3" s="5"/>
    </row>
    <row r="4" spans="2:15" x14ac:dyDescent="0.35">
      <c r="B4" s="4"/>
      <c r="C4" s="4"/>
      <c r="D4" s="4"/>
      <c r="E4" s="4"/>
      <c r="F4" s="4" t="s">
        <v>4</v>
      </c>
      <c r="G4" s="4"/>
      <c r="H4" s="4"/>
      <c r="I4" s="4"/>
      <c r="J4" s="4"/>
      <c r="K4" s="4"/>
      <c r="M4" s="4"/>
      <c r="N4" s="4"/>
    </row>
    <row r="5" spans="2:15" s="14" customFormat="1" ht="43.5" x14ac:dyDescent="0.35">
      <c r="B5" s="21" t="s">
        <v>3</v>
      </c>
      <c r="C5" s="22" t="s">
        <v>62</v>
      </c>
      <c r="D5" s="23" t="s">
        <v>60</v>
      </c>
      <c r="E5" s="15"/>
      <c r="F5" s="15"/>
      <c r="G5" s="22" t="s">
        <v>9</v>
      </c>
      <c r="H5" s="22" t="s">
        <v>10</v>
      </c>
      <c r="I5" s="22" t="s">
        <v>11</v>
      </c>
      <c r="J5" s="22" t="s">
        <v>61</v>
      </c>
      <c r="K5" s="22" t="s">
        <v>62</v>
      </c>
      <c r="M5" s="133" t="s">
        <v>304</v>
      </c>
      <c r="N5" s="133"/>
      <c r="O5"/>
    </row>
    <row r="6" spans="2:15" x14ac:dyDescent="0.35">
      <c r="B6" t="s">
        <v>5</v>
      </c>
      <c r="C6" s="29">
        <v>5000</v>
      </c>
      <c r="D6" s="20">
        <f>+C6/$C$10</f>
        <v>0.10740714908127973</v>
      </c>
      <c r="F6" s="12" t="s">
        <v>8</v>
      </c>
      <c r="G6" s="82">
        <v>39</v>
      </c>
      <c r="H6" s="83">
        <f>+I6/G6-1</f>
        <v>0.38974358974358991</v>
      </c>
      <c r="I6" s="82">
        <v>54.2</v>
      </c>
      <c r="J6" s="82">
        <v>763.58</v>
      </c>
      <c r="K6" s="24">
        <f>+J6*I6</f>
        <v>41386.036000000007</v>
      </c>
      <c r="M6" s="8" t="s">
        <v>291</v>
      </c>
      <c r="N6" s="24">
        <f>+K7+K6</f>
        <v>45639.055000000008</v>
      </c>
    </row>
    <row r="7" spans="2:15" x14ac:dyDescent="0.35">
      <c r="B7" t="s">
        <v>6</v>
      </c>
      <c r="C7" s="29">
        <v>8000</v>
      </c>
      <c r="D7" s="10">
        <f>+C7/$C$10</f>
        <v>0.17185143853004756</v>
      </c>
      <c r="F7" s="12" t="s">
        <v>12</v>
      </c>
      <c r="G7" s="25"/>
      <c r="H7" s="25"/>
      <c r="I7" s="25"/>
      <c r="J7" s="25"/>
      <c r="K7" s="84">
        <f>C60</f>
        <v>4253.0190000000002</v>
      </c>
      <c r="M7" s="8" t="s">
        <v>292</v>
      </c>
      <c r="N7" s="28">
        <f>+N6/K14</f>
        <v>55.806428143456316</v>
      </c>
    </row>
    <row r="8" spans="2:15" ht="15" thickBot="1" x14ac:dyDescent="0.4">
      <c r="B8" t="s">
        <v>327</v>
      </c>
      <c r="C8" s="130">
        <f>+C7+C6</f>
        <v>13000</v>
      </c>
      <c r="D8" s="131">
        <f>+C8/$C$10</f>
        <v>0.27925858761132727</v>
      </c>
      <c r="F8" s="12"/>
      <c r="G8" s="25"/>
      <c r="H8" s="25"/>
      <c r="I8" s="25"/>
      <c r="J8" s="132" t="s">
        <v>330</v>
      </c>
      <c r="K8" s="84">
        <f>+K7+K6</f>
        <v>45639.055000000008</v>
      </c>
      <c r="M8" s="8" t="s">
        <v>293</v>
      </c>
      <c r="N8" s="28">
        <f>+N6/E73</f>
        <v>8.9885212788543623</v>
      </c>
    </row>
    <row r="9" spans="2:15" ht="15" thickTop="1" x14ac:dyDescent="0.35">
      <c r="B9" t="s">
        <v>297</v>
      </c>
      <c r="C9" s="29">
        <f>+K10-C6-C7</f>
        <v>33551.836100000008</v>
      </c>
      <c r="D9" s="20">
        <f>+C9/$C$10</f>
        <v>0.72074141238867273</v>
      </c>
      <c r="F9" s="12" t="s">
        <v>13</v>
      </c>
      <c r="G9" s="85">
        <v>0.02</v>
      </c>
      <c r="H9" s="25"/>
      <c r="I9" s="25"/>
      <c r="J9" s="25"/>
      <c r="K9" s="24">
        <f>+G9*(K6+K7)</f>
        <v>912.78110000000015</v>
      </c>
      <c r="N9" s="47"/>
    </row>
    <row r="10" spans="2:15" ht="15" thickBot="1" x14ac:dyDescent="0.4">
      <c r="B10" t="s">
        <v>58</v>
      </c>
      <c r="C10" s="105">
        <f>SUM(C8:C9)</f>
        <v>46551.836100000008</v>
      </c>
      <c r="D10" s="109">
        <f>+C10/$C$10</f>
        <v>1</v>
      </c>
      <c r="F10" s="16" t="s">
        <v>59</v>
      </c>
      <c r="H10" s="25"/>
      <c r="I10" s="25"/>
      <c r="J10" s="25"/>
      <c r="K10" s="105">
        <f>SUM(K8:K9)</f>
        <v>46551.836100000008</v>
      </c>
      <c r="M10" t="s">
        <v>319</v>
      </c>
      <c r="N10" s="28">
        <v>8.5</v>
      </c>
      <c r="O10" t="s">
        <v>117</v>
      </c>
    </row>
    <row r="11" spans="2:15" ht="15" customHeight="1" thickTop="1" x14ac:dyDescent="0.35">
      <c r="M11" t="s">
        <v>320</v>
      </c>
      <c r="N11" s="28">
        <v>13.8</v>
      </c>
      <c r="O11" t="s">
        <v>117</v>
      </c>
    </row>
    <row r="12" spans="2:15" x14ac:dyDescent="0.35">
      <c r="B12" s="4" t="s">
        <v>325</v>
      </c>
      <c r="C12" s="4"/>
      <c r="D12" s="4"/>
      <c r="E12" s="4"/>
      <c r="G12" s="4" t="s">
        <v>328</v>
      </c>
      <c r="H12" s="4"/>
      <c r="I12" s="4"/>
      <c r="J12" s="4"/>
      <c r="K12" s="4"/>
      <c r="M12" t="s">
        <v>322</v>
      </c>
      <c r="N12" s="28">
        <v>10.8</v>
      </c>
      <c r="O12" t="s">
        <v>321</v>
      </c>
    </row>
    <row r="13" spans="2:15" ht="29" x14ac:dyDescent="0.35">
      <c r="B13" s="102" t="s">
        <v>299</v>
      </c>
      <c r="C13" s="104" t="s">
        <v>305</v>
      </c>
      <c r="D13" s="104" t="s">
        <v>302</v>
      </c>
      <c r="E13" s="104" t="s">
        <v>303</v>
      </c>
      <c r="G13" s="96" t="s">
        <v>294</v>
      </c>
      <c r="H13" s="97"/>
      <c r="I13" s="22" t="s">
        <v>119</v>
      </c>
      <c r="J13" s="22" t="s">
        <v>311</v>
      </c>
      <c r="K13" s="22" t="s">
        <v>118</v>
      </c>
      <c r="M13" t="s">
        <v>323</v>
      </c>
      <c r="N13" s="28">
        <v>30</v>
      </c>
      <c r="O13" t="s">
        <v>117</v>
      </c>
    </row>
    <row r="14" spans="2:15" x14ac:dyDescent="0.35">
      <c r="B14" s="8" t="s">
        <v>306</v>
      </c>
      <c r="C14" s="29">
        <f>+C9-C16</f>
        <v>12551.836100000008</v>
      </c>
      <c r="D14" s="24">
        <f>+C7+C6</f>
        <v>13000</v>
      </c>
      <c r="E14" s="24">
        <f>+C14+C7+C6</f>
        <v>25551.836100000008</v>
      </c>
      <c r="G14" s="98" t="str">
        <f>+B6</f>
        <v>Bank Loan</v>
      </c>
      <c r="H14" s="99"/>
      <c r="I14" s="127">
        <f>+C6/K14</f>
        <v>6.1138895342438957</v>
      </c>
      <c r="J14" s="110"/>
      <c r="K14" s="126">
        <f>('INCOME YAHOO'!B12+'CASH FLOW YAHOO'!B6)/1000000</f>
        <v>817.81</v>
      </c>
      <c r="M14" t="s">
        <v>324</v>
      </c>
      <c r="N14" s="28">
        <v>2</v>
      </c>
      <c r="O14" t="s">
        <v>321</v>
      </c>
    </row>
    <row r="15" spans="2:15" x14ac:dyDescent="0.35">
      <c r="E15" s="47"/>
      <c r="G15" s="100" t="str">
        <f>+B7</f>
        <v>Corporate Bond</v>
      </c>
      <c r="H15" s="25"/>
      <c r="I15" s="128">
        <f>+C7/K14</f>
        <v>9.7822232547902335</v>
      </c>
      <c r="J15" s="111"/>
      <c r="K15" s="22" t="s">
        <v>326</v>
      </c>
    </row>
    <row r="16" spans="2:15" ht="15" thickBot="1" x14ac:dyDescent="0.4">
      <c r="B16" s="8" t="s">
        <v>298</v>
      </c>
      <c r="C16" s="24">
        <v>21000</v>
      </c>
      <c r="G16" s="101" t="s">
        <v>59</v>
      </c>
      <c r="H16" s="95"/>
      <c r="I16" s="129">
        <f>+I15+I14</f>
        <v>15.896112789034129</v>
      </c>
      <c r="J16" s="112">
        <f>+(C6+C7-K16)/K14</f>
        <v>8.078059696017414</v>
      </c>
      <c r="K16" s="126">
        <f>+'BALANCE SHEET YAHOO'!B4/1000000</f>
        <v>6393.6819999999998</v>
      </c>
    </row>
    <row r="17" spans="2:11" ht="15.5" thickTop="1" thickBot="1" x14ac:dyDescent="0.4">
      <c r="B17" s="8" t="s">
        <v>300</v>
      </c>
      <c r="C17" s="105">
        <f>SUM(C14:C16)</f>
        <v>33551.836100000008</v>
      </c>
      <c r="D17" t="s">
        <v>7</v>
      </c>
    </row>
    <row r="18" spans="2:11" ht="15" thickTop="1" x14ac:dyDescent="0.35">
      <c r="C18" s="47"/>
    </row>
    <row r="19" spans="2:11" x14ac:dyDescent="0.35">
      <c r="B19" s="4" t="s">
        <v>329</v>
      </c>
      <c r="C19" s="4"/>
      <c r="D19" s="4"/>
      <c r="E19" s="4"/>
      <c r="F19" s="4"/>
    </row>
    <row r="20" spans="2:11" ht="43.5" x14ac:dyDescent="0.35">
      <c r="B20" s="106" t="s">
        <v>307</v>
      </c>
      <c r="C20" s="107" t="s">
        <v>308</v>
      </c>
      <c r="D20" s="107" t="s">
        <v>309</v>
      </c>
      <c r="E20" s="22" t="s">
        <v>305</v>
      </c>
      <c r="F20" s="22" t="s">
        <v>310</v>
      </c>
    </row>
    <row r="21" spans="2:11" x14ac:dyDescent="0.35">
      <c r="B21" s="17">
        <v>900</v>
      </c>
      <c r="C21" s="108">
        <f>+D21/B21</f>
        <v>37.222222222222221</v>
      </c>
      <c r="D21" s="33">
        <v>33500</v>
      </c>
      <c r="E21" s="24">
        <f>+C14</f>
        <v>12551.836100000008</v>
      </c>
      <c r="F21" s="10">
        <f>+(D21-E21)/(D21+E21)</f>
        <v>0.45488227341276388</v>
      </c>
    </row>
    <row r="23" spans="2:11" x14ac:dyDescent="0.35">
      <c r="B23" s="118">
        <v>854</v>
      </c>
      <c r="C23" s="119">
        <f>+C21</f>
        <v>37.222222222222221</v>
      </c>
      <c r="D23" s="120">
        <f>+C23*B23</f>
        <v>31787.777777777777</v>
      </c>
      <c r="E23" s="121">
        <f>+E21</f>
        <v>12551.836100000008</v>
      </c>
      <c r="F23" s="122">
        <f>+(D23-E23)/(D23+E23)</f>
        <v>0.43383196188405415</v>
      </c>
      <c r="G23" t="s">
        <v>316</v>
      </c>
    </row>
    <row r="25" spans="2:11" x14ac:dyDescent="0.35">
      <c r="B25" s="6" t="s">
        <v>14</v>
      </c>
      <c r="C25" s="6"/>
      <c r="D25" s="6"/>
      <c r="E25" s="6"/>
      <c r="F25" s="6"/>
      <c r="G25" s="6"/>
      <c r="H25" s="6"/>
      <c r="I25" s="6"/>
      <c r="J25" s="6"/>
      <c r="K25" s="6"/>
    </row>
    <row r="26" spans="2:11" s="14" customFormat="1" ht="21" customHeight="1" x14ac:dyDescent="0.35">
      <c r="B26" s="19" t="s">
        <v>63</v>
      </c>
      <c r="C26" s="19">
        <v>2021</v>
      </c>
      <c r="D26" s="19">
        <f>+C26+1</f>
        <v>2022</v>
      </c>
      <c r="E26" s="19">
        <f t="shared" ref="E26:K26" si="0">+D26+1</f>
        <v>2023</v>
      </c>
      <c r="F26" s="19">
        <f t="shared" si="0"/>
        <v>2024</v>
      </c>
      <c r="G26" s="19">
        <f t="shared" si="0"/>
        <v>2025</v>
      </c>
      <c r="H26" s="19">
        <f t="shared" si="0"/>
        <v>2026</v>
      </c>
      <c r="I26" s="19">
        <f t="shared" si="0"/>
        <v>2027</v>
      </c>
      <c r="J26" s="19">
        <f t="shared" si="0"/>
        <v>2028</v>
      </c>
      <c r="K26" s="19">
        <f t="shared" si="0"/>
        <v>2029</v>
      </c>
    </row>
    <row r="27" spans="2:11" x14ac:dyDescent="0.35">
      <c r="B27" s="2" t="s">
        <v>5</v>
      </c>
      <c r="C27" s="124" t="s">
        <v>318</v>
      </c>
    </row>
    <row r="28" spans="2:11" x14ac:dyDescent="0.35">
      <c r="B28" t="s">
        <v>15</v>
      </c>
      <c r="C28" s="24">
        <f>+C6</f>
        <v>5000</v>
      </c>
      <c r="D28" s="34">
        <f>+C28-D29</f>
        <v>4950</v>
      </c>
      <c r="E28" s="34">
        <f t="shared" ref="E28:J28" si="1">+D28-E29</f>
        <v>4900</v>
      </c>
      <c r="F28" s="34">
        <f t="shared" si="1"/>
        <v>4850</v>
      </c>
      <c r="G28" s="34">
        <f t="shared" si="1"/>
        <v>4800</v>
      </c>
      <c r="H28" s="34">
        <f t="shared" si="1"/>
        <v>4750</v>
      </c>
      <c r="I28" s="34">
        <f t="shared" si="1"/>
        <v>4700</v>
      </c>
      <c r="J28" s="34">
        <f t="shared" si="1"/>
        <v>0</v>
      </c>
      <c r="K28" s="8"/>
    </row>
    <row r="29" spans="2:11" x14ac:dyDescent="0.35">
      <c r="B29" t="s">
        <v>16</v>
      </c>
      <c r="C29" s="25"/>
      <c r="D29" s="70">
        <f>0.01*$C$28</f>
        <v>50</v>
      </c>
      <c r="E29" s="70">
        <f t="shared" ref="E29:I29" si="2">0.01*$C$28</f>
        <v>50</v>
      </c>
      <c r="F29" s="70">
        <f t="shared" si="2"/>
        <v>50</v>
      </c>
      <c r="G29" s="70">
        <f t="shared" si="2"/>
        <v>50</v>
      </c>
      <c r="H29" s="70">
        <f t="shared" si="2"/>
        <v>50</v>
      </c>
      <c r="I29" s="70">
        <f t="shared" si="2"/>
        <v>50</v>
      </c>
      <c r="J29" s="70">
        <f>0.94*C28</f>
        <v>4700</v>
      </c>
      <c r="K29" s="8"/>
    </row>
    <row r="30" spans="2:11" x14ac:dyDescent="0.35">
      <c r="B30" t="s">
        <v>17</v>
      </c>
      <c r="C30" s="25"/>
      <c r="D30" s="33">
        <f>+C28*D37</f>
        <v>275</v>
      </c>
      <c r="E30" s="33">
        <f t="shared" ref="E30:K30" si="3">+D28*E37</f>
        <v>297</v>
      </c>
      <c r="F30" s="33">
        <f t="shared" si="3"/>
        <v>343.00000000000006</v>
      </c>
      <c r="G30" s="33">
        <f t="shared" si="3"/>
        <v>339.50000000000006</v>
      </c>
      <c r="H30" s="33">
        <f t="shared" si="3"/>
        <v>336.00000000000006</v>
      </c>
      <c r="I30" s="33">
        <f t="shared" si="3"/>
        <v>332.50000000000006</v>
      </c>
      <c r="J30" s="33">
        <f t="shared" si="3"/>
        <v>329.00000000000006</v>
      </c>
      <c r="K30" s="33">
        <f t="shared" si="3"/>
        <v>0</v>
      </c>
    </row>
    <row r="31" spans="2:11" x14ac:dyDescent="0.35">
      <c r="B31" t="s">
        <v>18</v>
      </c>
      <c r="C31" s="47">
        <f>-C28</f>
        <v>-5000</v>
      </c>
      <c r="D31" s="34">
        <f>+D30+D29</f>
        <v>325</v>
      </c>
      <c r="E31" s="34">
        <f t="shared" ref="E31:K31" si="4">+E30+E29</f>
        <v>347</v>
      </c>
      <c r="F31" s="34">
        <f t="shared" si="4"/>
        <v>393.00000000000006</v>
      </c>
      <c r="G31" s="34">
        <f t="shared" si="4"/>
        <v>389.50000000000006</v>
      </c>
      <c r="H31" s="34">
        <f t="shared" si="4"/>
        <v>386.00000000000006</v>
      </c>
      <c r="I31" s="34">
        <f t="shared" si="4"/>
        <v>382.50000000000006</v>
      </c>
      <c r="J31" s="34">
        <f t="shared" si="4"/>
        <v>5029</v>
      </c>
      <c r="K31" s="34">
        <f t="shared" si="4"/>
        <v>0</v>
      </c>
    </row>
    <row r="32" spans="2:11" x14ac:dyDescent="0.35">
      <c r="B32" t="s">
        <v>185</v>
      </c>
      <c r="C32" s="48">
        <f>IRR(C31:J31)</f>
        <v>6.5716223695467368E-2</v>
      </c>
    </row>
    <row r="34" spans="2:11" x14ac:dyDescent="0.35">
      <c r="B34" s="1" t="s">
        <v>19</v>
      </c>
      <c r="C34" s="87">
        <v>0.01</v>
      </c>
      <c r="D34" s="39">
        <f>+C34+D35</f>
        <v>1.4999999999999999E-2</v>
      </c>
      <c r="E34" s="39">
        <f t="shared" ref="E34:K34" si="5">+D34+E35</f>
        <v>0.02</v>
      </c>
      <c r="F34" s="39">
        <f t="shared" si="5"/>
        <v>0.03</v>
      </c>
      <c r="G34" s="39">
        <f t="shared" si="5"/>
        <v>0.03</v>
      </c>
      <c r="H34" s="39">
        <f t="shared" si="5"/>
        <v>0.03</v>
      </c>
      <c r="I34" s="39">
        <f t="shared" si="5"/>
        <v>0.03</v>
      </c>
      <c r="J34" s="39">
        <f t="shared" si="5"/>
        <v>0.03</v>
      </c>
      <c r="K34" s="39">
        <f t="shared" si="5"/>
        <v>0.03</v>
      </c>
    </row>
    <row r="35" spans="2:11" x14ac:dyDescent="0.35">
      <c r="B35" t="s">
        <v>20</v>
      </c>
      <c r="C35" s="35"/>
      <c r="D35" s="80">
        <v>5.0000000000000001E-3</v>
      </c>
      <c r="E35" s="80">
        <v>5.0000000000000001E-3</v>
      </c>
      <c r="F35" s="80">
        <v>0.01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</row>
    <row r="36" spans="2:11" x14ac:dyDescent="0.35">
      <c r="B36" t="s">
        <v>21</v>
      </c>
      <c r="C36" s="35"/>
      <c r="D36" s="80">
        <v>0.04</v>
      </c>
      <c r="E36" s="80">
        <v>0.04</v>
      </c>
      <c r="F36" s="80">
        <v>0.04</v>
      </c>
      <c r="G36" s="80">
        <v>0.04</v>
      </c>
      <c r="H36" s="80">
        <v>0.04</v>
      </c>
      <c r="I36" s="80">
        <v>0.04</v>
      </c>
      <c r="J36" s="80">
        <v>0.04</v>
      </c>
      <c r="K36" s="80">
        <v>0.04</v>
      </c>
    </row>
    <row r="37" spans="2:11" x14ac:dyDescent="0.35">
      <c r="B37" t="s">
        <v>22</v>
      </c>
      <c r="C37" s="35"/>
      <c r="D37" s="10">
        <f>+D36+D34</f>
        <v>5.5E-2</v>
      </c>
      <c r="E37" s="10">
        <f t="shared" ref="E37:K37" si="6">+E36+E34</f>
        <v>0.06</v>
      </c>
      <c r="F37" s="10">
        <f t="shared" si="6"/>
        <v>7.0000000000000007E-2</v>
      </c>
      <c r="G37" s="10">
        <f t="shared" si="6"/>
        <v>7.0000000000000007E-2</v>
      </c>
      <c r="H37" s="10">
        <f t="shared" si="6"/>
        <v>7.0000000000000007E-2</v>
      </c>
      <c r="I37" s="10">
        <f t="shared" si="6"/>
        <v>7.0000000000000007E-2</v>
      </c>
      <c r="J37" s="10">
        <f t="shared" si="6"/>
        <v>7.0000000000000007E-2</v>
      </c>
      <c r="K37" s="10">
        <f t="shared" si="6"/>
        <v>7.0000000000000007E-2</v>
      </c>
    </row>
    <row r="39" spans="2:11" x14ac:dyDescent="0.35">
      <c r="B39" s="2" t="s">
        <v>23</v>
      </c>
      <c r="C39" s="123" t="s">
        <v>317</v>
      </c>
    </row>
    <row r="40" spans="2:11" x14ac:dyDescent="0.35">
      <c r="B40" t="s">
        <v>15</v>
      </c>
      <c r="C40" s="24">
        <f>+C7</f>
        <v>8000</v>
      </c>
      <c r="D40" s="34">
        <f>+C40-D41</f>
        <v>8000</v>
      </c>
      <c r="E40" s="34">
        <f t="shared" ref="E40" si="7">+D40-E41</f>
        <v>8000</v>
      </c>
      <c r="F40" s="34">
        <f t="shared" ref="F40" si="8">+E40-F41</f>
        <v>8000</v>
      </c>
      <c r="G40" s="34">
        <f t="shared" ref="G40" si="9">+F40-G41</f>
        <v>8000</v>
      </c>
      <c r="H40" s="34">
        <f t="shared" ref="H40" si="10">+G40-H41</f>
        <v>8000</v>
      </c>
      <c r="I40" s="34">
        <f t="shared" ref="I40" si="11">+H40-I41</f>
        <v>8000</v>
      </c>
      <c r="J40" s="34">
        <f t="shared" ref="J40" si="12">+I40-J41</f>
        <v>8000</v>
      </c>
      <c r="K40" s="8"/>
    </row>
    <row r="41" spans="2:11" x14ac:dyDescent="0.35">
      <c r="B41" t="s">
        <v>16</v>
      </c>
      <c r="C41" s="25"/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84">
        <f>+C40</f>
        <v>8000</v>
      </c>
    </row>
    <row r="42" spans="2:11" x14ac:dyDescent="0.35">
      <c r="B42" t="s">
        <v>17</v>
      </c>
      <c r="C42" s="25"/>
      <c r="D42" s="33">
        <f>+C40*D45</f>
        <v>640</v>
      </c>
      <c r="E42" s="33">
        <f t="shared" ref="E42:K42" si="13">+D40*E45</f>
        <v>640</v>
      </c>
      <c r="F42" s="33">
        <f t="shared" si="13"/>
        <v>640</v>
      </c>
      <c r="G42" s="33">
        <f t="shared" si="13"/>
        <v>640</v>
      </c>
      <c r="H42" s="33">
        <f t="shared" si="13"/>
        <v>640</v>
      </c>
      <c r="I42" s="33">
        <f t="shared" si="13"/>
        <v>640</v>
      </c>
      <c r="J42" s="33">
        <f t="shared" si="13"/>
        <v>640</v>
      </c>
      <c r="K42" s="33">
        <f t="shared" si="13"/>
        <v>640</v>
      </c>
    </row>
    <row r="43" spans="2:11" x14ac:dyDescent="0.35">
      <c r="B43" t="s">
        <v>18</v>
      </c>
      <c r="C43" s="47">
        <f>-C40</f>
        <v>-8000</v>
      </c>
      <c r="D43" s="34">
        <f>+D42+D41</f>
        <v>640</v>
      </c>
      <c r="E43" s="34">
        <f t="shared" ref="E43:K43" si="14">+E42+E41</f>
        <v>640</v>
      </c>
      <c r="F43" s="34">
        <f t="shared" si="14"/>
        <v>640</v>
      </c>
      <c r="G43" s="34">
        <f t="shared" si="14"/>
        <v>640</v>
      </c>
      <c r="H43" s="34">
        <f t="shared" si="14"/>
        <v>640</v>
      </c>
      <c r="I43" s="34">
        <f t="shared" si="14"/>
        <v>640</v>
      </c>
      <c r="J43" s="34">
        <f t="shared" si="14"/>
        <v>640</v>
      </c>
      <c r="K43" s="34">
        <f t="shared" si="14"/>
        <v>8640</v>
      </c>
    </row>
    <row r="44" spans="2:11" ht="15" thickBot="1" x14ac:dyDescent="0.4"/>
    <row r="45" spans="2:11" ht="15" thickBot="1" x14ac:dyDescent="0.4">
      <c r="B45" t="s">
        <v>22</v>
      </c>
      <c r="C45" s="86">
        <f>IRR(C43:K43)</f>
        <v>8.0000000000000071E-2</v>
      </c>
      <c r="D45" s="51">
        <v>0.08</v>
      </c>
      <c r="E45" s="13">
        <v>0.08</v>
      </c>
      <c r="F45" s="13">
        <v>0.08</v>
      </c>
      <c r="G45" s="13">
        <v>0.08</v>
      </c>
      <c r="H45" s="13">
        <v>0.08</v>
      </c>
      <c r="I45" s="13">
        <v>0.08</v>
      </c>
      <c r="J45" s="13">
        <v>0.08</v>
      </c>
      <c r="K45" s="13">
        <v>0.08</v>
      </c>
    </row>
    <row r="47" spans="2:11" x14ac:dyDescent="0.35">
      <c r="B47" t="s">
        <v>165</v>
      </c>
      <c r="C47" s="34">
        <f t="shared" ref="C47" si="15">+C40+C28</f>
        <v>13000</v>
      </c>
      <c r="D47" s="34">
        <f>+D40+D28</f>
        <v>12950</v>
      </c>
      <c r="E47" s="34">
        <f t="shared" ref="E47:K47" si="16">+E40+E28</f>
        <v>12900</v>
      </c>
      <c r="F47" s="34">
        <f t="shared" si="16"/>
        <v>12850</v>
      </c>
      <c r="G47" s="34">
        <f t="shared" si="16"/>
        <v>12800</v>
      </c>
      <c r="H47" s="34">
        <f t="shared" si="16"/>
        <v>12750</v>
      </c>
      <c r="I47" s="34">
        <f t="shared" si="16"/>
        <v>12700</v>
      </c>
      <c r="J47" s="34">
        <f t="shared" si="16"/>
        <v>8000</v>
      </c>
      <c r="K47" s="34">
        <f t="shared" si="16"/>
        <v>0</v>
      </c>
    </row>
    <row r="49" spans="2:8" x14ac:dyDescent="0.35">
      <c r="B49" s="6" t="s">
        <v>41</v>
      </c>
      <c r="C49" s="6"/>
      <c r="D49" s="6"/>
      <c r="E49" s="6"/>
      <c r="F49" s="6"/>
      <c r="G49" s="6"/>
      <c r="H49" s="6"/>
    </row>
    <row r="50" spans="2:8" x14ac:dyDescent="0.35">
      <c r="B50" s="18" t="s">
        <v>63</v>
      </c>
      <c r="C50" s="7">
        <v>2022</v>
      </c>
      <c r="E50" s="7" t="s">
        <v>42</v>
      </c>
      <c r="F50" s="7" t="s">
        <v>43</v>
      </c>
      <c r="H50" s="7">
        <v>2022</v>
      </c>
    </row>
    <row r="51" spans="2:8" x14ac:dyDescent="0.35">
      <c r="B51" t="s">
        <v>56</v>
      </c>
      <c r="C51" s="88">
        <f>+'BALANCE SHEET YAHOO'!B3/1000000</f>
        <v>7918.37</v>
      </c>
      <c r="D51" s="36"/>
      <c r="E51" s="33"/>
      <c r="F51" s="33"/>
      <c r="G51" s="36"/>
      <c r="H51" s="33">
        <f>+C51+E51-F51</f>
        <v>7918.37</v>
      </c>
    </row>
    <row r="52" spans="2:8" x14ac:dyDescent="0.35">
      <c r="B52" t="s">
        <v>44</v>
      </c>
      <c r="C52" s="88">
        <f>+'BALANCE SHEET YAHOO'!B18/1000000</f>
        <v>3277.2840000000001</v>
      </c>
      <c r="D52" s="36"/>
      <c r="E52" s="33"/>
      <c r="F52" s="33"/>
      <c r="G52" s="36"/>
      <c r="H52" s="33">
        <f>+C52+E52-F52</f>
        <v>3277.2840000000001</v>
      </c>
    </row>
    <row r="53" spans="2:8" ht="15" thickBot="1" x14ac:dyDescent="0.4">
      <c r="B53" t="s">
        <v>57</v>
      </c>
      <c r="C53" s="89">
        <f>+C57-C55-C52-C51</f>
        <v>1562.3419999999996</v>
      </c>
      <c r="D53" s="36"/>
      <c r="E53" s="33"/>
      <c r="F53" s="33"/>
      <c r="G53" s="36"/>
      <c r="H53" s="33">
        <f>+C53+E53-F53</f>
        <v>1562.3419999999996</v>
      </c>
    </row>
    <row r="54" spans="2:8" ht="15" thickTop="1" x14ac:dyDescent="0.35">
      <c r="C54" s="90"/>
      <c r="D54" s="36"/>
      <c r="E54" s="36"/>
      <c r="F54" s="36"/>
      <c r="G54" s="36"/>
      <c r="H54" s="36"/>
    </row>
    <row r="55" spans="2:8" x14ac:dyDescent="0.35">
      <c r="B55" t="s">
        <v>45</v>
      </c>
      <c r="C55" s="88">
        <f>+'BALANCE SHEET YAHOO'!B25/1000000</f>
        <v>1301.52</v>
      </c>
      <c r="D55" s="36"/>
      <c r="E55" s="33">
        <f>+K6-C66</f>
        <v>34078.837000000007</v>
      </c>
      <c r="F55" s="33"/>
      <c r="G55" s="36"/>
      <c r="H55" s="33">
        <f>+C55+E55-F55</f>
        <v>35380.357000000004</v>
      </c>
    </row>
    <row r="56" spans="2:8" x14ac:dyDescent="0.35">
      <c r="B56" t="s">
        <v>46</v>
      </c>
      <c r="C56" s="88"/>
      <c r="D56" s="36"/>
      <c r="E56" s="33">
        <f>+K9</f>
        <v>912.78110000000015</v>
      </c>
      <c r="F56" s="33"/>
      <c r="G56" s="36"/>
      <c r="H56" s="33">
        <f>+C56+E56-F56</f>
        <v>912.78110000000015</v>
      </c>
    </row>
    <row r="57" spans="2:8" ht="15" thickBot="1" x14ac:dyDescent="0.4">
      <c r="B57" t="s">
        <v>47</v>
      </c>
      <c r="C57" s="91">
        <f>+'BALANCE SHEET YAHOO'!B2/1000000</f>
        <v>14059.516</v>
      </c>
      <c r="D57" s="36"/>
      <c r="E57" s="36"/>
      <c r="F57" s="36"/>
      <c r="G57" s="36"/>
      <c r="H57" s="37">
        <f>SUM(H51:H56)</f>
        <v>49051.134100000003</v>
      </c>
    </row>
    <row r="58" spans="2:8" ht="15" thickTop="1" x14ac:dyDescent="0.35">
      <c r="C58" s="90"/>
      <c r="D58" s="36"/>
      <c r="E58" s="36"/>
      <c r="F58" s="36"/>
      <c r="G58" s="36"/>
      <c r="H58" s="36"/>
    </row>
    <row r="59" spans="2:8" x14ac:dyDescent="0.35">
      <c r="B59" t="s">
        <v>48</v>
      </c>
      <c r="C59" s="88">
        <f>'BALANCE SHEET YAHOO'!B31/1000000</f>
        <v>1343.867</v>
      </c>
      <c r="D59" s="36"/>
      <c r="E59" s="33"/>
      <c r="F59" s="33"/>
      <c r="G59" s="36"/>
      <c r="H59" s="33">
        <f>+C59-E59+F59</f>
        <v>1343.867</v>
      </c>
    </row>
    <row r="60" spans="2:8" x14ac:dyDescent="0.35">
      <c r="B60" t="s">
        <v>49</v>
      </c>
      <c r="C60" s="88">
        <f>+'BALANCE SHEET YAHOO'!B46/1000000</f>
        <v>4253.0190000000002</v>
      </c>
      <c r="D60" s="36"/>
      <c r="E60" s="33">
        <f>+K7</f>
        <v>4253.0190000000002</v>
      </c>
      <c r="F60" s="33"/>
      <c r="G60" s="36"/>
      <c r="H60" s="33">
        <f t="shared" ref="H60:H63" si="17">+C60-E60+F60</f>
        <v>0</v>
      </c>
    </row>
    <row r="61" spans="2:8" x14ac:dyDescent="0.35">
      <c r="B61" t="s">
        <v>50</v>
      </c>
      <c r="C61" s="88"/>
      <c r="D61" s="36"/>
      <c r="E61" s="33"/>
      <c r="F61" s="33">
        <f>+C6</f>
        <v>5000</v>
      </c>
      <c r="G61" s="36"/>
      <c r="H61" s="33">
        <f t="shared" si="17"/>
        <v>5000</v>
      </c>
    </row>
    <row r="62" spans="2:8" x14ac:dyDescent="0.35">
      <c r="B62" t="s">
        <v>51</v>
      </c>
      <c r="C62" s="88"/>
      <c r="D62" s="36"/>
      <c r="E62" s="33"/>
      <c r="F62" s="33">
        <f>+C7</f>
        <v>8000</v>
      </c>
      <c r="G62" s="36"/>
      <c r="H62" s="33">
        <f t="shared" si="17"/>
        <v>8000</v>
      </c>
    </row>
    <row r="63" spans="2:8" x14ac:dyDescent="0.35">
      <c r="B63" t="s">
        <v>52</v>
      </c>
      <c r="C63" s="88">
        <f>+C64-C60-C59</f>
        <v>1155.4309999999998</v>
      </c>
      <c r="D63" s="36"/>
      <c r="E63" s="33"/>
      <c r="F63" s="33"/>
      <c r="G63" s="36"/>
      <c r="H63" s="33">
        <f t="shared" si="17"/>
        <v>1155.4309999999998</v>
      </c>
    </row>
    <row r="64" spans="2:8" ht="15" thickBot="1" x14ac:dyDescent="0.4">
      <c r="B64" t="s">
        <v>53</v>
      </c>
      <c r="C64" s="91">
        <f>'BALANCE SHEET YAHOO'!B30/1000000</f>
        <v>6752.317</v>
      </c>
      <c r="D64" s="36"/>
      <c r="E64" s="36"/>
      <c r="F64" s="36"/>
      <c r="G64" s="36"/>
      <c r="H64" s="37">
        <f>SUM(H59:H63)</f>
        <v>15499.298000000001</v>
      </c>
    </row>
    <row r="65" spans="2:11" ht="15" thickTop="1" x14ac:dyDescent="0.35">
      <c r="C65" s="90"/>
      <c r="D65" s="36"/>
      <c r="E65" s="36"/>
      <c r="F65" s="36"/>
      <c r="G65" s="36"/>
      <c r="H65" s="36"/>
    </row>
    <row r="66" spans="2:11" x14ac:dyDescent="0.35">
      <c r="B66" t="s">
        <v>54</v>
      </c>
      <c r="C66" s="88">
        <f>+C57-C64</f>
        <v>7307.1989999999996</v>
      </c>
      <c r="D66" s="36"/>
      <c r="E66" s="33">
        <f>+C66</f>
        <v>7307.1989999999996</v>
      </c>
      <c r="F66" s="33">
        <f>+C9</f>
        <v>33551.836100000008</v>
      </c>
      <c r="G66" s="36"/>
      <c r="H66" s="33">
        <f>+C66-E66+F66</f>
        <v>33551.836100000008</v>
      </c>
    </row>
    <row r="67" spans="2:11" x14ac:dyDescent="0.35">
      <c r="C67" s="90"/>
      <c r="D67" s="36"/>
      <c r="E67" s="36"/>
      <c r="F67" s="36"/>
      <c r="G67" s="36"/>
      <c r="H67" s="36"/>
    </row>
    <row r="68" spans="2:11" ht="15" thickBot="1" x14ac:dyDescent="0.4">
      <c r="B68" t="s">
        <v>55</v>
      </c>
      <c r="C68" s="91">
        <f>+C66+C64</f>
        <v>14059.516</v>
      </c>
      <c r="D68" s="36"/>
      <c r="E68" s="38">
        <f>SUM(E51:E66)</f>
        <v>46551.836100000008</v>
      </c>
      <c r="F68" s="38">
        <f>SUM(F51:F66)</f>
        <v>46551.836100000008</v>
      </c>
      <c r="G68" s="36"/>
      <c r="H68" s="37">
        <f>+H66+H64</f>
        <v>49051.13410000001</v>
      </c>
    </row>
    <row r="69" spans="2:11" ht="15" thickTop="1" x14ac:dyDescent="0.35"/>
    <row r="71" spans="2:11" x14ac:dyDescent="0.35">
      <c r="B71" s="6" t="s">
        <v>24</v>
      </c>
      <c r="C71" s="125" t="s">
        <v>39</v>
      </c>
      <c r="D71" s="125"/>
      <c r="E71" s="125"/>
      <c r="G71" s="125" t="s">
        <v>40</v>
      </c>
      <c r="H71" s="125"/>
      <c r="I71" s="125"/>
      <c r="J71" s="125"/>
      <c r="K71" s="125"/>
    </row>
    <row r="72" spans="2:11" x14ac:dyDescent="0.35">
      <c r="B72" s="4" t="s">
        <v>268</v>
      </c>
      <c r="C72" s="4">
        <v>2019</v>
      </c>
      <c r="D72" s="4">
        <v>2020</v>
      </c>
      <c r="E72" s="114">
        <v>2021</v>
      </c>
      <c r="G72" s="4">
        <v>2022</v>
      </c>
      <c r="H72" s="4">
        <f>+G72+1</f>
        <v>2023</v>
      </c>
      <c r="I72" s="4">
        <f>+H72+1</f>
        <v>2024</v>
      </c>
      <c r="J72" s="4">
        <f>+I72+1</f>
        <v>2025</v>
      </c>
      <c r="K72" s="4">
        <f>+J72+1</f>
        <v>2026</v>
      </c>
    </row>
    <row r="73" spans="2:11" x14ac:dyDescent="0.35">
      <c r="B73" t="s">
        <v>25</v>
      </c>
      <c r="C73" s="88">
        <f>+'INCOME YAHOO'!E2/1000000</f>
        <v>3459.3290000000002</v>
      </c>
      <c r="D73" s="88">
        <f>+'INCOME YAHOO'!D2/1000000</f>
        <v>3716.3490000000002</v>
      </c>
      <c r="E73" s="88">
        <f>+'INCOME YAHOO'!C2/1000000</f>
        <v>5077.482</v>
      </c>
      <c r="F73" s="36"/>
      <c r="G73" s="33">
        <f>+E73*(1+G74)</f>
        <v>6092.9784</v>
      </c>
      <c r="H73" s="33">
        <f>+G73*(1+H74)</f>
        <v>7616.223</v>
      </c>
      <c r="I73" s="33">
        <f t="shared" ref="I73:K73" si="18">+H73*(1+I74)</f>
        <v>9139.4675999999999</v>
      </c>
      <c r="J73" s="33">
        <f t="shared" si="18"/>
        <v>10510.387739999998</v>
      </c>
      <c r="K73" s="33">
        <f t="shared" si="18"/>
        <v>12086.945900999997</v>
      </c>
    </row>
    <row r="74" spans="2:11" x14ac:dyDescent="0.35">
      <c r="B74" t="s">
        <v>26</v>
      </c>
      <c r="C74" s="35"/>
      <c r="D74" s="10">
        <f>+D73/C73-1</f>
        <v>7.4297645583869087E-2</v>
      </c>
      <c r="E74" s="10">
        <f>+E73/D73-1</f>
        <v>0.36625542972417269</v>
      </c>
      <c r="F74" s="11"/>
      <c r="G74" s="80">
        <v>0.2</v>
      </c>
      <c r="H74" s="80">
        <v>0.25</v>
      </c>
      <c r="I74" s="80">
        <v>0.2</v>
      </c>
      <c r="J74" s="80">
        <v>0.15</v>
      </c>
      <c r="K74" s="80">
        <v>0.15</v>
      </c>
    </row>
    <row r="76" spans="2:11" x14ac:dyDescent="0.35">
      <c r="B76" t="s">
        <v>27</v>
      </c>
      <c r="C76" s="88">
        <f>+'INCOME YAHOO'!E4/1000000</f>
        <v>1137.0409999999999</v>
      </c>
      <c r="D76" s="88">
        <f>+'INCOME YAHOO'!D4/1000000</f>
        <v>1366.3879999999999</v>
      </c>
      <c r="E76" s="88">
        <f>+'INCOME YAHOO'!C4/1000000</f>
        <v>1797.51</v>
      </c>
      <c r="G76" s="33">
        <f>+G73*G77</f>
        <v>1949.7530879999999</v>
      </c>
      <c r="H76" s="33">
        <f t="shared" ref="H76:K76" si="19">+H73*H77</f>
        <v>2437.1913600000003</v>
      </c>
      <c r="I76" s="33">
        <f t="shared" si="19"/>
        <v>2924.6296320000001</v>
      </c>
      <c r="J76" s="33">
        <f t="shared" si="19"/>
        <v>3363.3240767999996</v>
      </c>
      <c r="K76" s="33">
        <f t="shared" si="19"/>
        <v>3867.8226883199991</v>
      </c>
    </row>
    <row r="77" spans="2:11" x14ac:dyDescent="0.35">
      <c r="B77" t="s">
        <v>31</v>
      </c>
      <c r="C77" s="10">
        <f>+C76/C73</f>
        <v>0.32868830920678543</v>
      </c>
      <c r="D77" s="10">
        <f t="shared" ref="D77:E77" si="20">+D76/D73</f>
        <v>0.36766945192714673</v>
      </c>
      <c r="E77" s="10">
        <f t="shared" si="20"/>
        <v>0.35401602605385896</v>
      </c>
      <c r="F77" s="11"/>
      <c r="G77" s="80">
        <v>0.32</v>
      </c>
      <c r="H77" s="80">
        <f>+G77</f>
        <v>0.32</v>
      </c>
      <c r="I77" s="80">
        <f t="shared" ref="I77:K77" si="21">+H77</f>
        <v>0.32</v>
      </c>
      <c r="J77" s="80">
        <f t="shared" si="21"/>
        <v>0.32</v>
      </c>
      <c r="K77" s="80">
        <f t="shared" si="21"/>
        <v>0.32</v>
      </c>
    </row>
    <row r="79" spans="2:11" x14ac:dyDescent="0.35">
      <c r="B79" t="s">
        <v>28</v>
      </c>
      <c r="C79" s="34">
        <f>+C73-C76</f>
        <v>2322.2880000000005</v>
      </c>
      <c r="D79" s="34">
        <f t="shared" ref="D79:E79" si="22">+D73-D76</f>
        <v>2349.9610000000002</v>
      </c>
      <c r="E79" s="34">
        <f t="shared" si="22"/>
        <v>3279.9719999999998</v>
      </c>
      <c r="G79" s="34">
        <f>+G73-G76</f>
        <v>4143.2253120000005</v>
      </c>
      <c r="H79" s="34">
        <f t="shared" ref="H79:K79" si="23">+H73-H76</f>
        <v>5179.0316399999992</v>
      </c>
      <c r="I79" s="34">
        <f t="shared" si="23"/>
        <v>6214.8379679999998</v>
      </c>
      <c r="J79" s="34">
        <f t="shared" si="23"/>
        <v>7147.0636631999987</v>
      </c>
      <c r="K79" s="34">
        <f t="shared" si="23"/>
        <v>8219.1232126799987</v>
      </c>
    </row>
    <row r="80" spans="2:11" x14ac:dyDescent="0.35">
      <c r="B80" t="s">
        <v>29</v>
      </c>
      <c r="C80" s="10">
        <f>+C79/C73</f>
        <v>0.67131169079321462</v>
      </c>
      <c r="D80" s="10">
        <f t="shared" ref="D80:E80" si="24">+D79/D73</f>
        <v>0.63233054807285327</v>
      </c>
      <c r="E80" s="10">
        <f t="shared" si="24"/>
        <v>0.64598397394614093</v>
      </c>
      <c r="G80" s="10">
        <f>+G79/G73</f>
        <v>0.68</v>
      </c>
      <c r="H80" s="10">
        <f t="shared" ref="H80:K80" si="25">+H79/H73</f>
        <v>0.67999999999999994</v>
      </c>
      <c r="I80" s="10">
        <f t="shared" si="25"/>
        <v>0.67999999999999994</v>
      </c>
      <c r="J80" s="10">
        <f t="shared" si="25"/>
        <v>0.67999999999999994</v>
      </c>
      <c r="K80" s="10">
        <f t="shared" si="25"/>
        <v>0.68</v>
      </c>
    </row>
    <row r="82" spans="2:11" x14ac:dyDescent="0.35">
      <c r="B82" t="s">
        <v>30</v>
      </c>
      <c r="C82" s="88">
        <f>+'INCOME YAHOO'!E6/1000000</f>
        <v>1955.915</v>
      </c>
      <c r="D82" s="88">
        <f>+'INCOME YAHOO'!D6/1000000</f>
        <v>2323.3029999999999</v>
      </c>
      <c r="E82" s="88">
        <f>+'INCOME YAHOO'!C6/1000000</f>
        <v>3007.01</v>
      </c>
      <c r="G82" s="33">
        <f>+G83*G73</f>
        <v>3046.4892</v>
      </c>
      <c r="H82" s="33">
        <f t="shared" ref="H82:K82" si="26">+H83*H73</f>
        <v>3808.1115</v>
      </c>
      <c r="I82" s="33">
        <f t="shared" si="26"/>
        <v>4569.7338</v>
      </c>
      <c r="J82" s="33">
        <f t="shared" si="26"/>
        <v>5255.1938699999992</v>
      </c>
      <c r="K82" s="33">
        <f t="shared" si="26"/>
        <v>6043.4729504999987</v>
      </c>
    </row>
    <row r="83" spans="2:11" x14ac:dyDescent="0.35">
      <c r="B83" t="s">
        <v>31</v>
      </c>
      <c r="C83" s="10">
        <f>+C82/C73</f>
        <v>0.56540300156475432</v>
      </c>
      <c r="D83" s="10">
        <f t="shared" ref="D83:E83" si="27">+D82/D73</f>
        <v>0.6251573789221625</v>
      </c>
      <c r="E83" s="10">
        <f t="shared" si="27"/>
        <v>0.59222464993475121</v>
      </c>
      <c r="F83" s="11"/>
      <c r="G83" s="80">
        <v>0.5</v>
      </c>
      <c r="H83" s="80">
        <f>+G83</f>
        <v>0.5</v>
      </c>
      <c r="I83" s="80">
        <f t="shared" ref="I83:K83" si="28">+H83</f>
        <v>0.5</v>
      </c>
      <c r="J83" s="80">
        <f t="shared" si="28"/>
        <v>0.5</v>
      </c>
      <c r="K83" s="80">
        <f t="shared" si="28"/>
        <v>0.5</v>
      </c>
    </row>
    <row r="85" spans="2:11" x14ac:dyDescent="0.35">
      <c r="B85" t="s">
        <v>34</v>
      </c>
      <c r="C85" s="34">
        <f t="shared" ref="C85:D85" si="29">+C79-C82</f>
        <v>366.3730000000005</v>
      </c>
      <c r="D85" s="34">
        <f t="shared" si="29"/>
        <v>26.658000000000357</v>
      </c>
      <c r="E85" s="34">
        <f>+E79-E82</f>
        <v>272.96199999999953</v>
      </c>
      <c r="G85" s="34">
        <f>+G79-G82</f>
        <v>1096.7361120000005</v>
      </c>
      <c r="H85" s="34">
        <f t="shared" ref="H85:K85" si="30">+H79-H82</f>
        <v>1370.9201399999993</v>
      </c>
      <c r="I85" s="34">
        <f t="shared" si="30"/>
        <v>1645.1041679999998</v>
      </c>
      <c r="J85" s="34">
        <f t="shared" si="30"/>
        <v>1891.8697931999995</v>
      </c>
      <c r="K85" s="34">
        <f t="shared" si="30"/>
        <v>2175.65026218</v>
      </c>
    </row>
    <row r="86" spans="2:11" x14ac:dyDescent="0.35">
      <c r="B86" t="s">
        <v>33</v>
      </c>
      <c r="C86" s="76">
        <v>7</v>
      </c>
      <c r="D86" t="s">
        <v>163</v>
      </c>
      <c r="G86" s="33">
        <f>+$K$9/$C$86</f>
        <v>130.39730000000003</v>
      </c>
      <c r="H86" s="33">
        <f>+$K$9/$C$86</f>
        <v>130.39730000000003</v>
      </c>
      <c r="I86" s="33">
        <f>+$K$9/$C$86</f>
        <v>130.39730000000003</v>
      </c>
      <c r="J86" s="33">
        <f>+$K$9/$C$86</f>
        <v>130.39730000000003</v>
      </c>
      <c r="K86" s="33">
        <f>+$K$9/$C$86</f>
        <v>130.39730000000003</v>
      </c>
    </row>
    <row r="87" spans="2:11" x14ac:dyDescent="0.35">
      <c r="B87" t="s">
        <v>32</v>
      </c>
      <c r="C87" s="76"/>
      <c r="G87" s="34">
        <f>+G85-G86</f>
        <v>966.33881200000042</v>
      </c>
      <c r="H87" s="34">
        <f t="shared" ref="H87:K87" si="31">+H85-H86</f>
        <v>1240.5228399999992</v>
      </c>
      <c r="I87" s="34">
        <f t="shared" si="31"/>
        <v>1514.7068679999998</v>
      </c>
      <c r="J87" s="34">
        <f t="shared" si="31"/>
        <v>1761.4724931999995</v>
      </c>
      <c r="K87" s="34">
        <f t="shared" si="31"/>
        <v>2045.2529621799999</v>
      </c>
    </row>
    <row r="88" spans="2:11" x14ac:dyDescent="0.35">
      <c r="B88" t="s">
        <v>35</v>
      </c>
      <c r="C88" s="76"/>
      <c r="G88" s="34">
        <f>+D30+D42</f>
        <v>915</v>
      </c>
      <c r="H88" s="34">
        <f>+E30+E42</f>
        <v>937</v>
      </c>
      <c r="I88" s="34">
        <f>+F30+F42</f>
        <v>983</v>
      </c>
      <c r="J88" s="34">
        <f>+G30+G42</f>
        <v>979.5</v>
      </c>
      <c r="K88" s="34">
        <f>+H30+H42</f>
        <v>976</v>
      </c>
    </row>
    <row r="89" spans="2:11" x14ac:dyDescent="0.35">
      <c r="B89" t="s">
        <v>36</v>
      </c>
      <c r="C89" s="76"/>
      <c r="G89" s="34">
        <f>+G87-G88</f>
        <v>51.338812000000416</v>
      </c>
      <c r="H89" s="34">
        <f t="shared" ref="H89:K89" si="32">+H87-H88</f>
        <v>303.52283999999918</v>
      </c>
      <c r="I89" s="34">
        <f t="shared" si="32"/>
        <v>531.70686799999976</v>
      </c>
      <c r="J89" s="34">
        <f t="shared" si="32"/>
        <v>781.97249319999946</v>
      </c>
      <c r="K89" s="34">
        <f t="shared" si="32"/>
        <v>1069.2529621799999</v>
      </c>
    </row>
    <row r="90" spans="2:11" x14ac:dyDescent="0.35">
      <c r="B90" t="s">
        <v>37</v>
      </c>
      <c r="C90" s="60">
        <v>0.22</v>
      </c>
      <c r="D90" t="s">
        <v>164</v>
      </c>
      <c r="G90" s="34">
        <f>+$C$90*G89</f>
        <v>11.294538640000091</v>
      </c>
      <c r="H90" s="34">
        <f t="shared" ref="H90:K90" si="33">+$C$90*H89</f>
        <v>66.775024799999827</v>
      </c>
      <c r="I90" s="34">
        <f t="shared" si="33"/>
        <v>116.97551095999995</v>
      </c>
      <c r="J90" s="34">
        <f t="shared" si="33"/>
        <v>172.03394850399988</v>
      </c>
      <c r="K90" s="34">
        <f t="shared" si="33"/>
        <v>235.23565167959998</v>
      </c>
    </row>
    <row r="91" spans="2:11" ht="15" thickBot="1" x14ac:dyDescent="0.4">
      <c r="B91" t="s">
        <v>38</v>
      </c>
      <c r="C91" s="76"/>
      <c r="G91" s="41">
        <f>+G89-G90</f>
        <v>40.044273360000325</v>
      </c>
      <c r="H91" s="41">
        <f t="shared" ref="H91:K91" si="34">+H89-H90</f>
        <v>236.74781519999937</v>
      </c>
      <c r="I91" s="41">
        <f t="shared" si="34"/>
        <v>414.73135703999981</v>
      </c>
      <c r="J91" s="41">
        <f t="shared" si="34"/>
        <v>609.93854469599955</v>
      </c>
      <c r="K91" s="41">
        <f t="shared" si="34"/>
        <v>834.01731050039996</v>
      </c>
    </row>
    <row r="92" spans="2:11" ht="15" thickTop="1" x14ac:dyDescent="0.35"/>
    <row r="93" spans="2:11" x14ac:dyDescent="0.35">
      <c r="B93" s="6" t="s">
        <v>312</v>
      </c>
      <c r="C93" s="125"/>
      <c r="D93" s="125"/>
      <c r="E93" s="125"/>
      <c r="G93" s="125" t="s">
        <v>40</v>
      </c>
      <c r="H93" s="125"/>
      <c r="I93" s="125"/>
      <c r="J93" s="125"/>
      <c r="K93" s="125"/>
    </row>
    <row r="94" spans="2:11" x14ac:dyDescent="0.35">
      <c r="B94" s="4"/>
      <c r="C94" s="4"/>
      <c r="D94" s="40"/>
      <c r="E94" s="40">
        <f>+E100</f>
        <v>2021</v>
      </c>
      <c r="G94" s="4">
        <v>2022</v>
      </c>
      <c r="H94" s="4">
        <f>+G94+1</f>
        <v>2023</v>
      </c>
      <c r="I94" s="4">
        <f>+H94+1</f>
        <v>2024</v>
      </c>
      <c r="J94" s="4">
        <f>+I94+1</f>
        <v>2025</v>
      </c>
      <c r="K94" s="4">
        <f>+J94+1</f>
        <v>2026</v>
      </c>
    </row>
    <row r="95" spans="2:11" x14ac:dyDescent="0.35">
      <c r="B95" t="s">
        <v>313</v>
      </c>
      <c r="E95" s="116">
        <f>+C28/K14</f>
        <v>6.1138895342438957</v>
      </c>
      <c r="F95" s="117"/>
      <c r="G95" s="116">
        <f>D28/(G$101+G$105)</f>
        <v>4.3698687378659482</v>
      </c>
      <c r="H95" s="116">
        <f t="shared" ref="H95:K95" si="35">E28/(H$101+H$105)</f>
        <v>3.3827029717476944</v>
      </c>
      <c r="I95" s="116">
        <f t="shared" si="35"/>
        <v>2.7489120672732015</v>
      </c>
      <c r="J95" s="116">
        <f t="shared" si="35"/>
        <v>2.3431274882320241</v>
      </c>
      <c r="K95" s="116">
        <f t="shared" si="35"/>
        <v>1.999675577568558</v>
      </c>
    </row>
    <row r="96" spans="2:11" x14ac:dyDescent="0.35">
      <c r="B96" t="s">
        <v>315</v>
      </c>
      <c r="E96" s="116">
        <f>+D14/K14</f>
        <v>15.896112789034129</v>
      </c>
      <c r="F96" s="117"/>
      <c r="G96" s="116">
        <f>D47/(G$101+G$105)</f>
        <v>11.432282859669501</v>
      </c>
      <c r="H96" s="116">
        <f t="shared" ref="H96:K96" si="36">E47/(H$101+H$105)</f>
        <v>8.9054833337847459</v>
      </c>
      <c r="I96" s="116">
        <f t="shared" si="36"/>
        <v>7.2832000132908536</v>
      </c>
      <c r="J96" s="116">
        <f t="shared" si="36"/>
        <v>6.2483399686187306</v>
      </c>
      <c r="K96" s="116">
        <f t="shared" si="36"/>
        <v>5.3675502345261288</v>
      </c>
    </row>
    <row r="97" spans="2:11" x14ac:dyDescent="0.35">
      <c r="B97" t="s">
        <v>314</v>
      </c>
      <c r="E97" s="116">
        <f>(D14-K16)/K14</f>
        <v>8.078059696017414</v>
      </c>
      <c r="F97" s="117"/>
      <c r="G97" s="116">
        <f>(D47-$K$16)/(G$101+G$105)</f>
        <v>5.7879291037793532</v>
      </c>
      <c r="H97" s="116">
        <f>(E47-$K$16)/(H$101+H$105)</f>
        <v>4.4916206599460233</v>
      </c>
      <c r="I97" s="116">
        <f>(F47-$K$16)/(I$101+I$105)</f>
        <v>3.6593506103820999</v>
      </c>
      <c r="J97" s="116">
        <f>(G47-$K$16)/(J$101+J$105)</f>
        <v>3.1272541258657509</v>
      </c>
      <c r="K97" s="116">
        <f>(H47-$K$16)/(K$101+K$105)</f>
        <v>2.6759102879704044</v>
      </c>
    </row>
    <row r="98" spans="2:11" x14ac:dyDescent="0.35">
      <c r="G98" s="113"/>
      <c r="H98" s="113"/>
      <c r="I98" s="113"/>
      <c r="J98" s="113"/>
      <c r="K98" s="113"/>
    </row>
    <row r="99" spans="2:11" x14ac:dyDescent="0.35">
      <c r="B99" s="6" t="s">
        <v>166</v>
      </c>
      <c r="C99" s="125" t="s">
        <v>39</v>
      </c>
      <c r="D99" s="125"/>
      <c r="E99" s="125"/>
      <c r="G99" s="125" t="s">
        <v>40</v>
      </c>
      <c r="H99" s="125"/>
      <c r="I99" s="125"/>
      <c r="J99" s="125"/>
      <c r="K99" s="125"/>
    </row>
    <row r="100" spans="2:11" x14ac:dyDescent="0.35">
      <c r="B100" s="4"/>
      <c r="C100" s="115">
        <f>+C72</f>
        <v>2019</v>
      </c>
      <c r="D100" s="114">
        <f>+D72</f>
        <v>2020</v>
      </c>
      <c r="E100" s="114">
        <f>+E72</f>
        <v>2021</v>
      </c>
      <c r="G100" s="4">
        <v>2022</v>
      </c>
      <c r="H100" s="4">
        <f>+G100+1</f>
        <v>2023</v>
      </c>
      <c r="I100" s="4">
        <f>+H100+1</f>
        <v>2024</v>
      </c>
      <c r="J100" s="4">
        <f>+I100+1</f>
        <v>2025</v>
      </c>
      <c r="K100" s="4">
        <f>+J100+1</f>
        <v>2026</v>
      </c>
    </row>
    <row r="101" spans="2:11" x14ac:dyDescent="0.35">
      <c r="B101" t="s">
        <v>32</v>
      </c>
      <c r="G101" s="34">
        <f>G87</f>
        <v>966.33881200000042</v>
      </c>
      <c r="H101" s="34">
        <f t="shared" ref="H101:K101" si="37">H87</f>
        <v>1240.5228399999992</v>
      </c>
      <c r="I101" s="34">
        <f t="shared" si="37"/>
        <v>1514.7068679999998</v>
      </c>
      <c r="J101" s="34">
        <f t="shared" si="37"/>
        <v>1761.4724931999995</v>
      </c>
      <c r="K101" s="34">
        <f t="shared" si="37"/>
        <v>2045.2529621799999</v>
      </c>
    </row>
    <row r="102" spans="2:11" x14ac:dyDescent="0.35">
      <c r="B102" t="s">
        <v>168</v>
      </c>
      <c r="G102" s="34">
        <f>-G101*$C$90</f>
        <v>-212.59453864000008</v>
      </c>
      <c r="H102" s="34">
        <f t="shared" ref="H102:K102" si="38">-H101*$C$90</f>
        <v>-272.9150247999998</v>
      </c>
      <c r="I102" s="34">
        <f t="shared" si="38"/>
        <v>-333.23551095999994</v>
      </c>
      <c r="J102" s="34">
        <f t="shared" si="38"/>
        <v>-387.52394850399986</v>
      </c>
      <c r="K102" s="34">
        <f t="shared" si="38"/>
        <v>-449.95565167960001</v>
      </c>
    </row>
    <row r="103" spans="2:11" ht="15" thickBot="1" x14ac:dyDescent="0.4">
      <c r="B103" t="s">
        <v>169</v>
      </c>
      <c r="G103" s="41">
        <f>+G101+G102</f>
        <v>753.74427336000031</v>
      </c>
      <c r="H103" s="41">
        <f t="shared" ref="H103:K103" si="39">+H101+H102</f>
        <v>967.60781519999932</v>
      </c>
      <c r="I103" s="41">
        <f t="shared" si="39"/>
        <v>1181.4713570399999</v>
      </c>
      <c r="J103" s="41">
        <f t="shared" si="39"/>
        <v>1373.9485446959995</v>
      </c>
      <c r="K103" s="41">
        <f t="shared" si="39"/>
        <v>1595.2973105003998</v>
      </c>
    </row>
    <row r="104" spans="2:11" ht="15" thickTop="1" x14ac:dyDescent="0.35"/>
    <row r="105" spans="2:11" x14ac:dyDescent="0.35">
      <c r="B105" t="s">
        <v>167</v>
      </c>
      <c r="C105" s="92">
        <f>+'CASH FLOW YAHOO'!B8/1000000</f>
        <v>-228.774</v>
      </c>
      <c r="D105" s="92">
        <f>+'CASH FLOW YAHOO'!C8/1000000</f>
        <v>-228.774</v>
      </c>
      <c r="E105" s="92">
        <f>+'CASH FLOW YAHOO'!D8/1000000</f>
        <v>1064.396</v>
      </c>
      <c r="G105" s="43">
        <f>G106*G73</f>
        <v>166.41832486936988</v>
      </c>
      <c r="H105" s="43">
        <f t="shared" ref="H105:K105" si="40">H106*H73</f>
        <v>208.02290608671237</v>
      </c>
      <c r="I105" s="43">
        <f t="shared" si="40"/>
        <v>249.62748730405482</v>
      </c>
      <c r="J105" s="43">
        <f t="shared" si="40"/>
        <v>287.07161039966303</v>
      </c>
      <c r="K105" s="43">
        <f t="shared" si="40"/>
        <v>330.13235195961244</v>
      </c>
    </row>
    <row r="106" spans="2:11" x14ac:dyDescent="0.35">
      <c r="B106" t="s">
        <v>179</v>
      </c>
      <c r="C106" s="10">
        <f>+C105/C73</f>
        <v>-6.613247829275562E-2</v>
      </c>
      <c r="D106" s="10">
        <f t="shared" ref="D106:E106" si="41">+D105/D73</f>
        <v>-6.1558804084331155E-2</v>
      </c>
      <c r="E106" s="10">
        <f t="shared" si="41"/>
        <v>0.2096306791437173</v>
      </c>
      <c r="G106" s="10">
        <f>AVERAGE(C106:E106)</f>
        <v>2.731313225554351E-2</v>
      </c>
      <c r="H106" s="10">
        <f>+G106</f>
        <v>2.731313225554351E-2</v>
      </c>
      <c r="I106" s="10">
        <f t="shared" ref="I106:K106" si="42">+H106</f>
        <v>2.731313225554351E-2</v>
      </c>
      <c r="J106" s="10">
        <f t="shared" si="42"/>
        <v>2.731313225554351E-2</v>
      </c>
      <c r="K106" s="10">
        <f t="shared" si="42"/>
        <v>2.731313225554351E-2</v>
      </c>
    </row>
    <row r="107" spans="2:11" x14ac:dyDescent="0.35">
      <c r="B107" t="s">
        <v>170</v>
      </c>
      <c r="G107" s="34">
        <f>G86</f>
        <v>130.39730000000003</v>
      </c>
      <c r="H107" s="34">
        <f t="shared" ref="H107:K107" si="43">H86</f>
        <v>130.39730000000003</v>
      </c>
      <c r="I107" s="34">
        <f t="shared" si="43"/>
        <v>130.39730000000003</v>
      </c>
      <c r="J107" s="34">
        <f t="shared" si="43"/>
        <v>130.39730000000003</v>
      </c>
      <c r="K107" s="34">
        <f t="shared" si="43"/>
        <v>130.39730000000003</v>
      </c>
    </row>
    <row r="108" spans="2:11" x14ac:dyDescent="0.35">
      <c r="B108" t="s">
        <v>171</v>
      </c>
      <c r="C108" s="92">
        <f>+'CASH FLOW YAHOO'!B18/1000000</f>
        <v>281.34399999999999</v>
      </c>
      <c r="D108" s="92">
        <f>+'CASH FLOW YAHOO'!C18/1000000</f>
        <v>281.34399999999999</v>
      </c>
      <c r="E108" s="92">
        <f>+'CASH FLOW YAHOO'!D18/1000000</f>
        <v>141.577</v>
      </c>
      <c r="G108" s="34">
        <f>-G109*G73</f>
        <v>0</v>
      </c>
      <c r="H108" s="34">
        <f t="shared" ref="H108:K108" si="44">-H109*H73</f>
        <v>0</v>
      </c>
      <c r="I108" s="34">
        <f t="shared" si="44"/>
        <v>0</v>
      </c>
      <c r="J108" s="34">
        <f t="shared" si="44"/>
        <v>0</v>
      </c>
      <c r="K108" s="34">
        <f t="shared" si="44"/>
        <v>0</v>
      </c>
    </row>
    <row r="109" spans="2:11" x14ac:dyDescent="0.35">
      <c r="B109" t="s">
        <v>180</v>
      </c>
      <c r="C109" s="10">
        <f>-C108/C73</f>
        <v>-8.1329066995362395E-2</v>
      </c>
      <c r="D109" s="10">
        <f t="shared" ref="D109:E109" si="45">-D108/D73</f>
        <v>-7.5704407739961982E-2</v>
      </c>
      <c r="E109" s="10">
        <f t="shared" si="45"/>
        <v>-2.7883309089032714E-2</v>
      </c>
      <c r="G109" s="78">
        <v>0</v>
      </c>
      <c r="H109" s="78">
        <v>0</v>
      </c>
      <c r="I109" s="78">
        <v>0</v>
      </c>
      <c r="J109" s="78">
        <v>0</v>
      </c>
      <c r="K109" s="78">
        <v>0</v>
      </c>
    </row>
    <row r="110" spans="2:11" x14ac:dyDescent="0.35">
      <c r="C110" s="35"/>
      <c r="D110" s="35"/>
      <c r="E110" s="35"/>
      <c r="G110" s="35"/>
      <c r="H110" s="35"/>
      <c r="I110" s="35"/>
      <c r="J110" s="35"/>
      <c r="K110" s="35"/>
    </row>
    <row r="111" spans="2:11" x14ac:dyDescent="0.35">
      <c r="B111" t="s">
        <v>172</v>
      </c>
      <c r="C111" s="92">
        <f>+'CASH FLOW YAHOO'!B35/1000000</f>
        <v>-50.064999999999998</v>
      </c>
      <c r="D111" s="92">
        <f>+'CASH FLOW YAHOO'!C35/1000000</f>
        <v>-50.064999999999998</v>
      </c>
      <c r="E111" s="92">
        <f>+'CASH FLOW YAHOO'!D35/1000000</f>
        <v>-11.05</v>
      </c>
      <c r="G111" s="34">
        <f>-G112*G73</f>
        <v>-61.174092953810288</v>
      </c>
      <c r="H111" s="79">
        <f t="shared" ref="H111:K111" si="46">-H112*H73</f>
        <v>-76.467616192262867</v>
      </c>
      <c r="I111" s="79">
        <f t="shared" si="46"/>
        <v>-91.761139430715431</v>
      </c>
      <c r="J111" s="79">
        <f t="shared" si="46"/>
        <v>-105.52531034532274</v>
      </c>
      <c r="K111" s="79">
        <f t="shared" si="46"/>
        <v>-121.35410689712113</v>
      </c>
    </row>
    <row r="112" spans="2:11" x14ac:dyDescent="0.35">
      <c r="B112" t="s">
        <v>181</v>
      </c>
      <c r="C112" s="10">
        <f>-C111/C73</f>
        <v>1.4472459832528215E-2</v>
      </c>
      <c r="D112" s="10">
        <f t="shared" ref="D112:E112" si="47">-D111/D73</f>
        <v>1.3471555012728889E-2</v>
      </c>
      <c r="E112" s="10">
        <f t="shared" si="47"/>
        <v>2.1762755633599491E-3</v>
      </c>
      <c r="G112" s="10">
        <f>AVERAGE(C112:E112)</f>
        <v>1.004009680287235E-2</v>
      </c>
      <c r="H112" s="10">
        <f>+G112</f>
        <v>1.004009680287235E-2</v>
      </c>
      <c r="I112" s="10">
        <f t="shared" ref="I112:K112" si="48">+H112</f>
        <v>1.004009680287235E-2</v>
      </c>
      <c r="J112" s="10">
        <f t="shared" si="48"/>
        <v>1.004009680287235E-2</v>
      </c>
      <c r="K112" s="10">
        <f t="shared" si="48"/>
        <v>1.004009680287235E-2</v>
      </c>
    </row>
    <row r="114" spans="2:13" x14ac:dyDescent="0.35">
      <c r="B114" s="1" t="s">
        <v>301</v>
      </c>
      <c r="C114" s="1"/>
      <c r="D114" s="1"/>
      <c r="E114" s="1"/>
      <c r="F114" s="1"/>
      <c r="G114" s="103">
        <f>-D31-D43</f>
        <v>-965</v>
      </c>
      <c r="H114" s="103">
        <f t="shared" ref="H114:K114" si="49">-E31-E43</f>
        <v>-987</v>
      </c>
      <c r="I114" s="103">
        <f t="shared" si="49"/>
        <v>-1033</v>
      </c>
      <c r="J114" s="103">
        <f t="shared" si="49"/>
        <v>-1029.5</v>
      </c>
      <c r="K114" s="103">
        <f t="shared" si="49"/>
        <v>-1026</v>
      </c>
      <c r="M114" s="45"/>
    </row>
    <row r="115" spans="2:13" x14ac:dyDescent="0.35">
      <c r="M115" s="45"/>
    </row>
    <row r="116" spans="2:13" x14ac:dyDescent="0.35">
      <c r="B116" t="s">
        <v>173</v>
      </c>
      <c r="G116" s="34">
        <f>+G103+G105+G107+G108+G111+G114</f>
        <v>24.38580527555996</v>
      </c>
      <c r="H116" s="34">
        <f t="shared" ref="H116:K116" si="50">+H103+H105+H107+H108+H111+H114</f>
        <v>242.56040509444892</v>
      </c>
      <c r="I116" s="34">
        <f t="shared" si="50"/>
        <v>436.73500491333925</v>
      </c>
      <c r="J116" s="34">
        <f t="shared" si="50"/>
        <v>656.39214475033987</v>
      </c>
      <c r="K116" s="34">
        <f t="shared" si="50"/>
        <v>908.47285556289103</v>
      </c>
    </row>
    <row r="118" spans="2:13" x14ac:dyDescent="0.35">
      <c r="B118" s="6" t="s">
        <v>186</v>
      </c>
      <c r="C118" s="56" t="s">
        <v>60</v>
      </c>
      <c r="D118" s="56" t="s">
        <v>35</v>
      </c>
      <c r="E118" s="56" t="s">
        <v>187</v>
      </c>
      <c r="F118" s="56" t="s">
        <v>188</v>
      </c>
      <c r="H118" s="6" t="s">
        <v>189</v>
      </c>
      <c r="I118" s="6"/>
      <c r="J118" s="6"/>
    </row>
    <row r="119" spans="2:13" x14ac:dyDescent="0.35">
      <c r="B119" t="str">
        <f>+B6</f>
        <v>Bank Loan</v>
      </c>
      <c r="C119" s="49">
        <f>D6</f>
        <v>0.10740714908127973</v>
      </c>
      <c r="D119" s="50">
        <f>+C32</f>
        <v>6.5716223695467368E-2</v>
      </c>
      <c r="E119" s="50">
        <f>D119*(1-C90)</f>
        <v>5.1258654482464548E-2</v>
      </c>
      <c r="F119" s="55">
        <f>+E119*C119</f>
        <v>5.5055459437038769E-3</v>
      </c>
      <c r="H119" t="s">
        <v>190</v>
      </c>
      <c r="J119" s="53">
        <v>2.5000000000000001E-2</v>
      </c>
    </row>
    <row r="120" spans="2:13" x14ac:dyDescent="0.35">
      <c r="B120" t="str">
        <f>+B7</f>
        <v>Corporate Bond</v>
      </c>
      <c r="C120" s="49">
        <f>D7</f>
        <v>0.17185143853004756</v>
      </c>
      <c r="D120" s="50">
        <f>+C45</f>
        <v>8.0000000000000071E-2</v>
      </c>
      <c r="E120" s="50">
        <f>D120*(1-C90)</f>
        <v>6.240000000000006E-2</v>
      </c>
      <c r="F120" s="55">
        <f t="shared" ref="F120:F121" si="51">+E120*C120</f>
        <v>1.0723529764274977E-2</v>
      </c>
      <c r="H120" t="s">
        <v>191</v>
      </c>
      <c r="J120" s="53">
        <v>0.05</v>
      </c>
    </row>
    <row r="121" spans="2:13" x14ac:dyDescent="0.35">
      <c r="B121" t="str">
        <f>+B9</f>
        <v>Equity*</v>
      </c>
      <c r="C121" s="49">
        <f>D9</f>
        <v>0.72074141238867273</v>
      </c>
      <c r="D121" s="50">
        <f>+J119+(J120*J121)</f>
        <v>0.10200000000000001</v>
      </c>
      <c r="E121" s="50">
        <f>+J122</f>
        <v>0.10200000000000001</v>
      </c>
      <c r="F121" s="55">
        <f t="shared" si="51"/>
        <v>7.3515624063644619E-2</v>
      </c>
      <c r="H121" t="s">
        <v>192</v>
      </c>
      <c r="J121" s="54">
        <v>1.54</v>
      </c>
    </row>
    <row r="122" spans="2:13" ht="15" thickBot="1" x14ac:dyDescent="0.4">
      <c r="F122" s="58">
        <f>SUM(F119:F121)</f>
        <v>8.9744699771623471E-2</v>
      </c>
      <c r="H122" t="s">
        <v>193</v>
      </c>
      <c r="J122" s="57">
        <f>J119+(J120*J121)</f>
        <v>0.10200000000000001</v>
      </c>
    </row>
    <row r="123" spans="2:13" ht="15" thickTop="1" x14ac:dyDescent="0.35">
      <c r="F123" s="64"/>
      <c r="J123" s="65"/>
    </row>
    <row r="124" spans="2:13" x14ac:dyDescent="0.35">
      <c r="K124" s="7">
        <f>+K100</f>
        <v>2026</v>
      </c>
    </row>
    <row r="125" spans="2:13" ht="15" thickBot="1" x14ac:dyDescent="0.4">
      <c r="B125" s="2" t="s">
        <v>174</v>
      </c>
      <c r="C125" s="6" t="s">
        <v>182</v>
      </c>
      <c r="D125" s="59"/>
      <c r="E125" s="5"/>
      <c r="F125" s="5"/>
      <c r="K125" s="63" t="s">
        <v>183</v>
      </c>
    </row>
    <row r="126" spans="2:13" ht="15" thickTop="1" x14ac:dyDescent="0.35">
      <c r="B126" t="s">
        <v>175</v>
      </c>
      <c r="D126" s="46">
        <v>30</v>
      </c>
      <c r="E126" t="s">
        <v>195</v>
      </c>
      <c r="K126" s="36">
        <f>+D126*(K85+K105)</f>
        <v>75173.478424188375</v>
      </c>
    </row>
    <row r="127" spans="2:13" x14ac:dyDescent="0.35">
      <c r="B127" t="s">
        <v>176</v>
      </c>
      <c r="C127" s="12" t="s">
        <v>184</v>
      </c>
      <c r="D127" s="50">
        <f>+F122</f>
        <v>8.9744699771623471E-2</v>
      </c>
      <c r="E127" t="s">
        <v>194</v>
      </c>
      <c r="F127" s="53">
        <f>D127*0.9</f>
        <v>8.0770229794461121E-2</v>
      </c>
      <c r="K127" s="44">
        <f>K116/(D127-F127)</f>
        <v>101228.58039245926</v>
      </c>
    </row>
    <row r="128" spans="2:13" x14ac:dyDescent="0.35">
      <c r="B128" t="s">
        <v>177</v>
      </c>
      <c r="K128" s="81">
        <f>AVERAGE(K126:K127)</f>
        <v>88201.029408323811</v>
      </c>
    </row>
    <row r="129" spans="2:11" x14ac:dyDescent="0.35">
      <c r="B129" t="s">
        <v>178</v>
      </c>
      <c r="K129" s="44">
        <f>-H47</f>
        <v>-12750</v>
      </c>
    </row>
    <row r="130" spans="2:11" x14ac:dyDescent="0.35">
      <c r="B130" t="s">
        <v>196</v>
      </c>
      <c r="K130" s="44">
        <f>K128+K129</f>
        <v>75451.029408323811</v>
      </c>
    </row>
    <row r="131" spans="2:11" ht="15" thickBot="1" x14ac:dyDescent="0.4">
      <c r="B131" t="s">
        <v>197</v>
      </c>
      <c r="C131" s="66" t="s">
        <v>198</v>
      </c>
      <c r="D131" s="61">
        <f>IRR(F131:K131)</f>
        <v>0.18440094022500131</v>
      </c>
      <c r="F131" s="30">
        <f>-C9</f>
        <v>-33551.836100000008</v>
      </c>
      <c r="G131" s="62">
        <f>+G116</f>
        <v>24.38580527555996</v>
      </c>
      <c r="H131" s="62">
        <f>+H116</f>
        <v>242.56040509444892</v>
      </c>
      <c r="I131" s="62">
        <f>+I116</f>
        <v>436.73500491333925</v>
      </c>
      <c r="J131" s="62">
        <f>+J116</f>
        <v>656.39214475033987</v>
      </c>
      <c r="K131" s="62">
        <f>+K116+K130</f>
        <v>76359.502263886709</v>
      </c>
    </row>
    <row r="132" spans="2:11" ht="15" thickTop="1" x14ac:dyDescent="0.35"/>
  </sheetData>
  <mergeCells count="6">
    <mergeCell ref="C71:E71"/>
    <mergeCell ref="G71:K71"/>
    <mergeCell ref="C99:E99"/>
    <mergeCell ref="G99:K99"/>
    <mergeCell ref="C93:E93"/>
    <mergeCell ref="G93:K9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A38F-E9AD-4ED2-8F58-A15A84DDE0BF}">
  <dimension ref="A1:L73"/>
  <sheetViews>
    <sheetView workbookViewId="0">
      <selection activeCell="B62" sqref="B62"/>
    </sheetView>
  </sheetViews>
  <sheetFormatPr defaultRowHeight="14.5" x14ac:dyDescent="0.35"/>
  <cols>
    <col min="1" max="1" width="47.6328125" bestFit="1" customWidth="1"/>
    <col min="2" max="5" width="13.26953125" bestFit="1" customWidth="1"/>
    <col min="6" max="9" width="12.90625" bestFit="1" customWidth="1"/>
    <col min="10" max="11" width="12.1796875" bestFit="1" customWidth="1"/>
    <col min="12" max="12" width="11.36328125" bestFit="1" customWidth="1"/>
  </cols>
  <sheetData>
    <row r="1" spans="1:12" x14ac:dyDescent="0.35">
      <c r="A1" t="s">
        <v>121</v>
      </c>
      <c r="B1" s="27">
        <v>44561</v>
      </c>
      <c r="C1" s="27">
        <v>44196</v>
      </c>
      <c r="D1" s="27">
        <v>43830</v>
      </c>
      <c r="E1" s="27">
        <v>43465</v>
      </c>
      <c r="F1" s="27">
        <v>43100</v>
      </c>
      <c r="G1" s="27">
        <v>42735</v>
      </c>
      <c r="H1" s="27">
        <v>42369</v>
      </c>
      <c r="I1" s="27">
        <v>42004</v>
      </c>
      <c r="J1" s="27">
        <v>41639</v>
      </c>
      <c r="K1" s="27">
        <v>41274</v>
      </c>
      <c r="L1" s="27">
        <v>40908</v>
      </c>
    </row>
    <row r="2" spans="1:12" x14ac:dyDescent="0.35">
      <c r="A2" t="s">
        <v>64</v>
      </c>
      <c r="B2" s="26">
        <v>14059516000</v>
      </c>
      <c r="C2" s="26">
        <v>13379090000</v>
      </c>
      <c r="D2" s="26">
        <v>12703389000</v>
      </c>
      <c r="E2" s="26">
        <v>10162572000</v>
      </c>
      <c r="F2" s="26">
        <v>7412477000</v>
      </c>
      <c r="G2" s="26">
        <v>6870365000</v>
      </c>
      <c r="H2" s="26">
        <v>6442439000</v>
      </c>
      <c r="I2" s="26">
        <v>5583082000</v>
      </c>
      <c r="J2" s="26">
        <v>3366240000</v>
      </c>
      <c r="K2" s="26">
        <v>831568000</v>
      </c>
      <c r="L2" s="26">
        <v>720675000</v>
      </c>
    </row>
    <row r="3" spans="1:12" x14ac:dyDescent="0.35">
      <c r="A3" t="s">
        <v>65</v>
      </c>
      <c r="B3" s="26">
        <v>7918370000</v>
      </c>
      <c r="C3" s="26">
        <v>8637108000</v>
      </c>
      <c r="D3" s="26">
        <v>7620075000</v>
      </c>
      <c r="E3" s="26">
        <v>7111036000</v>
      </c>
      <c r="F3" s="26">
        <v>5321884000</v>
      </c>
      <c r="G3" s="26">
        <v>4652196000</v>
      </c>
      <c r="H3" s="26">
        <v>4381792000</v>
      </c>
      <c r="I3" s="26">
        <v>4255853000</v>
      </c>
      <c r="J3" s="26">
        <v>2574679000</v>
      </c>
      <c r="K3" s="26">
        <v>554466000</v>
      </c>
      <c r="L3" s="26">
        <v>596068000</v>
      </c>
    </row>
    <row r="4" spans="1:12" x14ac:dyDescent="0.35">
      <c r="A4" t="s">
        <v>66</v>
      </c>
      <c r="B4" s="26">
        <v>6393682000</v>
      </c>
      <c r="C4" s="26">
        <v>7472302000</v>
      </c>
      <c r="D4" s="26">
        <v>6639052000</v>
      </c>
      <c r="E4" s="26">
        <v>6209401000</v>
      </c>
      <c r="F4" s="26">
        <v>4403102000</v>
      </c>
      <c r="G4" s="26">
        <v>3774579000</v>
      </c>
      <c r="H4" s="26">
        <v>3495348000</v>
      </c>
      <c r="I4" s="26">
        <v>3621878000</v>
      </c>
      <c r="J4" s="26">
        <v>2234054000</v>
      </c>
      <c r="K4" s="26">
        <v>424856000</v>
      </c>
      <c r="L4" s="26">
        <v>549539000</v>
      </c>
    </row>
    <row r="5" spans="1:12" x14ac:dyDescent="0.35">
      <c r="A5" t="s">
        <v>67</v>
      </c>
      <c r="B5" s="26">
        <v>2186549000</v>
      </c>
      <c r="C5" s="26">
        <v>1988429000</v>
      </c>
      <c r="D5" s="26">
        <v>1799082000</v>
      </c>
      <c r="E5" s="26">
        <v>1894444000</v>
      </c>
      <c r="F5" s="26">
        <v>1638413000</v>
      </c>
      <c r="G5" s="26">
        <v>988598000</v>
      </c>
      <c r="H5" s="26">
        <v>911471000</v>
      </c>
      <c r="I5" s="26">
        <v>1510724000</v>
      </c>
      <c r="J5" s="26">
        <v>841010000</v>
      </c>
      <c r="K5" s="26">
        <v>203328000</v>
      </c>
      <c r="L5" s="26">
        <v>218996000</v>
      </c>
    </row>
    <row r="6" spans="1:12" x14ac:dyDescent="0.35">
      <c r="A6" t="s">
        <v>276</v>
      </c>
      <c r="B6" s="26">
        <v>336958000</v>
      </c>
      <c r="C6" s="26">
        <v>285002000</v>
      </c>
      <c r="D6" s="26">
        <v>254405000</v>
      </c>
      <c r="E6" s="26">
        <v>229924000</v>
      </c>
      <c r="F6" s="26">
        <v>301684000</v>
      </c>
      <c r="G6" s="26">
        <v>253808000</v>
      </c>
      <c r="H6" s="26">
        <v>300363000</v>
      </c>
      <c r="I6" s="26">
        <v>147848000</v>
      </c>
      <c r="J6" s="26">
        <v>164135000</v>
      </c>
      <c r="K6" s="26">
        <v>18928000</v>
      </c>
      <c r="L6" s="26">
        <v>20661000</v>
      </c>
    </row>
    <row r="7" spans="1:12" x14ac:dyDescent="0.35">
      <c r="A7" t="s">
        <v>277</v>
      </c>
      <c r="B7" s="26">
        <v>1849591000</v>
      </c>
      <c r="C7" s="26">
        <v>1703427000</v>
      </c>
      <c r="D7" s="26">
        <v>1544677000</v>
      </c>
      <c r="E7" s="26">
        <v>1664520000</v>
      </c>
      <c r="F7" s="26">
        <v>1336729000</v>
      </c>
      <c r="G7" s="26">
        <v>734790000</v>
      </c>
      <c r="H7" s="26">
        <v>611108000</v>
      </c>
      <c r="I7" s="26">
        <v>1362876000</v>
      </c>
      <c r="J7" s="26">
        <v>676875000</v>
      </c>
      <c r="K7" s="26">
        <v>184400000</v>
      </c>
      <c r="L7" s="26">
        <v>198335000</v>
      </c>
    </row>
    <row r="8" spans="1:12" x14ac:dyDescent="0.35">
      <c r="A8" t="s">
        <v>68</v>
      </c>
      <c r="B8" s="26">
        <v>4207133000</v>
      </c>
      <c r="C8" s="26">
        <v>5483873000</v>
      </c>
      <c r="D8" s="26">
        <v>4839970000</v>
      </c>
      <c r="E8" s="26">
        <v>4314957000</v>
      </c>
      <c r="F8" s="26">
        <v>2764689000</v>
      </c>
      <c r="G8" s="26">
        <v>2785981000</v>
      </c>
      <c r="H8" s="26">
        <v>2583877000</v>
      </c>
      <c r="I8" s="26">
        <v>2111154000</v>
      </c>
      <c r="J8" s="26">
        <v>1393044000</v>
      </c>
      <c r="K8" s="26">
        <v>221528000</v>
      </c>
      <c r="L8" s="26">
        <v>330543000</v>
      </c>
    </row>
    <row r="9" spans="1:12" x14ac:dyDescent="0.35">
      <c r="A9" t="s">
        <v>69</v>
      </c>
      <c r="B9" s="26">
        <v>1217404000</v>
      </c>
      <c r="C9" s="26">
        <v>1041743000</v>
      </c>
      <c r="D9" s="26">
        <v>850184000</v>
      </c>
      <c r="E9" s="26">
        <v>788700000</v>
      </c>
      <c r="F9" s="26">
        <v>664268000</v>
      </c>
      <c r="G9" s="26">
        <v>650650000</v>
      </c>
      <c r="H9" s="26">
        <v>638694000</v>
      </c>
      <c r="I9" s="26">
        <v>418454000</v>
      </c>
      <c r="J9" s="26">
        <v>247328000</v>
      </c>
      <c r="K9" s="26">
        <v>112155000</v>
      </c>
      <c r="L9" s="26">
        <v>39834000</v>
      </c>
    </row>
    <row r="10" spans="1:12" x14ac:dyDescent="0.35">
      <c r="A10" t="s">
        <v>70</v>
      </c>
      <c r="B10" s="26">
        <v>1217404000</v>
      </c>
      <c r="C10" s="26">
        <v>1041743000</v>
      </c>
      <c r="D10" s="26">
        <v>850184000</v>
      </c>
      <c r="E10" s="26">
        <v>788700000</v>
      </c>
      <c r="F10" s="26">
        <v>664268000</v>
      </c>
      <c r="G10" s="26">
        <v>650650000</v>
      </c>
      <c r="H10" s="26">
        <v>638694000</v>
      </c>
      <c r="I10" s="26">
        <v>418454000</v>
      </c>
      <c r="J10" s="26">
        <v>247328000</v>
      </c>
      <c r="K10" s="26">
        <v>112155000</v>
      </c>
      <c r="L10" s="26">
        <v>39834000</v>
      </c>
    </row>
    <row r="11" spans="1:12" x14ac:dyDescent="0.35">
      <c r="A11" t="s">
        <v>278</v>
      </c>
      <c r="B11" s="26">
        <v>1232682000</v>
      </c>
      <c r="C11" s="26">
        <v>1058689000</v>
      </c>
      <c r="D11" s="26">
        <v>852585000</v>
      </c>
      <c r="E11" s="26">
        <v>792259000</v>
      </c>
      <c r="F11" s="26">
        <v>669698000</v>
      </c>
      <c r="G11" s="26">
        <v>657866000</v>
      </c>
      <c r="H11" s="26">
        <v>646815000</v>
      </c>
      <c r="I11" s="26">
        <v>423961000</v>
      </c>
      <c r="J11" s="26">
        <v>249348000</v>
      </c>
      <c r="K11" s="26">
        <v>113435000</v>
      </c>
      <c r="L11" s="26">
        <v>41662000</v>
      </c>
    </row>
    <row r="12" spans="1:12" x14ac:dyDescent="0.35">
      <c r="A12" t="s">
        <v>279</v>
      </c>
      <c r="B12" s="26">
        <v>-15278000</v>
      </c>
      <c r="C12" s="26">
        <v>-16946000</v>
      </c>
      <c r="D12" s="26">
        <v>-2401000</v>
      </c>
      <c r="E12" s="26">
        <v>-3559000</v>
      </c>
      <c r="F12" s="26">
        <v>-5430000</v>
      </c>
      <c r="G12" s="26">
        <v>-7216000</v>
      </c>
      <c r="H12" s="26">
        <v>-8121000</v>
      </c>
      <c r="I12" s="26">
        <v>-5507000</v>
      </c>
      <c r="J12" s="26">
        <v>-2020000</v>
      </c>
      <c r="K12" s="26">
        <v>-1280000</v>
      </c>
      <c r="L12" s="26">
        <v>-1828000</v>
      </c>
    </row>
    <row r="13" spans="1:12" x14ac:dyDescent="0.35">
      <c r="A13" t="s">
        <v>205</v>
      </c>
      <c r="B13" s="26">
        <v>266484000</v>
      </c>
      <c r="C13" s="26">
        <v>123063000</v>
      </c>
      <c r="D13" s="26">
        <v>130839000</v>
      </c>
      <c r="E13" s="26">
        <v>112935000</v>
      </c>
      <c r="F13" s="26">
        <v>254514000</v>
      </c>
      <c r="G13" s="26">
        <v>226967000</v>
      </c>
      <c r="H13" s="26">
        <v>247750000</v>
      </c>
      <c r="I13" s="26">
        <v>189639000</v>
      </c>
      <c r="J13" s="26">
        <v>31175000</v>
      </c>
      <c r="K13" s="26">
        <v>17455000</v>
      </c>
      <c r="L13" s="26">
        <v>6695000</v>
      </c>
    </row>
    <row r="14" spans="1:12" x14ac:dyDescent="0.35">
      <c r="A14" t="s">
        <v>71</v>
      </c>
      <c r="I14" s="26">
        <v>25882000</v>
      </c>
      <c r="J14" s="26">
        <v>62122000</v>
      </c>
    </row>
    <row r="15" spans="1:12" x14ac:dyDescent="0.35">
      <c r="A15" t="s">
        <v>72</v>
      </c>
      <c r="I15" s="26">
        <v>25882000</v>
      </c>
      <c r="J15" s="26">
        <v>62122000</v>
      </c>
    </row>
    <row r="16" spans="1:12" x14ac:dyDescent="0.35">
      <c r="A16" t="s">
        <v>280</v>
      </c>
      <c r="B16" s="26">
        <v>40800000</v>
      </c>
    </row>
    <row r="17" spans="1:12" x14ac:dyDescent="0.35">
      <c r="A17" t="s">
        <v>73</v>
      </c>
      <c r="B17" s="26">
        <v>6141146000</v>
      </c>
      <c r="C17" s="26">
        <v>4741982000</v>
      </c>
      <c r="D17" s="26">
        <v>5083314000</v>
      </c>
      <c r="E17" s="26">
        <v>3051536000</v>
      </c>
      <c r="F17" s="26">
        <v>2090593000</v>
      </c>
      <c r="G17" s="26">
        <v>2218169000</v>
      </c>
      <c r="H17" s="26">
        <v>2060647000</v>
      </c>
      <c r="I17" s="26">
        <v>1327229000</v>
      </c>
      <c r="J17" s="26">
        <v>791561000</v>
      </c>
      <c r="K17" s="26">
        <v>277102000</v>
      </c>
      <c r="L17" s="26">
        <v>124607000</v>
      </c>
    </row>
    <row r="18" spans="1:12" x14ac:dyDescent="0.35">
      <c r="A18" t="s">
        <v>74</v>
      </c>
      <c r="B18" s="26">
        <v>3277284000</v>
      </c>
      <c r="C18" s="26">
        <v>2423933000</v>
      </c>
      <c r="D18" s="26">
        <v>1728876000</v>
      </c>
      <c r="E18" s="26">
        <v>885078000</v>
      </c>
      <c r="F18" s="26">
        <v>773715000</v>
      </c>
      <c r="G18" s="26">
        <v>783901000</v>
      </c>
      <c r="H18" s="26">
        <v>735299000</v>
      </c>
      <c r="I18" s="26">
        <v>557019000</v>
      </c>
      <c r="J18" s="26">
        <v>332662000</v>
      </c>
      <c r="K18" s="26">
        <v>185574000</v>
      </c>
      <c r="L18" s="26">
        <v>61983000</v>
      </c>
    </row>
    <row r="19" spans="1:12" x14ac:dyDescent="0.35">
      <c r="A19" t="s">
        <v>75</v>
      </c>
      <c r="B19" s="26">
        <v>5479083000</v>
      </c>
      <c r="C19" s="26">
        <v>4284670000</v>
      </c>
      <c r="D19" s="26">
        <v>3279526000</v>
      </c>
      <c r="E19" s="26">
        <v>2165252000</v>
      </c>
      <c r="F19" s="26">
        <v>1928088000</v>
      </c>
      <c r="G19" s="26">
        <v>1641828000</v>
      </c>
      <c r="H19" s="26">
        <v>1314009000</v>
      </c>
      <c r="I19" s="26">
        <v>888270000</v>
      </c>
      <c r="J19" s="26">
        <v>499727000</v>
      </c>
      <c r="K19" s="26">
        <v>258811000</v>
      </c>
      <c r="L19" s="26">
        <v>84539000</v>
      </c>
    </row>
    <row r="20" spans="1:12" x14ac:dyDescent="0.35">
      <c r="A20" t="s">
        <v>76</v>
      </c>
      <c r="B20" s="26">
        <v>1419388000</v>
      </c>
      <c r="C20" s="26">
        <v>1174137000</v>
      </c>
      <c r="D20" s="26">
        <v>1036877000</v>
      </c>
      <c r="E20" s="26">
        <v>883494000</v>
      </c>
      <c r="F20" s="26">
        <v>786999000</v>
      </c>
      <c r="G20" s="26">
        <v>657776000</v>
      </c>
      <c r="H20" s="26">
        <v>508515000</v>
      </c>
      <c r="I20" s="26">
        <v>213903000</v>
      </c>
      <c r="J20" s="26">
        <v>102255000</v>
      </c>
      <c r="K20" s="26">
        <v>50829000</v>
      </c>
      <c r="L20" s="26">
        <v>13213000</v>
      </c>
    </row>
    <row r="21" spans="1:12" x14ac:dyDescent="0.35">
      <c r="A21" t="s">
        <v>206</v>
      </c>
      <c r="B21" s="26">
        <v>3798428000</v>
      </c>
      <c r="C21" s="26">
        <v>2760598000</v>
      </c>
      <c r="D21" s="26">
        <v>2142098000</v>
      </c>
      <c r="E21" s="26">
        <v>1185270000</v>
      </c>
      <c r="F21" s="26">
        <v>1091672000</v>
      </c>
      <c r="G21" s="26">
        <v>909797000</v>
      </c>
      <c r="H21" s="26">
        <v>720421000</v>
      </c>
      <c r="I21" s="26">
        <v>584561000</v>
      </c>
      <c r="J21" s="26">
        <v>367949000</v>
      </c>
      <c r="K21" s="26">
        <v>197659000</v>
      </c>
      <c r="L21" s="26">
        <v>63776000</v>
      </c>
    </row>
    <row r="22" spans="1:12" x14ac:dyDescent="0.35">
      <c r="A22" t="s">
        <v>77</v>
      </c>
      <c r="B22" s="26">
        <v>261267000</v>
      </c>
      <c r="C22" s="26">
        <v>349935000</v>
      </c>
      <c r="D22" s="26">
        <v>100551000</v>
      </c>
      <c r="E22" s="26">
        <v>96488000</v>
      </c>
      <c r="F22" s="26">
        <v>49417000</v>
      </c>
      <c r="G22" s="26">
        <v>74255000</v>
      </c>
      <c r="H22" s="26">
        <v>85073000</v>
      </c>
      <c r="I22" s="26">
        <v>89806000</v>
      </c>
      <c r="J22" s="26">
        <v>29523000</v>
      </c>
      <c r="K22" s="26">
        <v>10323000</v>
      </c>
      <c r="L22" s="26">
        <v>7550000</v>
      </c>
    </row>
    <row r="23" spans="1:12" x14ac:dyDescent="0.35">
      <c r="A23" t="s">
        <v>78</v>
      </c>
      <c r="B23" s="26">
        <v>-2201799000</v>
      </c>
      <c r="C23" s="26">
        <v>-1860737000</v>
      </c>
      <c r="D23" s="26">
        <v>-1550650000</v>
      </c>
      <c r="E23" s="26">
        <v>-1280174000</v>
      </c>
      <c r="F23" s="26">
        <v>-1154373000</v>
      </c>
      <c r="G23" s="26">
        <v>-857927000</v>
      </c>
      <c r="H23" s="26">
        <v>-578710000</v>
      </c>
      <c r="I23" s="26">
        <v>-331251000</v>
      </c>
      <c r="J23" s="26">
        <v>-167065000</v>
      </c>
      <c r="K23" s="26">
        <v>-73237000</v>
      </c>
      <c r="L23" s="26">
        <v>-22556000</v>
      </c>
    </row>
    <row r="24" spans="1:12" x14ac:dyDescent="0.35">
      <c r="A24" t="s">
        <v>79</v>
      </c>
      <c r="B24" s="26">
        <v>1370844000</v>
      </c>
      <c r="C24" s="26">
        <v>1370684000</v>
      </c>
      <c r="D24" s="26">
        <v>1311805000</v>
      </c>
      <c r="E24" s="26">
        <v>1272294000</v>
      </c>
      <c r="F24" s="26">
        <v>1238589000</v>
      </c>
      <c r="G24" s="26">
        <v>1280649000</v>
      </c>
      <c r="H24" s="26">
        <v>1263743000</v>
      </c>
      <c r="I24" s="26">
        <v>727581000</v>
      </c>
      <c r="J24" s="26">
        <v>441104000</v>
      </c>
      <c r="K24" s="26">
        <v>72566000</v>
      </c>
      <c r="L24" s="26">
        <v>43179000</v>
      </c>
    </row>
    <row r="25" spans="1:12" x14ac:dyDescent="0.35">
      <c r="A25" t="s">
        <v>80</v>
      </c>
      <c r="B25" s="26">
        <v>1301520000</v>
      </c>
      <c r="C25" s="26">
        <v>1312346000</v>
      </c>
      <c r="D25" s="26">
        <v>1256699000</v>
      </c>
      <c r="E25" s="26">
        <v>1227269000</v>
      </c>
      <c r="F25" s="26">
        <v>1188935000</v>
      </c>
      <c r="G25" s="26">
        <v>1185315000</v>
      </c>
      <c r="H25" s="26">
        <v>1122728000</v>
      </c>
      <c r="I25" s="26">
        <v>622570000</v>
      </c>
      <c r="J25" s="26">
        <v>363477000</v>
      </c>
      <c r="K25" s="26">
        <v>68813000</v>
      </c>
      <c r="L25" s="26">
        <v>36761000</v>
      </c>
    </row>
    <row r="26" spans="1:12" x14ac:dyDescent="0.35">
      <c r="A26" t="s">
        <v>81</v>
      </c>
      <c r="B26" s="26">
        <v>69324000</v>
      </c>
      <c r="C26" s="26">
        <v>58338000</v>
      </c>
      <c r="D26" s="26">
        <v>55106000</v>
      </c>
      <c r="E26" s="26">
        <v>45025000</v>
      </c>
      <c r="F26" s="26">
        <v>49654000</v>
      </c>
      <c r="G26" s="26">
        <v>95334000</v>
      </c>
      <c r="H26" s="26">
        <v>141015000</v>
      </c>
      <c r="I26" s="26">
        <v>105011000</v>
      </c>
      <c r="J26" s="26">
        <v>77627000</v>
      </c>
      <c r="K26" s="26">
        <v>3753000</v>
      </c>
      <c r="L26" s="26">
        <v>6418000</v>
      </c>
    </row>
    <row r="27" spans="1:12" x14ac:dyDescent="0.35">
      <c r="A27" t="s">
        <v>207</v>
      </c>
      <c r="B27" s="26">
        <v>1148573000</v>
      </c>
      <c r="C27" s="26">
        <v>796326000</v>
      </c>
      <c r="D27" s="26">
        <v>1908086000</v>
      </c>
      <c r="E27" s="26">
        <v>808459000</v>
      </c>
    </row>
    <row r="28" spans="1:12" x14ac:dyDescent="0.35">
      <c r="A28" t="s">
        <v>208</v>
      </c>
      <c r="B28" s="26">
        <v>1148573000</v>
      </c>
      <c r="C28" s="26">
        <v>796326000</v>
      </c>
      <c r="D28" s="26">
        <v>1908086000</v>
      </c>
      <c r="E28" s="26">
        <v>808459000</v>
      </c>
    </row>
    <row r="29" spans="1:12" x14ac:dyDescent="0.35">
      <c r="A29" t="s">
        <v>82</v>
      </c>
      <c r="B29" s="26">
        <v>344445000</v>
      </c>
      <c r="C29" s="26">
        <v>151039000</v>
      </c>
      <c r="D29" s="26">
        <v>134547000</v>
      </c>
      <c r="E29" s="26">
        <v>85705000</v>
      </c>
      <c r="F29" s="26">
        <v>78289000</v>
      </c>
      <c r="G29" s="26">
        <v>153619000</v>
      </c>
      <c r="H29" s="26">
        <v>61605000</v>
      </c>
      <c r="I29" s="26">
        <v>42629000</v>
      </c>
      <c r="J29" s="26">
        <v>17795000</v>
      </c>
      <c r="K29" s="26">
        <v>18962000</v>
      </c>
      <c r="L29" s="26">
        <v>19445000</v>
      </c>
    </row>
    <row r="30" spans="1:12" x14ac:dyDescent="0.35">
      <c r="A30" t="s">
        <v>83</v>
      </c>
      <c r="B30" s="26">
        <v>6752317000</v>
      </c>
      <c r="C30" s="26">
        <v>5409008000</v>
      </c>
      <c r="D30" s="26">
        <v>3999003000</v>
      </c>
      <c r="E30" s="26">
        <v>3356978000</v>
      </c>
      <c r="F30" s="26">
        <v>2365259000</v>
      </c>
      <c r="G30" s="26">
        <v>2265430000</v>
      </c>
      <c r="H30" s="26">
        <v>2074392000</v>
      </c>
      <c r="I30" s="26">
        <v>1956679000</v>
      </c>
      <c r="J30" s="26">
        <v>416234000</v>
      </c>
      <c r="K30" s="26">
        <v>1079740000</v>
      </c>
      <c r="L30" s="26">
        <v>922513000</v>
      </c>
    </row>
    <row r="31" spans="1:12" x14ac:dyDescent="0.35">
      <c r="A31" t="s">
        <v>84</v>
      </c>
      <c r="B31" s="26">
        <v>1343867000</v>
      </c>
      <c r="C31" s="26">
        <v>1952826000</v>
      </c>
      <c r="D31" s="26">
        <v>832476000</v>
      </c>
      <c r="E31" s="26">
        <v>1516311000</v>
      </c>
      <c r="F31" s="26">
        <v>583278000</v>
      </c>
      <c r="G31" s="26">
        <v>584021000</v>
      </c>
      <c r="H31" s="26">
        <v>506039000</v>
      </c>
      <c r="I31" s="26">
        <v>393794000</v>
      </c>
      <c r="J31" s="26">
        <v>225430000</v>
      </c>
      <c r="K31" s="26">
        <v>109879000</v>
      </c>
      <c r="L31" s="26">
        <v>47744000</v>
      </c>
    </row>
    <row r="32" spans="1:12" x14ac:dyDescent="0.35">
      <c r="A32" t="s">
        <v>85</v>
      </c>
      <c r="B32" s="26">
        <v>717867000</v>
      </c>
      <c r="C32" s="26">
        <v>626589000</v>
      </c>
      <c r="D32" s="26">
        <v>402589000</v>
      </c>
      <c r="E32" s="26">
        <v>356158000</v>
      </c>
      <c r="F32" s="26">
        <v>371925000</v>
      </c>
      <c r="G32" s="26">
        <v>387160000</v>
      </c>
      <c r="H32" s="26">
        <v>303293000</v>
      </c>
      <c r="I32" s="26">
        <v>194795000</v>
      </c>
      <c r="J32" s="26">
        <v>93943000</v>
      </c>
      <c r="K32" s="26">
        <v>52576000</v>
      </c>
      <c r="L32" s="26">
        <v>21741000</v>
      </c>
    </row>
    <row r="33" spans="1:12" x14ac:dyDescent="0.35">
      <c r="A33" t="s">
        <v>86</v>
      </c>
      <c r="B33" s="26">
        <v>251001000</v>
      </c>
      <c r="C33" s="26">
        <v>234665000</v>
      </c>
      <c r="D33" s="26">
        <v>207115000</v>
      </c>
      <c r="E33" s="26">
        <v>184915000</v>
      </c>
      <c r="F33" s="26">
        <v>207066000</v>
      </c>
      <c r="G33" s="26">
        <v>151794000</v>
      </c>
      <c r="H33" s="26">
        <v>159961000</v>
      </c>
      <c r="I33" s="26">
        <v>71621000</v>
      </c>
      <c r="J33" s="26">
        <v>37509000</v>
      </c>
      <c r="K33" s="26">
        <v>14143000</v>
      </c>
      <c r="L33" s="26">
        <v>9809000</v>
      </c>
    </row>
    <row r="34" spans="1:12" x14ac:dyDescent="0.35">
      <c r="A34" t="s">
        <v>87</v>
      </c>
      <c r="B34" s="26">
        <v>203171000</v>
      </c>
      <c r="C34" s="26">
        <v>194281000</v>
      </c>
      <c r="D34" s="26">
        <v>161148000</v>
      </c>
      <c r="E34" s="26">
        <v>145186000</v>
      </c>
      <c r="F34" s="26">
        <v>170969000</v>
      </c>
      <c r="G34" s="26">
        <v>122236000</v>
      </c>
      <c r="H34" s="26">
        <v>134081000</v>
      </c>
      <c r="I34" s="26">
        <v>53241000</v>
      </c>
      <c r="J34" s="26">
        <v>27994000</v>
      </c>
      <c r="K34" s="26">
        <v>8432000</v>
      </c>
      <c r="L34" s="26">
        <v>4543000</v>
      </c>
    </row>
    <row r="35" spans="1:12" x14ac:dyDescent="0.35">
      <c r="A35" t="s">
        <v>88</v>
      </c>
      <c r="B35" s="26">
        <v>47830000</v>
      </c>
      <c r="C35" s="26">
        <v>40384000</v>
      </c>
      <c r="D35" s="26">
        <v>45967000</v>
      </c>
      <c r="E35" s="26">
        <v>39729000</v>
      </c>
      <c r="F35" s="26">
        <v>36097000</v>
      </c>
      <c r="G35" s="26">
        <v>29558000</v>
      </c>
      <c r="H35" s="26">
        <v>25880000</v>
      </c>
      <c r="I35" s="26">
        <v>18380000</v>
      </c>
      <c r="J35" s="26">
        <v>9515000</v>
      </c>
      <c r="K35" s="26">
        <v>5711000</v>
      </c>
      <c r="L35" s="26">
        <v>5266000</v>
      </c>
    </row>
    <row r="36" spans="1:12" x14ac:dyDescent="0.35">
      <c r="A36" t="s">
        <v>89</v>
      </c>
      <c r="B36" s="26">
        <v>466866000</v>
      </c>
      <c r="C36" s="26">
        <v>391924000</v>
      </c>
      <c r="D36" s="26">
        <v>195474000</v>
      </c>
      <c r="E36" s="26">
        <v>171243000</v>
      </c>
      <c r="F36" s="26">
        <v>164859000</v>
      </c>
      <c r="G36" s="26">
        <v>235366000</v>
      </c>
      <c r="H36" s="26">
        <v>143332000</v>
      </c>
      <c r="I36" s="26">
        <v>123174000</v>
      </c>
      <c r="J36" s="26">
        <v>56434000</v>
      </c>
      <c r="K36" s="26">
        <v>38433000</v>
      </c>
      <c r="L36" s="26">
        <v>11932000</v>
      </c>
    </row>
    <row r="37" spans="1:12" x14ac:dyDescent="0.35">
      <c r="A37" t="s">
        <v>281</v>
      </c>
      <c r="B37" s="26">
        <v>325113000</v>
      </c>
      <c r="C37" s="26">
        <v>171681000</v>
      </c>
      <c r="D37" s="26">
        <v>190465000</v>
      </c>
      <c r="E37" s="26">
        <v>155830000</v>
      </c>
      <c r="F37" s="26">
        <v>98553000</v>
      </c>
      <c r="G37" s="26">
        <v>82354000</v>
      </c>
      <c r="H37" s="26">
        <v>90906000</v>
      </c>
      <c r="I37" s="26">
        <v>68000000</v>
      </c>
      <c r="J37" s="26">
        <v>29882000</v>
      </c>
      <c r="K37" s="26">
        <v>8467000</v>
      </c>
      <c r="L37" s="26">
        <v>3309000</v>
      </c>
    </row>
    <row r="38" spans="1:12" x14ac:dyDescent="0.35">
      <c r="A38" t="s">
        <v>90</v>
      </c>
      <c r="B38" s="26">
        <v>222346000</v>
      </c>
      <c r="C38" s="26">
        <v>1095580000</v>
      </c>
      <c r="D38" s="26">
        <v>170435000</v>
      </c>
      <c r="E38" s="26">
        <v>965374000</v>
      </c>
      <c r="F38" s="26">
        <v>84976000</v>
      </c>
      <c r="G38" s="26">
        <v>80848000</v>
      </c>
      <c r="H38" s="26">
        <v>88166000</v>
      </c>
      <c r="I38" s="26">
        <v>112320000</v>
      </c>
      <c r="J38" s="26">
        <v>87126000</v>
      </c>
      <c r="K38" s="26">
        <v>48836000</v>
      </c>
      <c r="L38" s="26">
        <v>22694000</v>
      </c>
    </row>
    <row r="39" spans="1:12" x14ac:dyDescent="0.35">
      <c r="A39" t="s">
        <v>91</v>
      </c>
      <c r="C39" s="26">
        <v>917866000</v>
      </c>
      <c r="E39" s="26">
        <v>897328000</v>
      </c>
    </row>
    <row r="40" spans="1:12" x14ac:dyDescent="0.35">
      <c r="A40" t="s">
        <v>282</v>
      </c>
      <c r="C40" s="26">
        <v>917866000</v>
      </c>
      <c r="E40" s="26">
        <v>897328000</v>
      </c>
    </row>
    <row r="41" spans="1:12" x14ac:dyDescent="0.35">
      <c r="A41" t="s">
        <v>209</v>
      </c>
      <c r="B41" s="26">
        <v>222346000</v>
      </c>
      <c r="C41" s="26">
        <v>177714000</v>
      </c>
      <c r="D41" s="26">
        <v>170435000</v>
      </c>
      <c r="E41" s="26">
        <v>68046000</v>
      </c>
      <c r="F41" s="26">
        <v>84976000</v>
      </c>
      <c r="G41" s="26">
        <v>80848000</v>
      </c>
      <c r="H41" s="26">
        <v>88166000</v>
      </c>
      <c r="I41" s="26">
        <v>112320000</v>
      </c>
      <c r="J41" s="26">
        <v>87126000</v>
      </c>
      <c r="K41" s="26">
        <v>48836000</v>
      </c>
      <c r="L41" s="26">
        <v>22694000</v>
      </c>
    </row>
    <row r="42" spans="1:12" x14ac:dyDescent="0.35">
      <c r="A42" t="s">
        <v>210</v>
      </c>
      <c r="B42" s="26">
        <v>78541000</v>
      </c>
      <c r="C42" s="26">
        <v>58976000</v>
      </c>
      <c r="D42" s="26">
        <v>68987000</v>
      </c>
      <c r="E42" s="26">
        <v>38949000</v>
      </c>
      <c r="F42" s="26">
        <v>27824000</v>
      </c>
      <c r="G42" s="26">
        <v>33659000</v>
      </c>
      <c r="H42" s="26">
        <v>23674000</v>
      </c>
      <c r="I42" s="26">
        <v>18679000</v>
      </c>
      <c r="J42" s="26">
        <v>14479000</v>
      </c>
    </row>
    <row r="43" spans="1:12" x14ac:dyDescent="0.35">
      <c r="A43" t="s">
        <v>211</v>
      </c>
      <c r="B43" s="26">
        <v>78541000</v>
      </c>
      <c r="C43" s="26">
        <v>58976000</v>
      </c>
      <c r="D43" s="26">
        <v>68987000</v>
      </c>
      <c r="E43" s="26">
        <v>38949000</v>
      </c>
      <c r="F43" s="26">
        <v>27824000</v>
      </c>
      <c r="G43" s="26">
        <v>33659000</v>
      </c>
      <c r="H43" s="26">
        <v>23674000</v>
      </c>
      <c r="I43" s="26">
        <v>18679000</v>
      </c>
      <c r="J43" s="26">
        <v>14479000</v>
      </c>
    </row>
    <row r="44" spans="1:12" x14ac:dyDescent="0.35">
      <c r="A44" t="s">
        <v>92</v>
      </c>
      <c r="B44" s="26">
        <v>5408450000</v>
      </c>
      <c r="C44" s="26">
        <v>3456182000</v>
      </c>
      <c r="D44" s="26">
        <v>3166527000</v>
      </c>
      <c r="E44" s="26">
        <v>1840667000</v>
      </c>
      <c r="F44" s="26">
        <v>1781981000</v>
      </c>
      <c r="G44" s="26">
        <v>1681409000</v>
      </c>
      <c r="H44" s="26">
        <v>1568353000</v>
      </c>
      <c r="I44" s="26">
        <v>1562885000</v>
      </c>
      <c r="J44" s="26">
        <v>190804000</v>
      </c>
      <c r="K44" s="26">
        <v>969861000</v>
      </c>
      <c r="L44" s="26">
        <v>874769000</v>
      </c>
    </row>
    <row r="45" spans="1:12" x14ac:dyDescent="0.35">
      <c r="A45" t="s">
        <v>93</v>
      </c>
      <c r="B45" s="26">
        <v>5324228000</v>
      </c>
      <c r="C45" s="26">
        <v>3388620000</v>
      </c>
      <c r="D45" s="26">
        <v>3118250000</v>
      </c>
      <c r="E45" s="26">
        <v>1755316000</v>
      </c>
      <c r="F45" s="26">
        <v>1708768000</v>
      </c>
      <c r="G45" s="26">
        <v>1605804000</v>
      </c>
      <c r="H45" s="26">
        <v>1514790000</v>
      </c>
      <c r="I45" s="26">
        <v>1494970000</v>
      </c>
      <c r="J45" s="26">
        <v>110520000</v>
      </c>
      <c r="K45" s="26">
        <v>65732000</v>
      </c>
      <c r="L45" s="26">
        <v>21104000</v>
      </c>
    </row>
    <row r="46" spans="1:12" x14ac:dyDescent="0.35">
      <c r="A46" t="s">
        <v>94</v>
      </c>
      <c r="B46" s="26">
        <v>4253019000</v>
      </c>
      <c r="C46" s="26">
        <v>2568872000</v>
      </c>
      <c r="D46" s="26">
        <v>2508800000</v>
      </c>
      <c r="E46" s="26">
        <v>1730922000</v>
      </c>
      <c r="F46" s="26">
        <v>1627460000</v>
      </c>
      <c r="G46" s="26">
        <v>1538967000</v>
      </c>
      <c r="H46" s="26">
        <v>1455095000</v>
      </c>
      <c r="I46" s="26">
        <v>1376020000</v>
      </c>
    </row>
    <row r="47" spans="1:12" x14ac:dyDescent="0.35">
      <c r="A47" t="s">
        <v>212</v>
      </c>
      <c r="B47" s="26">
        <v>1071209000</v>
      </c>
      <c r="C47" s="26">
        <v>819748000</v>
      </c>
      <c r="D47" s="26">
        <v>609450000</v>
      </c>
      <c r="E47" s="26">
        <v>24394000</v>
      </c>
      <c r="F47" s="26">
        <v>81308000</v>
      </c>
      <c r="G47" s="26">
        <v>66837000</v>
      </c>
      <c r="H47" s="26">
        <v>59695000</v>
      </c>
      <c r="I47" s="26">
        <v>118950000</v>
      </c>
      <c r="J47" s="26">
        <v>110520000</v>
      </c>
      <c r="K47" s="26">
        <v>65732000</v>
      </c>
      <c r="L47" s="26">
        <v>21104000</v>
      </c>
    </row>
    <row r="48" spans="1:12" x14ac:dyDescent="0.35">
      <c r="A48" t="s">
        <v>95</v>
      </c>
      <c r="B48" s="26">
        <v>40691000</v>
      </c>
      <c r="C48" s="26">
        <v>31463000</v>
      </c>
      <c r="D48" s="26">
        <v>24170000</v>
      </c>
      <c r="E48" s="26">
        <v>17849000</v>
      </c>
      <c r="F48" s="26">
        <v>13240000</v>
      </c>
      <c r="G48" s="26">
        <v>7556000</v>
      </c>
      <c r="H48" s="26">
        <v>2978000</v>
      </c>
      <c r="I48" s="26">
        <v>24706000</v>
      </c>
      <c r="J48" s="26">
        <v>59500000</v>
      </c>
    </row>
    <row r="49" spans="1:12" x14ac:dyDescent="0.35">
      <c r="A49" t="s">
        <v>96</v>
      </c>
      <c r="B49" s="26">
        <v>40691000</v>
      </c>
      <c r="C49" s="26">
        <v>31463000</v>
      </c>
      <c r="D49" s="26">
        <v>24170000</v>
      </c>
      <c r="E49" s="26">
        <v>17849000</v>
      </c>
      <c r="F49" s="26">
        <v>13240000</v>
      </c>
      <c r="G49" s="26">
        <v>7556000</v>
      </c>
      <c r="H49" s="26">
        <v>2978000</v>
      </c>
      <c r="I49" s="26">
        <v>24706000</v>
      </c>
      <c r="J49" s="26">
        <v>59500000</v>
      </c>
    </row>
    <row r="50" spans="1:12" x14ac:dyDescent="0.35">
      <c r="A50" t="s">
        <v>283</v>
      </c>
      <c r="K50" s="26">
        <v>12156000</v>
      </c>
      <c r="L50" s="26">
        <v>13617000</v>
      </c>
    </row>
    <row r="51" spans="1:12" x14ac:dyDescent="0.35">
      <c r="A51" t="s">
        <v>284</v>
      </c>
      <c r="J51">
        <v>0</v>
      </c>
      <c r="K51" s="26">
        <v>872536000</v>
      </c>
      <c r="L51" s="26">
        <v>835122000</v>
      </c>
    </row>
    <row r="52" spans="1:12" x14ac:dyDescent="0.35">
      <c r="A52" t="s">
        <v>97</v>
      </c>
      <c r="B52" s="26">
        <v>43531000</v>
      </c>
      <c r="C52" s="26">
        <v>36099000</v>
      </c>
      <c r="D52" s="26">
        <v>24107000</v>
      </c>
      <c r="E52" s="26">
        <v>67502000</v>
      </c>
      <c r="F52" s="26">
        <v>59973000</v>
      </c>
      <c r="G52" s="26">
        <v>68049000</v>
      </c>
      <c r="H52" s="26">
        <v>50585000</v>
      </c>
      <c r="I52" s="26">
        <v>43209000</v>
      </c>
      <c r="J52" s="26">
        <v>20784000</v>
      </c>
      <c r="K52" s="26">
        <v>19437000</v>
      </c>
      <c r="L52" s="26">
        <v>4926000</v>
      </c>
    </row>
    <row r="53" spans="1:12" x14ac:dyDescent="0.35">
      <c r="A53" t="s">
        <v>98</v>
      </c>
      <c r="B53" s="26">
        <v>7307199000</v>
      </c>
      <c r="C53" s="26">
        <v>7970082000</v>
      </c>
      <c r="D53" s="26">
        <v>8704386000</v>
      </c>
      <c r="E53" s="26">
        <v>6805594000</v>
      </c>
      <c r="F53" s="26">
        <v>5047218000</v>
      </c>
      <c r="G53" s="26">
        <v>4604935000</v>
      </c>
      <c r="H53" s="26">
        <v>4368047000</v>
      </c>
      <c r="I53" s="26">
        <v>3626403000</v>
      </c>
      <c r="J53" s="26">
        <v>2950006000</v>
      </c>
      <c r="K53" s="26">
        <v>-248172000</v>
      </c>
      <c r="L53" s="26">
        <v>-201838000</v>
      </c>
    </row>
    <row r="54" spans="1:12" x14ac:dyDescent="0.35">
      <c r="A54" t="s">
        <v>99</v>
      </c>
      <c r="B54" s="26">
        <v>7307199000</v>
      </c>
      <c r="C54" s="26">
        <v>7970082000</v>
      </c>
      <c r="D54" s="26">
        <v>8704386000</v>
      </c>
      <c r="E54" s="26">
        <v>6805594000</v>
      </c>
      <c r="F54" s="26">
        <v>5047218000</v>
      </c>
      <c r="G54" s="26">
        <v>4604935000</v>
      </c>
      <c r="H54" s="26">
        <v>4368047000</v>
      </c>
      <c r="I54" s="26">
        <v>3626403000</v>
      </c>
      <c r="J54" s="26">
        <v>2950006000</v>
      </c>
      <c r="K54" s="26">
        <v>-248172000</v>
      </c>
      <c r="L54" s="26">
        <v>-201838000</v>
      </c>
    </row>
    <row r="55" spans="1:12" x14ac:dyDescent="0.35">
      <c r="A55" t="s">
        <v>100</v>
      </c>
      <c r="B55" s="26">
        <v>4000</v>
      </c>
      <c r="C55" s="26">
        <v>4000</v>
      </c>
      <c r="D55" s="26">
        <v>4000</v>
      </c>
      <c r="E55" s="26">
        <v>4000</v>
      </c>
      <c r="F55" s="26">
        <v>4000</v>
      </c>
      <c r="G55" s="26">
        <v>4000</v>
      </c>
      <c r="H55" s="26">
        <v>3000</v>
      </c>
      <c r="I55" s="26">
        <v>3000</v>
      </c>
      <c r="J55" s="26">
        <v>3000</v>
      </c>
      <c r="K55" s="26">
        <v>1000</v>
      </c>
      <c r="L55" s="26">
        <v>1000</v>
      </c>
    </row>
    <row r="56" spans="1:12" x14ac:dyDescent="0.35">
      <c r="A56" t="s">
        <v>285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I56">
        <v>0</v>
      </c>
    </row>
    <row r="57" spans="1:12" x14ac:dyDescent="0.35">
      <c r="A57" t="s">
        <v>101</v>
      </c>
      <c r="B57" s="26">
        <v>4000</v>
      </c>
      <c r="C57" s="26">
        <v>4000</v>
      </c>
      <c r="D57" s="26">
        <v>4000</v>
      </c>
      <c r="E57" s="26">
        <v>4000</v>
      </c>
      <c r="F57" s="26">
        <v>4000</v>
      </c>
      <c r="G57" s="26">
        <v>4000</v>
      </c>
      <c r="H57" s="26">
        <v>3000</v>
      </c>
      <c r="I57" s="26">
        <v>3000</v>
      </c>
      <c r="J57" s="26">
        <v>3000</v>
      </c>
      <c r="K57" s="26">
        <v>1000</v>
      </c>
      <c r="L57" s="26">
        <v>1000</v>
      </c>
    </row>
    <row r="58" spans="1:12" x14ac:dyDescent="0.35">
      <c r="A58" t="s">
        <v>102</v>
      </c>
      <c r="B58" s="26">
        <v>8432112000</v>
      </c>
      <c r="C58" s="26">
        <v>9167138000</v>
      </c>
      <c r="D58" s="26">
        <v>8763330000</v>
      </c>
      <c r="E58" s="26">
        <v>8324974000</v>
      </c>
      <c r="F58" s="26">
        <v>7750522000</v>
      </c>
      <c r="G58" s="26">
        <v>7224534000</v>
      </c>
      <c r="H58" s="26">
        <v>6507087000</v>
      </c>
      <c r="I58" s="26">
        <v>5208870000</v>
      </c>
      <c r="J58" s="26">
        <v>3944952000</v>
      </c>
      <c r="K58" s="26">
        <v>101787000</v>
      </c>
      <c r="L58" s="26">
        <v>68097000</v>
      </c>
    </row>
    <row r="59" spans="1:12" x14ac:dyDescent="0.35">
      <c r="A59" t="s">
        <v>103</v>
      </c>
      <c r="B59" s="26">
        <v>-1002302000</v>
      </c>
      <c r="C59" s="26">
        <v>-1125669000</v>
      </c>
      <c r="D59" s="26">
        <v>11586000</v>
      </c>
      <c r="E59" s="26">
        <v>-1454073000</v>
      </c>
      <c r="F59" s="26">
        <v>-2671729000</v>
      </c>
      <c r="G59" s="26">
        <v>-2550350000</v>
      </c>
      <c r="H59" s="26">
        <v>-2093477000</v>
      </c>
      <c r="I59" s="26">
        <v>-1572446000</v>
      </c>
      <c r="J59" s="26">
        <v>-994626000</v>
      </c>
      <c r="K59" s="26">
        <v>-349303000</v>
      </c>
      <c r="L59" s="26">
        <v>-269904000</v>
      </c>
    </row>
    <row r="60" spans="1:12" x14ac:dyDescent="0.35">
      <c r="A60" t="s">
        <v>104</v>
      </c>
      <c r="B60" s="26">
        <v>5295000</v>
      </c>
      <c r="C60" s="26">
        <v>5297000</v>
      </c>
    </row>
    <row r="61" spans="1:12" x14ac:dyDescent="0.35">
      <c r="A61" t="s">
        <v>105</v>
      </c>
      <c r="B61" s="26">
        <v>-117320000</v>
      </c>
      <c r="C61" s="26">
        <v>-66094000</v>
      </c>
      <c r="D61" s="26">
        <v>-70534000</v>
      </c>
      <c r="E61" s="26">
        <v>-65311000</v>
      </c>
      <c r="F61" s="26">
        <v>-31579000</v>
      </c>
      <c r="G61" s="26">
        <v>-69253000</v>
      </c>
      <c r="H61" s="26">
        <v>-45566000</v>
      </c>
      <c r="I61" s="26">
        <v>-10024000</v>
      </c>
      <c r="J61" s="26">
        <v>-323000</v>
      </c>
      <c r="K61" s="26">
        <v>-657000</v>
      </c>
      <c r="L61" s="26">
        <v>-32000</v>
      </c>
    </row>
    <row r="62" spans="1:12" x14ac:dyDescent="0.35">
      <c r="A62" t="s">
        <v>106</v>
      </c>
      <c r="B62" s="26">
        <v>11560218000</v>
      </c>
      <c r="C62" s="26">
        <v>10538954000</v>
      </c>
      <c r="D62" s="26">
        <v>11213186000</v>
      </c>
      <c r="E62" s="26">
        <v>8536516000</v>
      </c>
      <c r="F62" s="26">
        <v>6674678000</v>
      </c>
      <c r="G62" s="26">
        <v>6143902000</v>
      </c>
      <c r="H62" s="26">
        <v>5823142000</v>
      </c>
      <c r="I62" s="26">
        <v>5002423000</v>
      </c>
      <c r="J62" s="26">
        <v>2950006000</v>
      </c>
      <c r="K62" s="26">
        <v>-248172000</v>
      </c>
      <c r="L62" s="26">
        <v>-201838000</v>
      </c>
    </row>
    <row r="63" spans="1:12" x14ac:dyDescent="0.35">
      <c r="A63" t="s">
        <v>107</v>
      </c>
      <c r="B63" s="26">
        <v>7307199000</v>
      </c>
      <c r="C63" s="26">
        <v>7970082000</v>
      </c>
      <c r="D63" s="26">
        <v>8704386000</v>
      </c>
      <c r="E63" s="26">
        <v>6805594000</v>
      </c>
      <c r="F63" s="26">
        <v>5047218000</v>
      </c>
      <c r="G63" s="26">
        <v>4604935000</v>
      </c>
      <c r="H63" s="26">
        <v>4368047000</v>
      </c>
      <c r="I63" s="26">
        <v>3626403000</v>
      </c>
      <c r="J63" s="26">
        <v>2950006000</v>
      </c>
      <c r="K63" s="26">
        <v>-248172000</v>
      </c>
      <c r="L63" s="26">
        <v>-201838000</v>
      </c>
    </row>
    <row r="64" spans="1:12" x14ac:dyDescent="0.35">
      <c r="A64" t="s">
        <v>213</v>
      </c>
      <c r="B64" s="26">
        <v>1293555000</v>
      </c>
      <c r="C64" s="26">
        <v>997462000</v>
      </c>
      <c r="D64" s="26">
        <v>779885000</v>
      </c>
      <c r="E64" s="26">
        <v>92440000</v>
      </c>
      <c r="F64" s="26">
        <v>166284000</v>
      </c>
      <c r="G64" s="26">
        <v>147685000</v>
      </c>
      <c r="H64" s="26">
        <v>147861000</v>
      </c>
      <c r="I64" s="26">
        <v>231270000</v>
      </c>
      <c r="J64" s="26">
        <v>197646000</v>
      </c>
      <c r="K64" s="26">
        <v>114568000</v>
      </c>
      <c r="L64" s="26">
        <v>43798000</v>
      </c>
    </row>
    <row r="65" spans="1:12" x14ac:dyDescent="0.35">
      <c r="A65" t="s">
        <v>108</v>
      </c>
      <c r="B65" s="26">
        <v>5936355000</v>
      </c>
      <c r="C65" s="26">
        <v>6599398000</v>
      </c>
      <c r="D65" s="26">
        <v>7392581000</v>
      </c>
      <c r="E65" s="26">
        <v>5533300000</v>
      </c>
      <c r="F65" s="26">
        <v>3808629000</v>
      </c>
      <c r="G65" s="26">
        <v>3324286000</v>
      </c>
      <c r="H65" s="26">
        <v>3104304000</v>
      </c>
      <c r="I65" s="26">
        <v>2898822000</v>
      </c>
      <c r="J65" s="26">
        <v>2508902000</v>
      </c>
      <c r="K65" s="26">
        <v>-320738000</v>
      </c>
      <c r="L65" s="26">
        <v>-245017000</v>
      </c>
    </row>
    <row r="66" spans="1:12" x14ac:dyDescent="0.35">
      <c r="A66" t="s">
        <v>109</v>
      </c>
      <c r="B66" s="26">
        <v>6574503000</v>
      </c>
      <c r="C66" s="26">
        <v>6684282000</v>
      </c>
      <c r="D66" s="26">
        <v>6787599000</v>
      </c>
      <c r="E66" s="26">
        <v>5594725000</v>
      </c>
      <c r="F66" s="26">
        <v>4738606000</v>
      </c>
      <c r="G66" s="26">
        <v>4068175000</v>
      </c>
      <c r="H66" s="26">
        <v>3875753000</v>
      </c>
      <c r="I66" s="26">
        <v>3862059000</v>
      </c>
      <c r="J66" s="26">
        <v>2349249000</v>
      </c>
      <c r="K66" s="26">
        <v>444587000</v>
      </c>
      <c r="L66" s="26">
        <v>548324000</v>
      </c>
    </row>
    <row r="67" spans="1:12" x14ac:dyDescent="0.35">
      <c r="A67" t="s">
        <v>110</v>
      </c>
      <c r="B67" s="26">
        <v>11560218000</v>
      </c>
      <c r="C67" s="26">
        <v>11456820000</v>
      </c>
      <c r="D67" s="26">
        <v>11213186000</v>
      </c>
      <c r="E67" s="26">
        <v>9433844000</v>
      </c>
      <c r="F67" s="26">
        <v>6674678000</v>
      </c>
      <c r="G67" s="26">
        <v>6143902000</v>
      </c>
      <c r="H67" s="26">
        <v>5823142000</v>
      </c>
      <c r="I67" s="26">
        <v>5002423000</v>
      </c>
      <c r="J67" s="26">
        <v>2950006000</v>
      </c>
      <c r="K67" s="26">
        <v>-248172000</v>
      </c>
      <c r="L67" s="26">
        <v>-201838000</v>
      </c>
    </row>
    <row r="68" spans="1:12" x14ac:dyDescent="0.35">
      <c r="A68" t="s">
        <v>111</v>
      </c>
      <c r="B68" s="26">
        <v>5936355000</v>
      </c>
      <c r="C68" s="26">
        <v>6599398000</v>
      </c>
      <c r="D68" s="26">
        <v>7392581000</v>
      </c>
      <c r="E68" s="26">
        <v>5533300000</v>
      </c>
      <c r="F68" s="26">
        <v>3808629000</v>
      </c>
      <c r="G68" s="26">
        <v>3324286000</v>
      </c>
      <c r="H68" s="26">
        <v>3104304000</v>
      </c>
      <c r="I68" s="26">
        <v>2898822000</v>
      </c>
      <c r="J68" s="26">
        <v>2508902000</v>
      </c>
      <c r="K68" s="26">
        <v>-320738000</v>
      </c>
      <c r="L68" s="26">
        <v>-245017000</v>
      </c>
    </row>
    <row r="69" spans="1:12" x14ac:dyDescent="0.35">
      <c r="A69" t="s">
        <v>112</v>
      </c>
      <c r="B69" s="26">
        <v>5546574000</v>
      </c>
      <c r="C69" s="26">
        <v>4484200000</v>
      </c>
      <c r="D69" s="26">
        <v>3288685000</v>
      </c>
      <c r="E69" s="26">
        <v>2720690000</v>
      </c>
      <c r="F69" s="26">
        <v>1793744000</v>
      </c>
      <c r="G69" s="26">
        <v>1686652000</v>
      </c>
      <c r="H69" s="26">
        <v>1602956000</v>
      </c>
      <c r="I69" s="26">
        <v>1607290000</v>
      </c>
      <c r="J69" s="26">
        <v>197646000</v>
      </c>
      <c r="K69" s="26">
        <v>114568000</v>
      </c>
      <c r="L69" s="26">
        <v>43798000</v>
      </c>
    </row>
    <row r="70" spans="1:12" x14ac:dyDescent="0.35">
      <c r="A70" t="s">
        <v>113</v>
      </c>
      <c r="B70" s="26">
        <v>2066470000</v>
      </c>
      <c r="C70" s="26">
        <v>1498309000</v>
      </c>
      <c r="D70" s="26">
        <v>709718000</v>
      </c>
      <c r="E70" s="26">
        <v>733806000</v>
      </c>
      <c r="G70" s="26">
        <v>550369000</v>
      </c>
      <c r="H70" s="26">
        <v>543624000</v>
      </c>
    </row>
    <row r="71" spans="1:12" x14ac:dyDescent="0.35">
      <c r="A71" t="s">
        <v>114</v>
      </c>
      <c r="B71" s="26">
        <v>799504000</v>
      </c>
      <c r="C71" s="26">
        <v>796098000</v>
      </c>
      <c r="D71" s="26">
        <v>779619000</v>
      </c>
      <c r="E71" s="26">
        <v>764257000</v>
      </c>
      <c r="F71" s="26">
        <v>746902000</v>
      </c>
      <c r="G71" s="26">
        <v>721572000</v>
      </c>
      <c r="H71" s="26">
        <v>694132000</v>
      </c>
      <c r="I71" s="26">
        <v>642385000</v>
      </c>
      <c r="J71" s="26">
        <v>569922000</v>
      </c>
      <c r="K71" s="26">
        <v>544696816</v>
      </c>
      <c r="L71" s="26">
        <v>544696816</v>
      </c>
    </row>
    <row r="72" spans="1:12" x14ac:dyDescent="0.35">
      <c r="A72" t="s">
        <v>115</v>
      </c>
      <c r="B72" s="26">
        <v>799384000</v>
      </c>
      <c r="C72" s="26">
        <v>796000000</v>
      </c>
      <c r="D72" s="26">
        <v>779619000</v>
      </c>
      <c r="E72" s="26">
        <v>764257000</v>
      </c>
      <c r="F72" s="26">
        <v>746902000</v>
      </c>
      <c r="G72" s="26">
        <v>721572000</v>
      </c>
      <c r="H72" s="26">
        <v>694132000</v>
      </c>
      <c r="I72" s="26">
        <v>642385000</v>
      </c>
      <c r="J72" s="26">
        <v>569922000</v>
      </c>
      <c r="K72" s="26">
        <v>544696816</v>
      </c>
      <c r="L72" s="26">
        <v>544696816</v>
      </c>
    </row>
    <row r="73" spans="1:12" x14ac:dyDescent="0.35">
      <c r="A73" t="s">
        <v>116</v>
      </c>
      <c r="B73" s="26">
        <v>120000</v>
      </c>
      <c r="C73" s="26">
        <v>98000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10CA-DBDD-4DAD-9627-61CE4FEC251A}">
  <dimension ref="A1:N51"/>
  <sheetViews>
    <sheetView workbookViewId="0">
      <selection activeCell="A11" sqref="A11"/>
    </sheetView>
  </sheetViews>
  <sheetFormatPr defaultRowHeight="14.5" x14ac:dyDescent="0.35"/>
  <cols>
    <col min="1" max="1" width="49" bestFit="1" customWidth="1"/>
    <col min="2" max="3" width="12.1796875" bestFit="1" customWidth="1"/>
    <col min="4" max="5" width="12.90625" bestFit="1" customWidth="1"/>
    <col min="6" max="11" width="12.1796875" bestFit="1" customWidth="1"/>
    <col min="12" max="12" width="10.7265625" bestFit="1" customWidth="1"/>
    <col min="13" max="13" width="11.36328125" bestFit="1" customWidth="1"/>
    <col min="14" max="14" width="10.7265625" bestFit="1" customWidth="1"/>
  </cols>
  <sheetData>
    <row r="1" spans="1:14" x14ac:dyDescent="0.35">
      <c r="A1" t="s">
        <v>121</v>
      </c>
      <c r="B1" t="s">
        <v>122</v>
      </c>
      <c r="C1" s="27">
        <v>44561</v>
      </c>
      <c r="D1" s="27">
        <v>44196</v>
      </c>
      <c r="E1" s="27">
        <v>43830</v>
      </c>
      <c r="F1" s="27">
        <v>43465</v>
      </c>
      <c r="G1" s="27">
        <v>43100</v>
      </c>
      <c r="H1" s="27">
        <v>42735</v>
      </c>
      <c r="I1" s="27">
        <v>42369</v>
      </c>
      <c r="J1" s="27">
        <v>42004</v>
      </c>
      <c r="K1" s="27">
        <v>41639</v>
      </c>
      <c r="L1" s="27">
        <v>41274</v>
      </c>
      <c r="M1" s="27">
        <v>40908</v>
      </c>
      <c r="N1" s="27">
        <v>40543</v>
      </c>
    </row>
    <row r="2" spans="1:14" x14ac:dyDescent="0.35">
      <c r="A2" t="s">
        <v>123</v>
      </c>
      <c r="B2" s="26">
        <v>5077482000</v>
      </c>
      <c r="C2" s="26">
        <v>5077482000</v>
      </c>
      <c r="D2" s="26">
        <v>3716349000</v>
      </c>
      <c r="E2" s="26">
        <v>3459329000</v>
      </c>
      <c r="F2" s="26">
        <v>3042359000</v>
      </c>
      <c r="G2" s="26">
        <v>2443299000</v>
      </c>
      <c r="H2" s="26">
        <v>2529619000</v>
      </c>
      <c r="I2" s="26">
        <v>2218032000</v>
      </c>
      <c r="J2" s="26">
        <v>1403002000</v>
      </c>
      <c r="K2" s="26">
        <v>664890000</v>
      </c>
      <c r="L2" s="26">
        <v>316933000</v>
      </c>
      <c r="M2" s="26">
        <v>106313000</v>
      </c>
      <c r="N2" s="26">
        <v>28278000</v>
      </c>
    </row>
    <row r="3" spans="1:14" x14ac:dyDescent="0.35">
      <c r="A3" t="s">
        <v>124</v>
      </c>
      <c r="B3" s="26">
        <v>5077482000</v>
      </c>
      <c r="C3" s="26">
        <v>5077482000</v>
      </c>
      <c r="D3" s="26">
        <v>3716349000</v>
      </c>
      <c r="E3" s="26">
        <v>3459329000</v>
      </c>
      <c r="F3" s="26">
        <v>3042359000</v>
      </c>
      <c r="G3" s="26">
        <v>2443299000</v>
      </c>
      <c r="H3" s="26">
        <v>2529619000</v>
      </c>
      <c r="I3" s="26">
        <v>2218032000</v>
      </c>
      <c r="J3" s="26">
        <v>1403002000</v>
      </c>
      <c r="K3" s="26">
        <v>664890000</v>
      </c>
      <c r="L3" s="26">
        <v>316933000</v>
      </c>
      <c r="M3" s="26">
        <v>106313000</v>
      </c>
      <c r="N3" s="26">
        <v>28278000</v>
      </c>
    </row>
    <row r="4" spans="1:14" x14ac:dyDescent="0.35">
      <c r="A4" t="s">
        <v>125</v>
      </c>
      <c r="B4" s="26">
        <v>1797510000</v>
      </c>
      <c r="C4" s="26">
        <v>1797510000</v>
      </c>
      <c r="D4" s="26">
        <v>1366388000</v>
      </c>
      <c r="E4" s="26">
        <v>1137041000</v>
      </c>
      <c r="F4" s="26">
        <v>964997000</v>
      </c>
      <c r="G4" s="26">
        <v>861242000</v>
      </c>
      <c r="H4" s="26">
        <v>932240000</v>
      </c>
      <c r="I4" s="26">
        <v>729256000</v>
      </c>
      <c r="J4" s="26">
        <v>446309000</v>
      </c>
      <c r="K4" s="26">
        <v>266718000</v>
      </c>
      <c r="L4" s="26">
        <v>128768000</v>
      </c>
      <c r="M4" s="26">
        <v>61803000</v>
      </c>
      <c r="N4" s="26">
        <v>43168000</v>
      </c>
    </row>
    <row r="5" spans="1:14" x14ac:dyDescent="0.35">
      <c r="A5" t="s">
        <v>126</v>
      </c>
      <c r="B5" s="26">
        <v>3279972000</v>
      </c>
      <c r="C5" s="26">
        <v>3279972000</v>
      </c>
      <c r="D5" s="26">
        <v>2349961000</v>
      </c>
      <c r="E5" s="26">
        <v>2322288000</v>
      </c>
      <c r="F5" s="26">
        <v>2077362000</v>
      </c>
      <c r="G5" s="26">
        <v>1582057000</v>
      </c>
      <c r="H5" s="26">
        <v>1597379000</v>
      </c>
      <c r="I5" s="26">
        <v>1488776000</v>
      </c>
      <c r="J5" s="26">
        <v>956693000</v>
      </c>
      <c r="K5" s="26">
        <v>398172000</v>
      </c>
      <c r="L5" s="26">
        <v>188165000</v>
      </c>
      <c r="M5" s="26">
        <v>44510000</v>
      </c>
      <c r="N5" s="26">
        <v>-14890000</v>
      </c>
    </row>
    <row r="6" spans="1:14" x14ac:dyDescent="0.35">
      <c r="A6" t="s">
        <v>127</v>
      </c>
      <c r="B6" s="26">
        <v>3007010000</v>
      </c>
      <c r="C6" s="26">
        <v>3007010000</v>
      </c>
      <c r="D6" s="26">
        <v>2323303000</v>
      </c>
      <c r="E6" s="26">
        <v>1955915000</v>
      </c>
      <c r="F6" s="26">
        <v>1624037000</v>
      </c>
      <c r="G6" s="26">
        <v>1543317000</v>
      </c>
      <c r="H6" s="26">
        <v>1964587000</v>
      </c>
      <c r="I6" s="26">
        <v>1938812000</v>
      </c>
      <c r="J6" s="26">
        <v>1495559000</v>
      </c>
      <c r="K6" s="26">
        <v>1034003000</v>
      </c>
      <c r="L6" s="26">
        <v>265248000</v>
      </c>
      <c r="M6" s="26">
        <v>171921000</v>
      </c>
      <c r="N6" s="26">
        <v>52589000</v>
      </c>
    </row>
    <row r="7" spans="1:14" x14ac:dyDescent="0.35">
      <c r="A7" t="s">
        <v>128</v>
      </c>
      <c r="B7" s="26">
        <v>1760306000</v>
      </c>
      <c r="C7" s="26">
        <v>1760306000</v>
      </c>
      <c r="D7" s="26">
        <v>1450292000</v>
      </c>
      <c r="E7" s="26">
        <v>1273634000</v>
      </c>
      <c r="F7" s="26">
        <v>1070179000</v>
      </c>
      <c r="G7" s="26">
        <v>1001307000</v>
      </c>
      <c r="H7" s="26">
        <v>1251105000</v>
      </c>
      <c r="I7" s="26">
        <v>1132164000</v>
      </c>
      <c r="J7" s="26">
        <v>804016000</v>
      </c>
      <c r="K7" s="26">
        <v>440011000</v>
      </c>
      <c r="L7" s="26">
        <v>146244000</v>
      </c>
      <c r="M7" s="26">
        <v>91745000</v>
      </c>
      <c r="N7" s="26">
        <v>23241000</v>
      </c>
    </row>
    <row r="8" spans="1:14" x14ac:dyDescent="0.35">
      <c r="A8" t="s">
        <v>129</v>
      </c>
      <c r="B8" s="26">
        <v>584336000</v>
      </c>
      <c r="C8" s="26">
        <v>584336000</v>
      </c>
      <c r="D8" s="26">
        <v>562432000</v>
      </c>
      <c r="E8" s="26">
        <v>359821000</v>
      </c>
      <c r="F8" s="26">
        <v>298818000</v>
      </c>
      <c r="G8" s="26">
        <v>283888000</v>
      </c>
      <c r="H8" s="26">
        <v>293276000</v>
      </c>
      <c r="I8" s="26">
        <v>260673000</v>
      </c>
      <c r="J8" s="26">
        <v>189906000</v>
      </c>
      <c r="K8" s="26">
        <v>123795000</v>
      </c>
      <c r="L8" s="26">
        <v>59693000</v>
      </c>
      <c r="M8" s="26">
        <v>65757000</v>
      </c>
      <c r="N8" s="26">
        <v>16952000</v>
      </c>
    </row>
    <row r="9" spans="1:14" x14ac:dyDescent="0.35">
      <c r="A9" t="s">
        <v>130</v>
      </c>
      <c r="B9" s="26">
        <v>584336000</v>
      </c>
      <c r="C9" s="26">
        <v>584336000</v>
      </c>
      <c r="D9" s="26">
        <v>562432000</v>
      </c>
      <c r="E9" s="26">
        <v>359821000</v>
      </c>
      <c r="F9" s="26">
        <v>298818000</v>
      </c>
      <c r="G9" s="26">
        <v>283888000</v>
      </c>
      <c r="H9" s="26">
        <v>293276000</v>
      </c>
      <c r="I9" s="26">
        <v>260673000</v>
      </c>
      <c r="J9" s="26">
        <v>189906000</v>
      </c>
      <c r="K9" s="26">
        <v>123795000</v>
      </c>
      <c r="L9" s="26">
        <v>59693000</v>
      </c>
      <c r="M9" s="26">
        <v>65757000</v>
      </c>
      <c r="N9" s="26">
        <v>16952000</v>
      </c>
    </row>
    <row r="10" spans="1:14" x14ac:dyDescent="0.35">
      <c r="A10" t="s">
        <v>269</v>
      </c>
      <c r="B10" s="26">
        <v>1175970000</v>
      </c>
      <c r="C10" s="26">
        <v>1175970000</v>
      </c>
      <c r="D10" s="26">
        <v>887860000</v>
      </c>
      <c r="E10" s="26">
        <v>913813000</v>
      </c>
      <c r="F10" s="26">
        <v>771361000</v>
      </c>
      <c r="G10" s="26">
        <v>717419000</v>
      </c>
      <c r="H10" s="26">
        <v>957829000</v>
      </c>
      <c r="I10" s="26">
        <v>871491000</v>
      </c>
      <c r="J10" s="26">
        <v>614110000</v>
      </c>
      <c r="K10" s="26">
        <v>316216000</v>
      </c>
      <c r="L10" s="26">
        <v>86551000</v>
      </c>
      <c r="M10" s="26">
        <v>25988000</v>
      </c>
      <c r="N10" s="26">
        <v>6289000</v>
      </c>
    </row>
    <row r="11" spans="1:14" x14ac:dyDescent="0.35">
      <c r="A11" t="s">
        <v>270</v>
      </c>
      <c r="B11" s="26">
        <v>1246704000</v>
      </c>
      <c r="C11" s="26">
        <v>1246704000</v>
      </c>
      <c r="D11" s="26">
        <v>873011000</v>
      </c>
      <c r="E11" s="26">
        <v>682281000</v>
      </c>
      <c r="F11" s="26">
        <v>553858000</v>
      </c>
      <c r="G11" s="26">
        <v>542010000</v>
      </c>
      <c r="H11" s="26">
        <v>713482000</v>
      </c>
      <c r="I11" s="26">
        <v>806648000</v>
      </c>
      <c r="J11" s="26">
        <v>691543000</v>
      </c>
      <c r="K11" s="26">
        <v>593992000</v>
      </c>
      <c r="L11" s="26">
        <v>119004000</v>
      </c>
      <c r="M11" s="26">
        <v>80176000</v>
      </c>
      <c r="N11" s="26">
        <v>29348000</v>
      </c>
    </row>
    <row r="12" spans="1:14" x14ac:dyDescent="0.35">
      <c r="A12" t="s">
        <v>131</v>
      </c>
      <c r="B12" s="26">
        <v>272962000</v>
      </c>
      <c r="C12" s="26">
        <v>272962000</v>
      </c>
      <c r="D12" s="26">
        <v>26658000</v>
      </c>
      <c r="E12" s="26">
        <v>366373000</v>
      </c>
      <c r="F12" s="26">
        <v>453325000</v>
      </c>
      <c r="G12" s="26">
        <v>38740000</v>
      </c>
      <c r="H12" s="26">
        <v>-367208000</v>
      </c>
      <c r="I12" s="26">
        <v>-450036000</v>
      </c>
      <c r="J12" s="26">
        <v>-538866000</v>
      </c>
      <c r="K12" s="26">
        <v>-635831000</v>
      </c>
      <c r="L12" s="26">
        <v>-77083000</v>
      </c>
      <c r="M12" s="26">
        <v>-127411000</v>
      </c>
      <c r="N12" s="26">
        <v>-67479000</v>
      </c>
    </row>
    <row r="13" spans="1:14" x14ac:dyDescent="0.35">
      <c r="A13" t="s">
        <v>132</v>
      </c>
      <c r="B13" s="26">
        <v>-15503000</v>
      </c>
      <c r="C13" s="26">
        <v>-15503000</v>
      </c>
      <c r="D13" s="26">
        <v>-64700000</v>
      </c>
      <c r="E13" s="26">
        <v>19523000</v>
      </c>
      <c r="F13" s="26">
        <v>-21385000</v>
      </c>
      <c r="G13" s="26">
        <v>-105237000</v>
      </c>
      <c r="H13" s="26">
        <v>-74668000</v>
      </c>
      <c r="I13" s="26">
        <v>-98178000</v>
      </c>
      <c r="J13" s="26">
        <v>-33985000</v>
      </c>
      <c r="K13" s="26">
        <v>-6860000</v>
      </c>
      <c r="L13" s="26">
        <v>-2486000</v>
      </c>
      <c r="M13" s="26">
        <v>-805000</v>
      </c>
      <c r="N13" s="26">
        <v>55000</v>
      </c>
    </row>
    <row r="14" spans="1:14" x14ac:dyDescent="0.35">
      <c r="A14" t="s">
        <v>271</v>
      </c>
      <c r="B14" s="26">
        <v>35683000</v>
      </c>
      <c r="C14" s="26">
        <v>35683000</v>
      </c>
      <c r="D14" s="26">
        <v>88178000</v>
      </c>
      <c r="E14" s="26">
        <v>157703000</v>
      </c>
      <c r="F14" s="26">
        <v>111221000</v>
      </c>
      <c r="H14" s="26">
        <v>25300000</v>
      </c>
    </row>
    <row r="15" spans="1:14" x14ac:dyDescent="0.35">
      <c r="A15" t="s">
        <v>133</v>
      </c>
      <c r="B15" s="26">
        <v>51186000</v>
      </c>
      <c r="C15" s="26">
        <v>51186000</v>
      </c>
      <c r="D15" s="26">
        <v>152878000</v>
      </c>
      <c r="E15" s="26">
        <v>138180000</v>
      </c>
      <c r="F15" s="26">
        <v>132606000</v>
      </c>
      <c r="G15" s="26">
        <v>105237000</v>
      </c>
      <c r="H15" s="26">
        <v>99968000</v>
      </c>
      <c r="I15" s="26">
        <v>98178000</v>
      </c>
    </row>
    <row r="16" spans="1:14" x14ac:dyDescent="0.35">
      <c r="A16" t="s">
        <v>272</v>
      </c>
      <c r="J16" s="26">
        <v>33985000</v>
      </c>
      <c r="K16" s="26">
        <v>6860000</v>
      </c>
      <c r="L16" s="26">
        <v>2486000</v>
      </c>
      <c r="M16" s="26">
        <v>805000</v>
      </c>
      <c r="N16" s="26">
        <v>-55000</v>
      </c>
    </row>
    <row r="17" spans="1:14" x14ac:dyDescent="0.35">
      <c r="A17" t="s">
        <v>134</v>
      </c>
      <c r="B17" s="26">
        <v>-668572000</v>
      </c>
      <c r="C17" s="26">
        <v>-668572000</v>
      </c>
      <c r="D17" s="26">
        <v>-12897000</v>
      </c>
      <c r="E17" s="26">
        <v>4243000</v>
      </c>
      <c r="F17" s="26">
        <v>-8396000</v>
      </c>
      <c r="G17" s="26">
        <v>-28921000</v>
      </c>
      <c r="H17" s="26">
        <v>1000000</v>
      </c>
      <c r="I17" s="26">
        <v>14909000</v>
      </c>
      <c r="J17" s="26">
        <v>-5500000</v>
      </c>
      <c r="K17" s="26">
        <v>-4455000</v>
      </c>
      <c r="L17" s="26">
        <v>399000</v>
      </c>
      <c r="M17" s="26">
        <v>-1530000</v>
      </c>
      <c r="N17" s="26">
        <v>-117000</v>
      </c>
    </row>
    <row r="18" spans="1:14" x14ac:dyDescent="0.35">
      <c r="A18" t="s">
        <v>204</v>
      </c>
      <c r="H18" s="26">
        <v>5800000</v>
      </c>
    </row>
    <row r="19" spans="1:14" x14ac:dyDescent="0.35">
      <c r="A19" t="s">
        <v>135</v>
      </c>
      <c r="B19" s="26">
        <v>-765701000</v>
      </c>
      <c r="C19" s="26">
        <v>-765701000</v>
      </c>
    </row>
    <row r="20" spans="1:14" x14ac:dyDescent="0.35">
      <c r="A20" t="s">
        <v>136</v>
      </c>
      <c r="B20" s="26">
        <v>765701000</v>
      </c>
      <c r="C20" s="26">
        <v>765701000</v>
      </c>
    </row>
    <row r="21" spans="1:14" x14ac:dyDescent="0.35">
      <c r="A21" t="s">
        <v>137</v>
      </c>
      <c r="B21" s="26">
        <v>97129000</v>
      </c>
      <c r="C21" s="26">
        <v>97129000</v>
      </c>
      <c r="D21" s="26">
        <v>-12897000</v>
      </c>
      <c r="E21" s="26">
        <v>4243000</v>
      </c>
      <c r="F21" s="26">
        <v>-8396000</v>
      </c>
      <c r="G21" s="26">
        <v>-28921000</v>
      </c>
      <c r="H21" s="26">
        <v>-4800000</v>
      </c>
      <c r="I21" s="26">
        <v>14909000</v>
      </c>
      <c r="J21" s="26">
        <v>-5500000</v>
      </c>
      <c r="K21" s="26">
        <v>-4455000</v>
      </c>
      <c r="L21" s="26">
        <v>399000</v>
      </c>
      <c r="M21" s="26">
        <v>-1530000</v>
      </c>
      <c r="N21" s="26">
        <v>-117000</v>
      </c>
    </row>
    <row r="22" spans="1:14" x14ac:dyDescent="0.35">
      <c r="A22" t="s">
        <v>138</v>
      </c>
      <c r="B22" s="26">
        <v>-411113000</v>
      </c>
      <c r="C22" s="26">
        <v>-411113000</v>
      </c>
      <c r="D22" s="26">
        <v>-50939000</v>
      </c>
      <c r="E22" s="26">
        <v>390139000</v>
      </c>
      <c r="F22" s="26">
        <v>423544000</v>
      </c>
      <c r="G22" s="26">
        <v>-95418000</v>
      </c>
      <c r="H22" s="26">
        <v>-440834000</v>
      </c>
      <c r="I22" s="26">
        <v>-533305000</v>
      </c>
      <c r="J22" s="26">
        <v>-578351000</v>
      </c>
      <c r="K22" s="26">
        <v>-647146000</v>
      </c>
      <c r="L22" s="26">
        <v>-79170000</v>
      </c>
      <c r="M22" s="26">
        <v>-129746000</v>
      </c>
      <c r="N22" s="26">
        <v>-67541000</v>
      </c>
    </row>
    <row r="23" spans="1:14" x14ac:dyDescent="0.35">
      <c r="A23" t="s">
        <v>139</v>
      </c>
      <c r="B23" s="26">
        <v>-189704000</v>
      </c>
      <c r="C23" s="26">
        <v>-189704000</v>
      </c>
      <c r="D23" s="26">
        <v>1084687000</v>
      </c>
      <c r="E23" s="26">
        <v>-1075520000</v>
      </c>
      <c r="F23" s="26">
        <v>-782052000</v>
      </c>
      <c r="G23" s="26">
        <v>12645000</v>
      </c>
      <c r="H23" s="26">
        <v>16039000</v>
      </c>
      <c r="I23" s="26">
        <v>-12274000</v>
      </c>
      <c r="J23" s="26">
        <v>-531000</v>
      </c>
      <c r="K23" s="26">
        <v>-1823000</v>
      </c>
      <c r="L23" s="26">
        <v>229000</v>
      </c>
      <c r="M23" s="26">
        <v>-1444000</v>
      </c>
      <c r="N23" s="26">
        <v>-217000</v>
      </c>
    </row>
    <row r="24" spans="1:14" x14ac:dyDescent="0.35">
      <c r="A24" t="s">
        <v>140</v>
      </c>
      <c r="B24" s="26">
        <v>-221409000</v>
      </c>
      <c r="C24" s="26">
        <v>-221409000</v>
      </c>
      <c r="D24" s="26">
        <v>-1135626000</v>
      </c>
      <c r="E24" s="26">
        <v>1465659000</v>
      </c>
      <c r="F24" s="26">
        <v>1205596000</v>
      </c>
      <c r="G24" s="26">
        <v>-108063000</v>
      </c>
      <c r="H24" s="26">
        <v>-456873000</v>
      </c>
      <c r="I24" s="26">
        <v>-521031000</v>
      </c>
      <c r="J24" s="26">
        <v>-577820000</v>
      </c>
      <c r="K24" s="26">
        <v>-645323000</v>
      </c>
      <c r="L24" s="26">
        <v>-79399000</v>
      </c>
      <c r="M24" s="26">
        <v>-164118000</v>
      </c>
      <c r="N24" s="26">
        <v>-67324000</v>
      </c>
    </row>
    <row r="25" spans="1:14" x14ac:dyDescent="0.35">
      <c r="A25" t="s">
        <v>141</v>
      </c>
      <c r="B25" s="26">
        <v>-221409000</v>
      </c>
      <c r="C25" s="26">
        <v>-221409000</v>
      </c>
      <c r="D25" s="26">
        <v>-1135626000</v>
      </c>
      <c r="E25" s="26">
        <v>1465659000</v>
      </c>
      <c r="F25" s="26">
        <v>1205596000</v>
      </c>
      <c r="G25" s="26">
        <v>-108063000</v>
      </c>
      <c r="H25" s="26">
        <v>-456873000</v>
      </c>
      <c r="I25" s="26">
        <v>-521031000</v>
      </c>
      <c r="J25" s="26">
        <v>-577820000</v>
      </c>
      <c r="K25" s="26">
        <v>-645323000</v>
      </c>
      <c r="L25" s="26">
        <v>-79399000</v>
      </c>
      <c r="M25" s="26">
        <v>-128302000</v>
      </c>
      <c r="N25" s="26">
        <v>-67324000</v>
      </c>
    </row>
    <row r="26" spans="1:14" x14ac:dyDescent="0.35">
      <c r="A26" t="s">
        <v>142</v>
      </c>
      <c r="B26" s="26">
        <v>-221409000</v>
      </c>
      <c r="C26" s="26">
        <v>-221409000</v>
      </c>
      <c r="D26" s="26">
        <v>-1135626000</v>
      </c>
      <c r="E26" s="26">
        <v>1465659000</v>
      </c>
      <c r="F26" s="26">
        <v>1205596000</v>
      </c>
      <c r="G26" s="26">
        <v>-108063000</v>
      </c>
      <c r="H26" s="26">
        <v>-456873000</v>
      </c>
      <c r="I26" s="26">
        <v>-521031000</v>
      </c>
      <c r="J26" s="26">
        <v>-577820000</v>
      </c>
      <c r="K26" s="26">
        <v>-645323000</v>
      </c>
      <c r="L26" s="26">
        <v>-79399000</v>
      </c>
      <c r="M26" s="26">
        <v>-128302000</v>
      </c>
      <c r="N26" s="26">
        <v>-67324000</v>
      </c>
    </row>
    <row r="27" spans="1:14" x14ac:dyDescent="0.35">
      <c r="A27" t="s">
        <v>143</v>
      </c>
      <c r="B27" s="26">
        <v>-221409000</v>
      </c>
      <c r="C27" s="26">
        <v>-221409000</v>
      </c>
      <c r="D27" s="26">
        <v>-1135626000</v>
      </c>
      <c r="E27" s="26">
        <v>1465659000</v>
      </c>
      <c r="F27" s="26">
        <v>1205596000</v>
      </c>
      <c r="G27" s="26">
        <v>-108063000</v>
      </c>
      <c r="H27" s="26">
        <v>-456873000</v>
      </c>
      <c r="I27" s="26">
        <v>-521031000</v>
      </c>
      <c r="J27" s="26">
        <v>-577820000</v>
      </c>
      <c r="K27" s="26">
        <v>-645323000</v>
      </c>
      <c r="L27" s="26">
        <v>-79399000</v>
      </c>
      <c r="M27" s="26">
        <v>-128302000</v>
      </c>
      <c r="N27" s="26">
        <v>-67324000</v>
      </c>
    </row>
    <row r="28" spans="1:14" x14ac:dyDescent="0.35">
      <c r="A28" t="s">
        <v>273</v>
      </c>
      <c r="K28">
        <v>0</v>
      </c>
      <c r="L28">
        <v>0</v>
      </c>
      <c r="M28" s="26">
        <v>35816000</v>
      </c>
      <c r="N28">
        <v>0</v>
      </c>
    </row>
    <row r="29" spans="1:14" x14ac:dyDescent="0.35">
      <c r="A29" t="s">
        <v>274</v>
      </c>
      <c r="B29">
        <v>0</v>
      </c>
      <c r="C29">
        <v>0</v>
      </c>
    </row>
    <row r="30" spans="1:14" x14ac:dyDescent="0.35">
      <c r="A30" t="s">
        <v>144</v>
      </c>
      <c r="B30" s="26">
        <v>-221409000</v>
      </c>
      <c r="C30" s="26">
        <v>-221409000</v>
      </c>
      <c r="D30" s="26">
        <v>-1135626000</v>
      </c>
      <c r="E30" s="26">
        <v>1465659000</v>
      </c>
      <c r="F30" s="26">
        <v>1205596000</v>
      </c>
      <c r="G30" s="26">
        <v>-108063000</v>
      </c>
      <c r="H30" s="26">
        <v>-456873000</v>
      </c>
      <c r="I30" s="26">
        <v>-521031000</v>
      </c>
      <c r="J30" s="26">
        <v>-577820000</v>
      </c>
      <c r="K30" s="26">
        <v>-645323000</v>
      </c>
      <c r="L30" s="26">
        <v>-79399000</v>
      </c>
      <c r="M30" s="26">
        <v>-164118000</v>
      </c>
      <c r="N30" s="26">
        <v>-67324000</v>
      </c>
    </row>
    <row r="31" spans="1:14" x14ac:dyDescent="0.35">
      <c r="A31" t="s">
        <v>145</v>
      </c>
      <c r="D31">
        <v>-1.44</v>
      </c>
      <c r="E31">
        <v>1.9</v>
      </c>
      <c r="F31">
        <v>1.6</v>
      </c>
      <c r="G31">
        <v>-0.15</v>
      </c>
      <c r="H31">
        <v>-0.65</v>
      </c>
      <c r="I31">
        <v>-0.79</v>
      </c>
      <c r="J31">
        <v>-0.96</v>
      </c>
      <c r="K31">
        <v>-3.41</v>
      </c>
      <c r="L31">
        <v>-0.18</v>
      </c>
      <c r="M31">
        <v>-1.6</v>
      </c>
      <c r="N31">
        <v>-0.15</v>
      </c>
    </row>
    <row r="32" spans="1:14" x14ac:dyDescent="0.35">
      <c r="A32" t="s">
        <v>146</v>
      </c>
      <c r="D32">
        <v>-1.44</v>
      </c>
      <c r="E32">
        <v>1.87</v>
      </c>
      <c r="F32">
        <v>1.56</v>
      </c>
      <c r="G32">
        <v>-0.15</v>
      </c>
      <c r="H32">
        <v>-0.65</v>
      </c>
      <c r="I32">
        <v>-0.79</v>
      </c>
      <c r="J32">
        <v>-0.96</v>
      </c>
      <c r="K32">
        <v>-3.41</v>
      </c>
      <c r="L32">
        <v>-0.18</v>
      </c>
      <c r="M32">
        <v>-1.6</v>
      </c>
      <c r="N32">
        <v>-0.15</v>
      </c>
    </row>
    <row r="33" spans="1:14" x14ac:dyDescent="0.35">
      <c r="A33" t="s">
        <v>147</v>
      </c>
      <c r="D33" s="26">
        <v>787861000</v>
      </c>
      <c r="E33" s="26">
        <v>770729000</v>
      </c>
      <c r="F33" s="26">
        <v>754326000</v>
      </c>
      <c r="G33" s="26">
        <v>732702000</v>
      </c>
      <c r="H33" s="26">
        <v>702135000</v>
      </c>
      <c r="I33" s="26">
        <v>662424000</v>
      </c>
      <c r="J33" s="26">
        <v>604990000</v>
      </c>
      <c r="K33" s="26">
        <v>189510000</v>
      </c>
      <c r="L33" s="26">
        <v>449900000</v>
      </c>
      <c r="M33" s="26">
        <v>102544000</v>
      </c>
      <c r="N33" s="26">
        <v>449900000</v>
      </c>
    </row>
    <row r="34" spans="1:14" x14ac:dyDescent="0.35">
      <c r="A34" t="s">
        <v>148</v>
      </c>
      <c r="D34" s="26">
        <v>787861000</v>
      </c>
      <c r="E34" s="26">
        <v>785531000</v>
      </c>
      <c r="F34" s="26">
        <v>772686000</v>
      </c>
      <c r="G34" s="26">
        <v>732702000</v>
      </c>
      <c r="H34" s="26">
        <v>702135000</v>
      </c>
      <c r="I34" s="26">
        <v>662424000</v>
      </c>
      <c r="J34" s="26">
        <v>604990000</v>
      </c>
      <c r="K34" s="26">
        <v>189510000</v>
      </c>
      <c r="L34" s="26">
        <v>449900000</v>
      </c>
      <c r="M34" s="26">
        <v>102544000</v>
      </c>
      <c r="N34" s="26">
        <v>449900000</v>
      </c>
    </row>
    <row r="35" spans="1:14" x14ac:dyDescent="0.35">
      <c r="A35" t="s">
        <v>149</v>
      </c>
      <c r="B35" s="26">
        <v>-492739000</v>
      </c>
      <c r="C35" s="26">
        <v>-492739000</v>
      </c>
      <c r="D35" s="26">
        <v>26658000</v>
      </c>
      <c r="E35" s="26">
        <v>366373000</v>
      </c>
      <c r="F35" s="26">
        <v>453325000</v>
      </c>
      <c r="G35" s="26">
        <v>38740000</v>
      </c>
      <c r="H35" s="26">
        <v>-367208000</v>
      </c>
      <c r="I35" s="26">
        <v>-450036000</v>
      </c>
      <c r="J35" s="26">
        <v>-538866000</v>
      </c>
      <c r="K35" s="26">
        <v>-635831000</v>
      </c>
      <c r="L35" s="26">
        <v>-77083000</v>
      </c>
      <c r="M35" s="26">
        <v>-127411000</v>
      </c>
      <c r="N35" s="26">
        <v>-67479000</v>
      </c>
    </row>
    <row r="36" spans="1:14" x14ac:dyDescent="0.35">
      <c r="A36" t="s">
        <v>150</v>
      </c>
      <c r="B36" s="26">
        <v>4804520000</v>
      </c>
      <c r="C36" s="26">
        <v>4804520000</v>
      </c>
      <c r="D36" s="26">
        <v>3689691000</v>
      </c>
      <c r="E36" s="26">
        <v>3092956000</v>
      </c>
      <c r="F36" s="26">
        <v>2589034000</v>
      </c>
      <c r="G36" s="26">
        <v>2404559000</v>
      </c>
      <c r="H36" s="26">
        <v>2896827000</v>
      </c>
      <c r="I36" s="26">
        <v>2668068000</v>
      </c>
      <c r="J36" s="26">
        <v>1941868000</v>
      </c>
      <c r="K36" s="26">
        <v>1300721000</v>
      </c>
      <c r="L36" s="26">
        <v>394016000</v>
      </c>
      <c r="M36" s="26">
        <v>233724000</v>
      </c>
      <c r="N36" s="26">
        <v>95757000</v>
      </c>
    </row>
    <row r="37" spans="1:14" x14ac:dyDescent="0.35">
      <c r="A37" t="s">
        <v>153</v>
      </c>
      <c r="B37" s="26">
        <v>-221409000</v>
      </c>
      <c r="C37" s="26">
        <v>-221409000</v>
      </c>
      <c r="D37" s="26">
        <v>-1135626000</v>
      </c>
      <c r="E37" s="26">
        <v>1465659000</v>
      </c>
      <c r="F37" s="26">
        <v>1205596000</v>
      </c>
      <c r="G37" s="26">
        <v>-108063000</v>
      </c>
      <c r="H37" s="26">
        <v>-456873000</v>
      </c>
      <c r="I37" s="26">
        <v>-521031000</v>
      </c>
      <c r="J37" s="26">
        <v>-577820000</v>
      </c>
      <c r="K37" s="26">
        <v>-645323000</v>
      </c>
      <c r="L37" s="26">
        <v>-79399000</v>
      </c>
      <c r="M37" s="26">
        <v>-128302000</v>
      </c>
      <c r="N37" s="26">
        <v>-67324000</v>
      </c>
    </row>
    <row r="38" spans="1:14" x14ac:dyDescent="0.35">
      <c r="A38" t="s">
        <v>154</v>
      </c>
      <c r="B38" s="26">
        <v>337552730</v>
      </c>
      <c r="C38" s="26">
        <v>337552730</v>
      </c>
      <c r="D38" s="26">
        <v>-1135626000</v>
      </c>
      <c r="E38" s="26">
        <v>1465659000</v>
      </c>
      <c r="F38" s="26">
        <v>1205596000</v>
      </c>
      <c r="G38" s="26">
        <v>-108063000</v>
      </c>
      <c r="H38" s="26">
        <v>-460353000</v>
      </c>
      <c r="I38" s="26">
        <v>-521031000</v>
      </c>
      <c r="J38" s="26">
        <v>-577820000</v>
      </c>
      <c r="K38" s="26">
        <v>-645323000</v>
      </c>
      <c r="L38" s="26">
        <v>-79399000</v>
      </c>
      <c r="M38" s="26">
        <v>-128302000</v>
      </c>
      <c r="N38" s="26">
        <v>-67324000</v>
      </c>
    </row>
    <row r="39" spans="1:14" x14ac:dyDescent="0.35">
      <c r="A39" t="s">
        <v>275</v>
      </c>
      <c r="B39" s="26">
        <v>35683000</v>
      </c>
      <c r="C39" s="26">
        <v>35683000</v>
      </c>
      <c r="D39" s="26">
        <v>88178000</v>
      </c>
      <c r="E39" s="26">
        <v>157703000</v>
      </c>
      <c r="F39" s="26">
        <v>111221000</v>
      </c>
      <c r="H39" s="26">
        <v>25300000</v>
      </c>
    </row>
    <row r="40" spans="1:14" x14ac:dyDescent="0.35">
      <c r="A40" t="s">
        <v>151</v>
      </c>
      <c r="B40" s="26">
        <v>51186000</v>
      </c>
      <c r="C40" s="26">
        <v>51186000</v>
      </c>
      <c r="D40" s="26">
        <v>152878000</v>
      </c>
      <c r="E40" s="26">
        <v>138180000</v>
      </c>
      <c r="F40" s="26">
        <v>132606000</v>
      </c>
      <c r="G40" s="26">
        <v>105237000</v>
      </c>
      <c r="H40" s="26">
        <v>99968000</v>
      </c>
      <c r="I40" s="26">
        <v>98178000</v>
      </c>
    </row>
    <row r="41" spans="1:14" x14ac:dyDescent="0.35">
      <c r="A41" t="s">
        <v>152</v>
      </c>
      <c r="B41" s="26">
        <v>-15503000</v>
      </c>
      <c r="C41" s="26">
        <v>-15503000</v>
      </c>
      <c r="D41" s="26">
        <v>-64700000</v>
      </c>
      <c r="E41" s="26">
        <v>19523000</v>
      </c>
      <c r="F41" s="26">
        <v>-21385000</v>
      </c>
      <c r="G41" s="26">
        <v>-105237000</v>
      </c>
      <c r="H41" s="26">
        <v>-74668000</v>
      </c>
      <c r="I41" s="26">
        <v>-98178000</v>
      </c>
      <c r="J41" s="26">
        <v>-33985000</v>
      </c>
      <c r="K41" s="26">
        <v>-6860000</v>
      </c>
      <c r="L41" s="26">
        <v>-2486000</v>
      </c>
      <c r="M41" s="26">
        <v>-805000</v>
      </c>
      <c r="N41" s="26">
        <v>55000</v>
      </c>
    </row>
    <row r="42" spans="1:14" x14ac:dyDescent="0.35">
      <c r="A42" t="s">
        <v>32</v>
      </c>
      <c r="B42" s="26">
        <v>-359927000</v>
      </c>
      <c r="C42" s="26">
        <v>-359927000</v>
      </c>
      <c r="D42" s="26">
        <v>101939000</v>
      </c>
      <c r="E42" s="26">
        <v>528319000</v>
      </c>
      <c r="F42" s="26">
        <v>556150000</v>
      </c>
      <c r="G42" s="26">
        <v>9819000</v>
      </c>
      <c r="H42" s="26">
        <v>-340866000</v>
      </c>
      <c r="I42" s="26">
        <v>-435127000</v>
      </c>
      <c r="J42" s="26">
        <v>-538866000</v>
      </c>
      <c r="K42" s="26">
        <v>-635831000</v>
      </c>
      <c r="L42" s="26">
        <v>-77083000</v>
      </c>
      <c r="M42" s="26">
        <v>-127411000</v>
      </c>
      <c r="N42" s="26">
        <v>-67479000</v>
      </c>
    </row>
    <row r="43" spans="1:14" x14ac:dyDescent="0.35">
      <c r="A43" t="s">
        <v>117</v>
      </c>
      <c r="B43" s="26">
        <v>184921000</v>
      </c>
    </row>
    <row r="44" spans="1:14" x14ac:dyDescent="0.35">
      <c r="A44" t="s">
        <v>155</v>
      </c>
      <c r="B44" s="26">
        <v>1797510000</v>
      </c>
      <c r="C44" s="26">
        <v>1797510000</v>
      </c>
      <c r="D44" s="26">
        <v>1366388000</v>
      </c>
      <c r="E44" s="26">
        <v>1137041000</v>
      </c>
      <c r="F44" s="26">
        <v>964997000</v>
      </c>
      <c r="G44" s="26">
        <v>861242000</v>
      </c>
      <c r="H44" s="26">
        <v>932240000</v>
      </c>
      <c r="I44" s="26">
        <v>729256000</v>
      </c>
      <c r="J44" s="26">
        <v>446309000</v>
      </c>
      <c r="K44" s="26">
        <v>266718000</v>
      </c>
      <c r="L44" s="26">
        <v>128768000</v>
      </c>
      <c r="M44" s="26">
        <v>61803000</v>
      </c>
      <c r="N44" s="26">
        <v>43168000</v>
      </c>
    </row>
    <row r="45" spans="1:14" x14ac:dyDescent="0.35">
      <c r="A45" t="s">
        <v>156</v>
      </c>
      <c r="B45" s="26">
        <v>544848000</v>
      </c>
      <c r="C45" s="26">
        <v>544848000</v>
      </c>
      <c r="D45" s="26">
        <v>495177000</v>
      </c>
      <c r="E45" s="26">
        <v>465549000</v>
      </c>
      <c r="F45" s="26">
        <v>425498000</v>
      </c>
      <c r="G45" s="26">
        <v>395867000</v>
      </c>
      <c r="H45" s="26">
        <v>402172000</v>
      </c>
      <c r="I45" s="26">
        <v>312823000</v>
      </c>
      <c r="J45" s="26">
        <v>208165000</v>
      </c>
      <c r="K45" s="26">
        <v>110894000</v>
      </c>
      <c r="L45" s="26">
        <v>72506000</v>
      </c>
      <c r="M45" s="26">
        <v>24192000</v>
      </c>
      <c r="N45" s="26">
        <v>10364000</v>
      </c>
    </row>
    <row r="46" spans="1:14" x14ac:dyDescent="0.35">
      <c r="A46" t="s">
        <v>157</v>
      </c>
      <c r="B46" s="26">
        <v>-221409000</v>
      </c>
      <c r="C46" s="26">
        <v>-221409000</v>
      </c>
      <c r="D46" s="26">
        <v>-1135626000</v>
      </c>
      <c r="E46" s="26">
        <v>1465659000</v>
      </c>
      <c r="F46" s="26">
        <v>1205596000</v>
      </c>
      <c r="G46" s="26">
        <v>-108063000</v>
      </c>
      <c r="H46" s="26">
        <v>-456873000</v>
      </c>
      <c r="I46" s="26">
        <v>-521031000</v>
      </c>
      <c r="J46" s="26">
        <v>-577820000</v>
      </c>
      <c r="K46" s="26">
        <v>-645323000</v>
      </c>
      <c r="L46" s="26">
        <v>-79399000</v>
      </c>
      <c r="M46" s="26">
        <v>-128302000</v>
      </c>
      <c r="N46" s="26">
        <v>-67324000</v>
      </c>
    </row>
    <row r="47" spans="1:14" x14ac:dyDescent="0.35">
      <c r="A47" t="s">
        <v>158</v>
      </c>
      <c r="B47" s="26">
        <v>-765701000</v>
      </c>
      <c r="C47" s="26">
        <v>-765701000</v>
      </c>
      <c r="H47" s="26">
        <v>5800000</v>
      </c>
    </row>
    <row r="48" spans="1:14" x14ac:dyDescent="0.35">
      <c r="A48" t="s">
        <v>159</v>
      </c>
      <c r="B48" s="26">
        <v>-765701000</v>
      </c>
      <c r="C48" s="26">
        <v>-765701000</v>
      </c>
      <c r="H48" s="26">
        <v>5800000</v>
      </c>
    </row>
    <row r="49" spans="1:14" x14ac:dyDescent="0.35">
      <c r="A49" t="s">
        <v>160</v>
      </c>
      <c r="B49" s="26">
        <v>950622000</v>
      </c>
      <c r="C49" s="26">
        <v>950622000</v>
      </c>
      <c r="D49" s="26">
        <v>597116000</v>
      </c>
      <c r="E49" s="26">
        <v>993868000</v>
      </c>
      <c r="F49" s="26">
        <v>981648000</v>
      </c>
      <c r="G49" s="26">
        <v>405686000</v>
      </c>
      <c r="H49" s="26">
        <v>55506000</v>
      </c>
      <c r="I49" s="26">
        <v>-122304000</v>
      </c>
      <c r="J49" s="26">
        <v>-330701000</v>
      </c>
      <c r="K49" s="26">
        <v>-524937000</v>
      </c>
      <c r="L49" s="26">
        <v>-4577000</v>
      </c>
      <c r="M49" s="26">
        <v>-103219000</v>
      </c>
      <c r="N49" s="26">
        <v>-57115000</v>
      </c>
    </row>
    <row r="50" spans="1:14" x14ac:dyDescent="0.35">
      <c r="A50" t="s">
        <v>161</v>
      </c>
      <c r="B50">
        <v>0.27</v>
      </c>
      <c r="C50">
        <v>0.27</v>
      </c>
      <c r="D50">
        <v>0.27</v>
      </c>
      <c r="E50">
        <v>0.27</v>
      </c>
      <c r="F50">
        <v>0.27</v>
      </c>
      <c r="G50">
        <v>0.4</v>
      </c>
      <c r="H50">
        <v>0.4</v>
      </c>
      <c r="I50">
        <v>2.3E-2</v>
      </c>
      <c r="J50">
        <v>1E-3</v>
      </c>
      <c r="K50">
        <v>3.0000000000000001E-3</v>
      </c>
      <c r="L50">
        <v>0.35</v>
      </c>
      <c r="M50">
        <v>1.0999999999999999E-2</v>
      </c>
      <c r="N50">
        <v>3.0000000000000001E-3</v>
      </c>
    </row>
    <row r="51" spans="1:14" x14ac:dyDescent="0.35">
      <c r="A51" t="s">
        <v>162</v>
      </c>
      <c r="B51" s="26">
        <v>-206739270</v>
      </c>
      <c r="C51" s="26">
        <v>-206739270</v>
      </c>
      <c r="D51">
        <v>0</v>
      </c>
      <c r="E51">
        <v>0</v>
      </c>
      <c r="F51">
        <v>0</v>
      </c>
      <c r="G51">
        <v>0</v>
      </c>
      <c r="H51" s="26">
        <v>2320000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09BF-C473-45AF-AE4A-1A6905EB051B}">
  <dimension ref="A1:N60"/>
  <sheetViews>
    <sheetView workbookViewId="0">
      <selection activeCell="A31" sqref="A1:XFD1048576"/>
    </sheetView>
  </sheetViews>
  <sheetFormatPr defaultRowHeight="14.5" x14ac:dyDescent="0.35"/>
  <cols>
    <col min="1" max="1" width="39.36328125" bestFit="1" customWidth="1"/>
    <col min="2" max="11" width="12.90625" bestFit="1" customWidth="1"/>
    <col min="12" max="13" width="11.36328125" bestFit="1" customWidth="1"/>
    <col min="14" max="14" width="10.7265625" bestFit="1" customWidth="1"/>
  </cols>
  <sheetData>
    <row r="1" spans="1:14" x14ac:dyDescent="0.35">
      <c r="A1" t="s">
        <v>121</v>
      </c>
      <c r="B1" t="s">
        <v>122</v>
      </c>
      <c r="C1" s="27">
        <v>44561</v>
      </c>
      <c r="D1" s="27">
        <v>44196</v>
      </c>
      <c r="E1" s="27">
        <v>43830</v>
      </c>
      <c r="F1" s="27">
        <v>43465</v>
      </c>
      <c r="G1" s="27">
        <v>43100</v>
      </c>
      <c r="H1" s="27">
        <v>42735</v>
      </c>
      <c r="I1" s="27">
        <v>42369</v>
      </c>
      <c r="J1" s="27">
        <v>42004</v>
      </c>
      <c r="K1" s="27">
        <v>41639</v>
      </c>
      <c r="L1" s="27">
        <v>41274</v>
      </c>
      <c r="M1" s="27">
        <v>40908</v>
      </c>
      <c r="N1" s="27">
        <v>40543</v>
      </c>
    </row>
    <row r="2" spans="1:14" x14ac:dyDescent="0.35">
      <c r="A2" t="s">
        <v>214</v>
      </c>
      <c r="B2" s="26">
        <v>632689000</v>
      </c>
      <c r="C2" s="26">
        <v>632689000</v>
      </c>
      <c r="D2" s="26">
        <v>992870000</v>
      </c>
      <c r="E2" s="26">
        <v>1303364000</v>
      </c>
      <c r="F2" s="26">
        <v>1339711000</v>
      </c>
      <c r="G2" s="26">
        <v>831209000</v>
      </c>
      <c r="H2" s="26">
        <v>763055000</v>
      </c>
      <c r="I2" s="26">
        <v>383066000</v>
      </c>
      <c r="J2" s="26">
        <v>81796000</v>
      </c>
      <c r="K2" s="26">
        <v>1398000</v>
      </c>
      <c r="L2" s="26">
        <v>-27935000</v>
      </c>
      <c r="M2" s="26">
        <v>-70597000</v>
      </c>
      <c r="N2" s="26">
        <v>-48737000</v>
      </c>
    </row>
    <row r="3" spans="1:14" x14ac:dyDescent="0.35">
      <c r="A3" t="s">
        <v>215</v>
      </c>
      <c r="B3" s="26">
        <v>632689000</v>
      </c>
      <c r="C3" s="26">
        <v>632689000</v>
      </c>
      <c r="D3" s="26">
        <v>992870000</v>
      </c>
      <c r="E3" s="26">
        <v>1303364000</v>
      </c>
      <c r="F3" s="26">
        <v>1339711000</v>
      </c>
      <c r="G3" s="26">
        <v>831209000</v>
      </c>
      <c r="H3" s="26">
        <v>763055000</v>
      </c>
      <c r="I3" s="26">
        <v>383066000</v>
      </c>
      <c r="J3" s="26">
        <v>81796000</v>
      </c>
      <c r="K3" s="26">
        <v>1398000</v>
      </c>
      <c r="L3" s="26">
        <v>-27935000</v>
      </c>
      <c r="M3" s="26">
        <v>-70597000</v>
      </c>
      <c r="N3" s="26">
        <v>-48737000</v>
      </c>
    </row>
    <row r="4" spans="1:14" x14ac:dyDescent="0.35">
      <c r="A4" t="s">
        <v>216</v>
      </c>
      <c r="B4" s="26">
        <v>-221409000</v>
      </c>
      <c r="C4" s="26">
        <v>-221409000</v>
      </c>
      <c r="D4" s="26">
        <v>-1135626000</v>
      </c>
      <c r="E4" s="26">
        <v>1465659000</v>
      </c>
      <c r="F4" s="26">
        <v>1205596000</v>
      </c>
      <c r="G4" s="26">
        <v>-108063000</v>
      </c>
      <c r="H4" s="26">
        <v>-456873000</v>
      </c>
      <c r="I4" s="26">
        <v>-521031000</v>
      </c>
      <c r="J4" s="26">
        <v>-577820000</v>
      </c>
      <c r="K4" s="26">
        <v>-645323000</v>
      </c>
      <c r="L4" s="26">
        <v>-79399000</v>
      </c>
      <c r="M4" s="26">
        <v>-128302000</v>
      </c>
      <c r="N4" s="26">
        <v>-67324000</v>
      </c>
    </row>
    <row r="5" spans="1:14" x14ac:dyDescent="0.35">
      <c r="A5" t="s">
        <v>217</v>
      </c>
      <c r="B5" s="26">
        <v>544848000</v>
      </c>
      <c r="C5" s="26">
        <v>544848000</v>
      </c>
      <c r="D5" s="26">
        <v>495177000</v>
      </c>
      <c r="E5" s="26">
        <v>465549000</v>
      </c>
      <c r="F5" s="26">
        <v>425498000</v>
      </c>
      <c r="G5" s="26">
        <v>395867000</v>
      </c>
      <c r="H5" s="26">
        <v>402172000</v>
      </c>
      <c r="I5" s="26">
        <v>312823000</v>
      </c>
      <c r="J5" s="26">
        <v>208165000</v>
      </c>
      <c r="K5" s="26">
        <v>110894000</v>
      </c>
      <c r="L5" s="26">
        <v>72506000</v>
      </c>
      <c r="M5" s="26">
        <v>24192000</v>
      </c>
      <c r="N5" s="26">
        <v>10364000</v>
      </c>
    </row>
    <row r="6" spans="1:14" x14ac:dyDescent="0.35">
      <c r="A6" t="s">
        <v>218</v>
      </c>
      <c r="B6" s="26">
        <v>544848000</v>
      </c>
      <c r="C6" s="26">
        <v>544848000</v>
      </c>
      <c r="D6" s="26">
        <v>495177000</v>
      </c>
      <c r="E6" s="26">
        <v>465549000</v>
      </c>
      <c r="F6" s="26">
        <v>425498000</v>
      </c>
      <c r="G6" s="26">
        <v>395867000</v>
      </c>
      <c r="H6" s="26">
        <v>402172000</v>
      </c>
      <c r="I6" s="26">
        <v>312823000</v>
      </c>
      <c r="J6" s="26">
        <v>208165000</v>
      </c>
      <c r="K6" s="26">
        <v>110894000</v>
      </c>
      <c r="L6" s="26">
        <v>72506000</v>
      </c>
      <c r="M6" s="26">
        <v>24192000</v>
      </c>
      <c r="N6" s="26">
        <v>10364000</v>
      </c>
    </row>
    <row r="7" spans="1:14" x14ac:dyDescent="0.35">
      <c r="A7" t="s">
        <v>219</v>
      </c>
      <c r="B7" s="26">
        <v>-228774000</v>
      </c>
      <c r="C7" s="26">
        <v>-228774000</v>
      </c>
      <c r="D7" s="26">
        <v>1064396000</v>
      </c>
      <c r="E7" s="26">
        <v>-1122511000</v>
      </c>
      <c r="F7" s="26">
        <v>-801720000</v>
      </c>
      <c r="G7" s="26">
        <v>-6415000</v>
      </c>
      <c r="H7" s="26">
        <v>-4775000</v>
      </c>
      <c r="I7" s="26">
        <v>-28125000</v>
      </c>
      <c r="J7" s="26">
        <v>-9609000</v>
      </c>
      <c r="K7" s="26">
        <v>-8902000</v>
      </c>
      <c r="L7" s="26">
        <v>-1098000</v>
      </c>
      <c r="M7" s="26">
        <v>-2252000</v>
      </c>
      <c r="N7" s="26">
        <v>-220000</v>
      </c>
    </row>
    <row r="8" spans="1:14" x14ac:dyDescent="0.35">
      <c r="A8" t="s">
        <v>220</v>
      </c>
      <c r="B8" s="26">
        <v>-228774000</v>
      </c>
      <c r="C8" s="26">
        <v>-228774000</v>
      </c>
      <c r="D8" s="26">
        <v>1064396000</v>
      </c>
      <c r="E8" s="26">
        <v>-1122511000</v>
      </c>
      <c r="F8" s="26">
        <v>-801720000</v>
      </c>
      <c r="G8" s="26">
        <v>-6415000</v>
      </c>
      <c r="H8" s="26">
        <v>-4775000</v>
      </c>
      <c r="I8" s="26">
        <v>-28125000</v>
      </c>
      <c r="J8" s="26">
        <v>-9609000</v>
      </c>
      <c r="K8" s="26">
        <v>-8902000</v>
      </c>
      <c r="L8" s="26">
        <v>-1098000</v>
      </c>
      <c r="M8" s="26">
        <v>-2252000</v>
      </c>
      <c r="N8" s="26">
        <v>-220000</v>
      </c>
    </row>
    <row r="9" spans="1:14" x14ac:dyDescent="0.35">
      <c r="A9" t="s">
        <v>286</v>
      </c>
      <c r="J9" s="26">
        <v>7663000</v>
      </c>
      <c r="K9" s="26">
        <v>3457000</v>
      </c>
      <c r="L9" s="26">
        <v>4102000</v>
      </c>
      <c r="M9" s="26">
        <v>2739000</v>
      </c>
      <c r="N9" s="26">
        <v>1673000</v>
      </c>
    </row>
    <row r="10" spans="1:14" x14ac:dyDescent="0.35">
      <c r="A10" t="s">
        <v>221</v>
      </c>
      <c r="B10" s="26">
        <v>-99885000</v>
      </c>
      <c r="C10" s="26">
        <v>-99885000</v>
      </c>
      <c r="D10" s="26">
        <v>27617000</v>
      </c>
      <c r="E10" s="26">
        <v>1550000</v>
      </c>
      <c r="F10" s="26">
        <v>3000000</v>
      </c>
      <c r="G10" s="26">
        <v>62439000</v>
      </c>
    </row>
    <row r="11" spans="1:14" x14ac:dyDescent="0.35">
      <c r="A11" t="s">
        <v>222</v>
      </c>
      <c r="G11" s="26">
        <v>586000</v>
      </c>
      <c r="H11" s="26">
        <v>3958000</v>
      </c>
      <c r="I11" s="26">
        <v>5765000</v>
      </c>
      <c r="J11" s="26">
        <v>4632000</v>
      </c>
      <c r="K11" s="26">
        <v>1557000</v>
      </c>
      <c r="L11" s="26">
        <v>1844000</v>
      </c>
      <c r="M11" s="26">
        <v>1828000</v>
      </c>
      <c r="N11">
        <v>0</v>
      </c>
    </row>
    <row r="12" spans="1:14" x14ac:dyDescent="0.35">
      <c r="A12" t="s">
        <v>223</v>
      </c>
      <c r="B12" s="26">
        <v>629901000</v>
      </c>
      <c r="C12" s="26">
        <v>629901000</v>
      </c>
      <c r="D12" s="26">
        <v>474932000</v>
      </c>
      <c r="E12" s="26">
        <v>378025000</v>
      </c>
      <c r="F12" s="26">
        <v>326228000</v>
      </c>
      <c r="G12" s="26">
        <v>433806000</v>
      </c>
      <c r="H12" s="26">
        <v>615233000</v>
      </c>
      <c r="I12" s="26">
        <v>678924000</v>
      </c>
      <c r="J12" s="26">
        <v>631597000</v>
      </c>
      <c r="K12" s="26">
        <v>600367000</v>
      </c>
      <c r="L12" s="26">
        <v>25741000</v>
      </c>
      <c r="M12" s="26">
        <v>60384000</v>
      </c>
      <c r="N12" s="26">
        <v>5931000</v>
      </c>
    </row>
    <row r="13" spans="1:14" x14ac:dyDescent="0.35">
      <c r="A13" t="s">
        <v>224</v>
      </c>
      <c r="B13" s="26">
        <v>2975000</v>
      </c>
      <c r="C13" s="26">
        <v>2975000</v>
      </c>
      <c r="D13" s="26">
        <v>90969000</v>
      </c>
      <c r="E13" s="26">
        <v>96392000</v>
      </c>
      <c r="F13" s="26">
        <v>91787000</v>
      </c>
      <c r="G13" s="26">
        <v>85228000</v>
      </c>
      <c r="H13" s="26">
        <v>120744000</v>
      </c>
      <c r="I13" s="26">
        <v>70623000</v>
      </c>
      <c r="J13" s="26">
        <v>19143000</v>
      </c>
      <c r="K13" s="26">
        <v>704000</v>
      </c>
      <c r="L13" s="26">
        <v>1715000</v>
      </c>
    </row>
    <row r="14" spans="1:14" x14ac:dyDescent="0.35">
      <c r="A14" t="s">
        <v>225</v>
      </c>
      <c r="B14" s="26">
        <v>5033000</v>
      </c>
      <c r="C14" s="26">
        <v>5033000</v>
      </c>
      <c r="D14" s="26">
        <v>-24595000</v>
      </c>
      <c r="E14" s="26">
        <v>18700000</v>
      </c>
      <c r="F14" s="26">
        <v>89322000</v>
      </c>
      <c r="G14" s="26">
        <v>-32239000</v>
      </c>
      <c r="H14" s="26">
        <v>82596000</v>
      </c>
      <c r="I14" s="26">
        <v>-135913000</v>
      </c>
      <c r="J14" s="26">
        <v>-201975000</v>
      </c>
      <c r="K14" s="26">
        <v>-61356000</v>
      </c>
      <c r="L14" s="26">
        <v>-53346000</v>
      </c>
      <c r="M14" s="26">
        <v>-29186000</v>
      </c>
      <c r="N14" s="26">
        <v>839000</v>
      </c>
    </row>
    <row r="15" spans="1:14" x14ac:dyDescent="0.35">
      <c r="A15" t="s">
        <v>226</v>
      </c>
      <c r="B15" s="26">
        <v>-189946000</v>
      </c>
      <c r="C15" s="26">
        <v>-189946000</v>
      </c>
      <c r="D15" s="26">
        <v>-188039000</v>
      </c>
      <c r="E15" s="26">
        <v>-67000000</v>
      </c>
      <c r="F15" s="26">
        <v>-130871000</v>
      </c>
      <c r="G15" s="26">
        <v>2668000</v>
      </c>
      <c r="H15" s="26">
        <v>-22969000</v>
      </c>
      <c r="I15" s="26">
        <v>-216585000</v>
      </c>
      <c r="J15" s="26">
        <v>-177583000</v>
      </c>
      <c r="K15" s="26">
        <v>-112060000</v>
      </c>
      <c r="L15" s="26">
        <v>-73898000</v>
      </c>
      <c r="M15" s="26">
        <v>-33023000</v>
      </c>
      <c r="N15" s="26">
        <v>-4838000</v>
      </c>
    </row>
    <row r="16" spans="1:14" x14ac:dyDescent="0.35">
      <c r="A16" t="s">
        <v>227</v>
      </c>
      <c r="B16" s="26">
        <v>-189946000</v>
      </c>
      <c r="C16" s="26">
        <v>-189946000</v>
      </c>
      <c r="D16" s="26">
        <v>-188039000</v>
      </c>
      <c r="E16" s="26">
        <v>-67000000</v>
      </c>
      <c r="F16" s="26">
        <v>-130871000</v>
      </c>
      <c r="G16" s="26">
        <v>2668000</v>
      </c>
      <c r="H16" s="26">
        <v>-22969000</v>
      </c>
      <c r="I16" s="26">
        <v>-216585000</v>
      </c>
      <c r="J16" s="26">
        <v>-177583000</v>
      </c>
      <c r="K16" s="26">
        <v>-112060000</v>
      </c>
      <c r="L16" s="26">
        <v>-73898000</v>
      </c>
      <c r="M16" s="26">
        <v>-33023000</v>
      </c>
      <c r="N16" s="26">
        <v>-4838000</v>
      </c>
    </row>
    <row r="17" spans="1:14" x14ac:dyDescent="0.35">
      <c r="A17" t="s">
        <v>228</v>
      </c>
      <c r="B17" s="26">
        <v>-121501000</v>
      </c>
      <c r="C17" s="26">
        <v>-121501000</v>
      </c>
      <c r="D17" s="26">
        <v>6398000</v>
      </c>
      <c r="E17" s="26">
        <v>-29602000</v>
      </c>
      <c r="F17" s="26">
        <v>126470000</v>
      </c>
      <c r="G17" s="26">
        <v>-13974000</v>
      </c>
      <c r="H17" s="26">
        <v>7101000</v>
      </c>
      <c r="I17" s="26">
        <v>-50170000</v>
      </c>
      <c r="J17" s="26">
        <v>-165395000</v>
      </c>
      <c r="K17" s="26">
        <v>-12045000</v>
      </c>
      <c r="L17" s="26">
        <v>-6691000</v>
      </c>
      <c r="M17" s="26">
        <v>-2597000</v>
      </c>
      <c r="N17" s="26">
        <v>-1994000</v>
      </c>
    </row>
    <row r="18" spans="1:14" x14ac:dyDescent="0.35">
      <c r="A18" t="s">
        <v>229</v>
      </c>
      <c r="B18" s="26">
        <v>281344000</v>
      </c>
      <c r="C18" s="26">
        <v>281344000</v>
      </c>
      <c r="D18" s="26">
        <v>141577000</v>
      </c>
      <c r="E18" s="26">
        <v>95627000</v>
      </c>
      <c r="F18" s="26">
        <v>93723000</v>
      </c>
      <c r="G18" s="26">
        <v>-20933000</v>
      </c>
      <c r="H18" s="26">
        <v>98464000</v>
      </c>
      <c r="I18" s="26">
        <v>130842000</v>
      </c>
      <c r="J18" s="26">
        <v>141003000</v>
      </c>
      <c r="K18" s="26">
        <v>62749000</v>
      </c>
      <c r="L18" s="26">
        <v>27243000</v>
      </c>
      <c r="M18" s="26">
        <v>6434000</v>
      </c>
      <c r="N18" s="26">
        <v>7671000</v>
      </c>
    </row>
    <row r="19" spans="1:14" x14ac:dyDescent="0.35">
      <c r="A19" t="s">
        <v>230</v>
      </c>
      <c r="B19" s="26">
        <v>20869000</v>
      </c>
      <c r="C19" s="26">
        <v>20869000</v>
      </c>
      <c r="D19" s="26">
        <v>18232000</v>
      </c>
      <c r="E19" s="26">
        <v>2946000</v>
      </c>
      <c r="F19" s="26">
        <v>-1533000</v>
      </c>
      <c r="G19" s="26">
        <v>8371000</v>
      </c>
      <c r="H19" s="26">
        <v>-7112000</v>
      </c>
      <c r="I19" s="26">
        <v>76355000</v>
      </c>
      <c r="J19" s="26">
        <v>18059000</v>
      </c>
      <c r="K19" s="26">
        <v>7957000</v>
      </c>
      <c r="L19" s="26">
        <v>2931000</v>
      </c>
      <c r="M19" s="26">
        <v>-918000</v>
      </c>
      <c r="N19" s="26">
        <v>1497000</v>
      </c>
    </row>
    <row r="20" spans="1:14" x14ac:dyDescent="0.35">
      <c r="A20" t="s">
        <v>231</v>
      </c>
      <c r="B20" s="26">
        <v>20869000</v>
      </c>
      <c r="C20" s="26">
        <v>20869000</v>
      </c>
      <c r="D20" s="26">
        <v>18232000</v>
      </c>
      <c r="E20" s="26">
        <v>2946000</v>
      </c>
      <c r="F20" s="26">
        <v>-1533000</v>
      </c>
      <c r="G20" s="26">
        <v>8371000</v>
      </c>
      <c r="H20" s="26">
        <v>-7112000</v>
      </c>
      <c r="I20" s="26">
        <v>76355000</v>
      </c>
      <c r="J20" s="26">
        <v>18059000</v>
      </c>
      <c r="K20" s="26">
        <v>7957000</v>
      </c>
      <c r="L20" s="26">
        <v>2931000</v>
      </c>
      <c r="M20" s="26">
        <v>-918000</v>
      </c>
      <c r="N20" s="26">
        <v>1497000</v>
      </c>
    </row>
    <row r="21" spans="1:14" x14ac:dyDescent="0.35">
      <c r="A21" t="s">
        <v>232</v>
      </c>
      <c r="B21" s="26">
        <v>260475000</v>
      </c>
      <c r="C21" s="26">
        <v>260475000</v>
      </c>
      <c r="D21" s="26">
        <v>123345000</v>
      </c>
      <c r="E21" s="26">
        <v>92681000</v>
      </c>
      <c r="F21" s="26">
        <v>95256000</v>
      </c>
      <c r="G21" s="26">
        <v>-29304000</v>
      </c>
      <c r="H21" s="26">
        <v>105576000</v>
      </c>
      <c r="I21" s="26">
        <v>54487000</v>
      </c>
      <c r="J21" s="26">
        <v>122944000</v>
      </c>
      <c r="K21" s="26">
        <v>54792000</v>
      </c>
      <c r="L21" s="26">
        <v>24312000</v>
      </c>
      <c r="M21" s="26">
        <v>7352000</v>
      </c>
      <c r="N21" s="26">
        <v>6174000</v>
      </c>
    </row>
    <row r="22" spans="1:14" x14ac:dyDescent="0.35">
      <c r="A22" t="s">
        <v>233</v>
      </c>
      <c r="B22" s="26">
        <v>219287000</v>
      </c>
      <c r="C22" s="26">
        <v>219287000</v>
      </c>
      <c r="D22" s="26">
        <v>168000000</v>
      </c>
      <c r="E22" s="26">
        <v>149880000</v>
      </c>
    </row>
    <row r="23" spans="1:14" x14ac:dyDescent="0.35">
      <c r="A23" t="s">
        <v>234</v>
      </c>
      <c r="B23" s="26">
        <v>-184151000</v>
      </c>
      <c r="C23" s="26">
        <v>-184151000</v>
      </c>
      <c r="D23" s="26">
        <v>-152531000</v>
      </c>
      <c r="E23" s="26">
        <v>-130205000</v>
      </c>
    </row>
    <row r="24" spans="1:14" x14ac:dyDescent="0.35">
      <c r="A24" t="s">
        <v>235</v>
      </c>
      <c r="D24" s="26">
        <v>168000000</v>
      </c>
      <c r="E24" s="26">
        <v>149880000</v>
      </c>
    </row>
    <row r="25" spans="1:14" x14ac:dyDescent="0.35">
      <c r="A25" t="s">
        <v>236</v>
      </c>
      <c r="B25" s="26">
        <v>52623000</v>
      </c>
      <c r="C25" s="26">
        <v>52623000</v>
      </c>
      <c r="D25" s="26">
        <v>-1560565000</v>
      </c>
      <c r="E25" s="26">
        <v>-1115974000</v>
      </c>
      <c r="F25" s="26">
        <v>-2055513000</v>
      </c>
      <c r="G25" s="26">
        <v>-112932000</v>
      </c>
      <c r="H25" s="26">
        <v>-598008000</v>
      </c>
      <c r="I25" s="26">
        <v>-902421000</v>
      </c>
      <c r="J25" s="26">
        <v>-1097272000</v>
      </c>
      <c r="K25" s="26">
        <v>-1306066000</v>
      </c>
      <c r="L25" s="26">
        <v>49443000</v>
      </c>
      <c r="M25" s="26">
        <v>-324875000</v>
      </c>
      <c r="N25" s="26">
        <v>48974000</v>
      </c>
    </row>
    <row r="26" spans="1:14" x14ac:dyDescent="0.35">
      <c r="A26" t="s">
        <v>237</v>
      </c>
      <c r="B26" s="26">
        <v>52623000</v>
      </c>
      <c r="C26" s="26">
        <v>52623000</v>
      </c>
      <c r="D26" s="26">
        <v>-1560565000</v>
      </c>
      <c r="E26" s="26">
        <v>-1115974000</v>
      </c>
      <c r="F26" s="26">
        <v>-2055513000</v>
      </c>
      <c r="G26" s="26">
        <v>-112932000</v>
      </c>
      <c r="H26" s="26">
        <v>-598008000</v>
      </c>
      <c r="I26" s="26">
        <v>-902421000</v>
      </c>
      <c r="J26" s="26">
        <v>-1097272000</v>
      </c>
      <c r="K26" s="26">
        <v>-1306066000</v>
      </c>
      <c r="L26" s="26">
        <v>49443000</v>
      </c>
      <c r="M26" s="26">
        <v>-324875000</v>
      </c>
      <c r="N26" s="26">
        <v>48974000</v>
      </c>
    </row>
    <row r="27" spans="1:14" x14ac:dyDescent="0.35">
      <c r="A27" t="s">
        <v>238</v>
      </c>
      <c r="B27" s="26">
        <v>-1003084000</v>
      </c>
      <c r="C27" s="26">
        <v>-1003084000</v>
      </c>
      <c r="D27" s="26">
        <v>-864184000</v>
      </c>
      <c r="E27" s="26">
        <v>-534530000</v>
      </c>
      <c r="F27" s="26">
        <v>-470864000</v>
      </c>
      <c r="G27" s="26">
        <v>-157959000</v>
      </c>
      <c r="H27" s="26">
        <v>-218657000</v>
      </c>
      <c r="I27" s="26">
        <v>-347280000</v>
      </c>
      <c r="J27" s="26">
        <v>-201630000</v>
      </c>
      <c r="K27" s="26">
        <v>-75744000</v>
      </c>
      <c r="L27" s="26">
        <v>-50599000</v>
      </c>
      <c r="M27" s="26">
        <v>-11546000</v>
      </c>
      <c r="N27" s="26">
        <v>-5692000</v>
      </c>
    </row>
    <row r="28" spans="1:14" x14ac:dyDescent="0.35">
      <c r="A28" t="s">
        <v>239</v>
      </c>
      <c r="B28" s="26">
        <v>-1011546000</v>
      </c>
      <c r="C28" s="26">
        <v>-1011546000</v>
      </c>
      <c r="D28" s="26">
        <v>-873354000</v>
      </c>
      <c r="E28" s="26">
        <v>-540688000</v>
      </c>
      <c r="F28" s="26">
        <v>-483934000</v>
      </c>
      <c r="G28" s="26">
        <v>-160742000</v>
      </c>
      <c r="H28" s="26">
        <v>-218657000</v>
      </c>
      <c r="I28" s="26">
        <v>-347280000</v>
      </c>
      <c r="J28" s="26">
        <v>-201630000</v>
      </c>
      <c r="K28" s="26">
        <v>-75744000</v>
      </c>
      <c r="L28" s="26">
        <v>-50599000</v>
      </c>
      <c r="M28" s="26">
        <v>-11546000</v>
      </c>
      <c r="N28" s="26">
        <v>-5692000</v>
      </c>
    </row>
    <row r="29" spans="1:14" x14ac:dyDescent="0.35">
      <c r="A29" t="s">
        <v>240</v>
      </c>
      <c r="B29" s="26">
        <v>8462000</v>
      </c>
      <c r="C29" s="26">
        <v>8462000</v>
      </c>
      <c r="D29" s="26">
        <v>9170000</v>
      </c>
      <c r="E29" s="26">
        <v>6158000</v>
      </c>
      <c r="F29" s="26">
        <v>13070000</v>
      </c>
      <c r="G29" s="26">
        <v>2783000</v>
      </c>
    </row>
    <row r="30" spans="1:14" x14ac:dyDescent="0.35">
      <c r="A30" t="s">
        <v>241</v>
      </c>
      <c r="B30" s="26">
        <v>-32702000</v>
      </c>
      <c r="C30" s="26">
        <v>-32702000</v>
      </c>
      <c r="D30" s="26">
        <v>-48016000</v>
      </c>
      <c r="E30" s="26">
        <v>-29664000</v>
      </c>
      <c r="F30" s="26">
        <v>-33572000</v>
      </c>
      <c r="H30" s="26">
        <v>-85082000</v>
      </c>
      <c r="I30" s="26">
        <v>-51644000</v>
      </c>
      <c r="J30" s="26">
        <v>-165177000</v>
      </c>
      <c r="K30" s="26">
        <v>-44072000</v>
      </c>
      <c r="L30" s="26">
        <v>-1526000</v>
      </c>
      <c r="M30" s="26">
        <v>-18906000</v>
      </c>
      <c r="N30" s="26">
        <v>-1531000</v>
      </c>
    </row>
    <row r="31" spans="1:14" x14ac:dyDescent="0.35">
      <c r="A31" t="s">
        <v>242</v>
      </c>
      <c r="B31" s="26">
        <v>-32702000</v>
      </c>
      <c r="C31" s="26">
        <v>-32702000</v>
      </c>
      <c r="D31" s="26">
        <v>-48016000</v>
      </c>
      <c r="E31" s="26">
        <v>-29664000</v>
      </c>
      <c r="F31" s="26">
        <v>-33572000</v>
      </c>
      <c r="H31" s="26">
        <v>-85082000</v>
      </c>
      <c r="I31" s="26">
        <v>-51644000</v>
      </c>
      <c r="J31" s="26">
        <v>-165177000</v>
      </c>
      <c r="K31" s="26">
        <v>-44072000</v>
      </c>
      <c r="L31" s="26">
        <v>-1526000</v>
      </c>
      <c r="M31" s="26">
        <v>-18906000</v>
      </c>
      <c r="N31" s="26">
        <v>-1531000</v>
      </c>
    </row>
    <row r="32" spans="1:14" x14ac:dyDescent="0.35">
      <c r="A32" t="s">
        <v>243</v>
      </c>
      <c r="B32" s="26">
        <v>1138474000</v>
      </c>
      <c r="C32" s="26">
        <v>1138474000</v>
      </c>
      <c r="D32" s="26">
        <v>-637315000</v>
      </c>
      <c r="E32" s="26">
        <v>-554061000</v>
      </c>
      <c r="F32" s="26">
        <v>-1546077000</v>
      </c>
      <c r="G32" s="26">
        <v>16534000</v>
      </c>
      <c r="H32" s="26">
        <v>-288328000</v>
      </c>
      <c r="I32" s="26">
        <v>-478330000</v>
      </c>
      <c r="J32" s="26">
        <v>-719423000</v>
      </c>
      <c r="K32" s="26">
        <v>-1175403000</v>
      </c>
      <c r="L32" s="26">
        <v>104711000</v>
      </c>
      <c r="M32" s="26">
        <v>-289778000</v>
      </c>
      <c r="N32" s="26">
        <v>56197000</v>
      </c>
    </row>
    <row r="33" spans="1:14" x14ac:dyDescent="0.35">
      <c r="A33" t="s">
        <v>244</v>
      </c>
      <c r="B33" s="26">
        <v>-3845920000</v>
      </c>
      <c r="C33" s="26">
        <v>-3845920000</v>
      </c>
      <c r="D33" s="26">
        <v>-6284307000</v>
      </c>
      <c r="E33" s="26">
        <v>-5849274000</v>
      </c>
      <c r="F33" s="26">
        <v>-5337771000</v>
      </c>
      <c r="G33" s="26">
        <v>-2688039000</v>
      </c>
      <c r="H33" s="26">
        <v>-2990113000</v>
      </c>
      <c r="I33" s="26">
        <v>-3683488000</v>
      </c>
      <c r="J33" s="26">
        <v>-2937033000</v>
      </c>
      <c r="K33" s="26">
        <v>-1573489000</v>
      </c>
      <c r="L33" s="26">
        <v>-542638000</v>
      </c>
      <c r="M33" s="26">
        <v>-487595000</v>
      </c>
      <c r="N33" s="26">
        <v>-47681000</v>
      </c>
    </row>
    <row r="34" spans="1:14" x14ac:dyDescent="0.35">
      <c r="A34" t="s">
        <v>245</v>
      </c>
      <c r="B34" s="26">
        <v>4984394000</v>
      </c>
      <c r="C34" s="26">
        <v>4984394000</v>
      </c>
      <c r="D34" s="26">
        <v>5646992000</v>
      </c>
      <c r="E34" s="26">
        <v>5295213000</v>
      </c>
      <c r="F34" s="26">
        <v>3791694000</v>
      </c>
      <c r="G34" s="26">
        <v>2704573000</v>
      </c>
      <c r="H34" s="26">
        <v>2701785000</v>
      </c>
      <c r="I34" s="26">
        <v>3205158000</v>
      </c>
      <c r="J34" s="26">
        <v>2217610000</v>
      </c>
      <c r="K34" s="26">
        <v>398086000</v>
      </c>
      <c r="L34" s="26">
        <v>647349000</v>
      </c>
      <c r="M34" s="26">
        <v>197817000</v>
      </c>
      <c r="N34" s="26">
        <v>103878000</v>
      </c>
    </row>
    <row r="35" spans="1:14" x14ac:dyDescent="0.35">
      <c r="A35" t="s">
        <v>246</v>
      </c>
      <c r="B35" s="26">
        <v>-50065000</v>
      </c>
      <c r="C35" s="26">
        <v>-50065000</v>
      </c>
      <c r="D35" s="26">
        <v>-11050000</v>
      </c>
      <c r="E35" s="26">
        <v>2281000</v>
      </c>
      <c r="F35" s="26">
        <v>-5000000</v>
      </c>
      <c r="G35" s="26">
        <v>28493000</v>
      </c>
      <c r="H35" s="26">
        <v>-5941000</v>
      </c>
      <c r="I35" s="26">
        <v>-25167000</v>
      </c>
      <c r="J35" s="26">
        <v>-11042000</v>
      </c>
      <c r="K35" s="26">
        <v>-10847000</v>
      </c>
      <c r="L35" s="26">
        <v>-3143000</v>
      </c>
      <c r="M35" s="26">
        <v>-4645000</v>
      </c>
    </row>
    <row r="36" spans="1:14" x14ac:dyDescent="0.35">
      <c r="A36" t="s">
        <v>247</v>
      </c>
      <c r="B36" s="26">
        <v>-472823000</v>
      </c>
      <c r="C36" s="26">
        <v>-472823000</v>
      </c>
      <c r="D36" s="26">
        <v>755310000</v>
      </c>
      <c r="E36" s="26">
        <v>-286175000</v>
      </c>
      <c r="F36" s="26">
        <v>978116000</v>
      </c>
      <c r="G36" s="26">
        <v>-78373000</v>
      </c>
      <c r="H36" s="26">
        <v>-83975000</v>
      </c>
      <c r="I36" s="26">
        <v>-62998000</v>
      </c>
      <c r="J36" s="26">
        <v>1691722000</v>
      </c>
      <c r="K36" s="26">
        <v>1942176000</v>
      </c>
      <c r="L36" s="26">
        <v>-37124000</v>
      </c>
      <c r="M36" s="26">
        <v>480210000</v>
      </c>
      <c r="N36" s="26">
        <v>114315000</v>
      </c>
    </row>
    <row r="37" spans="1:14" x14ac:dyDescent="0.35">
      <c r="A37" t="s">
        <v>248</v>
      </c>
      <c r="B37" s="26">
        <v>-472823000</v>
      </c>
      <c r="C37" s="26">
        <v>-472823000</v>
      </c>
      <c r="D37" s="26">
        <v>755310000</v>
      </c>
      <c r="E37" s="26">
        <v>-286175000</v>
      </c>
      <c r="F37" s="26">
        <v>978116000</v>
      </c>
      <c r="G37" s="26">
        <v>-78373000</v>
      </c>
      <c r="H37" s="26">
        <v>-83975000</v>
      </c>
      <c r="I37" s="26">
        <v>-62998000</v>
      </c>
      <c r="J37" s="26">
        <v>1691722000</v>
      </c>
      <c r="K37" s="26">
        <v>1942176000</v>
      </c>
      <c r="L37" s="26">
        <v>-37124000</v>
      </c>
      <c r="M37" s="26">
        <v>480210000</v>
      </c>
      <c r="N37" s="26">
        <v>114315000</v>
      </c>
    </row>
    <row r="38" spans="1:14" x14ac:dyDescent="0.35">
      <c r="A38" t="s">
        <v>249</v>
      </c>
      <c r="B38" s="26">
        <v>482935000</v>
      </c>
      <c r="C38" s="26">
        <v>482935000</v>
      </c>
      <c r="D38" s="26">
        <v>976938000</v>
      </c>
      <c r="E38" s="26">
        <v>-301677000</v>
      </c>
      <c r="F38" s="26">
        <v>1059649000</v>
      </c>
      <c r="G38" s="26">
        <v>-102775000</v>
      </c>
      <c r="H38" s="26">
        <v>-100558000</v>
      </c>
      <c r="I38" s="26">
        <v>-117535000</v>
      </c>
      <c r="J38" s="26">
        <v>1757055000</v>
      </c>
      <c r="K38" s="26">
        <v>-70445000</v>
      </c>
      <c r="L38" s="26">
        <v>-39436000</v>
      </c>
      <c r="M38" s="26">
        <v>-15103000</v>
      </c>
      <c r="N38" s="26">
        <v>-1615000</v>
      </c>
    </row>
    <row r="39" spans="1:14" x14ac:dyDescent="0.35">
      <c r="A39" t="s">
        <v>250</v>
      </c>
      <c r="B39" s="26">
        <v>482935000</v>
      </c>
      <c r="C39" s="26">
        <v>482935000</v>
      </c>
      <c r="D39" s="26">
        <v>976938000</v>
      </c>
      <c r="E39" s="26">
        <v>-301677000</v>
      </c>
      <c r="F39" s="26">
        <v>1059649000</v>
      </c>
      <c r="G39" s="26">
        <v>-102775000</v>
      </c>
      <c r="H39" s="26">
        <v>-100558000</v>
      </c>
      <c r="I39" s="26">
        <v>-117535000</v>
      </c>
      <c r="J39" s="26">
        <v>1757055000</v>
      </c>
      <c r="K39" s="26">
        <v>-70445000</v>
      </c>
      <c r="L39" s="26">
        <v>-39436000</v>
      </c>
      <c r="M39" s="26">
        <v>-15103000</v>
      </c>
      <c r="N39" s="26">
        <v>-1615000</v>
      </c>
    </row>
    <row r="40" spans="1:14" x14ac:dyDescent="0.35">
      <c r="A40" t="s">
        <v>251</v>
      </c>
      <c r="B40" s="26">
        <v>1437500000</v>
      </c>
      <c r="C40" s="26">
        <v>1437500000</v>
      </c>
      <c r="D40" s="26">
        <v>1000000000</v>
      </c>
      <c r="E40" s="26">
        <v>700000000</v>
      </c>
      <c r="F40" s="26">
        <v>1150000000</v>
      </c>
      <c r="H40">
        <v>0</v>
      </c>
      <c r="I40">
        <v>0</v>
      </c>
      <c r="J40" s="26">
        <v>1889000000</v>
      </c>
    </row>
    <row r="41" spans="1:14" x14ac:dyDescent="0.35">
      <c r="A41" t="s">
        <v>252</v>
      </c>
      <c r="B41" s="26">
        <v>-954565000</v>
      </c>
      <c r="C41" s="26">
        <v>-954565000</v>
      </c>
      <c r="D41" s="26">
        <v>-23062000</v>
      </c>
      <c r="E41" s="26">
        <v>-1001677000</v>
      </c>
      <c r="F41" s="26">
        <v>-90351000</v>
      </c>
      <c r="G41" s="26">
        <v>-102775000</v>
      </c>
      <c r="H41" s="26">
        <v>-100558000</v>
      </c>
      <c r="I41" s="26">
        <v>-117535000</v>
      </c>
      <c r="J41" s="26">
        <v>-131945000</v>
      </c>
      <c r="K41" s="26">
        <v>-70445000</v>
      </c>
      <c r="L41" s="26">
        <v>-39436000</v>
      </c>
      <c r="M41" s="26">
        <v>-15103000</v>
      </c>
      <c r="N41" s="26">
        <v>-1615000</v>
      </c>
    </row>
    <row r="42" spans="1:14" x14ac:dyDescent="0.35">
      <c r="A42" t="s">
        <v>253</v>
      </c>
      <c r="B42" s="26">
        <v>-930530000</v>
      </c>
      <c r="C42" s="26">
        <v>-930530000</v>
      </c>
      <c r="D42" s="26">
        <v>-245292000</v>
      </c>
      <c r="E42" s="26">
        <v>42378000</v>
      </c>
      <c r="F42" s="26">
        <v>29288000</v>
      </c>
      <c r="G42" s="26">
        <v>23920000</v>
      </c>
      <c r="H42" s="26">
        <v>24431000</v>
      </c>
      <c r="I42" s="26">
        <v>39295000</v>
      </c>
      <c r="J42">
        <v>0</v>
      </c>
      <c r="K42" s="26">
        <v>2018579000</v>
      </c>
      <c r="M42">
        <v>0</v>
      </c>
    </row>
    <row r="43" spans="1:14" x14ac:dyDescent="0.35">
      <c r="A43" t="s">
        <v>254</v>
      </c>
      <c r="E43" s="26">
        <v>42378000</v>
      </c>
      <c r="F43" s="26">
        <v>29288000</v>
      </c>
      <c r="G43" s="26">
        <v>23920000</v>
      </c>
      <c r="H43" s="26">
        <v>24431000</v>
      </c>
      <c r="I43" s="26">
        <v>39295000</v>
      </c>
      <c r="J43">
        <v>0</v>
      </c>
      <c r="K43" s="26">
        <v>2018579000</v>
      </c>
      <c r="M43">
        <v>0</v>
      </c>
    </row>
    <row r="44" spans="1:14" x14ac:dyDescent="0.35">
      <c r="A44" t="s">
        <v>255</v>
      </c>
      <c r="B44" s="26">
        <v>-930530000</v>
      </c>
      <c r="C44" s="26">
        <v>-930530000</v>
      </c>
      <c r="D44" s="26">
        <v>-245292000</v>
      </c>
    </row>
    <row r="45" spans="1:14" x14ac:dyDescent="0.35">
      <c r="A45" t="s">
        <v>287</v>
      </c>
      <c r="K45">
        <v>0</v>
      </c>
      <c r="L45">
        <v>0</v>
      </c>
      <c r="M45" s="26">
        <v>485006000</v>
      </c>
      <c r="N45" s="26">
        <v>113350000</v>
      </c>
    </row>
    <row r="46" spans="1:14" x14ac:dyDescent="0.35">
      <c r="A46" t="s">
        <v>288</v>
      </c>
      <c r="K46">
        <v>0</v>
      </c>
      <c r="L46">
        <v>0</v>
      </c>
      <c r="M46" s="26">
        <v>485006000</v>
      </c>
      <c r="N46" s="26">
        <v>113350000</v>
      </c>
    </row>
    <row r="47" spans="1:14" x14ac:dyDescent="0.35">
      <c r="A47" t="s">
        <v>289</v>
      </c>
      <c r="B47" s="26">
        <v>231992000</v>
      </c>
      <c r="C47" s="26">
        <v>231992000</v>
      </c>
      <c r="D47" s="26">
        <v>60913000</v>
      </c>
      <c r="E47" s="26">
        <v>43166000</v>
      </c>
      <c r="F47" s="26">
        <v>219463000</v>
      </c>
      <c r="G47" s="26">
        <v>33364000</v>
      </c>
      <c r="H47" s="26">
        <v>31971000</v>
      </c>
      <c r="I47" s="26">
        <v>56656000</v>
      </c>
      <c r="J47" s="26">
        <v>360332000</v>
      </c>
      <c r="K47" s="26">
        <v>8679000</v>
      </c>
      <c r="L47" s="26">
        <v>2312000</v>
      </c>
      <c r="M47" s="26">
        <v>10307000</v>
      </c>
      <c r="N47" s="26">
        <v>2580000</v>
      </c>
    </row>
    <row r="48" spans="1:14" x14ac:dyDescent="0.35">
      <c r="A48" t="s">
        <v>256</v>
      </c>
      <c r="B48" s="26">
        <v>-257220000</v>
      </c>
      <c r="C48" s="26">
        <v>-257220000</v>
      </c>
      <c r="D48" s="26">
        <v>-37249000</v>
      </c>
      <c r="E48" s="26">
        <v>-27664000</v>
      </c>
      <c r="F48" s="26">
        <v>-300996000</v>
      </c>
      <c r="G48" s="26">
        <v>-8962000</v>
      </c>
      <c r="H48" s="26">
        <v>-15388000</v>
      </c>
      <c r="I48" s="26">
        <v>-2119000</v>
      </c>
      <c r="J48" s="26">
        <v>-425665000</v>
      </c>
      <c r="K48" s="26">
        <v>-14637000</v>
      </c>
    </row>
    <row r="49" spans="1:14" x14ac:dyDescent="0.35">
      <c r="A49" t="s">
        <v>257</v>
      </c>
      <c r="B49" s="26">
        <v>2210685000</v>
      </c>
      <c r="C49" s="26">
        <v>2210685000</v>
      </c>
      <c r="D49" s="26">
        <v>2011276000</v>
      </c>
      <c r="E49" s="26">
        <v>1827666000</v>
      </c>
      <c r="F49" s="26">
        <v>1921875000</v>
      </c>
      <c r="G49" s="26">
        <v>1638413000</v>
      </c>
      <c r="H49" s="26">
        <v>988598000</v>
      </c>
      <c r="I49" s="26">
        <v>911471000</v>
      </c>
      <c r="J49" s="26">
        <v>1510724000</v>
      </c>
      <c r="K49" s="26">
        <v>841010000</v>
      </c>
      <c r="L49" s="26">
        <v>203328000</v>
      </c>
      <c r="M49" s="26">
        <v>218996000</v>
      </c>
      <c r="N49" s="26">
        <v>134253000</v>
      </c>
    </row>
    <row r="50" spans="1:14" x14ac:dyDescent="0.35">
      <c r="A50" t="s">
        <v>258</v>
      </c>
      <c r="B50" s="26">
        <v>212489000</v>
      </c>
      <c r="C50" s="26">
        <v>212489000</v>
      </c>
      <c r="D50" s="26">
        <v>187615000</v>
      </c>
      <c r="E50" s="26">
        <v>-98785000</v>
      </c>
      <c r="F50" s="26">
        <v>262314000</v>
      </c>
      <c r="G50" s="26">
        <v>639904000</v>
      </c>
      <c r="H50" s="26">
        <v>81072000</v>
      </c>
      <c r="I50" s="26">
        <v>-582353000</v>
      </c>
      <c r="J50" s="26">
        <v>676246000</v>
      </c>
      <c r="K50" s="26">
        <v>637508000</v>
      </c>
      <c r="L50" s="26">
        <v>-15616000</v>
      </c>
      <c r="M50" s="26">
        <v>84738000</v>
      </c>
      <c r="N50" s="26">
        <v>114552000</v>
      </c>
    </row>
    <row r="51" spans="1:14" x14ac:dyDescent="0.35">
      <c r="A51" t="s">
        <v>290</v>
      </c>
      <c r="B51" s="26">
        <v>-13080000</v>
      </c>
      <c r="C51" s="26">
        <v>-13080000</v>
      </c>
      <c r="D51" s="26">
        <v>-4005000</v>
      </c>
      <c r="E51" s="26">
        <v>4576000</v>
      </c>
      <c r="F51" s="26">
        <v>-14296000</v>
      </c>
      <c r="G51" s="26">
        <v>9911000</v>
      </c>
      <c r="H51" s="26">
        <v>-3945000</v>
      </c>
      <c r="I51" s="26">
        <v>-16900000</v>
      </c>
      <c r="J51" s="26">
        <v>-6532000</v>
      </c>
      <c r="K51" s="26">
        <v>174000</v>
      </c>
      <c r="L51" s="26">
        <v>-52000</v>
      </c>
      <c r="M51" s="26">
        <v>5000</v>
      </c>
      <c r="N51" s="26">
        <v>7000</v>
      </c>
    </row>
    <row r="52" spans="1:14" x14ac:dyDescent="0.35">
      <c r="A52" t="s">
        <v>259</v>
      </c>
      <c r="B52" s="26">
        <v>2011276000</v>
      </c>
      <c r="C52" s="26">
        <v>2011276000</v>
      </c>
      <c r="D52" s="26">
        <v>1827666000</v>
      </c>
      <c r="E52" s="26">
        <v>1921875000</v>
      </c>
      <c r="F52" s="26">
        <v>1673857000</v>
      </c>
      <c r="G52" s="26">
        <v>988598000</v>
      </c>
      <c r="H52" s="26">
        <v>911471000</v>
      </c>
      <c r="I52" s="26">
        <v>1510724000</v>
      </c>
      <c r="J52" s="26">
        <v>841010000</v>
      </c>
      <c r="K52" s="26">
        <v>203328000</v>
      </c>
      <c r="L52" s="26">
        <v>218996000</v>
      </c>
      <c r="M52" s="26">
        <v>134253000</v>
      </c>
      <c r="N52" s="26">
        <v>19694000</v>
      </c>
    </row>
    <row r="53" spans="1:14" x14ac:dyDescent="0.35">
      <c r="A53" t="s">
        <v>260</v>
      </c>
      <c r="B53" s="26">
        <v>113525000</v>
      </c>
      <c r="C53" s="26">
        <v>113525000</v>
      </c>
      <c r="D53" s="26">
        <v>11480000</v>
      </c>
      <c r="E53" s="26">
        <v>20144000</v>
      </c>
      <c r="F53" s="26">
        <v>33065000</v>
      </c>
      <c r="G53" s="26">
        <v>16216000</v>
      </c>
      <c r="H53" s="26">
        <v>14532000</v>
      </c>
      <c r="I53" s="26">
        <v>8229000</v>
      </c>
      <c r="J53" s="26">
        <v>14895000</v>
      </c>
      <c r="K53" s="26">
        <v>2391000</v>
      </c>
      <c r="M53" s="26">
        <v>4000</v>
      </c>
    </row>
    <row r="54" spans="1:14" x14ac:dyDescent="0.35">
      <c r="A54" t="s">
        <v>261</v>
      </c>
      <c r="B54" s="26">
        <v>41754000</v>
      </c>
      <c r="C54" s="26">
        <v>41754000</v>
      </c>
      <c r="D54" s="26">
        <v>38510000</v>
      </c>
      <c r="E54" s="26">
        <v>12236000</v>
      </c>
      <c r="F54" s="26">
        <v>14547000</v>
      </c>
      <c r="G54" s="26">
        <v>13990000</v>
      </c>
      <c r="H54" s="26">
        <v>12953000</v>
      </c>
      <c r="I54" s="26">
        <v>15985000</v>
      </c>
      <c r="J54" s="26">
        <v>10000000</v>
      </c>
      <c r="K54" s="26">
        <v>6850000</v>
      </c>
      <c r="L54" s="26">
        <v>3126000</v>
      </c>
      <c r="M54" s="26">
        <v>1457000</v>
      </c>
      <c r="N54" s="26">
        <v>244000</v>
      </c>
    </row>
    <row r="55" spans="1:14" x14ac:dyDescent="0.35">
      <c r="A55" t="s">
        <v>262</v>
      </c>
      <c r="B55" s="26">
        <v>-1011546000</v>
      </c>
      <c r="C55" s="26">
        <v>-1011546000</v>
      </c>
      <c r="D55" s="26">
        <v>-873354000</v>
      </c>
      <c r="E55" s="26">
        <v>-540688000</v>
      </c>
      <c r="F55" s="26">
        <v>-483934000</v>
      </c>
      <c r="G55" s="26">
        <v>-160742000</v>
      </c>
      <c r="H55" s="26">
        <v>-218657000</v>
      </c>
      <c r="I55" s="26">
        <v>-347280000</v>
      </c>
      <c r="J55" s="26">
        <v>-201630000</v>
      </c>
      <c r="K55" s="26">
        <v>-75744000</v>
      </c>
      <c r="L55" s="26">
        <v>-50599000</v>
      </c>
      <c r="M55" s="26">
        <v>-11546000</v>
      </c>
      <c r="N55" s="26">
        <v>-5692000</v>
      </c>
    </row>
    <row r="56" spans="1:14" x14ac:dyDescent="0.35">
      <c r="A56" t="s">
        <v>263</v>
      </c>
      <c r="E56" s="26">
        <v>42378000</v>
      </c>
      <c r="F56" s="26">
        <v>29288000</v>
      </c>
      <c r="G56" s="26">
        <v>23920000</v>
      </c>
      <c r="H56" s="26">
        <v>24431000</v>
      </c>
      <c r="I56" s="26">
        <v>39295000</v>
      </c>
      <c r="J56">
        <v>0</v>
      </c>
      <c r="K56" s="26">
        <v>2018579000</v>
      </c>
      <c r="L56">
        <v>0</v>
      </c>
      <c r="M56" s="26">
        <v>485006000</v>
      </c>
      <c r="N56" s="26">
        <v>113350000</v>
      </c>
    </row>
    <row r="57" spans="1:14" x14ac:dyDescent="0.35">
      <c r="A57" t="s">
        <v>264</v>
      </c>
      <c r="B57" s="26">
        <v>1437500000</v>
      </c>
      <c r="C57" s="26">
        <v>1437500000</v>
      </c>
      <c r="D57" s="26">
        <v>1000000000</v>
      </c>
      <c r="E57" s="26">
        <v>700000000</v>
      </c>
      <c r="F57" s="26">
        <v>1150000000</v>
      </c>
      <c r="H57">
        <v>0</v>
      </c>
      <c r="I57">
        <v>0</v>
      </c>
      <c r="J57" s="26">
        <v>1889000000</v>
      </c>
    </row>
    <row r="58" spans="1:14" x14ac:dyDescent="0.35">
      <c r="A58" t="s">
        <v>265</v>
      </c>
      <c r="B58" s="26">
        <v>-954565000</v>
      </c>
      <c r="C58" s="26">
        <v>-954565000</v>
      </c>
      <c r="D58" s="26">
        <v>-23062000</v>
      </c>
      <c r="E58" s="26">
        <v>-1001677000</v>
      </c>
      <c r="F58" s="26">
        <v>-90351000</v>
      </c>
      <c r="G58" s="26">
        <v>-102775000</v>
      </c>
      <c r="H58" s="26">
        <v>-100558000</v>
      </c>
      <c r="I58" s="26">
        <v>-117535000</v>
      </c>
      <c r="J58" s="26">
        <v>-131945000</v>
      </c>
      <c r="K58" s="26">
        <v>-70445000</v>
      </c>
      <c r="L58" s="26">
        <v>-39436000</v>
      </c>
      <c r="M58" s="26">
        <v>-15103000</v>
      </c>
      <c r="N58" s="26">
        <v>-1615000</v>
      </c>
    </row>
    <row r="59" spans="1:14" x14ac:dyDescent="0.35">
      <c r="A59" t="s">
        <v>266</v>
      </c>
      <c r="B59" s="26">
        <v>-930530000</v>
      </c>
      <c r="C59" s="26">
        <v>-930530000</v>
      </c>
      <c r="D59" s="26">
        <v>-245292000</v>
      </c>
    </row>
    <row r="60" spans="1:14" x14ac:dyDescent="0.35">
      <c r="A60" t="s">
        <v>267</v>
      </c>
      <c r="B60" s="26">
        <v>-378857000</v>
      </c>
      <c r="C60" s="26">
        <v>-378857000</v>
      </c>
      <c r="D60" s="26">
        <v>119516000</v>
      </c>
      <c r="E60" s="26">
        <v>762676000</v>
      </c>
      <c r="F60" s="26">
        <v>855777000</v>
      </c>
      <c r="G60" s="26">
        <v>670467000</v>
      </c>
      <c r="H60" s="26">
        <v>544398000</v>
      </c>
      <c r="I60" s="26">
        <v>35786000</v>
      </c>
      <c r="J60" s="26">
        <v>-119834000</v>
      </c>
      <c r="K60" s="26">
        <v>-74346000</v>
      </c>
      <c r="L60" s="26">
        <v>-78534000</v>
      </c>
      <c r="M60" s="26">
        <v>-82143000</v>
      </c>
      <c r="N60" s="26">
        <v>-54429000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026C-E011-4FD9-B55A-08B080F6C77F}">
  <dimension ref="A1:O112"/>
  <sheetViews>
    <sheetView topLeftCell="A55" workbookViewId="0">
      <selection activeCell="N64" sqref="N64"/>
    </sheetView>
  </sheetViews>
  <sheetFormatPr defaultRowHeight="14.5" x14ac:dyDescent="0.35"/>
  <cols>
    <col min="1" max="1" width="3.81640625" customWidth="1"/>
    <col min="2" max="2" width="26.36328125" customWidth="1"/>
    <col min="3" max="10" width="10.26953125" customWidth="1"/>
    <col min="11" max="11" width="9.7265625" customWidth="1"/>
    <col min="13" max="13" width="10.08984375" bestFit="1" customWidth="1"/>
    <col min="14" max="14" width="14.1796875" customWidth="1"/>
  </cols>
  <sheetData>
    <row r="1" spans="1:15" ht="18.5" x14ac:dyDescent="0.45">
      <c r="A1" s="3" t="s">
        <v>0</v>
      </c>
    </row>
    <row r="3" spans="1:15" x14ac:dyDescent="0.35">
      <c r="B3" s="6" t="s">
        <v>1</v>
      </c>
      <c r="C3" s="5"/>
      <c r="D3" s="5"/>
      <c r="E3" s="5"/>
      <c r="F3" s="5"/>
      <c r="G3" s="5"/>
      <c r="H3" s="5"/>
      <c r="I3" s="5"/>
      <c r="J3" s="5"/>
      <c r="K3" s="5"/>
    </row>
    <row r="4" spans="1:15" x14ac:dyDescent="0.35">
      <c r="B4" s="4" t="s">
        <v>2</v>
      </c>
      <c r="C4" s="4"/>
      <c r="D4" s="4"/>
      <c r="E4" s="4"/>
      <c r="F4" s="4" t="s">
        <v>4</v>
      </c>
      <c r="G4" s="4"/>
      <c r="H4" s="4"/>
      <c r="I4" s="4"/>
      <c r="J4" s="4"/>
      <c r="K4" s="4"/>
    </row>
    <row r="5" spans="1:15" s="14" customFormat="1" ht="43.5" x14ac:dyDescent="0.35">
      <c r="B5" s="21" t="s">
        <v>3</v>
      </c>
      <c r="C5" s="22" t="s">
        <v>62</v>
      </c>
      <c r="D5" s="23" t="s">
        <v>60</v>
      </c>
      <c r="E5" s="15"/>
      <c r="F5" s="15"/>
      <c r="G5" s="22" t="s">
        <v>9</v>
      </c>
      <c r="H5" s="22" t="s">
        <v>10</v>
      </c>
      <c r="I5" s="22" t="s">
        <v>11</v>
      </c>
      <c r="J5" s="22" t="s">
        <v>61</v>
      </c>
      <c r="K5" s="22" t="s">
        <v>62</v>
      </c>
      <c r="M5" s="22" t="s">
        <v>118</v>
      </c>
      <c r="N5" s="22"/>
      <c r="O5" s="22" t="s">
        <v>119</v>
      </c>
    </row>
    <row r="6" spans="1:15" x14ac:dyDescent="0.35">
      <c r="B6" t="s">
        <v>5</v>
      </c>
      <c r="C6" s="29"/>
      <c r="D6" s="20"/>
      <c r="F6" s="12" t="s">
        <v>8</v>
      </c>
      <c r="G6" s="17"/>
      <c r="H6" s="9"/>
      <c r="I6" s="17"/>
      <c r="J6" s="8"/>
      <c r="K6" s="24"/>
      <c r="M6" s="68">
        <v>3500</v>
      </c>
      <c r="N6" s="8" t="str">
        <f>+B6</f>
        <v>Bank Loan</v>
      </c>
      <c r="O6" s="69">
        <v>2</v>
      </c>
    </row>
    <row r="7" spans="1:15" x14ac:dyDescent="0.35">
      <c r="B7" t="s">
        <v>6</v>
      </c>
      <c r="C7" s="29"/>
      <c r="D7" s="10"/>
      <c r="F7" s="12" t="s">
        <v>12</v>
      </c>
      <c r="G7" s="25"/>
      <c r="H7" s="25"/>
      <c r="I7" s="25"/>
      <c r="J7" s="25"/>
      <c r="K7" s="24"/>
      <c r="N7" s="8" t="str">
        <f>+B7</f>
        <v>Corporate Bond</v>
      </c>
      <c r="O7" s="28">
        <f>+O8-O6</f>
        <v>2</v>
      </c>
    </row>
    <row r="8" spans="1:15" ht="15" thickBot="1" x14ac:dyDescent="0.4">
      <c r="B8" t="s">
        <v>7</v>
      </c>
      <c r="C8" s="29"/>
      <c r="D8" s="10"/>
      <c r="F8" s="12" t="s">
        <v>13</v>
      </c>
      <c r="G8" s="13"/>
      <c r="H8" s="25"/>
      <c r="I8" s="25"/>
      <c r="J8" s="25"/>
      <c r="K8" s="24"/>
      <c r="N8" s="8" t="s">
        <v>59</v>
      </c>
      <c r="O8" s="69">
        <v>4</v>
      </c>
    </row>
    <row r="9" spans="1:15" ht="15" thickBot="1" x14ac:dyDescent="0.4">
      <c r="B9" t="s">
        <v>58</v>
      </c>
      <c r="C9" s="30"/>
      <c r="D9" s="31"/>
      <c r="E9" s="67"/>
      <c r="F9" s="16" t="s">
        <v>59</v>
      </c>
      <c r="H9" s="25"/>
      <c r="I9" s="25"/>
      <c r="J9" s="25"/>
      <c r="K9" s="32"/>
    </row>
    <row r="10" spans="1:15" ht="15" thickTop="1" x14ac:dyDescent="0.35"/>
    <row r="11" spans="1:15" x14ac:dyDescent="0.35">
      <c r="B11" s="6" t="s">
        <v>14</v>
      </c>
      <c r="C11" s="6"/>
      <c r="D11" s="6"/>
      <c r="E11" s="6"/>
      <c r="F11" s="6"/>
      <c r="G11" s="6"/>
      <c r="H11" s="6"/>
      <c r="I11" s="6"/>
      <c r="J11" s="6"/>
      <c r="K11" s="6"/>
    </row>
    <row r="12" spans="1:15" s="14" customFormat="1" ht="21" customHeight="1" x14ac:dyDescent="0.35">
      <c r="B12" s="19" t="s">
        <v>63</v>
      </c>
      <c r="C12" s="19">
        <v>2021</v>
      </c>
      <c r="D12" s="19">
        <f>+C12+1</f>
        <v>2022</v>
      </c>
      <c r="E12" s="19">
        <f t="shared" ref="E12:K12" si="0">+D12+1</f>
        <v>2023</v>
      </c>
      <c r="F12" s="19">
        <f t="shared" si="0"/>
        <v>2024</v>
      </c>
      <c r="G12" s="19">
        <f t="shared" si="0"/>
        <v>2025</v>
      </c>
      <c r="H12" s="19">
        <f t="shared" si="0"/>
        <v>2026</v>
      </c>
      <c r="I12" s="19">
        <f t="shared" si="0"/>
        <v>2027</v>
      </c>
      <c r="J12" s="19">
        <f t="shared" si="0"/>
        <v>2028</v>
      </c>
      <c r="K12" s="19">
        <f t="shared" si="0"/>
        <v>2029</v>
      </c>
    </row>
    <row r="13" spans="1:15" x14ac:dyDescent="0.35">
      <c r="B13" s="2" t="s">
        <v>5</v>
      </c>
    </row>
    <row r="14" spans="1:15" x14ac:dyDescent="0.35">
      <c r="B14" t="s">
        <v>15</v>
      </c>
      <c r="C14" s="24"/>
      <c r="D14" s="34"/>
      <c r="E14" s="34"/>
      <c r="F14" s="34"/>
      <c r="G14" s="34"/>
      <c r="H14" s="34"/>
      <c r="I14" s="34"/>
      <c r="J14" s="34"/>
      <c r="K14" s="8"/>
    </row>
    <row r="15" spans="1:15" x14ac:dyDescent="0.35">
      <c r="B15" t="s">
        <v>16</v>
      </c>
      <c r="C15" s="25"/>
      <c r="D15" s="33"/>
      <c r="E15" s="33"/>
      <c r="F15" s="33"/>
      <c r="G15" s="33"/>
      <c r="H15" s="33"/>
      <c r="I15" s="33"/>
      <c r="J15" s="33"/>
      <c r="K15" s="8"/>
    </row>
    <row r="16" spans="1:15" x14ac:dyDescent="0.35">
      <c r="B16" t="s">
        <v>17</v>
      </c>
      <c r="C16" s="25"/>
      <c r="D16" s="33"/>
      <c r="E16" s="33"/>
      <c r="F16" s="33"/>
      <c r="G16" s="33"/>
      <c r="H16" s="33"/>
      <c r="I16" s="33"/>
      <c r="J16" s="33"/>
      <c r="K16" s="33"/>
    </row>
    <row r="17" spans="2:11" x14ac:dyDescent="0.35">
      <c r="B17" t="s">
        <v>18</v>
      </c>
      <c r="C17" s="47"/>
      <c r="D17" s="34"/>
      <c r="E17" s="34"/>
      <c r="F17" s="34"/>
      <c r="G17" s="34"/>
      <c r="H17" s="34"/>
      <c r="I17" s="34"/>
      <c r="J17" s="34"/>
      <c r="K17" s="34"/>
    </row>
    <row r="18" spans="2:11" x14ac:dyDescent="0.35">
      <c r="B18" t="s">
        <v>185</v>
      </c>
      <c r="C18" s="48"/>
    </row>
    <row r="20" spans="2:11" x14ac:dyDescent="0.35">
      <c r="B20" s="1" t="s">
        <v>19</v>
      </c>
      <c r="C20" s="39"/>
      <c r="D20" s="39"/>
      <c r="E20" s="39"/>
      <c r="F20" s="39"/>
      <c r="G20" s="39"/>
      <c r="H20" s="39"/>
      <c r="I20" s="39"/>
      <c r="J20" s="39"/>
      <c r="K20" s="39"/>
    </row>
    <row r="21" spans="2:11" x14ac:dyDescent="0.35">
      <c r="B21" t="s">
        <v>20</v>
      </c>
      <c r="C21" s="35"/>
      <c r="D21" s="10"/>
      <c r="E21" s="10"/>
      <c r="F21" s="10"/>
      <c r="G21" s="10"/>
      <c r="H21" s="10"/>
      <c r="I21" s="10"/>
      <c r="J21" s="10"/>
      <c r="K21" s="10"/>
    </row>
    <row r="22" spans="2:11" x14ac:dyDescent="0.35">
      <c r="B22" t="s">
        <v>21</v>
      </c>
      <c r="C22" s="35"/>
      <c r="D22" s="10"/>
      <c r="E22" s="10"/>
      <c r="F22" s="10"/>
      <c r="G22" s="10"/>
      <c r="H22" s="10"/>
      <c r="I22" s="10"/>
      <c r="J22" s="10"/>
      <c r="K22" s="10"/>
    </row>
    <row r="23" spans="2:11" x14ac:dyDescent="0.35">
      <c r="B23" t="s">
        <v>22</v>
      </c>
      <c r="C23" s="35"/>
      <c r="D23" s="10"/>
      <c r="E23" s="10"/>
      <c r="F23" s="10"/>
      <c r="G23" s="10"/>
      <c r="H23" s="10"/>
      <c r="I23" s="10"/>
      <c r="J23" s="10"/>
      <c r="K23" s="10"/>
    </row>
    <row r="25" spans="2:11" x14ac:dyDescent="0.35">
      <c r="B25" s="2" t="s">
        <v>23</v>
      </c>
    </row>
    <row r="26" spans="2:11" x14ac:dyDescent="0.35">
      <c r="B26" t="s">
        <v>15</v>
      </c>
      <c r="C26" s="24"/>
      <c r="D26" s="34"/>
      <c r="E26" s="34"/>
      <c r="F26" s="34"/>
      <c r="G26" s="34"/>
      <c r="H26" s="34"/>
      <c r="I26" s="34"/>
      <c r="J26" s="34"/>
      <c r="K26" s="8"/>
    </row>
    <row r="27" spans="2:11" x14ac:dyDescent="0.35">
      <c r="B27" t="s">
        <v>16</v>
      </c>
      <c r="C27" s="25"/>
      <c r="D27" s="33"/>
      <c r="E27" s="33"/>
      <c r="F27" s="33"/>
      <c r="G27" s="33"/>
      <c r="H27" s="33"/>
      <c r="I27" s="33"/>
      <c r="J27" s="33"/>
      <c r="K27" s="24"/>
    </row>
    <row r="28" spans="2:11" x14ac:dyDescent="0.35">
      <c r="B28" t="s">
        <v>17</v>
      </c>
      <c r="C28" s="25"/>
      <c r="D28" s="33"/>
      <c r="E28" s="33"/>
      <c r="F28" s="33"/>
      <c r="G28" s="33"/>
      <c r="H28" s="33"/>
      <c r="I28" s="33"/>
      <c r="J28" s="33"/>
      <c r="K28" s="33"/>
    </row>
    <row r="29" spans="2:11" x14ac:dyDescent="0.35">
      <c r="B29" t="s">
        <v>18</v>
      </c>
      <c r="C29" s="47"/>
      <c r="D29" s="34"/>
      <c r="E29" s="34"/>
      <c r="F29" s="34"/>
      <c r="G29" s="34"/>
      <c r="H29" s="34"/>
      <c r="I29" s="34"/>
      <c r="J29" s="34"/>
      <c r="K29" s="34"/>
    </row>
    <row r="30" spans="2:11" ht="15" thickBot="1" x14ac:dyDescent="0.4"/>
    <row r="31" spans="2:11" ht="15" thickBot="1" x14ac:dyDescent="0.4">
      <c r="B31" t="s">
        <v>22</v>
      </c>
      <c r="C31" s="52"/>
      <c r="D31" s="51"/>
      <c r="E31" s="13"/>
      <c r="F31" s="13"/>
      <c r="G31" s="13"/>
      <c r="H31" s="13"/>
      <c r="I31" s="13"/>
      <c r="J31" s="13"/>
      <c r="K31" s="13"/>
    </row>
    <row r="33" spans="2:11" x14ac:dyDescent="0.35">
      <c r="B33" t="s">
        <v>165</v>
      </c>
      <c r="C33" s="34"/>
      <c r="D33" s="34"/>
      <c r="E33" s="34"/>
      <c r="F33" s="34"/>
      <c r="G33" s="34"/>
      <c r="H33" s="34"/>
      <c r="I33" s="34"/>
      <c r="J33" s="34"/>
      <c r="K33" s="34"/>
    </row>
    <row r="35" spans="2:11" x14ac:dyDescent="0.35">
      <c r="B35" s="6" t="s">
        <v>41</v>
      </c>
      <c r="C35" s="6"/>
      <c r="D35" s="6"/>
      <c r="E35" s="6"/>
      <c r="F35" s="6"/>
      <c r="G35" s="6"/>
      <c r="H35" s="6"/>
    </row>
    <row r="36" spans="2:11" x14ac:dyDescent="0.35">
      <c r="B36" s="18" t="s">
        <v>63</v>
      </c>
      <c r="C36" s="7">
        <v>2021</v>
      </c>
      <c r="E36" s="7" t="s">
        <v>42</v>
      </c>
      <c r="F36" s="7" t="s">
        <v>43</v>
      </c>
      <c r="H36" s="7">
        <v>2021</v>
      </c>
    </row>
    <row r="37" spans="2:11" x14ac:dyDescent="0.35">
      <c r="B37" t="s">
        <v>56</v>
      </c>
      <c r="C37" s="70">
        <f>+ANSWER!C51</f>
        <v>7918.37</v>
      </c>
      <c r="D37" s="36"/>
      <c r="E37" s="33"/>
      <c r="F37" s="33"/>
      <c r="G37" s="36"/>
      <c r="H37" s="33"/>
    </row>
    <row r="38" spans="2:11" x14ac:dyDescent="0.35">
      <c r="B38" t="s">
        <v>44</v>
      </c>
      <c r="C38" s="70">
        <f>+ANSWER!C52</f>
        <v>3277.2840000000001</v>
      </c>
      <c r="D38" s="36"/>
      <c r="E38" s="33"/>
      <c r="F38" s="33"/>
      <c r="G38" s="36"/>
      <c r="H38" s="33"/>
    </row>
    <row r="39" spans="2:11" ht="15" thickBot="1" x14ac:dyDescent="0.4">
      <c r="B39" t="s">
        <v>57</v>
      </c>
      <c r="C39" s="71">
        <f>+ANSWER!C53</f>
        <v>1562.3419999999996</v>
      </c>
      <c r="D39" s="36"/>
      <c r="E39" s="33"/>
      <c r="F39" s="33"/>
      <c r="G39" s="36"/>
      <c r="H39" s="33"/>
    </row>
    <row r="40" spans="2:11" ht="15" thickTop="1" x14ac:dyDescent="0.35">
      <c r="C40" s="72"/>
      <c r="D40" s="36"/>
      <c r="E40" s="36"/>
      <c r="F40" s="36"/>
      <c r="G40" s="36"/>
      <c r="H40" s="36"/>
    </row>
    <row r="41" spans="2:11" x14ac:dyDescent="0.35">
      <c r="B41" t="s">
        <v>45</v>
      </c>
      <c r="C41" s="70">
        <f>+ANSWER!C55</f>
        <v>1301.52</v>
      </c>
      <c r="D41" s="36"/>
      <c r="E41" s="33"/>
      <c r="F41" s="33"/>
      <c r="G41" s="36"/>
      <c r="H41" s="33"/>
    </row>
    <row r="42" spans="2:11" x14ac:dyDescent="0.35">
      <c r="B42" t="s">
        <v>46</v>
      </c>
      <c r="C42" s="70">
        <f>+ANSWER!C56</f>
        <v>0</v>
      </c>
      <c r="D42" s="36"/>
      <c r="E42" s="33"/>
      <c r="F42" s="33"/>
      <c r="G42" s="36"/>
      <c r="H42" s="33"/>
    </row>
    <row r="43" spans="2:11" ht="15" thickBot="1" x14ac:dyDescent="0.4">
      <c r="B43" t="s">
        <v>47</v>
      </c>
      <c r="C43" s="37">
        <f>+ANSWER!C57</f>
        <v>14059.516</v>
      </c>
      <c r="D43" s="36"/>
      <c r="E43" s="36"/>
      <c r="F43" s="36"/>
      <c r="G43" s="36"/>
      <c r="H43" s="37"/>
    </row>
    <row r="44" spans="2:11" ht="15" thickTop="1" x14ac:dyDescent="0.35">
      <c r="C44" s="36"/>
      <c r="D44" s="36"/>
      <c r="E44" s="36"/>
      <c r="F44" s="36"/>
      <c r="G44" s="36"/>
      <c r="H44" s="36"/>
    </row>
    <row r="45" spans="2:11" x14ac:dyDescent="0.35">
      <c r="B45" t="s">
        <v>48</v>
      </c>
      <c r="C45" s="70">
        <f>+ANSWER!C59</f>
        <v>1343.867</v>
      </c>
      <c r="D45" s="36"/>
      <c r="E45" s="33"/>
      <c r="F45" s="33"/>
      <c r="G45" s="36"/>
      <c r="H45" s="33"/>
    </row>
    <row r="46" spans="2:11" x14ac:dyDescent="0.35">
      <c r="B46" t="s">
        <v>49</v>
      </c>
      <c r="C46" s="70">
        <f>+ANSWER!C60</f>
        <v>4253.0190000000002</v>
      </c>
      <c r="D46" s="36"/>
      <c r="E46" s="33"/>
      <c r="F46" s="33"/>
      <c r="G46" s="36"/>
      <c r="H46" s="33"/>
    </row>
    <row r="47" spans="2:11" x14ac:dyDescent="0.35">
      <c r="B47" t="s">
        <v>50</v>
      </c>
      <c r="C47" s="70">
        <f>+ANSWER!C61</f>
        <v>0</v>
      </c>
      <c r="D47" s="36"/>
      <c r="E47" s="33"/>
      <c r="F47" s="33"/>
      <c r="G47" s="36"/>
      <c r="H47" s="33"/>
    </row>
    <row r="48" spans="2:11" x14ac:dyDescent="0.35">
      <c r="B48" t="s">
        <v>51</v>
      </c>
      <c r="C48" s="70">
        <f>+ANSWER!C62</f>
        <v>0</v>
      </c>
      <c r="D48" s="36"/>
      <c r="E48" s="33"/>
      <c r="F48" s="33"/>
      <c r="G48" s="36"/>
      <c r="H48" s="33"/>
    </row>
    <row r="49" spans="2:11" x14ac:dyDescent="0.35">
      <c r="B49" t="s">
        <v>52</v>
      </c>
      <c r="C49" s="70">
        <f>+ANSWER!C63</f>
        <v>1155.4309999999998</v>
      </c>
      <c r="D49" s="36"/>
      <c r="E49" s="33"/>
      <c r="F49" s="33"/>
      <c r="G49" s="36"/>
      <c r="H49" s="33"/>
    </row>
    <row r="50" spans="2:11" ht="15" thickBot="1" x14ac:dyDescent="0.4">
      <c r="B50" t="s">
        <v>53</v>
      </c>
      <c r="C50" s="37">
        <f>+ANSWER!C64</f>
        <v>6752.317</v>
      </c>
      <c r="D50" s="36"/>
      <c r="E50" s="36"/>
      <c r="F50" s="36"/>
      <c r="G50" s="36"/>
      <c r="H50" s="37"/>
    </row>
    <row r="51" spans="2:11" ht="15" thickTop="1" x14ac:dyDescent="0.35">
      <c r="C51" s="36"/>
      <c r="D51" s="36"/>
      <c r="E51" s="36"/>
      <c r="F51" s="36"/>
      <c r="G51" s="36"/>
      <c r="H51" s="36"/>
    </row>
    <row r="52" spans="2:11" x14ac:dyDescent="0.35">
      <c r="B52" t="s">
        <v>54</v>
      </c>
      <c r="C52" s="70">
        <f>+ANSWER!C66</f>
        <v>7307.1989999999996</v>
      </c>
      <c r="D52" s="36"/>
      <c r="E52" s="33"/>
      <c r="F52" s="33"/>
      <c r="G52" s="36"/>
      <c r="H52" s="33"/>
    </row>
    <row r="53" spans="2:11" x14ac:dyDescent="0.35">
      <c r="C53" s="36">
        <f>+ANSWER!C67</f>
        <v>0</v>
      </c>
      <c r="D53" s="36"/>
      <c r="E53" s="36"/>
      <c r="F53" s="36"/>
      <c r="G53" s="36"/>
      <c r="H53" s="36"/>
    </row>
    <row r="54" spans="2:11" ht="15" thickBot="1" x14ac:dyDescent="0.4">
      <c r="B54" t="s">
        <v>55</v>
      </c>
      <c r="C54" s="37">
        <f>+ANSWER!C68</f>
        <v>14059.516</v>
      </c>
      <c r="D54" s="36"/>
      <c r="E54" s="38"/>
      <c r="F54" s="38"/>
      <c r="G54" s="36"/>
      <c r="H54" s="37"/>
    </row>
    <row r="55" spans="2:11" ht="15" thickTop="1" x14ac:dyDescent="0.35"/>
    <row r="57" spans="2:11" x14ac:dyDescent="0.35">
      <c r="B57" s="6" t="s">
        <v>24</v>
      </c>
      <c r="C57" s="125" t="s">
        <v>39</v>
      </c>
      <c r="D57" s="125"/>
      <c r="E57" s="125"/>
      <c r="G57" s="125" t="s">
        <v>40</v>
      </c>
      <c r="H57" s="125"/>
      <c r="I57" s="125"/>
      <c r="J57" s="125"/>
      <c r="K57" s="125"/>
    </row>
    <row r="58" spans="2:11" ht="35.5" customHeight="1" x14ac:dyDescent="0.35">
      <c r="B58" s="4"/>
      <c r="C58" s="4">
        <f>+ANSWER!C72</f>
        <v>2019</v>
      </c>
      <c r="D58" s="4">
        <f>+ANSWER!D72</f>
        <v>2020</v>
      </c>
      <c r="E58" s="40">
        <f>+ANSWER!E72</f>
        <v>2021</v>
      </c>
      <c r="G58" s="4">
        <v>2022</v>
      </c>
      <c r="H58" s="4">
        <f>+G58+1</f>
        <v>2023</v>
      </c>
      <c r="I58" s="4">
        <f>+H58+1</f>
        <v>2024</v>
      </c>
      <c r="J58" s="4">
        <f>+I58+1</f>
        <v>2025</v>
      </c>
      <c r="K58" s="4">
        <f>+J58+1</f>
        <v>2026</v>
      </c>
    </row>
    <row r="59" spans="2:11" x14ac:dyDescent="0.35">
      <c r="B59" t="s">
        <v>25</v>
      </c>
      <c r="C59" s="70">
        <f>+ANSWER!C73</f>
        <v>3459.3290000000002</v>
      </c>
      <c r="D59" s="70">
        <f>+ANSWER!D73</f>
        <v>3716.3490000000002</v>
      </c>
      <c r="E59" s="70">
        <f>+ANSWER!E73</f>
        <v>5077.482</v>
      </c>
      <c r="F59" s="36"/>
      <c r="G59" s="33"/>
      <c r="H59" s="33"/>
      <c r="I59" s="33"/>
      <c r="J59" s="33"/>
      <c r="K59" s="33"/>
    </row>
    <row r="60" spans="2:11" x14ac:dyDescent="0.35">
      <c r="B60" t="s">
        <v>26</v>
      </c>
      <c r="C60" s="35"/>
      <c r="D60" s="10"/>
      <c r="E60" s="10"/>
      <c r="F60" s="11"/>
      <c r="G60" s="10"/>
      <c r="H60" s="10"/>
      <c r="I60" s="10"/>
      <c r="J60" s="10"/>
      <c r="K60" s="10"/>
    </row>
    <row r="62" spans="2:11" x14ac:dyDescent="0.35">
      <c r="B62" t="s">
        <v>27</v>
      </c>
      <c r="C62" s="70">
        <f>+ANSWER!C76</f>
        <v>1137.0409999999999</v>
      </c>
      <c r="D62" s="70">
        <f>+ANSWER!D76</f>
        <v>1366.3879999999999</v>
      </c>
      <c r="E62" s="70">
        <f>+ANSWER!E76</f>
        <v>1797.51</v>
      </c>
      <c r="G62" s="33"/>
      <c r="H62" s="33"/>
      <c r="I62" s="33"/>
      <c r="J62" s="33"/>
      <c r="K62" s="33"/>
    </row>
    <row r="63" spans="2:11" x14ac:dyDescent="0.35">
      <c r="B63" t="s">
        <v>31</v>
      </c>
      <c r="C63" s="10"/>
      <c r="D63" s="10"/>
      <c r="E63" s="10"/>
      <c r="F63" s="11"/>
      <c r="G63" s="10"/>
      <c r="H63" s="10"/>
      <c r="I63" s="10"/>
      <c r="J63" s="10"/>
      <c r="K63" s="10"/>
    </row>
    <row r="65" spans="2:11" x14ac:dyDescent="0.35">
      <c r="B65" t="s">
        <v>28</v>
      </c>
      <c r="C65" s="74">
        <f>+ANSWER!C79</f>
        <v>2322.2880000000005</v>
      </c>
      <c r="D65" s="74">
        <f>+ANSWER!D79</f>
        <v>2349.9610000000002</v>
      </c>
      <c r="E65" s="74">
        <f>+ANSWER!E79</f>
        <v>3279.9719999999998</v>
      </c>
      <c r="G65" s="34"/>
      <c r="H65" s="34"/>
      <c r="I65" s="34"/>
      <c r="J65" s="34"/>
      <c r="K65" s="34"/>
    </row>
    <row r="66" spans="2:11" x14ac:dyDescent="0.35">
      <c r="B66" t="s">
        <v>29</v>
      </c>
      <c r="C66" s="10"/>
      <c r="D66" s="10"/>
      <c r="E66" s="10"/>
      <c r="G66" s="10"/>
      <c r="H66" s="10"/>
      <c r="I66" s="10"/>
      <c r="J66" s="10"/>
      <c r="K66" s="10"/>
    </row>
    <row r="67" spans="2:11" x14ac:dyDescent="0.35">
      <c r="C67" s="75"/>
      <c r="D67" s="75"/>
      <c r="E67" s="75"/>
    </row>
    <row r="68" spans="2:11" x14ac:dyDescent="0.35">
      <c r="B68" t="s">
        <v>30</v>
      </c>
      <c r="C68" s="70">
        <f>+ANSWER!C82</f>
        <v>1955.915</v>
      </c>
      <c r="D68" s="70">
        <f>+ANSWER!D82</f>
        <v>2323.3029999999999</v>
      </c>
      <c r="E68" s="70">
        <f>+ANSWER!E82</f>
        <v>3007.01</v>
      </c>
      <c r="G68" s="33"/>
      <c r="H68" s="33"/>
      <c r="I68" s="33"/>
      <c r="J68" s="33"/>
      <c r="K68" s="33"/>
    </row>
    <row r="69" spans="2:11" x14ac:dyDescent="0.35">
      <c r="B69" t="s">
        <v>31</v>
      </c>
      <c r="C69" s="10"/>
      <c r="D69" s="10"/>
      <c r="E69" s="10"/>
      <c r="F69" s="11"/>
      <c r="G69" s="10"/>
      <c r="H69" s="10"/>
      <c r="I69" s="10"/>
      <c r="J69" s="10"/>
      <c r="K69" s="10"/>
    </row>
    <row r="71" spans="2:11" x14ac:dyDescent="0.35">
      <c r="B71" t="s">
        <v>34</v>
      </c>
      <c r="G71" s="34"/>
      <c r="H71" s="34"/>
      <c r="I71" s="34"/>
      <c r="J71" s="34"/>
      <c r="K71" s="34"/>
    </row>
    <row r="72" spans="2:11" x14ac:dyDescent="0.35">
      <c r="B72" t="s">
        <v>33</v>
      </c>
      <c r="C72" s="76">
        <v>7</v>
      </c>
      <c r="D72" t="s">
        <v>163</v>
      </c>
      <c r="G72" s="33"/>
      <c r="H72" s="33"/>
      <c r="I72" s="33"/>
      <c r="J72" s="33"/>
      <c r="K72" s="33"/>
    </row>
    <row r="73" spans="2:11" x14ac:dyDescent="0.35">
      <c r="B73" t="s">
        <v>32</v>
      </c>
      <c r="C73" s="76"/>
      <c r="G73" s="34"/>
      <c r="H73" s="34"/>
      <c r="I73" s="34"/>
      <c r="J73" s="34"/>
      <c r="K73" s="34"/>
    </row>
    <row r="74" spans="2:11" x14ac:dyDescent="0.35">
      <c r="B74" t="s">
        <v>35</v>
      </c>
      <c r="C74" s="76"/>
      <c r="G74" s="34"/>
      <c r="H74" s="34"/>
      <c r="I74" s="34"/>
      <c r="J74" s="34"/>
      <c r="K74" s="34"/>
    </row>
    <row r="75" spans="2:11" x14ac:dyDescent="0.35">
      <c r="B75" t="s">
        <v>36</v>
      </c>
      <c r="C75" s="76"/>
      <c r="G75" s="34"/>
      <c r="H75" s="34"/>
      <c r="I75" s="34"/>
      <c r="J75" s="34"/>
      <c r="K75" s="34"/>
    </row>
    <row r="76" spans="2:11" x14ac:dyDescent="0.35">
      <c r="B76" t="s">
        <v>37</v>
      </c>
      <c r="C76" s="60">
        <v>0.22</v>
      </c>
      <c r="D76" t="s">
        <v>164</v>
      </c>
      <c r="G76" s="34"/>
      <c r="H76" s="34"/>
      <c r="I76" s="34"/>
      <c r="J76" s="34"/>
      <c r="K76" s="34"/>
    </row>
    <row r="77" spans="2:11" ht="15" thickBot="1" x14ac:dyDescent="0.4">
      <c r="B77" t="s">
        <v>38</v>
      </c>
      <c r="G77" s="41"/>
      <c r="H77" s="41"/>
      <c r="I77" s="41"/>
      <c r="J77" s="41"/>
      <c r="K77" s="41"/>
    </row>
    <row r="78" spans="2:11" ht="15" thickTop="1" x14ac:dyDescent="0.35"/>
    <row r="79" spans="2:11" x14ac:dyDescent="0.35">
      <c r="B79" s="6" t="s">
        <v>166</v>
      </c>
      <c r="C79" s="125" t="s">
        <v>39</v>
      </c>
      <c r="D79" s="125"/>
      <c r="E79" s="125"/>
      <c r="G79" s="125" t="s">
        <v>40</v>
      </c>
      <c r="H79" s="125"/>
      <c r="I79" s="125"/>
      <c r="J79" s="125"/>
      <c r="K79" s="125"/>
    </row>
    <row r="80" spans="2:11" ht="29" x14ac:dyDescent="0.35">
      <c r="B80" s="4"/>
      <c r="C80" s="4">
        <v>2019</v>
      </c>
      <c r="D80" s="4">
        <f>+C80+1</f>
        <v>2020</v>
      </c>
      <c r="E80" s="40" t="s">
        <v>120</v>
      </c>
      <c r="G80" s="4">
        <v>2022</v>
      </c>
      <c r="H80" s="4">
        <f>+G80+1</f>
        <v>2023</v>
      </c>
      <c r="I80" s="4">
        <f>+H80+1</f>
        <v>2024</v>
      </c>
      <c r="J80" s="4">
        <f>+I80+1</f>
        <v>2025</v>
      </c>
      <c r="K80" s="4">
        <f>+J80+1</f>
        <v>2026</v>
      </c>
    </row>
    <row r="81" spans="2:13" x14ac:dyDescent="0.35">
      <c r="B81" t="s">
        <v>32</v>
      </c>
      <c r="G81" s="34"/>
      <c r="H81" s="34"/>
      <c r="I81" s="34"/>
      <c r="J81" s="34"/>
      <c r="K81" s="34"/>
    </row>
    <row r="82" spans="2:13" x14ac:dyDescent="0.35">
      <c r="B82" t="s">
        <v>168</v>
      </c>
      <c r="G82" s="34"/>
      <c r="H82" s="34"/>
      <c r="I82" s="34"/>
      <c r="J82" s="34"/>
      <c r="K82" s="34"/>
    </row>
    <row r="83" spans="2:13" ht="15" thickBot="1" x14ac:dyDescent="0.4">
      <c r="B83" t="s">
        <v>169</v>
      </c>
      <c r="G83" s="41"/>
      <c r="H83" s="41"/>
      <c r="I83" s="41"/>
      <c r="J83" s="41"/>
      <c r="K83" s="41"/>
    </row>
    <row r="84" spans="2:13" ht="15" thickTop="1" x14ac:dyDescent="0.35"/>
    <row r="85" spans="2:13" x14ac:dyDescent="0.35">
      <c r="B85" t="s">
        <v>167</v>
      </c>
      <c r="C85" s="73">
        <f>325.43</f>
        <v>325.43</v>
      </c>
      <c r="D85" s="73">
        <v>321.08199999999999</v>
      </c>
      <c r="E85" s="73">
        <f>317198/1000</f>
        <v>317.19799999999998</v>
      </c>
      <c r="G85" s="43"/>
      <c r="H85" s="43"/>
      <c r="I85" s="43"/>
      <c r="J85" s="43"/>
      <c r="K85" s="43"/>
    </row>
    <row r="86" spans="2:13" x14ac:dyDescent="0.35">
      <c r="B86" t="s">
        <v>179</v>
      </c>
      <c r="C86" s="10"/>
      <c r="D86" s="10"/>
      <c r="E86" s="10"/>
      <c r="G86" s="10"/>
      <c r="H86" s="10"/>
      <c r="I86" s="10"/>
      <c r="J86" s="10"/>
      <c r="K86" s="10"/>
    </row>
    <row r="87" spans="2:13" x14ac:dyDescent="0.35">
      <c r="B87" t="s">
        <v>170</v>
      </c>
      <c r="G87" s="34"/>
      <c r="H87" s="34"/>
      <c r="I87" s="34"/>
      <c r="J87" s="34"/>
      <c r="K87" s="34"/>
    </row>
    <row r="88" spans="2:13" ht="15" thickBot="1" x14ac:dyDescent="0.4">
      <c r="B88" t="s">
        <v>171</v>
      </c>
      <c r="C88" s="73">
        <v>-296.54300000000001</v>
      </c>
      <c r="D88" s="73">
        <v>-63.374000000000002</v>
      </c>
      <c r="E88" s="73">
        <v>-1362.922</v>
      </c>
      <c r="G88" s="34"/>
      <c r="H88" s="34"/>
      <c r="I88" s="34"/>
      <c r="J88" s="34"/>
      <c r="K88" s="34"/>
      <c r="M88" s="42">
        <v>-1144855</v>
      </c>
    </row>
    <row r="89" spans="2:13" ht="15" thickBot="1" x14ac:dyDescent="0.4">
      <c r="B89" t="s">
        <v>180</v>
      </c>
      <c r="C89" s="10"/>
      <c r="D89" s="10"/>
      <c r="E89" s="10"/>
      <c r="G89" s="10"/>
      <c r="H89" s="10"/>
      <c r="I89" s="10"/>
      <c r="J89" s="10"/>
      <c r="K89" s="10"/>
      <c r="M89" s="42">
        <v>-1198055</v>
      </c>
    </row>
    <row r="90" spans="2:13" ht="15" thickBot="1" x14ac:dyDescent="0.4">
      <c r="C90" s="35"/>
      <c r="D90" s="35"/>
      <c r="E90" s="35"/>
      <c r="G90" s="35"/>
      <c r="H90" s="35"/>
      <c r="I90" s="35"/>
      <c r="J90" s="35"/>
      <c r="K90" s="35"/>
      <c r="M90" s="42">
        <v>-451945</v>
      </c>
    </row>
    <row r="91" spans="2:13" ht="15" thickBot="1" x14ac:dyDescent="0.4">
      <c r="B91" t="s">
        <v>172</v>
      </c>
      <c r="C91" s="73">
        <v>-451.94499999999999</v>
      </c>
      <c r="D91" s="73">
        <v>-1198.0550000000001</v>
      </c>
      <c r="E91" s="73">
        <v>-1144.855</v>
      </c>
      <c r="G91" s="34"/>
      <c r="H91" s="34"/>
      <c r="I91" s="34"/>
      <c r="J91" s="34"/>
      <c r="K91" s="34"/>
      <c r="M91" s="42"/>
    </row>
    <row r="92" spans="2:13" x14ac:dyDescent="0.35">
      <c r="B92" t="s">
        <v>181</v>
      </c>
      <c r="C92" s="10"/>
      <c r="D92" s="10"/>
      <c r="E92" s="10"/>
      <c r="G92" s="10"/>
      <c r="H92" s="10"/>
      <c r="I92" s="10"/>
      <c r="J92" s="10"/>
      <c r="K92" s="10"/>
      <c r="M92" s="45"/>
    </row>
    <row r="93" spans="2:13" x14ac:dyDescent="0.35">
      <c r="M93" s="45"/>
    </row>
    <row r="94" spans="2:13" x14ac:dyDescent="0.35">
      <c r="B94" t="s">
        <v>173</v>
      </c>
      <c r="G94" s="34"/>
      <c r="H94" s="34"/>
      <c r="I94" s="34"/>
      <c r="J94" s="34"/>
      <c r="K94" s="34"/>
    </row>
    <row r="96" spans="2:13" x14ac:dyDescent="0.35">
      <c r="B96" s="6" t="s">
        <v>186</v>
      </c>
      <c r="C96" s="56" t="s">
        <v>60</v>
      </c>
      <c r="D96" s="56" t="s">
        <v>35</v>
      </c>
      <c r="E96" s="56" t="s">
        <v>187</v>
      </c>
      <c r="F96" s="56" t="s">
        <v>188</v>
      </c>
      <c r="H96" s="6" t="s">
        <v>189</v>
      </c>
      <c r="I96" s="6"/>
      <c r="J96" s="6"/>
    </row>
    <row r="97" spans="2:11" x14ac:dyDescent="0.35">
      <c r="B97" t="str">
        <f>+B6</f>
        <v>Bank Loan</v>
      </c>
      <c r="C97" s="49"/>
      <c r="D97" s="50"/>
      <c r="E97" s="50"/>
      <c r="F97" s="55"/>
      <c r="H97" t="s">
        <v>190</v>
      </c>
      <c r="J97" s="53">
        <v>0.01</v>
      </c>
    </row>
    <row r="98" spans="2:11" x14ac:dyDescent="0.35">
      <c r="B98" t="str">
        <f t="shared" ref="B98:B99" si="1">+B7</f>
        <v>Corporate Bond</v>
      </c>
      <c r="C98" s="49"/>
      <c r="D98" s="50"/>
      <c r="E98" s="50"/>
      <c r="F98" s="55"/>
      <c r="H98" t="s">
        <v>191</v>
      </c>
      <c r="J98" s="53">
        <v>8.5000000000000006E-2</v>
      </c>
    </row>
    <row r="99" spans="2:11" x14ac:dyDescent="0.35">
      <c r="B99" t="str">
        <f t="shared" si="1"/>
        <v>Equity</v>
      </c>
      <c r="C99" s="49"/>
      <c r="D99" s="50"/>
      <c r="E99" s="50"/>
      <c r="F99" s="55"/>
      <c r="H99" t="s">
        <v>192</v>
      </c>
      <c r="J99" s="77">
        <v>1.54</v>
      </c>
    </row>
    <row r="100" spans="2:11" ht="15" thickBot="1" x14ac:dyDescent="0.4">
      <c r="F100" s="58"/>
      <c r="H100" t="s">
        <v>193</v>
      </c>
      <c r="J100" s="57"/>
    </row>
    <row r="101" spans="2:11" ht="15" thickTop="1" x14ac:dyDescent="0.35">
      <c r="F101" s="64"/>
      <c r="J101" s="65"/>
    </row>
    <row r="102" spans="2:11" x14ac:dyDescent="0.35">
      <c r="K102" s="7">
        <f>+K80</f>
        <v>2026</v>
      </c>
    </row>
    <row r="103" spans="2:11" ht="15" thickBot="1" x14ac:dyDescent="0.4">
      <c r="B103" s="2" t="s">
        <v>174</v>
      </c>
      <c r="C103" s="6" t="s">
        <v>182</v>
      </c>
      <c r="D103" s="59"/>
      <c r="E103" s="5"/>
      <c r="F103" s="5"/>
      <c r="K103" s="63" t="s">
        <v>183</v>
      </c>
    </row>
    <row r="104" spans="2:11" ht="15" thickTop="1" x14ac:dyDescent="0.35">
      <c r="B104" t="s">
        <v>175</v>
      </c>
      <c r="D104" s="46"/>
      <c r="E104" t="s">
        <v>195</v>
      </c>
      <c r="J104" s="12" t="s">
        <v>199</v>
      </c>
      <c r="K104" s="36"/>
    </row>
    <row r="105" spans="2:11" x14ac:dyDescent="0.35">
      <c r="B105" t="s">
        <v>176</v>
      </c>
      <c r="C105" s="12" t="s">
        <v>184</v>
      </c>
      <c r="D105" s="50"/>
      <c r="E105" t="s">
        <v>194</v>
      </c>
      <c r="F105" s="53">
        <v>7.0000000000000007E-2</v>
      </c>
      <c r="J105" s="12" t="s">
        <v>200</v>
      </c>
      <c r="K105" s="44"/>
    </row>
    <row r="106" spans="2:11" x14ac:dyDescent="0.35">
      <c r="B106" t="s">
        <v>177</v>
      </c>
      <c r="J106" s="12" t="s">
        <v>201</v>
      </c>
      <c r="K106" s="44"/>
    </row>
    <row r="107" spans="2:11" x14ac:dyDescent="0.35">
      <c r="B107" t="s">
        <v>178</v>
      </c>
      <c r="J107" s="12" t="s">
        <v>202</v>
      </c>
      <c r="K107" s="44"/>
    </row>
    <row r="108" spans="2:11" x14ac:dyDescent="0.35">
      <c r="B108" t="s">
        <v>196</v>
      </c>
      <c r="J108" s="12" t="s">
        <v>203</v>
      </c>
      <c r="K108" s="44"/>
    </row>
    <row r="109" spans="2:11" x14ac:dyDescent="0.35">
      <c r="J109" s="12"/>
      <c r="K109" s="44"/>
    </row>
    <row r="110" spans="2:11" x14ac:dyDescent="0.35">
      <c r="F110" s="4">
        <v>2021</v>
      </c>
      <c r="G110" s="4">
        <v>2022</v>
      </c>
      <c r="H110" s="4">
        <f>+G110+1</f>
        <v>2023</v>
      </c>
      <c r="I110" s="4">
        <f>+H110+1</f>
        <v>2024</v>
      </c>
      <c r="J110" s="4">
        <f>+I110+1</f>
        <v>2025</v>
      </c>
      <c r="K110" s="4">
        <f>+J110+1</f>
        <v>2026</v>
      </c>
    </row>
    <row r="111" spans="2:11" ht="15" thickBot="1" x14ac:dyDescent="0.4">
      <c r="B111" t="s">
        <v>197</v>
      </c>
      <c r="C111" s="66" t="s">
        <v>198</v>
      </c>
      <c r="D111" s="61"/>
      <c r="F111" s="30"/>
      <c r="G111" s="62"/>
      <c r="H111" s="62"/>
      <c r="I111" s="62"/>
      <c r="J111" s="62"/>
      <c r="K111" s="62"/>
    </row>
    <row r="112" spans="2:11" ht="15" thickTop="1" x14ac:dyDescent="0.35"/>
  </sheetData>
  <mergeCells count="4">
    <mergeCell ref="C57:E57"/>
    <mergeCell ref="G57:K57"/>
    <mergeCell ref="C79:E79"/>
    <mergeCell ref="G79:K7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D0BE-A420-43D7-8C9B-5B5C20B05CE5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ANSWER</vt:lpstr>
      <vt:lpstr>BALANCE SHEET YAHOO</vt:lpstr>
      <vt:lpstr>INCOME YAHOO</vt:lpstr>
      <vt:lpstr>CASH FLOW YAHOO</vt:lpstr>
      <vt:lpstr>INPUT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2021-12-02T02:53:11Z</dcterms:created>
  <dcterms:modified xsi:type="dcterms:W3CDTF">2022-05-02T21:28:02Z</dcterms:modified>
</cp:coreProperties>
</file>