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ussch\Downloads\"/>
    </mc:Choice>
  </mc:AlternateContent>
  <xr:revisionPtr revIDLastSave="0" documentId="13_ncr:1_{E5FBA280-3D3C-4FF2-8E45-BBDEF2EB0DC4}" xr6:coauthVersionLast="47" xr6:coauthVersionMax="47" xr10:uidLastSave="{00000000-0000-0000-0000-000000000000}"/>
  <bookViews>
    <workbookView xWindow="-110" yWindow="-110" windowWidth="19420" windowHeight="11500" xr2:uid="{ECD539D9-A9C7-469E-96D5-663C12C2460F}"/>
  </bookViews>
  <sheets>
    <sheet name="Financial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3" i="1" l="1"/>
  <c r="C48" i="1"/>
  <c r="E48" i="1"/>
  <c r="F48" i="1" s="1"/>
  <c r="E49" i="1"/>
  <c r="F49" i="1"/>
  <c r="J53" i="1"/>
  <c r="C70" i="1"/>
  <c r="C68" i="1"/>
  <c r="C49" i="1" s="1"/>
  <c r="J68" i="1"/>
  <c r="J69" i="1" s="1"/>
  <c r="J73" i="1" s="1"/>
  <c r="I68" i="1"/>
  <c r="I69" i="1" s="1"/>
  <c r="I73" i="1" s="1"/>
  <c r="H68" i="1"/>
  <c r="H69" i="1" s="1"/>
  <c r="H73" i="1" s="1"/>
  <c r="G68" i="1"/>
  <c r="G69" i="1" s="1"/>
  <c r="G73" i="1" s="1"/>
  <c r="F68" i="1"/>
  <c r="F69" i="1" s="1"/>
  <c r="F73" i="1" s="1"/>
  <c r="E68" i="1"/>
  <c r="E69" i="1" s="1"/>
  <c r="E73" i="1" s="1"/>
  <c r="D68" i="1"/>
  <c r="D69" i="1" s="1"/>
  <c r="D73" i="1" s="1"/>
  <c r="H12" i="1"/>
  <c r="I22" i="1"/>
  <c r="J22" i="1" s="1"/>
  <c r="K22" i="1" s="1"/>
  <c r="L22" i="1" s="1"/>
  <c r="I21" i="1"/>
  <c r="J21" i="1" s="1"/>
  <c r="K21" i="1" s="1"/>
  <c r="L21" i="1" s="1"/>
  <c r="I20" i="1"/>
  <c r="J20" i="1" s="1"/>
  <c r="H6" i="1"/>
  <c r="I6" i="1" s="1"/>
  <c r="C24" i="1"/>
  <c r="C23" i="1"/>
  <c r="C21" i="1"/>
  <c r="C20" i="1"/>
  <c r="D19" i="1"/>
  <c r="C8" i="1"/>
  <c r="C10" i="1" s="1"/>
  <c r="C26" i="1" s="1"/>
  <c r="C28" i="1" s="1"/>
  <c r="C50" i="1" l="1"/>
  <c r="D49" i="1" s="1"/>
  <c r="C69" i="1"/>
  <c r="D48" i="1"/>
  <c r="H7" i="1"/>
  <c r="H8" i="1" s="1"/>
  <c r="G48" i="1"/>
  <c r="I14" i="1"/>
  <c r="J6" i="1"/>
  <c r="J9" i="1" s="1"/>
  <c r="K20" i="1"/>
  <c r="L20" i="1" s="1"/>
  <c r="I12" i="1"/>
  <c r="J12" i="1" s="1"/>
  <c r="K12" i="1" s="1"/>
  <c r="L12" i="1" s="1"/>
  <c r="L42" i="1" s="1"/>
  <c r="H14" i="1"/>
  <c r="H9" i="1"/>
  <c r="H16" i="1"/>
  <c r="H35" i="1" s="1"/>
  <c r="H15" i="1"/>
  <c r="H34" i="1" s="1"/>
  <c r="I7" i="1"/>
  <c r="I8" i="1" s="1"/>
  <c r="I16" i="1"/>
  <c r="I35" i="1" s="1"/>
  <c r="I9" i="1"/>
  <c r="I15" i="1"/>
  <c r="I34" i="1" s="1"/>
  <c r="I10" i="1" l="1"/>
  <c r="I26" i="1" s="1"/>
  <c r="J7" i="1"/>
  <c r="J8" i="1" s="1"/>
  <c r="J10" i="1" s="1"/>
  <c r="G49" i="1"/>
  <c r="D50" i="1"/>
  <c r="I28" i="1"/>
  <c r="I33" i="1"/>
  <c r="I36" i="1" s="1"/>
  <c r="I43" i="1" s="1"/>
  <c r="H10" i="1"/>
  <c r="H26" i="1" s="1"/>
  <c r="G50" i="1"/>
  <c r="D40" i="1" s="1"/>
  <c r="K6" i="1"/>
  <c r="L6" i="1" s="1"/>
  <c r="J15" i="1"/>
  <c r="J34" i="1" s="1"/>
  <c r="J16" i="1"/>
  <c r="J35" i="1" s="1"/>
  <c r="J14" i="1"/>
  <c r="J26" i="1" l="1"/>
  <c r="K16" i="1"/>
  <c r="K35" i="1" s="1"/>
  <c r="J28" i="1"/>
  <c r="J33" i="1"/>
  <c r="J36" i="1" s="1"/>
  <c r="J43" i="1" s="1"/>
  <c r="H28" i="1"/>
  <c r="H33" i="1"/>
  <c r="H36" i="1" s="1"/>
  <c r="H43" i="1" s="1"/>
  <c r="K15" i="1"/>
  <c r="K34" i="1" s="1"/>
  <c r="K14" i="1"/>
  <c r="K7" i="1"/>
  <c r="K8" i="1" s="1"/>
  <c r="K9" i="1"/>
  <c r="L14" i="1"/>
  <c r="L16" i="1"/>
  <c r="L35" i="1" s="1"/>
  <c r="L15" i="1"/>
  <c r="L34" i="1" s="1"/>
  <c r="L9" i="1"/>
  <c r="L7" i="1"/>
  <c r="L8" i="1" s="1"/>
  <c r="L10" i="1" s="1"/>
  <c r="K10" i="1" l="1"/>
  <c r="K26" i="1" s="1"/>
  <c r="K28" i="1" s="1"/>
  <c r="L26" i="1"/>
  <c r="K33" i="1" l="1"/>
  <c r="K36" i="1" s="1"/>
  <c r="K43" i="1" s="1"/>
  <c r="L28" i="1"/>
  <c r="L33" i="1"/>
  <c r="L36" i="1" s="1"/>
  <c r="L39" i="1"/>
  <c r="L40" i="1" l="1"/>
  <c r="L41" i="1" s="1"/>
  <c r="L43" i="1" s="1"/>
  <c r="G43" i="1" s="1"/>
  <c r="G44" i="1" s="1"/>
  <c r="D8" i="1" l="1"/>
  <c r="D10" i="1" s="1"/>
  <c r="E8" i="1"/>
  <c r="E10" i="1" s="1"/>
  <c r="F8" i="1"/>
  <c r="D26" i="1"/>
  <c r="D28" i="1" s="1"/>
  <c r="E26" i="1"/>
  <c r="E28" i="1" s="1"/>
  <c r="D22" i="1"/>
  <c r="E22" i="1"/>
  <c r="F22" i="1"/>
  <c r="D23" i="1"/>
  <c r="E23" i="1"/>
  <c r="F23" i="1"/>
  <c r="D24" i="1"/>
  <c r="E24" i="1"/>
  <c r="F24" i="1"/>
  <c r="C22" i="1"/>
  <c r="D21" i="1"/>
  <c r="E21" i="1"/>
  <c r="F21" i="1"/>
  <c r="D20" i="1"/>
  <c r="E20" i="1"/>
  <c r="F20" i="1"/>
  <c r="E19" i="1"/>
  <c r="F19" i="1"/>
  <c r="F10" i="1" l="1"/>
  <c r="F26" i="1" s="1"/>
  <c r="F28" i="1" l="1"/>
  <c r="C72" i="1"/>
  <c r="C73" i="1" s="1"/>
</calcChain>
</file>

<file path=xl/sharedStrings.xml><?xml version="1.0" encoding="utf-8"?>
<sst xmlns="http://schemas.openxmlformats.org/spreadsheetml/2006/main" count="87" uniqueCount="81">
  <si>
    <t>Total Revenue</t>
  </si>
  <si>
    <t>Cost of Revenue</t>
  </si>
  <si>
    <t>Gross Profit</t>
  </si>
  <si>
    <t>EBIT (Operating Income or Loss)</t>
  </si>
  <si>
    <t>Long Term Debt</t>
  </si>
  <si>
    <t>HYATT</t>
  </si>
  <si>
    <t>TTM</t>
  </si>
  <si>
    <t>Operating Expenses</t>
  </si>
  <si>
    <t>Working Capital</t>
  </si>
  <si>
    <t>Capex</t>
  </si>
  <si>
    <t>millions</t>
  </si>
  <si>
    <t>OPERATING ASSUMPTIONS</t>
  </si>
  <si>
    <t>Revenue Growth</t>
  </si>
  <si>
    <t>Cost of Revenue as % Revenue</t>
  </si>
  <si>
    <t>Operating Expense as % Revenue</t>
  </si>
  <si>
    <t>Capex as Percentage of Revenue</t>
  </si>
  <si>
    <t>EBITDA</t>
  </si>
  <si>
    <t>Working Capital % of Revenue</t>
  </si>
  <si>
    <t>Depreciation as % of Revenue</t>
  </si>
  <si>
    <t>Depreciation &amp; Amortization</t>
  </si>
  <si>
    <t>Total Debt to EBITDA</t>
  </si>
  <si>
    <t>SUMMARY FINANCIALS</t>
  </si>
  <si>
    <t>PROJECTIONS</t>
  </si>
  <si>
    <t>HISTORICAL</t>
  </si>
  <si>
    <t>DISCOUNT CASH FLOW (DCF)</t>
  </si>
  <si>
    <t>Less Working Capital</t>
  </si>
  <si>
    <t>Less Capex</t>
  </si>
  <si>
    <t>Free Cash Flow</t>
  </si>
  <si>
    <t>Terminal Value</t>
  </si>
  <si>
    <t>EBITDA Multiple Method</t>
  </si>
  <si>
    <t>Perpetuity Method</t>
  </si>
  <si>
    <t>Average Terminal Value</t>
  </si>
  <si>
    <t>Less Debt</t>
  </si>
  <si>
    <t>Equity Value</t>
  </si>
  <si>
    <t>DCF</t>
  </si>
  <si>
    <t>Stream of Cash Flow</t>
  </si>
  <si>
    <t>Identify and exit year</t>
  </si>
  <si>
    <t>Calculate the Terminal Value</t>
  </si>
  <si>
    <t>us Discount Rate  (CAPM) to determine the company’s value</t>
  </si>
  <si>
    <t>EXIT</t>
  </si>
  <si>
    <t>EBITDA x</t>
  </si>
  <si>
    <t>WACC</t>
  </si>
  <si>
    <t>Growth Rate</t>
  </si>
  <si>
    <t>Hyatt</t>
  </si>
  <si>
    <t>CHH</t>
  </si>
  <si>
    <t>Hilton</t>
  </si>
  <si>
    <t>IHG</t>
  </si>
  <si>
    <t>Marcus</t>
  </si>
  <si>
    <t>Marriott</t>
  </si>
  <si>
    <t>Park Hotel Resorts</t>
  </si>
  <si>
    <t>Wyndham</t>
  </si>
  <si>
    <t>PK</t>
  </si>
  <si>
    <t>WH</t>
  </si>
  <si>
    <t>Stock</t>
  </si>
  <si>
    <t>Beta</t>
  </si>
  <si>
    <t>Outstanding</t>
  </si>
  <si>
    <t>MC (mm)</t>
  </si>
  <si>
    <t>EV (mm)</t>
  </si>
  <si>
    <t>Debt (mm)</t>
  </si>
  <si>
    <t>Cash (mm)</t>
  </si>
  <si>
    <t>EBITDA (mm)</t>
  </si>
  <si>
    <t>EV/EBITDA</t>
  </si>
  <si>
    <t>Dividend</t>
  </si>
  <si>
    <t>Target</t>
  </si>
  <si>
    <t>Min</t>
  </si>
  <si>
    <t>Max</t>
  </si>
  <si>
    <t>Value = Cash Flow / (WACC - growth)</t>
  </si>
  <si>
    <t>Total Debt</t>
  </si>
  <si>
    <t>Total Equity</t>
  </si>
  <si>
    <t>Total Capital</t>
  </si>
  <si>
    <t>Amount</t>
  </si>
  <si>
    <t>% Cap</t>
  </si>
  <si>
    <t>Exp. Rate</t>
  </si>
  <si>
    <t>After Tax</t>
  </si>
  <si>
    <t>Expectred Rate</t>
  </si>
  <si>
    <t>Debt</t>
  </si>
  <si>
    <t>Equity</t>
  </si>
  <si>
    <t>Expected Rate for Debt = Interest / Total Debt</t>
  </si>
  <si>
    <t>Expected Rate for Equity = CAPM = Rf + Beta . Market Premium</t>
  </si>
  <si>
    <t>Tax</t>
  </si>
  <si>
    <t>CAPM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</si>
</sst>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00"/>
    <numFmt numFmtId="165" formatCode="[$-409]d\-mmm;@"/>
    <numFmt numFmtId="166" formatCode="0.0\x"/>
    <numFmt numFmtId="168" formatCode="_(* #,##0.0_);_(* \(#,##0.0\);_(* &quot;-&quot;??_);_(@_)"/>
    <numFmt numFmtId="169" formatCode="_(* #,##0_);_(* \(#,##0\);_(* &quot;-&quot;??_);_(@_)"/>
    <numFmt numFmtId="170" formatCode="&quot;$&quot;#,##0.0_);[Red]\(&quot;$&quot;#,##0.0\)"/>
    <numFmt numFmtId="171" formatCode="0.0%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&amp;quot"/>
    </font>
    <font>
      <sz val="11"/>
      <color rgb="FF000000"/>
      <name val="Times New Roman"/>
      <family val="1"/>
    </font>
    <font>
      <sz val="11"/>
      <color rgb="FF000000"/>
      <name val="&amp;quot"/>
    </font>
    <font>
      <sz val="11"/>
      <name val="Arial"/>
      <family val="2"/>
    </font>
    <font>
      <sz val="11"/>
      <color rgb="FF0066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164" fontId="3" fillId="2" borderId="0" xfId="0" applyNumberFormat="1" applyFont="1" applyFill="1"/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right" vertical="center" wrapText="1"/>
    </xf>
    <xf numFmtId="164" fontId="13" fillId="0" borderId="3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/>
    </xf>
    <xf numFmtId="10" fontId="0" fillId="0" borderId="0" xfId="1" applyNumberFormat="1" applyFont="1"/>
    <xf numFmtId="164" fontId="2" fillId="0" borderId="0" xfId="0" applyNumberFormat="1" applyFont="1"/>
    <xf numFmtId="166" fontId="0" fillId="0" borderId="0" xfId="0" applyNumberFormat="1"/>
    <xf numFmtId="164" fontId="4" fillId="3" borderId="0" xfId="0" applyNumberFormat="1" applyFont="1" applyFill="1"/>
    <xf numFmtId="165" fontId="5" fillId="3" borderId="1" xfId="0" quotePrefix="1" applyNumberFormat="1" applyFont="1" applyFill="1" applyBorder="1" applyAlignment="1">
      <alignment horizontal="right"/>
    </xf>
    <xf numFmtId="164" fontId="6" fillId="3" borderId="2" xfId="0" quotePrefix="1" applyNumberFormat="1" applyFont="1" applyFill="1" applyBorder="1" applyAlignment="1">
      <alignment horizontal="left" vertical="center"/>
    </xf>
    <xf numFmtId="1" fontId="4" fillId="3" borderId="2" xfId="0" applyNumberFormat="1" applyFont="1" applyFill="1" applyBorder="1" applyAlignment="1">
      <alignment horizontal="right" vertical="center"/>
    </xf>
    <xf numFmtId="1" fontId="0" fillId="0" borderId="0" xfId="0" applyNumberFormat="1"/>
    <xf numFmtId="10" fontId="0" fillId="0" borderId="0" xfId="0" applyNumberFormat="1"/>
    <xf numFmtId="164" fontId="3" fillId="2" borderId="0" xfId="0" applyNumberFormat="1" applyFont="1" applyFill="1" applyAlignment="1">
      <alignment horizontal="centerContinuous"/>
    </xf>
    <xf numFmtId="164" fontId="0" fillId="0" borderId="0" xfId="0" applyNumberFormat="1"/>
    <xf numFmtId="164" fontId="0" fillId="0" borderId="5" xfId="0" applyNumberFormat="1" applyBorder="1"/>
    <xf numFmtId="0" fontId="2" fillId="0" borderId="0" xfId="0" applyFont="1"/>
    <xf numFmtId="0" fontId="0" fillId="4" borderId="0" xfId="0" applyFill="1"/>
    <xf numFmtId="0" fontId="0" fillId="0" borderId="6" xfId="0" applyBorder="1"/>
    <xf numFmtId="0" fontId="0" fillId="4" borderId="6" xfId="0" applyFill="1" applyBorder="1"/>
    <xf numFmtId="169" fontId="0" fillId="0" borderId="0" xfId="2" applyNumberFormat="1" applyFont="1"/>
    <xf numFmtId="0" fontId="0" fillId="0" borderId="0" xfId="0" applyAlignment="1">
      <alignment horizontal="center"/>
    </xf>
    <xf numFmtId="3" fontId="2" fillId="4" borderId="5" xfId="0" applyNumberFormat="1" applyFont="1" applyFill="1" applyBorder="1" applyAlignment="1">
      <alignment horizontal="center"/>
    </xf>
    <xf numFmtId="3" fontId="2" fillId="4" borderId="7" xfId="0" applyNumberFormat="1" applyFont="1" applyFill="1" applyBorder="1" applyAlignment="1">
      <alignment horizontal="center"/>
    </xf>
    <xf numFmtId="8" fontId="14" fillId="0" borderId="0" xfId="0" applyNumberFormat="1" applyFont="1"/>
    <xf numFmtId="43" fontId="1" fillId="0" borderId="0" xfId="2" applyFont="1"/>
    <xf numFmtId="43" fontId="14" fillId="0" borderId="0" xfId="2" applyFont="1"/>
    <xf numFmtId="168" fontId="14" fillId="0" borderId="0" xfId="2" applyNumberFormat="1" applyFont="1"/>
    <xf numFmtId="6" fontId="0" fillId="0" borderId="0" xfId="0" applyNumberFormat="1"/>
    <xf numFmtId="170" fontId="0" fillId="0" borderId="0" xfId="0" applyNumberFormat="1"/>
    <xf numFmtId="170" fontId="14" fillId="0" borderId="0" xfId="0" applyNumberFormat="1" applyFont="1"/>
    <xf numFmtId="164" fontId="0" fillId="0" borderId="6" xfId="0" applyNumberFormat="1" applyBorder="1"/>
    <xf numFmtId="6" fontId="0" fillId="0" borderId="6" xfId="0" applyNumberFormat="1" applyBorder="1"/>
    <xf numFmtId="9" fontId="0" fillId="0" borderId="6" xfId="1" applyFont="1" applyBorder="1"/>
    <xf numFmtId="9" fontId="0" fillId="0" borderId="6" xfId="0" applyNumberFormat="1" applyBorder="1"/>
    <xf numFmtId="171" fontId="0" fillId="0" borderId="6" xfId="1" applyNumberFormat="1" applyFont="1" applyBorder="1"/>
    <xf numFmtId="171" fontId="0" fillId="0" borderId="6" xfId="0" applyNumberFormat="1" applyBorder="1"/>
    <xf numFmtId="171" fontId="0" fillId="4" borderId="6" xfId="0" applyNumberFormat="1" applyFill="1" applyBorder="1"/>
    <xf numFmtId="10" fontId="0" fillId="4" borderId="6" xfId="0" applyNumberFormat="1" applyFill="1" applyBorder="1"/>
    <xf numFmtId="169" fontId="0" fillId="0" borderId="0" xfId="0" applyNumberFormat="1"/>
    <xf numFmtId="164" fontId="0" fillId="0" borderId="3" xfId="0" applyNumberFormat="1" applyBorder="1"/>
    <xf numFmtId="171" fontId="0" fillId="0" borderId="0" xfId="0" applyNumberFormat="1"/>
    <xf numFmtId="44" fontId="0" fillId="4" borderId="0" xfId="3" applyFont="1" applyFill="1"/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3B21-3034-494C-B524-0A43D1528008}">
  <dimension ref="B1:L78"/>
  <sheetViews>
    <sheetView showGridLines="0" tabSelected="1" zoomScale="130" zoomScaleNormal="130" workbookViewId="0">
      <selection activeCell="B1" sqref="B1"/>
    </sheetView>
  </sheetViews>
  <sheetFormatPr defaultRowHeight="14.5"/>
  <cols>
    <col min="1" max="1" width="4.26953125" customWidth="1"/>
    <col min="2" max="2" width="34.7265625" customWidth="1"/>
    <col min="3" max="4" width="9.1796875" customWidth="1"/>
    <col min="5" max="10" width="9.7265625" customWidth="1"/>
    <col min="11" max="11" width="8.08984375" customWidth="1"/>
    <col min="12" max="12" width="9.90625" customWidth="1"/>
  </cols>
  <sheetData>
    <row r="1" spans="2:12" ht="21">
      <c r="B1" s="3" t="s">
        <v>5</v>
      </c>
    </row>
    <row r="3" spans="2:12">
      <c r="B3" s="1" t="s">
        <v>21</v>
      </c>
      <c r="C3" s="20" t="s">
        <v>23</v>
      </c>
      <c r="D3" s="20"/>
      <c r="E3" s="20"/>
      <c r="F3" s="20"/>
      <c r="H3" s="20" t="s">
        <v>22</v>
      </c>
      <c r="I3" s="20"/>
      <c r="J3" s="20"/>
      <c r="K3" s="20"/>
      <c r="L3" s="20"/>
    </row>
    <row r="4" spans="2:12">
      <c r="B4" s="14"/>
      <c r="C4" s="15"/>
      <c r="D4" s="15"/>
      <c r="E4" s="15"/>
      <c r="F4" s="15" t="s">
        <v>6</v>
      </c>
      <c r="H4" s="15"/>
      <c r="I4" s="15"/>
      <c r="J4" s="15"/>
      <c r="K4" s="15"/>
      <c r="L4" s="15"/>
    </row>
    <row r="5" spans="2:12" ht="15" thickBot="1">
      <c r="B5" s="16" t="s">
        <v>10</v>
      </c>
      <c r="C5" s="17">
        <v>2023</v>
      </c>
      <c r="D5" s="17">
        <v>2024</v>
      </c>
      <c r="E5" s="17">
        <v>2025</v>
      </c>
      <c r="F5" s="17">
        <v>2026</v>
      </c>
      <c r="H5" s="17">
        <v>2026</v>
      </c>
      <c r="I5" s="17">
        <v>2027</v>
      </c>
      <c r="J5" s="17">
        <v>2028</v>
      </c>
      <c r="K5" s="17">
        <v>2029</v>
      </c>
      <c r="L5" s="17">
        <v>2030</v>
      </c>
    </row>
    <row r="6" spans="2:12">
      <c r="B6" s="4" t="s">
        <v>0</v>
      </c>
      <c r="C6" s="5">
        <v>6670</v>
      </c>
      <c r="D6" s="5">
        <v>6650</v>
      </c>
      <c r="E6" s="5">
        <v>7100</v>
      </c>
      <c r="F6" s="5">
        <v>7130</v>
      </c>
      <c r="H6" s="5">
        <f>F6*(1+H19)</f>
        <v>8199.5</v>
      </c>
      <c r="I6" s="5">
        <f>H6*(1+I19)</f>
        <v>9019.4500000000007</v>
      </c>
      <c r="J6" s="5">
        <f t="shared" ref="J6:L6" si="0">I6*(1+J19)</f>
        <v>9921.3950000000023</v>
      </c>
      <c r="K6" s="5">
        <f t="shared" si="0"/>
        <v>10913.534500000003</v>
      </c>
      <c r="L6" s="5">
        <f t="shared" si="0"/>
        <v>12004.887950000004</v>
      </c>
    </row>
    <row r="7" spans="2:12">
      <c r="B7" s="6" t="s">
        <v>1</v>
      </c>
      <c r="C7" s="7">
        <v>5360</v>
      </c>
      <c r="D7" s="7">
        <v>5350</v>
      </c>
      <c r="E7" s="7">
        <v>5700</v>
      </c>
      <c r="F7" s="7">
        <v>5720</v>
      </c>
      <c r="H7" s="7">
        <f>H20*H6</f>
        <v>6559.6</v>
      </c>
      <c r="I7" s="7">
        <f t="shared" ref="I7:L7" si="1">I20*I6</f>
        <v>7215.5600000000013</v>
      </c>
      <c r="J7" s="7">
        <f t="shared" si="1"/>
        <v>7937.1160000000018</v>
      </c>
      <c r="K7" s="7">
        <f t="shared" si="1"/>
        <v>8730.8276000000023</v>
      </c>
      <c r="L7" s="7">
        <f t="shared" si="1"/>
        <v>9603.9103600000035</v>
      </c>
    </row>
    <row r="8" spans="2:12" ht="15" thickBot="1">
      <c r="B8" s="6" t="s">
        <v>2</v>
      </c>
      <c r="C8" s="8">
        <f>C6-C7</f>
        <v>1310</v>
      </c>
      <c r="D8" s="8">
        <f t="shared" ref="D8:F8" si="2">+D6-D7</f>
        <v>1300</v>
      </c>
      <c r="E8" s="8">
        <f t="shared" si="2"/>
        <v>1400</v>
      </c>
      <c r="F8" s="8">
        <f t="shared" si="2"/>
        <v>1410</v>
      </c>
      <c r="H8" s="8">
        <f>H6-H7</f>
        <v>1639.8999999999996</v>
      </c>
      <c r="I8" s="8">
        <f t="shared" ref="I8:L8" si="3">I6-I7</f>
        <v>1803.8899999999994</v>
      </c>
      <c r="J8" s="8">
        <f t="shared" si="3"/>
        <v>1984.2790000000005</v>
      </c>
      <c r="K8" s="8">
        <f t="shared" si="3"/>
        <v>2182.706900000001</v>
      </c>
      <c r="L8" s="8">
        <f t="shared" si="3"/>
        <v>2400.9775900000004</v>
      </c>
    </row>
    <row r="9" spans="2:12" ht="15" thickTop="1">
      <c r="B9" s="6" t="s">
        <v>7</v>
      </c>
      <c r="C9" s="9">
        <v>958</v>
      </c>
      <c r="D9" s="9">
        <v>880</v>
      </c>
      <c r="E9" s="9">
        <v>920</v>
      </c>
      <c r="F9" s="9">
        <v>926</v>
      </c>
      <c r="H9" s="9">
        <f>H21*H6</f>
        <v>983.93999999999994</v>
      </c>
      <c r="I9" s="9">
        <f t="shared" ref="I9:L9" si="4">I21*I6</f>
        <v>1082.3340000000001</v>
      </c>
      <c r="J9" s="9">
        <f t="shared" si="4"/>
        <v>1190.5674000000001</v>
      </c>
      <c r="K9" s="9">
        <f t="shared" si="4"/>
        <v>1309.6241400000004</v>
      </c>
      <c r="L9" s="9">
        <f t="shared" si="4"/>
        <v>1440.5865540000004</v>
      </c>
    </row>
    <row r="10" spans="2:12">
      <c r="B10" s="4" t="s">
        <v>3</v>
      </c>
      <c r="C10" s="7">
        <f>C8-C9</f>
        <v>352</v>
      </c>
      <c r="D10" s="7">
        <f t="shared" ref="D10:F10" si="5">D8-D9</f>
        <v>420</v>
      </c>
      <c r="E10" s="7">
        <f t="shared" si="5"/>
        <v>480</v>
      </c>
      <c r="F10" s="7">
        <f t="shared" si="5"/>
        <v>484</v>
      </c>
      <c r="H10" s="7">
        <f>H8-H9</f>
        <v>655.9599999999997</v>
      </c>
      <c r="I10" s="7">
        <f t="shared" ref="I10:L10" si="6">I8-I9</f>
        <v>721.55599999999936</v>
      </c>
      <c r="J10" s="7">
        <f t="shared" si="6"/>
        <v>793.71160000000032</v>
      </c>
      <c r="K10" s="7">
        <f t="shared" si="6"/>
        <v>873.08276000000069</v>
      </c>
      <c r="L10" s="7">
        <f t="shared" si="6"/>
        <v>960.39103599999999</v>
      </c>
    </row>
    <row r="11" spans="2:12">
      <c r="B11" s="2"/>
      <c r="C11" s="2"/>
      <c r="D11" s="2"/>
      <c r="E11" s="2"/>
      <c r="F11" s="2"/>
      <c r="H11" s="2"/>
      <c r="I11" s="2"/>
      <c r="J11" s="2"/>
      <c r="K11" s="2"/>
      <c r="L11" s="2"/>
    </row>
    <row r="12" spans="2:12">
      <c r="B12" s="6" t="s">
        <v>4</v>
      </c>
      <c r="C12" s="10">
        <v>3370</v>
      </c>
      <c r="D12" s="10">
        <v>4060</v>
      </c>
      <c r="E12" s="10">
        <v>4560</v>
      </c>
      <c r="F12" s="10">
        <v>4510</v>
      </c>
      <c r="G12" s="19">
        <v>0.05</v>
      </c>
      <c r="H12" s="10">
        <f>F12*(1-G12)</f>
        <v>4284.5</v>
      </c>
      <c r="I12" s="10">
        <f>H12*(1-$G$12)</f>
        <v>4070.2749999999996</v>
      </c>
      <c r="J12" s="10">
        <f t="shared" ref="J12:L12" si="7">I12*(1-$G$12)</f>
        <v>3866.7612499999996</v>
      </c>
      <c r="K12" s="10">
        <f t="shared" si="7"/>
        <v>3673.4231874999996</v>
      </c>
      <c r="L12" s="10">
        <f t="shared" si="7"/>
        <v>3489.7520281249995</v>
      </c>
    </row>
    <row r="14" spans="2:12">
      <c r="B14" s="6" t="s">
        <v>19</v>
      </c>
      <c r="C14" s="10">
        <v>439</v>
      </c>
      <c r="D14" s="10">
        <v>369</v>
      </c>
      <c r="E14" s="10">
        <v>359</v>
      </c>
      <c r="F14" s="10">
        <v>356</v>
      </c>
      <c r="H14" s="10">
        <f>H22*H6</f>
        <v>450.97250000000003</v>
      </c>
      <c r="I14" s="10">
        <f t="shared" ref="I14:L14" si="8">I22*I6</f>
        <v>496.06975000000006</v>
      </c>
      <c r="J14" s="10">
        <f t="shared" si="8"/>
        <v>545.67672500000015</v>
      </c>
      <c r="K14" s="10">
        <f t="shared" si="8"/>
        <v>600.24439750000022</v>
      </c>
      <c r="L14" s="10">
        <f t="shared" si="8"/>
        <v>660.26883725000027</v>
      </c>
    </row>
    <row r="15" spans="2:12">
      <c r="B15" s="6" t="s">
        <v>8</v>
      </c>
      <c r="C15" s="10">
        <v>203</v>
      </c>
      <c r="D15" s="10">
        <v>188</v>
      </c>
      <c r="E15" s="10">
        <v>-115</v>
      </c>
      <c r="F15" s="10">
        <v>-165</v>
      </c>
      <c r="H15" s="10">
        <f>-H23*H6</f>
        <v>-81.995000000000005</v>
      </c>
      <c r="I15" s="10">
        <f t="shared" ref="I15:L15" si="9">-I23*I6</f>
        <v>-90.194500000000005</v>
      </c>
      <c r="J15" s="10">
        <f t="shared" si="9"/>
        <v>-99.213950000000025</v>
      </c>
      <c r="K15" s="10">
        <f t="shared" si="9"/>
        <v>-109.13534500000003</v>
      </c>
      <c r="L15" s="10">
        <f t="shared" si="9"/>
        <v>-120.04887950000004</v>
      </c>
    </row>
    <row r="16" spans="2:12">
      <c r="B16" s="6" t="s">
        <v>9</v>
      </c>
      <c r="C16">
        <v>-198</v>
      </c>
      <c r="D16">
        <v>-170</v>
      </c>
      <c r="E16">
        <v>-220</v>
      </c>
      <c r="F16">
        <v>-213</v>
      </c>
      <c r="H16" s="18">
        <f>-H24*H6</f>
        <v>-245.98499999999999</v>
      </c>
      <c r="I16" s="18">
        <f t="shared" ref="I16:L16" si="10">-I24*I6</f>
        <v>-270.58350000000002</v>
      </c>
      <c r="J16" s="18">
        <f t="shared" si="10"/>
        <v>-297.64185000000003</v>
      </c>
      <c r="K16" s="18">
        <f t="shared" si="10"/>
        <v>-327.40603500000009</v>
      </c>
      <c r="L16" s="18">
        <f t="shared" si="10"/>
        <v>-360.14663850000011</v>
      </c>
    </row>
    <row r="18" spans="2:12">
      <c r="B18" s="1" t="s">
        <v>11</v>
      </c>
      <c r="C18" s="1"/>
      <c r="D18" s="1"/>
      <c r="E18" s="1"/>
      <c r="F18" s="1"/>
      <c r="H18" s="1"/>
      <c r="I18" s="1"/>
      <c r="J18" s="1"/>
      <c r="K18" s="1"/>
      <c r="L18" s="1"/>
    </row>
    <row r="19" spans="2:12">
      <c r="B19" s="6" t="s">
        <v>12</v>
      </c>
      <c r="C19" s="11"/>
      <c r="D19" s="11">
        <f>D6/C6-1</f>
        <v>-2.9985007496251548E-3</v>
      </c>
      <c r="E19" s="11">
        <f>E6/D6-1</f>
        <v>6.7669172932330879E-2</v>
      </c>
      <c r="F19" s="11">
        <f>F6/E6-1</f>
        <v>4.2253521126760507E-3</v>
      </c>
      <c r="H19" s="11">
        <v>0.15</v>
      </c>
      <c r="I19" s="11">
        <v>0.1</v>
      </c>
      <c r="J19" s="11">
        <v>0.1</v>
      </c>
      <c r="K19" s="11">
        <v>0.1</v>
      </c>
      <c r="L19" s="11">
        <v>0.1</v>
      </c>
    </row>
    <row r="20" spans="2:12">
      <c r="B20" s="6" t="s">
        <v>13</v>
      </c>
      <c r="C20" s="11">
        <f>C7/C6</f>
        <v>0.80359820089955025</v>
      </c>
      <c r="D20" s="11">
        <f>D7/D6</f>
        <v>0.80451127819548873</v>
      </c>
      <c r="E20" s="11">
        <f>E7/E6</f>
        <v>0.80281690140845074</v>
      </c>
      <c r="F20" s="11">
        <f>F7/F6</f>
        <v>0.80224403927068721</v>
      </c>
      <c r="H20" s="11">
        <v>0.8</v>
      </c>
      <c r="I20" s="11">
        <f>H20</f>
        <v>0.8</v>
      </c>
      <c r="J20" s="11">
        <f t="shared" ref="J20:L20" si="11">I20</f>
        <v>0.8</v>
      </c>
      <c r="K20" s="11">
        <f t="shared" si="11"/>
        <v>0.8</v>
      </c>
      <c r="L20" s="11">
        <f t="shared" si="11"/>
        <v>0.8</v>
      </c>
    </row>
    <row r="21" spans="2:12">
      <c r="B21" s="6" t="s">
        <v>14</v>
      </c>
      <c r="C21" s="11">
        <f>C9/C6</f>
        <v>0.14362818590704649</v>
      </c>
      <c r="D21" s="11">
        <f>D9/D6</f>
        <v>0.13233082706766916</v>
      </c>
      <c r="E21" s="11">
        <f>E9/E6</f>
        <v>0.12957746478873239</v>
      </c>
      <c r="F21" s="11">
        <f>F9/F6</f>
        <v>0.12987377279102386</v>
      </c>
      <c r="H21" s="11">
        <v>0.12</v>
      </c>
      <c r="I21" s="11">
        <f>H21</f>
        <v>0.12</v>
      </c>
      <c r="J21" s="11">
        <f t="shared" ref="J21:L21" si="12">I21</f>
        <v>0.12</v>
      </c>
      <c r="K21" s="11">
        <f t="shared" si="12"/>
        <v>0.12</v>
      </c>
      <c r="L21" s="11">
        <f t="shared" si="12"/>
        <v>0.12</v>
      </c>
    </row>
    <row r="22" spans="2:12">
      <c r="B22" s="6" t="s">
        <v>18</v>
      </c>
      <c r="C22" s="11">
        <f>C14/C6</f>
        <v>6.5817091454272864E-2</v>
      </c>
      <c r="D22" s="11">
        <f>D14/D6</f>
        <v>5.5488721804511275E-2</v>
      </c>
      <c r="E22" s="11">
        <f>E14/E6</f>
        <v>5.0563380281690141E-2</v>
      </c>
      <c r="F22" s="11">
        <f>F14/F6</f>
        <v>4.9929873772791025E-2</v>
      </c>
      <c r="H22" s="11">
        <v>5.5E-2</v>
      </c>
      <c r="I22" s="11">
        <f t="shared" ref="I22:L22" si="13">H22</f>
        <v>5.5E-2</v>
      </c>
      <c r="J22" s="11">
        <f t="shared" si="13"/>
        <v>5.5E-2</v>
      </c>
      <c r="K22" s="11">
        <f t="shared" si="13"/>
        <v>5.5E-2</v>
      </c>
      <c r="L22" s="11">
        <f t="shared" si="13"/>
        <v>5.5E-2</v>
      </c>
    </row>
    <row r="23" spans="2:12">
      <c r="B23" s="6" t="s">
        <v>17</v>
      </c>
      <c r="C23" s="11">
        <f>-C15/C6</f>
        <v>-3.0434782608695653E-2</v>
      </c>
      <c r="D23" s="11">
        <f>-D15/D6</f>
        <v>-2.8270676691729325E-2</v>
      </c>
      <c r="E23" s="11">
        <f>-E15/E6</f>
        <v>1.6197183098591549E-2</v>
      </c>
      <c r="F23" s="11">
        <f>-F15/F6</f>
        <v>2.3141654978962131E-2</v>
      </c>
      <c r="H23" s="11">
        <v>0.01</v>
      </c>
      <c r="I23" s="11">
        <v>0.01</v>
      </c>
      <c r="J23" s="11">
        <v>0.01</v>
      </c>
      <c r="K23" s="11">
        <v>0.01</v>
      </c>
      <c r="L23" s="11">
        <v>0.01</v>
      </c>
    </row>
    <row r="24" spans="2:12">
      <c r="B24" s="6" t="s">
        <v>15</v>
      </c>
      <c r="C24" s="11">
        <f>-C16/C6</f>
        <v>2.9685157421289354E-2</v>
      </c>
      <c r="D24" s="11">
        <f>-D16/D6</f>
        <v>2.5563909774436091E-2</v>
      </c>
      <c r="E24" s="11">
        <f>-E16/E6</f>
        <v>3.0985915492957747E-2</v>
      </c>
      <c r="F24" s="11">
        <f>-F16/F6</f>
        <v>2.9873772791023843E-2</v>
      </c>
      <c r="H24" s="11">
        <v>0.03</v>
      </c>
      <c r="I24" s="11">
        <v>0.03</v>
      </c>
      <c r="J24" s="11">
        <v>0.03</v>
      </c>
      <c r="K24" s="11">
        <v>0.03</v>
      </c>
      <c r="L24" s="11">
        <v>0.03</v>
      </c>
    </row>
    <row r="26" spans="2:12">
      <c r="B26" s="4" t="s">
        <v>16</v>
      </c>
      <c r="C26" s="12">
        <f>C10+C14</f>
        <v>791</v>
      </c>
      <c r="D26" s="12">
        <f>D10+D14</f>
        <v>789</v>
      </c>
      <c r="E26" s="12">
        <f>E10+E14</f>
        <v>839</v>
      </c>
      <c r="F26" s="12">
        <f>F10+F14</f>
        <v>840</v>
      </c>
      <c r="H26" s="12">
        <f t="shared" ref="H26:L26" si="14">H10+H14</f>
        <v>1106.9324999999997</v>
      </c>
      <c r="I26" s="12">
        <f t="shared" si="14"/>
        <v>1217.6257499999995</v>
      </c>
      <c r="J26" s="12">
        <f t="shared" si="14"/>
        <v>1339.3883250000003</v>
      </c>
      <c r="K26" s="12">
        <f t="shared" si="14"/>
        <v>1473.3271575000008</v>
      </c>
      <c r="L26" s="12">
        <f t="shared" si="14"/>
        <v>1620.6598732500001</v>
      </c>
    </row>
    <row r="28" spans="2:12">
      <c r="B28" t="s">
        <v>20</v>
      </c>
      <c r="C28" s="13">
        <f>C12/C26</f>
        <v>4.2604298356510748</v>
      </c>
      <c r="D28" s="13">
        <f>D12/D26</f>
        <v>5.1457541191381493</v>
      </c>
      <c r="E28" s="13">
        <f>E12/E26</f>
        <v>5.4350417163289633</v>
      </c>
      <c r="F28" s="13">
        <f>F12/F26</f>
        <v>5.3690476190476186</v>
      </c>
      <c r="H28" s="13">
        <f t="shared" ref="H28:L28" si="15">H12/H26</f>
        <v>3.8706063829546982</v>
      </c>
      <c r="I28" s="13">
        <f t="shared" si="15"/>
        <v>3.342796421642694</v>
      </c>
      <c r="J28" s="13">
        <f t="shared" si="15"/>
        <v>2.8869605459641425</v>
      </c>
      <c r="K28" s="13">
        <f t="shared" si="15"/>
        <v>2.4932841078781225</v>
      </c>
      <c r="L28" s="13">
        <f t="shared" si="15"/>
        <v>2.1532908204401977</v>
      </c>
    </row>
    <row r="30" spans="2:12">
      <c r="B30" s="1" t="s">
        <v>24</v>
      </c>
      <c r="C30" s="20" t="s">
        <v>23</v>
      </c>
      <c r="D30" s="20"/>
      <c r="E30" s="20"/>
      <c r="F30" s="20"/>
      <c r="H30" s="20" t="s">
        <v>22</v>
      </c>
      <c r="I30" s="20"/>
      <c r="J30" s="20"/>
      <c r="K30" s="20"/>
      <c r="L30" s="20"/>
    </row>
    <row r="31" spans="2:12">
      <c r="B31" s="14"/>
      <c r="C31" s="15"/>
      <c r="D31" s="15"/>
      <c r="E31" s="15"/>
      <c r="F31" s="15" t="s">
        <v>6</v>
      </c>
      <c r="H31" s="15"/>
      <c r="I31" s="15"/>
      <c r="J31" s="15"/>
      <c r="K31" s="15"/>
      <c r="L31" s="15" t="s">
        <v>39</v>
      </c>
    </row>
    <row r="32" spans="2:12" ht="15" thickBot="1">
      <c r="B32" s="16" t="s">
        <v>10</v>
      </c>
      <c r="C32" s="17">
        <v>2023</v>
      </c>
      <c r="D32" s="17">
        <v>2024</v>
      </c>
      <c r="E32" s="17">
        <v>2025</v>
      </c>
      <c r="F32" s="17">
        <v>2026</v>
      </c>
      <c r="H32" s="17">
        <v>2026</v>
      </c>
      <c r="I32" s="17">
        <v>2027</v>
      </c>
      <c r="J32" s="17">
        <v>2028</v>
      </c>
      <c r="K32" s="17">
        <v>2029</v>
      </c>
      <c r="L32" s="17">
        <v>2030</v>
      </c>
    </row>
    <row r="33" spans="2:12">
      <c r="B33" t="s">
        <v>16</v>
      </c>
      <c r="H33" s="21">
        <f>H26</f>
        <v>1106.9324999999997</v>
      </c>
      <c r="I33" s="21">
        <f t="shared" ref="I33:L33" si="16">I26</f>
        <v>1217.6257499999995</v>
      </c>
      <c r="J33" s="21">
        <f t="shared" si="16"/>
        <v>1339.3883250000003</v>
      </c>
      <c r="K33" s="21">
        <f t="shared" si="16"/>
        <v>1473.3271575000008</v>
      </c>
      <c r="L33" s="21">
        <f t="shared" si="16"/>
        <v>1620.6598732500001</v>
      </c>
    </row>
    <row r="34" spans="2:12">
      <c r="B34" t="s">
        <v>25</v>
      </c>
      <c r="H34" s="21">
        <f>H15</f>
        <v>-81.995000000000005</v>
      </c>
      <c r="I34" s="21">
        <f t="shared" ref="I34:L34" si="17">I15</f>
        <v>-90.194500000000005</v>
      </c>
      <c r="J34" s="21">
        <f t="shared" si="17"/>
        <v>-99.213950000000025</v>
      </c>
      <c r="K34" s="21">
        <f t="shared" si="17"/>
        <v>-109.13534500000003</v>
      </c>
      <c r="L34" s="21">
        <f t="shared" si="17"/>
        <v>-120.04887950000004</v>
      </c>
    </row>
    <row r="35" spans="2:12">
      <c r="B35" t="s">
        <v>26</v>
      </c>
      <c r="H35" s="18">
        <f>H16</f>
        <v>-245.98499999999999</v>
      </c>
      <c r="I35" s="18">
        <f t="shared" ref="I35:L35" si="18">I16</f>
        <v>-270.58350000000002</v>
      </c>
      <c r="J35" s="18">
        <f t="shared" si="18"/>
        <v>-297.64185000000003</v>
      </c>
      <c r="K35" s="18">
        <f t="shared" si="18"/>
        <v>-327.40603500000009</v>
      </c>
      <c r="L35" s="18">
        <f t="shared" si="18"/>
        <v>-360.14663850000011</v>
      </c>
    </row>
    <row r="36" spans="2:12">
      <c r="B36" t="s">
        <v>27</v>
      </c>
      <c r="H36" s="22">
        <f>SUM(H33:H35)</f>
        <v>778.95249999999953</v>
      </c>
      <c r="I36" s="22">
        <f t="shared" ref="I36:L36" si="19">SUM(I33:I35)</f>
        <v>856.84774999999945</v>
      </c>
      <c r="J36" s="22">
        <f t="shared" si="19"/>
        <v>942.53252500000031</v>
      </c>
      <c r="K36" s="22">
        <f t="shared" si="19"/>
        <v>1036.7857775000007</v>
      </c>
      <c r="L36" s="22">
        <f t="shared" si="19"/>
        <v>1140.4643552499999</v>
      </c>
    </row>
    <row r="38" spans="2:12">
      <c r="B38" s="23" t="s">
        <v>28</v>
      </c>
      <c r="C38" t="s">
        <v>40</v>
      </c>
      <c r="D38" t="s">
        <v>41</v>
      </c>
      <c r="E38" t="s">
        <v>42</v>
      </c>
    </row>
    <row r="39" spans="2:12">
      <c r="B39" t="s">
        <v>29</v>
      </c>
      <c r="C39" s="26">
        <v>17.600000000000001</v>
      </c>
      <c r="L39" s="27">
        <f>C39*L26</f>
        <v>28523.613769200005</v>
      </c>
    </row>
    <row r="40" spans="2:12">
      <c r="B40" t="s">
        <v>30</v>
      </c>
      <c r="D40" s="44">
        <f>G50</f>
        <v>0.11007876506837722</v>
      </c>
      <c r="E40" s="45">
        <v>7.0000000000000007E-2</v>
      </c>
      <c r="G40" t="s">
        <v>66</v>
      </c>
      <c r="L40" s="27">
        <f>L36/(D40-E40)</f>
        <v>28455.576246031709</v>
      </c>
    </row>
    <row r="41" spans="2:12">
      <c r="B41" t="s">
        <v>31</v>
      </c>
      <c r="L41" s="46">
        <f>AVERAGE(L39:L40)</f>
        <v>28489.595007615855</v>
      </c>
    </row>
    <row r="42" spans="2:12">
      <c r="B42" t="s">
        <v>32</v>
      </c>
      <c r="L42" s="46">
        <f>-L12</f>
        <v>-3489.7520281249995</v>
      </c>
    </row>
    <row r="43" spans="2:12" ht="15" thickBot="1">
      <c r="B43" t="s">
        <v>33</v>
      </c>
      <c r="C43" t="s">
        <v>80</v>
      </c>
      <c r="D43" s="48">
        <f>E49</f>
        <v>0.1242</v>
      </c>
      <c r="G43" s="47">
        <f>NPV(D43,H43:L43)</f>
        <v>17241.064554177789</v>
      </c>
      <c r="H43" s="47">
        <f>H36</f>
        <v>778.95249999999953</v>
      </c>
      <c r="I43" s="47">
        <f t="shared" ref="I43:K43" si="20">I36</f>
        <v>856.84774999999945</v>
      </c>
      <c r="J43" s="47">
        <f t="shared" si="20"/>
        <v>942.53252500000031</v>
      </c>
      <c r="K43" s="47">
        <f t="shared" si="20"/>
        <v>1036.7857775000007</v>
      </c>
      <c r="L43" s="47">
        <f>L36+L41+L42</f>
        <v>26140.307334740854</v>
      </c>
    </row>
    <row r="44" spans="2:12" ht="15" thickTop="1">
      <c r="G44" s="49">
        <f>G43/C67</f>
        <v>183.10391412678194</v>
      </c>
    </row>
    <row r="47" spans="2:12">
      <c r="B47" s="25"/>
      <c r="C47" s="25" t="s">
        <v>70</v>
      </c>
      <c r="D47" s="25" t="s">
        <v>71</v>
      </c>
      <c r="E47" s="25" t="s">
        <v>72</v>
      </c>
      <c r="F47" s="25" t="s">
        <v>73</v>
      </c>
      <c r="G47" s="25" t="s">
        <v>41</v>
      </c>
    </row>
    <row r="48" spans="2:12">
      <c r="B48" s="25" t="s">
        <v>67</v>
      </c>
      <c r="C48" s="38">
        <f>F12</f>
        <v>4510</v>
      </c>
      <c r="D48" s="40">
        <f>C48/$C$50</f>
        <v>0.20304266867398282</v>
      </c>
      <c r="E48" s="42">
        <f>I53/J53</f>
        <v>7.0066518847006654E-2</v>
      </c>
      <c r="F48" s="42">
        <f>E48*(1-J48)</f>
        <v>5.465188470066519E-2</v>
      </c>
      <c r="G48" s="42">
        <f>F48*D48</f>
        <v>1.1096664517685872E-2</v>
      </c>
      <c r="I48" t="s">
        <v>79</v>
      </c>
      <c r="J48" s="19">
        <v>0.22</v>
      </c>
    </row>
    <row r="49" spans="2:11">
      <c r="B49" s="25" t="s">
        <v>68</v>
      </c>
      <c r="C49" s="39">
        <f>C68</f>
        <v>17702.079999999998</v>
      </c>
      <c r="D49" s="40">
        <f>C49/$C$50</f>
        <v>0.7969573313260172</v>
      </c>
      <c r="E49" s="42">
        <f>I54+J54*K54</f>
        <v>0.1242</v>
      </c>
      <c r="F49" s="43">
        <f>E49</f>
        <v>0.1242</v>
      </c>
      <c r="G49" s="43">
        <f>F49*D49</f>
        <v>9.8982100550691343E-2</v>
      </c>
    </row>
    <row r="50" spans="2:11">
      <c r="B50" s="25" t="s">
        <v>69</v>
      </c>
      <c r="C50" s="39">
        <f>C49+C48</f>
        <v>22212.079999999998</v>
      </c>
      <c r="D50" s="41">
        <f>SUM(D48:D49)</f>
        <v>1</v>
      </c>
      <c r="E50" s="25"/>
      <c r="F50" s="25"/>
      <c r="G50" s="43">
        <f>SUM(G48:G49)</f>
        <v>0.11007876506837722</v>
      </c>
    </row>
    <row r="52" spans="2:11">
      <c r="B52" t="s">
        <v>74</v>
      </c>
    </row>
    <row r="53" spans="2:11">
      <c r="B53" t="s">
        <v>75</v>
      </c>
      <c r="C53" t="s">
        <v>77</v>
      </c>
      <c r="I53">
        <v>316</v>
      </c>
      <c r="J53" s="21">
        <f>F12</f>
        <v>4510</v>
      </c>
    </row>
    <row r="54" spans="2:11">
      <c r="B54" t="s">
        <v>76</v>
      </c>
      <c r="C54" t="s">
        <v>78</v>
      </c>
      <c r="I54" s="19">
        <v>4.4999999999999998E-2</v>
      </c>
      <c r="J54">
        <v>1.32</v>
      </c>
      <c r="K54" s="19">
        <v>0.06</v>
      </c>
    </row>
    <row r="57" spans="2:11">
      <c r="B57" t="s">
        <v>34</v>
      </c>
    </row>
    <row r="58" spans="2:11">
      <c r="B58" s="24" t="s">
        <v>35</v>
      </c>
    </row>
    <row r="59" spans="2:11">
      <c r="B59" s="24" t="s">
        <v>36</v>
      </c>
    </row>
    <row r="60" spans="2:11">
      <c r="B60" t="s">
        <v>37</v>
      </c>
    </row>
    <row r="61" spans="2:11">
      <c r="B61" t="s">
        <v>38</v>
      </c>
    </row>
    <row r="63" spans="2:11">
      <c r="B63" s="28"/>
      <c r="C63" s="29" t="s">
        <v>43</v>
      </c>
      <c r="D63" s="29" t="s">
        <v>44</v>
      </c>
      <c r="E63" s="29" t="s">
        <v>45</v>
      </c>
      <c r="F63" s="29" t="s">
        <v>46</v>
      </c>
      <c r="G63" s="29" t="s">
        <v>47</v>
      </c>
      <c r="H63" s="29" t="s">
        <v>48</v>
      </c>
      <c r="I63" s="29" t="s">
        <v>49</v>
      </c>
      <c r="J63" s="29" t="s">
        <v>50</v>
      </c>
    </row>
    <row r="64" spans="2:11" ht="15" thickBot="1">
      <c r="B64" s="28"/>
      <c r="C64" s="30"/>
      <c r="D64" s="30"/>
      <c r="E64" s="30"/>
      <c r="F64" s="30"/>
      <c r="G64" s="30"/>
      <c r="H64" s="30"/>
      <c r="I64" s="30" t="s">
        <v>51</v>
      </c>
      <c r="J64" s="30" t="s">
        <v>52</v>
      </c>
    </row>
    <row r="65" spans="2:10" ht="15" thickTop="1">
      <c r="B65" t="s">
        <v>53</v>
      </c>
      <c r="C65" s="31">
        <v>188</v>
      </c>
      <c r="D65" s="31">
        <v>109.97</v>
      </c>
      <c r="E65" s="31">
        <v>311.8</v>
      </c>
      <c r="F65" s="31">
        <v>142.85</v>
      </c>
      <c r="G65" s="31">
        <v>15.81</v>
      </c>
      <c r="H65" s="31">
        <v>342.62</v>
      </c>
      <c r="I65" s="31">
        <v>11.1</v>
      </c>
      <c r="J65" s="31">
        <v>83.1</v>
      </c>
    </row>
    <row r="66" spans="2:10">
      <c r="B66" t="s">
        <v>54</v>
      </c>
      <c r="C66" s="32">
        <v>1.32</v>
      </c>
      <c r="D66" s="33">
        <v>0.68</v>
      </c>
      <c r="E66" s="33">
        <v>1.1100000000000001</v>
      </c>
      <c r="F66" s="33">
        <v>1.08</v>
      </c>
      <c r="G66" s="33">
        <v>0.57999999999999996</v>
      </c>
      <c r="H66" s="33">
        <v>1.1000000000000001</v>
      </c>
      <c r="I66" s="33">
        <v>1.4</v>
      </c>
      <c r="J66" s="33">
        <v>0.76</v>
      </c>
    </row>
    <row r="67" spans="2:10">
      <c r="B67" t="s">
        <v>55</v>
      </c>
      <c r="C67" s="34">
        <v>94.16</v>
      </c>
      <c r="D67" s="34">
        <v>45.5</v>
      </c>
      <c r="E67" s="34">
        <v>235.19</v>
      </c>
      <c r="F67" s="34">
        <v>150.47999999999999</v>
      </c>
      <c r="G67" s="34">
        <v>31.31</v>
      </c>
      <c r="H67" s="34">
        <v>271.45999999999998</v>
      </c>
      <c r="I67" s="34">
        <v>199.91</v>
      </c>
      <c r="J67" s="34">
        <v>76.36</v>
      </c>
    </row>
    <row r="68" spans="2:10">
      <c r="B68" t="s">
        <v>56</v>
      </c>
      <c r="C68" s="35">
        <f>C67*C65</f>
        <v>17702.079999999998</v>
      </c>
      <c r="D68" s="35">
        <f>+D65*D67</f>
        <v>5003.6350000000002</v>
      </c>
      <c r="E68" s="35">
        <f t="shared" ref="E68:J68" si="21">+E67*E65</f>
        <v>73332.241999999998</v>
      </c>
      <c r="F68" s="35">
        <f>+F67*F65</f>
        <v>21496.067999999999</v>
      </c>
      <c r="G68" s="35">
        <f>+G67*G65</f>
        <v>495.0111</v>
      </c>
      <c r="H68" s="35">
        <f t="shared" si="21"/>
        <v>93007.625199999995</v>
      </c>
      <c r="I68" s="35">
        <f>+I67*I65</f>
        <v>2219.0009999999997</v>
      </c>
      <c r="J68" s="35">
        <f t="shared" si="21"/>
        <v>6345.5159999999996</v>
      </c>
    </row>
    <row r="69" spans="2:10">
      <c r="B69" t="s">
        <v>57</v>
      </c>
      <c r="C69" s="35">
        <f>C68+C70-C71</f>
        <v>21541.079999999998</v>
      </c>
      <c r="D69" s="35">
        <f>D68+D70-D71</f>
        <v>7069.7650000000003</v>
      </c>
      <c r="E69" s="35">
        <f t="shared" ref="E69:J69" si="22">+E68+E70-E71</f>
        <v>85624.241999999998</v>
      </c>
      <c r="F69" s="35">
        <f>+F68+F70-F71</f>
        <v>25186.067999999999</v>
      </c>
      <c r="G69" s="35">
        <f>+G68+G70-G71</f>
        <v>830.19110000000001</v>
      </c>
      <c r="H69" s="35">
        <f t="shared" si="22"/>
        <v>109509.62519999999</v>
      </c>
      <c r="I69" s="35">
        <f>+I68+I70-I71</f>
        <v>6037.0010000000002</v>
      </c>
      <c r="J69" s="35">
        <f t="shared" si="22"/>
        <v>8861.5159999999996</v>
      </c>
    </row>
    <row r="70" spans="2:10">
      <c r="B70" t="s">
        <v>58</v>
      </c>
      <c r="C70" s="36">
        <f>F12</f>
        <v>4510</v>
      </c>
      <c r="D70" s="37">
        <v>2110</v>
      </c>
      <c r="E70" s="37">
        <v>13210</v>
      </c>
      <c r="F70" s="37">
        <v>4820</v>
      </c>
      <c r="G70" s="37">
        <v>342.57</v>
      </c>
      <c r="H70" s="37">
        <v>17180</v>
      </c>
      <c r="I70" s="37">
        <v>4050</v>
      </c>
      <c r="J70" s="37">
        <v>2580</v>
      </c>
    </row>
    <row r="71" spans="2:10">
      <c r="B71" t="s">
        <v>59</v>
      </c>
      <c r="C71" s="36">
        <v>671</v>
      </c>
      <c r="D71" s="37">
        <v>43.87</v>
      </c>
      <c r="E71" s="37">
        <v>918</v>
      </c>
      <c r="F71" s="37">
        <v>1130</v>
      </c>
      <c r="G71" s="37">
        <v>7.39</v>
      </c>
      <c r="H71" s="37">
        <v>678</v>
      </c>
      <c r="I71" s="37">
        <v>232</v>
      </c>
      <c r="J71" s="37">
        <v>64</v>
      </c>
    </row>
    <row r="72" spans="2:10">
      <c r="B72" t="s">
        <v>60</v>
      </c>
      <c r="C72" s="36">
        <f>F26</f>
        <v>840</v>
      </c>
      <c r="D72" s="37">
        <v>489.46</v>
      </c>
      <c r="E72" s="37">
        <v>2850</v>
      </c>
      <c r="F72" s="37">
        <v>1350</v>
      </c>
      <c r="G72" s="37">
        <v>86.59</v>
      </c>
      <c r="H72" s="37">
        <v>4680</v>
      </c>
      <c r="I72" s="37">
        <v>556</v>
      </c>
      <c r="J72" s="37">
        <v>537</v>
      </c>
    </row>
    <row r="73" spans="2:10">
      <c r="B73" t="s">
        <v>61</v>
      </c>
      <c r="C73" s="13">
        <f>C69/C72</f>
        <v>25.644142857142853</v>
      </c>
      <c r="D73" s="13">
        <f>D69/D72</f>
        <v>14.444009725003065</v>
      </c>
      <c r="E73" s="13">
        <f t="shared" ref="E73:J73" si="23">+E69/E72</f>
        <v>30.043593684210524</v>
      </c>
      <c r="F73" s="13">
        <f>+F69/F72</f>
        <v>18.656346666666668</v>
      </c>
      <c r="G73" s="13">
        <f>+G69/G72</f>
        <v>9.5876094237209841</v>
      </c>
      <c r="H73" s="13">
        <f t="shared" si="23"/>
        <v>23.399492564102562</v>
      </c>
      <c r="I73" s="13">
        <f>+I69/I72</f>
        <v>10.857915467625899</v>
      </c>
      <c r="J73" s="13">
        <f t="shared" si="23"/>
        <v>16.501891992551208</v>
      </c>
    </row>
    <row r="74" spans="2:10">
      <c r="C74" s="13"/>
      <c r="D74" s="13"/>
      <c r="E74" s="13"/>
      <c r="F74" s="13"/>
      <c r="G74" s="13"/>
      <c r="H74" s="13"/>
      <c r="I74" s="13"/>
      <c r="J74" s="13"/>
    </row>
    <row r="75" spans="2:10">
      <c r="B75" t="s">
        <v>62</v>
      </c>
      <c r="C75" s="31">
        <v>0.6</v>
      </c>
    </row>
    <row r="76" spans="2:10">
      <c r="B76" t="s">
        <v>63</v>
      </c>
      <c r="C76" s="31">
        <v>182.3</v>
      </c>
    </row>
    <row r="77" spans="2:10">
      <c r="B77" t="s">
        <v>64</v>
      </c>
      <c r="C77" s="31">
        <v>150</v>
      </c>
    </row>
    <row r="78" spans="2:10">
      <c r="B78" t="s">
        <v>65</v>
      </c>
      <c r="C78" s="31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Droussiotis</dc:creator>
  <cp:lastModifiedBy>Chris Droussiotis</cp:lastModifiedBy>
  <dcterms:created xsi:type="dcterms:W3CDTF">2026-07-16T17:58:59Z</dcterms:created>
  <dcterms:modified xsi:type="dcterms:W3CDTF">2026-07-18T04:18:27Z</dcterms:modified>
</cp:coreProperties>
</file>