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ECO 2401 Money ^0 Banking/"/>
    </mc:Choice>
  </mc:AlternateContent>
  <xr:revisionPtr revIDLastSave="17" documentId="8_{CBC6A2D0-5597-40AB-A0D7-97770B9D1FA2}" xr6:coauthVersionLast="47" xr6:coauthVersionMax="47" xr10:uidLastSave="{40DAD947-951A-49BC-8748-5C46142315A3}"/>
  <bookViews>
    <workbookView xWindow="-45810" yWindow="375" windowWidth="25440" windowHeight="15270" xr2:uid="{9EF70BA9-A403-4443-BD38-55D9BF21EDC3}"/>
  </bookViews>
  <sheets>
    <sheet name="Historical Analysis" sheetId="1" r:id="rId1"/>
    <sheet name="Valuation Analysis" sheetId="2" r:id="rId2"/>
    <sheet name="Income Stat Yahoo Input" sheetId="5" r:id="rId3"/>
    <sheet name="Balance Sheet Yahoo Input" sheetId="6" r:id="rId4"/>
    <sheet name="Cash Flow Yahoo Input" sheetId="7" r:id="rId5"/>
    <sheet name="Stock Historical Yahoo" sheetId="10" r:id="rId6"/>
    <sheet name="Sheet1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2" l="1"/>
  <c r="G6" i="2"/>
  <c r="D73" i="1"/>
  <c r="E73" i="1"/>
  <c r="F73" i="1"/>
  <c r="D75" i="1"/>
  <c r="E75" i="1"/>
  <c r="F75" i="1"/>
  <c r="D78" i="1"/>
  <c r="E78" i="1"/>
  <c r="F78" i="1"/>
  <c r="D59" i="1"/>
  <c r="E59" i="1"/>
  <c r="F59" i="1"/>
  <c r="D62" i="1"/>
  <c r="E62" i="1"/>
  <c r="F62" i="1"/>
  <c r="D64" i="1"/>
  <c r="E64" i="1"/>
  <c r="F64" i="1"/>
  <c r="D65" i="1"/>
  <c r="E65" i="1"/>
  <c r="F65" i="1"/>
  <c r="C65" i="1"/>
  <c r="C64" i="1"/>
  <c r="C62" i="1"/>
  <c r="C59" i="1"/>
  <c r="D46" i="1"/>
  <c r="E46" i="1"/>
  <c r="F46" i="1"/>
  <c r="D47" i="1"/>
  <c r="E47" i="1"/>
  <c r="F47" i="1"/>
  <c r="D49" i="1"/>
  <c r="E49" i="1"/>
  <c r="F49" i="1"/>
  <c r="D50" i="1"/>
  <c r="E50" i="1"/>
  <c r="F50" i="1"/>
  <c r="C50" i="1"/>
  <c r="D53" i="1"/>
  <c r="E53" i="1"/>
  <c r="F53" i="1"/>
  <c r="D54" i="1"/>
  <c r="E54" i="1"/>
  <c r="F54" i="1"/>
  <c r="D57" i="1"/>
  <c r="E57" i="1"/>
  <c r="F57" i="1"/>
  <c r="C54" i="1"/>
  <c r="C53" i="1"/>
  <c r="C57" i="1"/>
  <c r="C49" i="1"/>
  <c r="C47" i="1"/>
  <c r="C46" i="1"/>
  <c r="D24" i="1"/>
  <c r="E24" i="1"/>
  <c r="F24" i="1"/>
  <c r="D25" i="1"/>
  <c r="E25" i="1"/>
  <c r="F25" i="1"/>
  <c r="D27" i="1"/>
  <c r="E27" i="1"/>
  <c r="F27" i="1"/>
  <c r="D28" i="1"/>
  <c r="E28" i="1"/>
  <c r="F28" i="1"/>
  <c r="D29" i="1"/>
  <c r="E29" i="1"/>
  <c r="F29" i="1"/>
  <c r="D30" i="1"/>
  <c r="E30" i="1"/>
  <c r="F30" i="1"/>
  <c r="D34" i="1"/>
  <c r="E34" i="1"/>
  <c r="F34" i="1"/>
  <c r="D36" i="1"/>
  <c r="E36" i="1"/>
  <c r="E35" i="1" s="1"/>
  <c r="F36" i="1"/>
  <c r="F35" i="1" s="1"/>
  <c r="D37" i="1"/>
  <c r="E37" i="1"/>
  <c r="F37" i="1"/>
  <c r="D38" i="1"/>
  <c r="E38" i="1"/>
  <c r="F38" i="1"/>
  <c r="D39" i="1"/>
  <c r="E39" i="1"/>
  <c r="F39" i="1"/>
  <c r="D42" i="1"/>
  <c r="E42" i="1"/>
  <c r="F42" i="1"/>
  <c r="C42" i="1"/>
  <c r="C39" i="1"/>
  <c r="C38" i="1"/>
  <c r="C37" i="1"/>
  <c r="C36" i="1"/>
  <c r="C34" i="1"/>
  <c r="C30" i="1"/>
  <c r="C29" i="1"/>
  <c r="C28" i="1"/>
  <c r="C27" i="1"/>
  <c r="C25" i="1"/>
  <c r="C24" i="1"/>
  <c r="G27" i="2" s="1"/>
  <c r="D20" i="1"/>
  <c r="E20" i="1"/>
  <c r="F20" i="1"/>
  <c r="C20" i="1"/>
  <c r="D6" i="1"/>
  <c r="E6" i="1" s="1"/>
  <c r="F6" i="1" s="1"/>
  <c r="K49" i="2"/>
  <c r="J49" i="2"/>
  <c r="I49" i="2"/>
  <c r="H49" i="2"/>
  <c r="G49" i="2"/>
  <c r="F49" i="2"/>
  <c r="E49" i="2"/>
  <c r="D49" i="2"/>
  <c r="C49" i="2"/>
  <c r="H26" i="2"/>
  <c r="G26" i="2"/>
  <c r="F26" i="2"/>
  <c r="E26" i="2"/>
  <c r="D26" i="2"/>
  <c r="C26" i="2"/>
  <c r="E56" i="2"/>
  <c r="H56" i="2" s="1"/>
  <c r="J56" i="2" s="1"/>
  <c r="E55" i="2"/>
  <c r="H55" i="2" s="1"/>
  <c r="J55" i="2" s="1"/>
  <c r="E54" i="2"/>
  <c r="H54" i="2" s="1"/>
  <c r="J54" i="2" s="1"/>
  <c r="E53" i="2"/>
  <c r="H53" i="2" s="1"/>
  <c r="J53" i="2" s="1"/>
  <c r="E52" i="2"/>
  <c r="H52" i="2" s="1"/>
  <c r="J52" i="2" s="1"/>
  <c r="E51" i="2"/>
  <c r="H51" i="2" s="1"/>
  <c r="J51" i="2" s="1"/>
  <c r="E50" i="2"/>
  <c r="H50" i="2" s="1"/>
  <c r="J50" i="2" s="1"/>
  <c r="G48" i="2"/>
  <c r="F48" i="2"/>
  <c r="C48" i="2"/>
  <c r="C27" i="2"/>
  <c r="C78" i="1"/>
  <c r="C75" i="1"/>
  <c r="C73" i="1"/>
  <c r="C21" i="1"/>
  <c r="C72" i="1"/>
  <c r="C90" i="1" s="1"/>
  <c r="C71" i="1"/>
  <c r="C89" i="1" s="1"/>
  <c r="C16" i="1"/>
  <c r="C15" i="1"/>
  <c r="C12" i="1"/>
  <c r="C10" i="1"/>
  <c r="C8" i="1"/>
  <c r="C7" i="1"/>
  <c r="D21" i="1"/>
  <c r="D72" i="1" s="1"/>
  <c r="D90" i="1" s="1"/>
  <c r="D48" i="1" l="1"/>
  <c r="C56" i="1"/>
  <c r="C55" i="1" s="1"/>
  <c r="E48" i="1"/>
  <c r="C48" i="1"/>
  <c r="D35" i="1"/>
  <c r="E63" i="1"/>
  <c r="D63" i="1"/>
  <c r="D26" i="1"/>
  <c r="D31" i="1" s="1"/>
  <c r="D40" i="1" s="1"/>
  <c r="D41" i="1" s="1"/>
  <c r="E56" i="1"/>
  <c r="E55" i="1" s="1"/>
  <c r="F26" i="1"/>
  <c r="F31" i="1" s="1"/>
  <c r="F40" i="1" s="1"/>
  <c r="F41" i="1" s="1"/>
  <c r="E21" i="1"/>
  <c r="E72" i="1" s="1"/>
  <c r="E90" i="1" s="1"/>
  <c r="E26" i="1"/>
  <c r="E31" i="1" s="1"/>
  <c r="E40" i="1" s="1"/>
  <c r="E41" i="1" s="1"/>
  <c r="D56" i="1"/>
  <c r="D55" i="1" s="1"/>
  <c r="F56" i="1"/>
  <c r="F55" i="1" s="1"/>
  <c r="F63" i="1"/>
  <c r="F48" i="1"/>
  <c r="E67" i="1"/>
  <c r="D67" i="1"/>
  <c r="F67" i="1"/>
  <c r="F21" i="1"/>
  <c r="F72" i="1" s="1"/>
  <c r="F90" i="1" s="1"/>
  <c r="C17" i="1"/>
  <c r="C110" i="1" s="1"/>
  <c r="F27" i="2"/>
  <c r="J61" i="2"/>
  <c r="C103" i="1"/>
  <c r="E6" i="2"/>
  <c r="D6" i="2"/>
  <c r="C99" i="1"/>
  <c r="C100" i="1" s="1"/>
  <c r="C26" i="1"/>
  <c r="C9" i="1"/>
  <c r="C35" i="1"/>
  <c r="C81" i="1"/>
  <c r="E7" i="1"/>
  <c r="F7" i="1"/>
  <c r="E8" i="1"/>
  <c r="F8" i="1"/>
  <c r="E10" i="1"/>
  <c r="F10" i="1"/>
  <c r="E12" i="1"/>
  <c r="F12" i="1"/>
  <c r="E15" i="1"/>
  <c r="F15" i="1"/>
  <c r="E16" i="1"/>
  <c r="F16" i="1"/>
  <c r="E17" i="1"/>
  <c r="C111" i="1" l="1"/>
  <c r="C63" i="1"/>
  <c r="C82" i="1"/>
  <c r="C31" i="1"/>
  <c r="C98" i="1"/>
  <c r="C11" i="1"/>
  <c r="C108" i="1"/>
  <c r="F17" i="1"/>
  <c r="D103" i="1"/>
  <c r="G58" i="2"/>
  <c r="F58" i="2"/>
  <c r="E9" i="1"/>
  <c r="F9" i="1"/>
  <c r="C40" i="1" l="1"/>
  <c r="C41" i="1" s="1"/>
  <c r="C97" i="1"/>
  <c r="C13" i="1"/>
  <c r="C14" i="1" s="1"/>
  <c r="C91" i="1"/>
  <c r="C105" i="1" s="1"/>
  <c r="F11" i="1"/>
  <c r="F108" i="1"/>
  <c r="E11" i="1"/>
  <c r="E108" i="1"/>
  <c r="D98" i="1"/>
  <c r="D97" i="1"/>
  <c r="D7" i="1"/>
  <c r="C94" i="1" s="1"/>
  <c r="D8" i="1"/>
  <c r="D10" i="1"/>
  <c r="D12" i="1"/>
  <c r="D15" i="1"/>
  <c r="D16" i="1"/>
  <c r="C109" i="1" l="1"/>
  <c r="C104" i="1"/>
  <c r="E13" i="1"/>
  <c r="E14" i="1" s="1"/>
  <c r="E91" i="1"/>
  <c r="F13" i="1"/>
  <c r="F14" i="1" s="1"/>
  <c r="F91" i="1"/>
  <c r="D17" i="1"/>
  <c r="D9" i="1"/>
  <c r="D11" i="1" s="1"/>
  <c r="D94" i="1"/>
  <c r="E94" i="1"/>
  <c r="D13" i="1" l="1"/>
  <c r="D14" i="1" s="1"/>
  <c r="D91" i="1"/>
  <c r="D105" i="1" s="1"/>
  <c r="D108" i="1"/>
  <c r="D89" i="1" l="1"/>
  <c r="E71" i="1"/>
  <c r="F71" i="1"/>
  <c r="F105" i="1"/>
  <c r="F68" i="1" l="1"/>
  <c r="E105" i="1"/>
  <c r="F97" i="1" l="1"/>
  <c r="F98" i="1"/>
  <c r="E81" i="1"/>
  <c r="D81" i="1"/>
  <c r="E110" i="1"/>
  <c r="D110" i="1"/>
  <c r="E99" i="1"/>
  <c r="E100" i="1" s="1"/>
  <c r="D99" i="1"/>
  <c r="D100" i="1" s="1"/>
  <c r="G8" i="2"/>
  <c r="G10" i="2" l="1"/>
  <c r="G9" i="2"/>
  <c r="G11" i="2" s="1"/>
  <c r="F6" i="2"/>
  <c r="W6" i="2"/>
  <c r="X6" i="2"/>
  <c r="X43" i="2" s="1"/>
  <c r="Y6" i="2"/>
  <c r="Y43" i="2" s="1"/>
  <c r="Z6" i="2"/>
  <c r="AA6" i="2"/>
  <c r="W7" i="2"/>
  <c r="X7" i="2"/>
  <c r="Y7" i="2"/>
  <c r="Z7" i="2"/>
  <c r="AA7" i="2"/>
  <c r="W9" i="2"/>
  <c r="X9" i="2"/>
  <c r="Y9" i="2"/>
  <c r="Z9" i="2"/>
  <c r="AA9" i="2"/>
  <c r="W13" i="2"/>
  <c r="X13" i="2"/>
  <c r="Y13" i="2"/>
  <c r="Z13" i="2"/>
  <c r="AA13" i="2"/>
  <c r="W17" i="2"/>
  <c r="W34" i="2" s="1"/>
  <c r="W27" i="2"/>
  <c r="X27" i="2"/>
  <c r="Y27" i="2"/>
  <c r="Z27" i="2"/>
  <c r="AA27" i="2"/>
  <c r="W28" i="2"/>
  <c r="W29" i="2"/>
  <c r="X29" i="2"/>
  <c r="Y29" i="2"/>
  <c r="X40" i="2" l="1"/>
  <c r="Z41" i="2"/>
  <c r="Z40" i="2"/>
  <c r="W39" i="2"/>
  <c r="Y44" i="2"/>
  <c r="Y42" i="2"/>
  <c r="W8" i="2"/>
  <c r="W10" i="2" s="1"/>
  <c r="Y8" i="2"/>
  <c r="Y10" i="2" s="1"/>
  <c r="AA44" i="2"/>
  <c r="W43" i="2"/>
  <c r="W44" i="2"/>
  <c r="AA43" i="2"/>
  <c r="AA41" i="2"/>
  <c r="W41" i="2"/>
  <c r="X41" i="2"/>
  <c r="X42" i="2"/>
  <c r="X8" i="2"/>
  <c r="X10" i="2" s="1"/>
  <c r="Z42" i="2"/>
  <c r="W40" i="2"/>
  <c r="AA8" i="2"/>
  <c r="AA10" i="2" s="1"/>
  <c r="X44" i="2"/>
  <c r="Z44" i="2"/>
  <c r="Y41" i="2"/>
  <c r="Y40" i="2"/>
  <c r="Z43" i="2"/>
  <c r="AA42" i="2"/>
  <c r="W42" i="2"/>
  <c r="Z8" i="2"/>
  <c r="Z10" i="2" s="1"/>
  <c r="C58" i="2"/>
  <c r="C61" i="2"/>
  <c r="C60" i="2"/>
  <c r="F43" i="2"/>
  <c r="B41" i="2"/>
  <c r="B35" i="2"/>
  <c r="AA29" i="2"/>
  <c r="E98" i="1" l="1"/>
  <c r="E97" i="1"/>
  <c r="E111" i="1"/>
  <c r="D111" i="1"/>
  <c r="F42" i="2"/>
  <c r="F44" i="2" s="1"/>
  <c r="Z29" i="2"/>
  <c r="J60" i="2"/>
  <c r="Z30" i="2"/>
  <c r="W30" i="2"/>
  <c r="W31" i="2" s="1"/>
  <c r="AA30" i="2"/>
  <c r="AB43" i="2"/>
  <c r="AB42" i="2"/>
  <c r="AA28" i="2"/>
  <c r="D27" i="2"/>
  <c r="Y30" i="2"/>
  <c r="X28" i="2"/>
  <c r="X30" i="2"/>
  <c r="E27" i="2" l="1"/>
  <c r="D58" i="2"/>
  <c r="E8" i="2"/>
  <c r="AA31" i="2"/>
  <c r="X31" i="2"/>
  <c r="AB41" i="2"/>
  <c r="E68" i="1"/>
  <c r="Y28" i="2"/>
  <c r="Y31" i="2" s="1"/>
  <c r="AB40" i="2"/>
  <c r="AB44" i="2"/>
  <c r="Z28" i="2"/>
  <c r="Z31" i="2" s="1"/>
  <c r="E58" i="2" l="1"/>
  <c r="H58" i="2" s="1"/>
  <c r="J58" i="2" s="1"/>
  <c r="K58" i="2"/>
  <c r="F104" i="1"/>
  <c r="F109" i="1"/>
  <c r="E104" i="1"/>
  <c r="E109" i="1"/>
  <c r="E10" i="2"/>
  <c r="E9" i="2"/>
  <c r="H27" i="2"/>
  <c r="D104" i="1"/>
  <c r="D109" i="1"/>
  <c r="W12" i="2"/>
  <c r="W14" i="2" s="1"/>
  <c r="W16" i="2" s="1"/>
  <c r="AA12" i="2"/>
  <c r="AA14" i="2" s="1"/>
  <c r="Z12" i="2"/>
  <c r="Z14" i="2" s="1"/>
  <c r="Y12" i="2"/>
  <c r="Y14" i="2" s="1"/>
  <c r="X12" i="2"/>
  <c r="X14" i="2" s="1"/>
  <c r="E11" i="2" l="1"/>
  <c r="B36" i="2"/>
  <c r="B42" i="2" s="1"/>
  <c r="B60" i="2"/>
  <c r="K60" i="2"/>
  <c r="B43" i="2" l="1"/>
  <c r="B44" i="2" s="1"/>
  <c r="H9" i="2" s="1"/>
  <c r="E35" i="2"/>
  <c r="E36" i="2" s="1"/>
  <c r="H8" i="2" s="1"/>
  <c r="F8" i="2" s="1"/>
  <c r="B63" i="2"/>
  <c r="C10" i="2" s="1"/>
  <c r="B61" i="2"/>
  <c r="E61" i="2" s="1"/>
  <c r="H11" i="2" s="1"/>
  <c r="F9" i="2" l="1"/>
  <c r="J9" i="2"/>
  <c r="F11" i="2"/>
  <c r="J11" i="2"/>
  <c r="J8" i="2"/>
  <c r="D68" i="1" l="1"/>
  <c r="C6" i="2" l="1"/>
  <c r="D8" i="2"/>
  <c r="D10" i="2" l="1"/>
  <c r="D11" i="2" s="1"/>
  <c r="C11" i="2" s="1"/>
  <c r="D9" i="2"/>
  <c r="C9" i="2" s="1"/>
  <c r="C8" i="2"/>
  <c r="F10" i="2" l="1"/>
  <c r="H10" i="2" s="1"/>
  <c r="J10" i="2" l="1"/>
  <c r="E60" i="2"/>
  <c r="D83" i="1" l="1"/>
  <c r="E83" i="1"/>
  <c r="F103" i="1"/>
  <c r="D82" i="1"/>
  <c r="E103" i="1"/>
  <c r="E82" i="1"/>
  <c r="E85" i="1" l="1"/>
  <c r="D85" i="1"/>
  <c r="C12" i="2" l="1"/>
  <c r="F12" i="2"/>
  <c r="H12" i="2" l="1"/>
  <c r="J12" i="2" s="1"/>
  <c r="C67" i="1" l="1"/>
  <c r="C68" i="1" s="1"/>
  <c r="C83" i="1"/>
  <c r="C85" i="1" s="1"/>
</calcChain>
</file>

<file path=xl/sharedStrings.xml><?xml version="1.0" encoding="utf-8"?>
<sst xmlns="http://schemas.openxmlformats.org/spreadsheetml/2006/main" count="537" uniqueCount="434">
  <si>
    <t>HYATT HOTELS CORPORATION</t>
  </si>
  <si>
    <t>($000's)</t>
  </si>
  <si>
    <t>Total Revenue</t>
  </si>
  <si>
    <t>Cost of Revenue</t>
  </si>
  <si>
    <t>Gross Profit</t>
  </si>
  <si>
    <t>Total Operating Expenses</t>
  </si>
  <si>
    <t>EBIT (Operating Income or Loss)</t>
  </si>
  <si>
    <t>Interest Expense</t>
  </si>
  <si>
    <t>EBT &amp; other Income/Expenses</t>
  </si>
  <si>
    <t>Other Income/Expenses Net</t>
  </si>
  <si>
    <t>EBT</t>
  </si>
  <si>
    <t>Income Tax Expense</t>
  </si>
  <si>
    <t>Net Income</t>
  </si>
  <si>
    <t>Assets</t>
  </si>
  <si>
    <t>Current Assets</t>
  </si>
  <si>
    <t>Cash And Cash Equivalents</t>
  </si>
  <si>
    <t>Other Short Term Investments</t>
  </si>
  <si>
    <t>Total Cash</t>
  </si>
  <si>
    <t>Net Receivables</t>
  </si>
  <si>
    <t>Inventory</t>
  </si>
  <si>
    <t>Total Current Assets</t>
  </si>
  <si>
    <t>Non-current assets</t>
  </si>
  <si>
    <t>Gross property, plant and equipment</t>
  </si>
  <si>
    <t>Accumulated Depreciation</t>
  </si>
  <si>
    <t>Net property, plant and equipment</t>
  </si>
  <si>
    <t>Long Term Investments</t>
  </si>
  <si>
    <t>Goodwill</t>
  </si>
  <si>
    <t>Intangible Assets</t>
  </si>
  <si>
    <t>Other long-term assets</t>
  </si>
  <si>
    <t>Total non-current assets</t>
  </si>
  <si>
    <t>Total Assets</t>
  </si>
  <si>
    <t>Liabilities</t>
  </si>
  <si>
    <t>Current Liabilities</t>
  </si>
  <si>
    <t>Accounts Payable</t>
  </si>
  <si>
    <t>Accrued liabilities</t>
  </si>
  <si>
    <t>Current Portion of Long Term Debt</t>
  </si>
  <si>
    <t>Total Current Liabilities</t>
  </si>
  <si>
    <t>Non-Current Liabilities</t>
  </si>
  <si>
    <t>Long Term Debt</t>
  </si>
  <si>
    <t>Deferred taxes liabilities</t>
  </si>
  <si>
    <t>Total non-current liabilities</t>
  </si>
  <si>
    <t>Total Liabilities</t>
  </si>
  <si>
    <t>Stockholders' Equity</t>
  </si>
  <si>
    <t>Common Stock</t>
  </si>
  <si>
    <t>Retained Earnings</t>
  </si>
  <si>
    <t>Total stockholders' equity</t>
  </si>
  <si>
    <t xml:space="preserve"> Liabilities &amp; Stockholders Equity</t>
  </si>
  <si>
    <t>Error</t>
  </si>
  <si>
    <t>Investment Activities</t>
  </si>
  <si>
    <t>Capital Expenditure</t>
  </si>
  <si>
    <t>Financing Activity</t>
  </si>
  <si>
    <t>ST Debt</t>
  </si>
  <si>
    <t>LT Debt</t>
  </si>
  <si>
    <t>LT Deferred Revenue</t>
  </si>
  <si>
    <t>Other Long-Term Liabilities</t>
  </si>
  <si>
    <t xml:space="preserve">  Total Financing Activities</t>
  </si>
  <si>
    <t>FINANCIAL RATIO ANALYSIS</t>
  </si>
  <si>
    <t>EBITDA ($ 000's)</t>
  </si>
  <si>
    <t>TREND ANALYSIS</t>
  </si>
  <si>
    <t>Revenue Growth</t>
  </si>
  <si>
    <t>LIQUIDITY RATIOS</t>
  </si>
  <si>
    <t>Current Ratio</t>
  </si>
  <si>
    <t>Quick Ratio</t>
  </si>
  <si>
    <t>Accounts Receivable Turnover</t>
  </si>
  <si>
    <t>Accounts Receivable Days</t>
  </si>
  <si>
    <t>SOLVENCY RATIOS</t>
  </si>
  <si>
    <t>Total Debt / Total Capitalization (Cap Ratio)</t>
  </si>
  <si>
    <t>EBITDA/ Interest (Coverage Ratio)</t>
  </si>
  <si>
    <t>Total Debt / EBITDA (Leverage Ratio)</t>
  </si>
  <si>
    <t>PROFITABILITY RATIO</t>
  </si>
  <si>
    <t>EBITDA Margin</t>
  </si>
  <si>
    <t>ROA</t>
  </si>
  <si>
    <t>ROE</t>
  </si>
  <si>
    <t xml:space="preserve">INCOME STATEMENT </t>
  </si>
  <si>
    <t>Hyatt Hotels Corporation</t>
  </si>
  <si>
    <t>Yahoo Finance 
Link =</t>
  </si>
  <si>
    <t xml:space="preserve">https://finance.yahoo.com/quote/H?p=H </t>
  </si>
  <si>
    <t>Date of Analysis:</t>
  </si>
  <si>
    <t>INPUT</t>
  </si>
  <si>
    <t>HISTORICAL  INFORMATION</t>
  </si>
  <si>
    <t>ENTERPRISE VALUATION ANALYSIS</t>
  </si>
  <si>
    <t>INCOME STATEMENT</t>
  </si>
  <si>
    <t>LTM</t>
  </si>
  <si>
    <t>EV
(000's)</t>
  </si>
  <si>
    <t>Debt
(000's)</t>
  </si>
  <si>
    <t>Cash
(000's)</t>
  </si>
  <si>
    <t>Eq Value
(000's)</t>
  </si>
  <si>
    <t>Shares Outs
(000's)</t>
  </si>
  <si>
    <t>Stock 
Price</t>
  </si>
  <si>
    <t>(000's)</t>
  </si>
  <si>
    <t>METHOD #1 - Market Value / Using the Stock Price</t>
  </si>
  <si>
    <t>Revenue</t>
  </si>
  <si>
    <t>METHOD #2- Intrinsic Value</t>
  </si>
  <si>
    <t xml:space="preserve"> Gross Profit</t>
  </si>
  <si>
    <t>METHOD #3- Dividend Discount Model (DDM)</t>
  </si>
  <si>
    <t>Operating Expense</t>
  </si>
  <si>
    <t xml:space="preserve">METHOD #4 -Average  EBITDA  Industry Trading Multiples </t>
  </si>
  <si>
    <t xml:space="preserve">  Average of other methods</t>
  </si>
  <si>
    <t>Shares Outstanding</t>
  </si>
  <si>
    <t>EPS</t>
  </si>
  <si>
    <t>EBITDA</t>
  </si>
  <si>
    <t>Company</t>
  </si>
  <si>
    <t>Symbol</t>
  </si>
  <si>
    <t>Stocks Outstanding ($000)</t>
  </si>
  <si>
    <t>Equity 
Value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</si>
  <si>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</si>
  <si>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</si>
  <si>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</si>
  <si>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</si>
  <si>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</si>
  <si>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</si>
  <si>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</si>
  <si>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</si>
  <si>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</si>
  <si>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</si>
  <si>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</si>
  <si>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</si>
  <si>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</si>
  <si>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</si>
  <si>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</si>
  <si>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</si>
  <si>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</si>
  <si>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Hyatt</t>
  </si>
  <si>
    <t>H</t>
  </si>
  <si>
    <t>Cash, Cash &amp; Equivalent</t>
  </si>
  <si>
    <t>Total Debt</t>
  </si>
  <si>
    <t>Using CAPM = k = Rf + ( Beta * Premium )</t>
  </si>
  <si>
    <t>Intrinsic Value = V0 = [ E(D1) + E (P1)] / (1+k)</t>
  </si>
  <si>
    <t>D1=</t>
  </si>
  <si>
    <t>Beta =</t>
  </si>
  <si>
    <t>SUMMARY CASH FLOW ST.</t>
  </si>
  <si>
    <t>Exp (P1)=</t>
  </si>
  <si>
    <t>Market Return (Rf + Premium)=</t>
  </si>
  <si>
    <t>k=</t>
  </si>
  <si>
    <t>Capex</t>
  </si>
  <si>
    <t>Expected Equity Return using CAPM=</t>
  </si>
  <si>
    <t>Deprec. &amp; Amort.</t>
  </si>
  <si>
    <t>OPERATING ASSUMPTIONS</t>
  </si>
  <si>
    <t>AVERAGE</t>
  </si>
  <si>
    <t>Constant-Growth DDM (Gordon Model) V0 = D1 / (k-g)</t>
  </si>
  <si>
    <t>Expected HPR = E 9r) = [E (d1) + (E(p1) - P0) / P0</t>
  </si>
  <si>
    <t>Revenue Growth %</t>
  </si>
  <si>
    <t>D1 =</t>
  </si>
  <si>
    <t>Dividend (d1)</t>
  </si>
  <si>
    <t>COGS % of Revenue</t>
  </si>
  <si>
    <t>Expected Equity Return (k)=</t>
  </si>
  <si>
    <t>P1 = P0+D</t>
  </si>
  <si>
    <t>Oper. Expense % of Revenue</t>
  </si>
  <si>
    <t>Expected Growth (g) =</t>
  </si>
  <si>
    <t>P0</t>
  </si>
  <si>
    <t>Depreciation % Revenue</t>
  </si>
  <si>
    <t>Exp. HPR=</t>
  </si>
  <si>
    <t>Capex % Revenue</t>
  </si>
  <si>
    <t>Equity Value
 ($000)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</si>
  <si>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</si>
  <si>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</si>
  <si>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</si>
  <si>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</si>
  <si>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</si>
  <si>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</si>
  <si>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</si>
  <si>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</si>
  <si>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Average</t>
  </si>
  <si>
    <t>Hyatt's Enteprise Value</t>
  </si>
  <si>
    <t>Dec 31</t>
  </si>
  <si>
    <t>Financial Analysis</t>
  </si>
  <si>
    <t>EBIT (operating)</t>
  </si>
  <si>
    <t>Taxes</t>
  </si>
  <si>
    <t>Financial Statement Date:</t>
  </si>
  <si>
    <t>Sell</t>
  </si>
  <si>
    <t>Date</t>
  </si>
  <si>
    <t>Open</t>
  </si>
  <si>
    <t>High</t>
  </si>
  <si>
    <t>Low</t>
  </si>
  <si>
    <t>Close</t>
  </si>
  <si>
    <t>VALUATION ANALYSIS</t>
  </si>
  <si>
    <t>name</t>
  </si>
  <si>
    <t>ttm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</si>
  <si>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</si>
  <si>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</si>
  <si>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</si>
  <si>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</si>
  <si>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</si>
  <si>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</si>
  <si>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DepreciationAmortizationDepletionIncomeStatement</t>
  </si>
  <si>
    <t xml:space="preserve">		DepreciationAndAmortizationInIncomeStatement</t>
  </si>
  <si>
    <t>OperatingIncome</t>
  </si>
  <si>
    <t>NetNonOperatingInterestIncomeExpense</t>
  </si>
  <si>
    <t xml:space="preserve">	InterestIncomeNonOperating</t>
  </si>
  <si>
    <t xml:space="preserve">	InterestExpenseNonOperating</t>
  </si>
  <si>
    <t xml:space="preserve">	TotalOtherFinanceCost</t>
  </si>
  <si>
    <t>OtherIncomeExpense</t>
  </si>
  <si>
    <t xml:space="preserve">	GainOnSaleOfSecurity</t>
  </si>
  <si>
    <t xml:space="preserve">	EarningsFromEquityInterest</t>
  </si>
  <si>
    <t xml:space="preserve">	SpecialIncomeCharges</t>
  </si>
  <si>
    <t xml:space="preserve">		RestructuringAndMergernAcquisition</t>
  </si>
  <si>
    <t xml:space="preserve">		ImpairmentOfCapitalAssets</t>
  </si>
  <si>
    <t xml:space="preserve">		WriteOff</t>
  </si>
  <si>
    <t xml:space="preserve">		OtherSpecialCharges</t>
  </si>
  <si>
    <t xml:space="preserve">		GainOnSaleOfPPE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</si>
  <si>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</si>
  <si>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</si>
  <si>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</si>
  <si>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</si>
  <si>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</si>
  <si>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</si>
  <si>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</si>
  <si>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 xml:space="preserve">			NetIncomeDiscontinuousOperations</t>
  </si>
  <si>
    <t xml:space="preserve">			NetIncomeExtraordinary</t>
  </si>
  <si>
    <t xml:space="preserve">			NetIncomeFromTaxLossCarryforward</t>
  </si>
  <si>
    <t xml:space="preserve">		MinorityInterests</t>
  </si>
  <si>
    <t>DilutedNIAvailtoComStockholders</t>
  </si>
  <si>
    <t>BasicEPS</t>
  </si>
  <si>
    <t>DilutedEPS</t>
  </si>
  <si>
    <t>BasicAverageShares</t>
  </si>
  <si>
    <t>DilutedAverageShares</t>
  </si>
  <si>
    <t>TotalExpenses</t>
  </si>
  <si>
    <t>NetIncomeFromContinuingAndDiscontinuedOperation</t>
  </si>
  <si>
    <t>NormalizedIncome</t>
  </si>
  <si>
    <t>InterestIncome</t>
  </si>
  <si>
    <t>InterestExpense</t>
  </si>
  <si>
    <t>NetInterestIncome</t>
  </si>
  <si>
    <t>EBIT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</si>
  <si>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</si>
  <si>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</si>
  <si>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</si>
  <si>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</si>
  <si>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</si>
  <si>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</si>
  <si>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</si>
  <si>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</si>
  <si>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</si>
  <si>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</si>
  <si>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</si>
  <si>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</si>
  <si>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	OtherShortTermInvestments</t>
  </si>
  <si>
    <t xml:space="preserve">		Receivables</t>
  </si>
  <si>
    <t xml:space="preserve">			AccountsReceivable</t>
  </si>
  <si>
    <t xml:space="preserve">				GrossAccountsReceivable</t>
  </si>
  <si>
    <t xml:space="preserve">				AllowanceForDoubtfulAccountsReceivable</t>
  </si>
  <si>
    <t xml:space="preserve">		Inventory</t>
  </si>
  <si>
    <t xml:space="preserve">		PrepaidAssets</t>
  </si>
  <si>
    <t xml:space="preserve">		RestrictedCash</t>
  </si>
  <si>
    <t xml:space="preserve">		CurrentDeferredAssets</t>
  </si>
  <si>
    <t xml:space="preserve">			CurrentDeferredTaxesAssets</t>
  </si>
  <si>
    <t xml:space="preserve">		AssetsHeldForSaleCurrent</t>
  </si>
  <si>
    <t xml:space="preserve">		OtherCurrentAssets</t>
  </si>
  <si>
    <t xml:space="preserve">	TotalNonCurrentAssets</t>
  </si>
  <si>
    <t xml:space="preserve">		NetPPE</t>
  </si>
  <si>
    <t xml:space="preserve">			GrossPPE</t>
  </si>
  <si>
    <t xml:space="preserve">				Properties</t>
  </si>
  <si>
    <t xml:space="preserve">				LandAndImprovements</t>
  </si>
  <si>
    <t xml:space="preserve">				BuildingsAndImprovements</t>
  </si>
  <si>
    <t xml:space="preserve">				MachineryFurnitureEquipment</t>
  </si>
  <si>
    <t xml:space="preserve">				OtherProperties</t>
  </si>
  <si>
    <t xml:space="preserve">				ConstructionInProgress</t>
  </si>
  <si>
    <t xml:space="preserve">				Leases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</si>
  <si>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</si>
  <si>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</si>
  <si>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</si>
  <si>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</si>
  <si>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InvestmentsAndAdvances</t>
  </si>
  <si>
    <t xml:space="preserve">			LongTermEquityInvestment</t>
  </si>
  <si>
    <t xml:space="preserve">			InvestmentinFinancialAssets</t>
  </si>
  <si>
    <t xml:space="preserve">				AvailableForSaleSecurities</t>
  </si>
  <si>
    <t xml:space="preserve">			OtherInvestments</t>
  </si>
  <si>
    <t xml:space="preserve">		NonCurrentAccountsReceivable</t>
  </si>
  <si>
    <t xml:space="preserve">		NonCurrentNoteReceivables</t>
  </si>
  <si>
    <t xml:space="preserve">		NonCurrentDeferredAssets</t>
  </si>
  <si>
    <t xml:space="preserve">			NonCurrentDeferredTaxesAssets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</si>
  <si>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</si>
  <si>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</si>
  <si>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</si>
  <si>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</si>
  <si>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</si>
  <si>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</si>
  <si>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</si>
  <si>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		IncomeTaxPayable</t>
  </si>
  <si>
    <t xml:space="preserve">			CurrentAccruedExpenses</t>
  </si>
  <si>
    <t xml:space="preserve">		PensionandOtherPostRetirementBenefitPlansCurrent</t>
  </si>
  <si>
    <t xml:space="preserve">		CurrentDebtAndCapitalLeaseObligation</t>
  </si>
  <si>
    <t xml:space="preserve">			CurrentDebt</t>
  </si>
  <si>
    <t xml:space="preserve">				OtherCurrentBorrowings</t>
  </si>
  <si>
    <t xml:space="preserve">			CurrentCapitalLeaseObligation</t>
  </si>
  <si>
    <t xml:space="preserve">		CurrentDeferredLiabilities</t>
  </si>
  <si>
    <t xml:space="preserve">			CurrentDeferredRevenue</t>
  </si>
  <si>
    <t xml:space="preserve">		OtherCurrentLiabilities</t>
  </si>
  <si>
    <t xml:space="preserve">	TotalNonCurrentLiabilitiesNetMinorityInterest</t>
  </si>
  <si>
    <t xml:space="preserve">		LongTermProvisions</t>
  </si>
  <si>
    <t xml:space="preserve">		LongTermDebtAndCapitalLeaseObligation</t>
  </si>
  <si>
    <t xml:space="preserve">			LongTermDebt</t>
  </si>
  <si>
    <t xml:space="preserve">			LongTermCapitalLeaseObligation</t>
  </si>
  <si>
    <t xml:space="preserve">		NonCurrentDeferredLiabilities</t>
  </si>
  <si>
    <t xml:space="preserve">			NonCurrentDeferredTaxesLiabilities</t>
  </si>
  <si>
    <t xml:space="preserve">			NonCurrentDeferredRevenue</t>
  </si>
  <si>
    <t xml:space="preserve">		TradeandOtherPayablesNonCurrent</t>
  </si>
  <si>
    <t xml:space="preserve">		EmployeeBenefits</t>
  </si>
  <si>
    <t xml:space="preserve">			NonCurrentPensionAndOtherPostretirementBenefitPlans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</si>
  <si>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</si>
  <si>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</si>
  <si>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</si>
  <si>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</si>
  <si>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PreferredStock</t>
  </si>
  <si>
    <t xml:space="preserve">			CommonStock</t>
  </si>
  <si>
    <t xml:space="preserve">		AdditionalPaidInCapital</t>
  </si>
  <si>
    <t xml:space="preserve">		RetainedEarnings</t>
  </si>
  <si>
    <t xml:space="preserve">		TreasuryStock</t>
  </si>
  <si>
    <t xml:space="preserve">		GainsLossesNotAffectingRetainedEarnings</t>
  </si>
  <si>
    <t xml:space="preserve">			OtherEquityAdjustments</t>
  </si>
  <si>
    <t xml:space="preserve">	MinorityInterest</t>
  </si>
  <si>
    <t>TotalCapitalization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</si>
  <si>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</si>
  <si>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</si>
  <si>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</si>
  <si>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</si>
  <si>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</si>
  <si>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</si>
  <si>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</si>
  <si>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</si>
  <si>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</si>
  <si>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</si>
  <si>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</si>
  <si>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OperatingCashFlow</t>
  </si>
  <si>
    <t xml:space="preserve">	CashFlowFromContinuingOperatingActivities</t>
  </si>
  <si>
    <t xml:space="preserve">		NetIncomeFromContinuingOperations</t>
  </si>
  <si>
    <t xml:space="preserve">		OperatingGainsLosses</t>
  </si>
  <si>
    <t xml:space="preserve">			GainLossOnSaleOfBusiness</t>
  </si>
  <si>
    <t xml:space="preserve">			GainLossOnSaleOfPPE</t>
  </si>
  <si>
    <t xml:space="preserve">			NetForeignCurrencyExchangeGainLoss</t>
  </si>
  <si>
    <t xml:space="preserve">			GainLossOnInvestmentSecurities</t>
  </si>
  <si>
    <t xml:space="preserve">			EarningsLossesFromEquityInvestments</t>
  </si>
  <si>
    <t xml:space="preserve">		DepreciationAmortizationDepletion</t>
  </si>
  <si>
    <t xml:space="preserve">			DepreciationAndAmortization</t>
  </si>
  <si>
    <t xml:space="preserve">				Depreciation</t>
  </si>
  <si>
    <t xml:space="preserve">		DeferredTax</t>
  </si>
  <si>
    <t xml:space="preserve">			DeferredIncomeTax</t>
  </si>
  <si>
    <t xml:space="preserve">		AssetImpairmentCharge</t>
  </si>
  <si>
    <t xml:space="preserve">		ProvisionandWriteOffofAssets</t>
  </si>
  <si>
    <t xml:space="preserve">		UnrealizedGainLossOnInvestmentSecurities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</si>
  <si>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</si>
  <si>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</si>
  <si>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</si>
  <si>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</si>
  <si>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ChangeInInventory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</si>
  <si>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</si>
  <si>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</si>
  <si>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</si>
  <si>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ChangeInAccountPayable</t>
  </si>
  <si>
    <t xml:space="preserve">			ChangeInOtherCurrentAssets</t>
  </si>
  <si>
    <t xml:space="preserve">			ChangeInOtherCurrentLiabilities</t>
  </si>
  <si>
    <t xml:space="preserve">			ChangeInOtherWorkingCapital</t>
  </si>
  <si>
    <t xml:space="preserve">		DividendReceivedCFO</t>
  </si>
  <si>
    <t xml:space="preserve">	CashFromDiscontinuedOperatingActivities</t>
  </si>
  <si>
    <t>InvestingCashFlow</t>
  </si>
  <si>
    <t xml:space="preserve">	CashFlowFromContinuingInvestingActivities</t>
  </si>
  <si>
    <t xml:space="preserve">		CapitalExpenditureReported</t>
  </si>
  <si>
    <t xml:space="preserve">		NetPPEPurchaseAndSale</t>
  </si>
  <si>
    <t xml:space="preserve">			PurchaseOfPPE</t>
  </si>
  <si>
    <t xml:space="preserve">			SaleOfPPE</t>
  </si>
  <si>
    <t xml:space="preserve">		NetIntangiblesPurchaseAndSale</t>
  </si>
  <si>
    <t xml:space="preserve">			SaleOfIntangibles</t>
  </si>
  <si>
    <t xml:space="preserve">		NetBusinessPurchaseAndSale</t>
  </si>
  <si>
    <t xml:space="preserve">			PurchaseOfBusiness</t>
  </si>
  <si>
    <t xml:space="preserve">			SaleOfBusiness</t>
  </si>
  <si>
    <t xml:space="preserve">		NetInvestmentPurchaseAndSale</t>
  </si>
  <si>
    <t xml:space="preserve">			PurchaseOfInvestment</t>
  </si>
  <si>
    <t xml:space="preserve">			SaleOfInvestment</t>
  </si>
  <si>
    <t xml:space="preserve">		NetOtherInvestingChanges</t>
  </si>
  <si>
    <t xml:space="preserve">	CashFromDiscontinuedInvestingActivities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</si>
  <si>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</si>
  <si>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</si>
  <si>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</si>
  <si>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</si>
  <si>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</si>
  <si>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</si>
  <si>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	NetShortTermDebtIssuance</t>
  </si>
  <si>
    <t xml:space="preserve">				ShortTermDebtIssuance</t>
  </si>
  <si>
    <t xml:space="preserve">				ShortTermDebtPayments</t>
  </si>
  <si>
    <t xml:space="preserve">		NetCommonStockIssuance</t>
  </si>
  <si>
    <t xml:space="preserve">			CommonStockIssuance</t>
  </si>
  <si>
    <t xml:space="preserve">			CommonStockPayments</t>
  </si>
  <si>
    <t xml:space="preserve">		NetPreferredStockIssuance</t>
  </si>
  <si>
    <t xml:space="preserve">			PreferredStockIssuance</t>
  </si>
  <si>
    <t xml:space="preserve">		CashDividendsPaid</t>
  </si>
  <si>
    <t xml:space="preserve">			CommonStockDividendPaid</t>
  </si>
  <si>
    <t xml:space="preserve">		NetOtherFinancingCharges</t>
  </si>
  <si>
    <t>CashFlowFromDiscontinuedOperation</t>
  </si>
  <si>
    <t>EndCashPosition</t>
  </si>
  <si>
    <t xml:space="preserve">	ChangesInCash</t>
  </si>
  <si>
    <t xml:space="preserve">	EffectOfExchangeRateChanges</t>
  </si>
  <si>
    <t xml:space="preserve">	BeginningCashPosition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</si>
  <si>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</si>
  <si>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</si>
  <si>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</si>
  <si>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</si>
  <si>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</si>
  <si>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</si>
  <si>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</si>
  <si>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</si>
  <si>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 xml:space="preserve"> Depreciation</t>
  </si>
  <si>
    <t>Covid</t>
  </si>
  <si>
    <t xml:space="preserve"> Stock Val=</t>
  </si>
  <si>
    <t>Stock Val=</t>
  </si>
  <si>
    <t>Stock Val =</t>
  </si>
  <si>
    <t>Adj Close</t>
  </si>
  <si>
    <t>SUMMARY CASH FLOW ANALYSIS</t>
  </si>
  <si>
    <t xml:space="preserve"> Working Capital Activities</t>
  </si>
  <si>
    <t>Market Premium=</t>
  </si>
  <si>
    <t>Volume</t>
  </si>
  <si>
    <t>Prepaid Expenses</t>
  </si>
  <si>
    <t>Restricted Cash</t>
  </si>
  <si>
    <t xml:space="preserve">  Plugline</t>
  </si>
  <si>
    <t>Other Currenbt Liabilities</t>
  </si>
  <si>
    <t>plugline</t>
  </si>
  <si>
    <t>Other Non-current Liabilities</t>
  </si>
  <si>
    <t xml:space="preserve">Other Equity </t>
  </si>
  <si>
    <t>Minority Interest</t>
  </si>
  <si>
    <t>BALANCE SHEET STATEMENT</t>
  </si>
  <si>
    <t>Risk Free (10-year Tresury) =</t>
  </si>
  <si>
    <t>Pre-covid Expected</t>
  </si>
  <si>
    <t>Average (less outliers)</t>
  </si>
  <si>
    <t>EBITDA * Average Multiple (Hilton, Marriott)</t>
  </si>
  <si>
    <t>Hold</t>
  </si>
  <si>
    <t>Recom.</t>
  </si>
  <si>
    <t>(-10%/
+10%)</t>
  </si>
  <si>
    <t>EBITDA * Average Multiple Industry</t>
  </si>
  <si>
    <t xml:space="preserve">     Method #4 using direct Competitors EBITDA x</t>
  </si>
  <si>
    <t>WH</t>
  </si>
  <si>
    <t>(Avg Target by Analysts for 12/23)</t>
  </si>
  <si>
    <t>Stock Price</t>
  </si>
  <si>
    <t>Debt (ST&amp;LT)
($000)</t>
  </si>
  <si>
    <t>Cash
 ($000)</t>
  </si>
  <si>
    <t>EBITDA 
($000)</t>
  </si>
  <si>
    <t>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</si>
</sst>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00"/>
    <numFmt numFmtId="165" formatCode="0.0%"/>
    <numFmt numFmtId="166" formatCode="0.0\x"/>
    <numFmt numFmtId="167" formatCode="#,#00.00"/>
    <numFmt numFmtId="168" formatCode="_(* #,##0_);_(* \(#,##0\);_(* &quot;-&quot;??_);_(@_)"/>
    <numFmt numFmtId="169" formatCode="_(* #,##0.000_);_(* \(#,##0.000\);_(* &quot;-&quot;??_);_(@_)"/>
    <numFmt numFmtId="170" formatCode="0.00\x"/>
    <numFmt numFmtId="175" formatCode="[$-409]mmmm\-yy;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&amp;quot"/>
    </font>
    <font>
      <sz val="9"/>
      <color rgb="FF000000"/>
      <name val="Times New Roman"/>
      <family val="1"/>
    </font>
    <font>
      <sz val="9"/>
      <color rgb="FF000000"/>
      <name val="&amp;quot"/>
    </font>
    <font>
      <sz val="9"/>
      <name val="Arial"/>
      <family val="2"/>
    </font>
    <font>
      <b/>
      <u/>
      <sz val="9"/>
      <color rgb="FF000000"/>
      <name val="Times New Roman"/>
      <family val="1"/>
    </font>
    <font>
      <sz val="10"/>
      <name val="Calibri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1"/>
      <color rgb="FF00B0F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1"/>
      <name val="Times New Roman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66FF"/>
      <name val="Calibri"/>
      <family val="2"/>
      <scheme val="minor"/>
    </font>
    <font>
      <i/>
      <sz val="10"/>
      <color rgb="FF0066FF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0066FF"/>
      <name val="Calibri"/>
      <family val="2"/>
      <scheme val="minor"/>
    </font>
    <font>
      <b/>
      <sz val="10"/>
      <color rgb="FF0066FF"/>
      <name val="Calibri"/>
      <family val="2"/>
      <scheme val="minor"/>
    </font>
    <font>
      <b/>
      <sz val="14"/>
      <color rgb="FF0066FF"/>
      <name val="Arial"/>
      <family val="2"/>
    </font>
    <font>
      <u/>
      <sz val="11"/>
      <color rgb="FF0066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53">
    <xf numFmtId="0" fontId="0" fillId="0" borderId="0" xfId="0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 applyAlignment="1">
      <alignment horizontal="right"/>
    </xf>
    <xf numFmtId="164" fontId="6" fillId="0" borderId="0" xfId="0" applyNumberFormat="1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/>
    </xf>
    <xf numFmtId="164" fontId="4" fillId="0" borderId="0" xfId="0" applyNumberFormat="1" applyFont="1"/>
    <xf numFmtId="0" fontId="13" fillId="0" borderId="0" xfId="0" applyFont="1" applyAlignment="1">
      <alignment horizontal="left" vertical="center"/>
    </xf>
    <xf numFmtId="164" fontId="12" fillId="0" borderId="4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164" fontId="12" fillId="0" borderId="5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/>
    </xf>
    <xf numFmtId="164" fontId="12" fillId="0" borderId="0" xfId="0" applyNumberFormat="1" applyFont="1"/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2" fillId="0" borderId="0" xfId="3" applyNumberFormat="1" applyFont="1" applyFill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6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3" borderId="0" xfId="0" applyFont="1" applyFill="1"/>
    <xf numFmtId="0" fontId="2" fillId="3" borderId="12" xfId="0" applyFont="1" applyFill="1" applyBorder="1" applyAlignment="1">
      <alignment horizontal="center" vertical="center"/>
    </xf>
    <xf numFmtId="14" fontId="2" fillId="3" borderId="0" xfId="0" applyNumberFormat="1" applyFont="1" applyFill="1"/>
    <xf numFmtId="0" fontId="6" fillId="4" borderId="1" xfId="0" quotePrefix="1" applyFont="1" applyFill="1" applyBorder="1" applyAlignment="1">
      <alignment horizontal="left" vertical="center" wrapText="1"/>
    </xf>
    <xf numFmtId="14" fontId="6" fillId="4" borderId="14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8" fontId="21" fillId="0" borderId="0" xfId="1" applyNumberFormat="1" applyFont="1"/>
    <xf numFmtId="168" fontId="0" fillId="0" borderId="2" xfId="0" applyNumberFormat="1" applyBorder="1"/>
    <xf numFmtId="168" fontId="0" fillId="0" borderId="0" xfId="1" applyNumberFormat="1" applyFont="1"/>
    <xf numFmtId="168" fontId="0" fillId="0" borderId="0" xfId="0" applyNumberFormat="1"/>
    <xf numFmtId="44" fontId="0" fillId="0" borderId="0" xfId="2" applyFont="1"/>
    <xf numFmtId="0" fontId="0" fillId="0" borderId="12" xfId="0" applyBorder="1"/>
    <xf numFmtId="168" fontId="0" fillId="0" borderId="12" xfId="1" applyNumberFormat="1" applyFont="1" applyBorder="1"/>
    <xf numFmtId="0" fontId="0" fillId="0" borderId="2" xfId="0" applyBorder="1"/>
    <xf numFmtId="168" fontId="0" fillId="0" borderId="17" xfId="1" applyNumberFormat="1" applyFont="1" applyBorder="1"/>
    <xf numFmtId="168" fontId="0" fillId="0" borderId="2" xfId="1" applyNumberFormat="1" applyFont="1" applyBorder="1"/>
    <xf numFmtId="10" fontId="0" fillId="0" borderId="0" xfId="0" applyNumberFormat="1"/>
    <xf numFmtId="10" fontId="0" fillId="0" borderId="0" xfId="3" applyNumberFormat="1" applyFont="1"/>
    <xf numFmtId="170" fontId="22" fillId="0" borderId="0" xfId="0" applyNumberFormat="1" applyFont="1"/>
    <xf numFmtId="164" fontId="7" fillId="0" borderId="0" xfId="0" applyNumberFormat="1" applyFont="1"/>
    <xf numFmtId="168" fontId="1" fillId="0" borderId="0" xfId="1" applyNumberFormat="1" applyFont="1"/>
    <xf numFmtId="168" fontId="0" fillId="0" borderId="3" xfId="0" applyNumberFormat="1" applyBorder="1"/>
    <xf numFmtId="168" fontId="1" fillId="0" borderId="0" xfId="1" applyNumberFormat="1" applyFont="1" applyBorder="1"/>
    <xf numFmtId="14" fontId="0" fillId="0" borderId="0" xfId="0" applyNumberFormat="1"/>
    <xf numFmtId="168" fontId="29" fillId="0" borderId="0" xfId="1" applyNumberFormat="1" applyFont="1"/>
    <xf numFmtId="0" fontId="0" fillId="0" borderId="35" xfId="0" applyBorder="1"/>
    <xf numFmtId="168" fontId="1" fillId="0" borderId="12" xfId="1" applyNumberFormat="1" applyFont="1" applyBorder="1"/>
    <xf numFmtId="168" fontId="1" fillId="0" borderId="17" xfId="0" applyNumberFormat="1" applyFont="1" applyBorder="1"/>
    <xf numFmtId="168" fontId="1" fillId="0" borderId="33" xfId="1" applyNumberFormat="1" applyFont="1" applyBorder="1"/>
    <xf numFmtId="0" fontId="1" fillId="0" borderId="12" xfId="0" applyFont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7" xfId="0" applyFont="1" applyBorder="1" applyAlignment="1">
      <alignment horizontal="right" vertical="center" wrapText="1"/>
    </xf>
    <xf numFmtId="0" fontId="30" fillId="0" borderId="0" xfId="0" applyFont="1"/>
    <xf numFmtId="0" fontId="0" fillId="0" borderId="0" xfId="0" applyAlignment="1">
      <alignment horizontal="center" vertical="center"/>
    </xf>
    <xf numFmtId="0" fontId="25" fillId="0" borderId="0" xfId="0" applyFont="1"/>
    <xf numFmtId="4" fontId="0" fillId="0" borderId="0" xfId="0" applyNumberFormat="1"/>
    <xf numFmtId="164" fontId="6" fillId="8" borderId="0" xfId="0" applyNumberFormat="1" applyFont="1" applyFill="1"/>
    <xf numFmtId="164" fontId="26" fillId="8" borderId="4" xfId="0" quotePrefix="1" applyNumberFormat="1" applyFont="1" applyFill="1" applyBorder="1" applyAlignment="1">
      <alignment horizontal="right"/>
    </xf>
    <xf numFmtId="164" fontId="7" fillId="8" borderId="1" xfId="0" quotePrefix="1" applyNumberFormat="1" applyFont="1" applyFill="1" applyBorder="1" applyAlignment="1">
      <alignment horizontal="left" vertical="center"/>
    </xf>
    <xf numFmtId="1" fontId="6" fillId="8" borderId="1" xfId="0" applyNumberFormat="1" applyFont="1" applyFill="1" applyBorder="1" applyAlignment="1">
      <alignment horizontal="right" vertical="center"/>
    </xf>
    <xf numFmtId="164" fontId="26" fillId="8" borderId="4" xfId="0" applyNumberFormat="1" applyFont="1" applyFill="1" applyBorder="1" applyAlignment="1">
      <alignment horizontal="right"/>
    </xf>
    <xf numFmtId="164" fontId="23" fillId="9" borderId="0" xfId="0" applyNumberFormat="1" applyFont="1" applyFill="1"/>
    <xf numFmtId="164" fontId="20" fillId="9" borderId="0" xfId="0" applyNumberFormat="1" applyFont="1" applyFill="1" applyAlignment="1">
      <alignment horizontal="right"/>
    </xf>
    <xf numFmtId="0" fontId="20" fillId="9" borderId="0" xfId="0" applyFont="1" applyFill="1"/>
    <xf numFmtId="0" fontId="19" fillId="9" borderId="10" xfId="0" applyFont="1" applyFill="1" applyBorder="1"/>
    <xf numFmtId="0" fontId="20" fillId="9" borderId="11" xfId="0" applyFont="1" applyFill="1" applyBorder="1"/>
    <xf numFmtId="0" fontId="20" fillId="9" borderId="37" xfId="0" applyFont="1" applyFill="1" applyBorder="1"/>
    <xf numFmtId="0" fontId="19" fillId="9" borderId="0" xfId="0" applyFont="1" applyFill="1" applyAlignment="1">
      <alignment horizontal="left"/>
    </xf>
    <xf numFmtId="6" fontId="20" fillId="9" borderId="0" xfId="0" applyNumberFormat="1" applyFont="1" applyFill="1"/>
    <xf numFmtId="0" fontId="23" fillId="9" borderId="0" xfId="0" applyFont="1" applyFill="1"/>
    <xf numFmtId="0" fontId="32" fillId="0" borderId="0" xfId="0" applyFont="1"/>
    <xf numFmtId="164" fontId="12" fillId="12" borderId="0" xfId="0" applyNumberFormat="1" applyFont="1" applyFill="1" applyAlignment="1">
      <alignment horizontal="right"/>
    </xf>
    <xf numFmtId="164" fontId="9" fillId="12" borderId="0" xfId="0" applyNumberFormat="1" applyFont="1" applyFill="1" applyAlignment="1">
      <alignment horizontal="right" vertical="center" wrapText="1"/>
    </xf>
    <xf numFmtId="164" fontId="11" fillId="12" borderId="0" xfId="0" applyNumberFormat="1" applyFont="1" applyFill="1" applyAlignment="1">
      <alignment horizontal="right" vertical="center" wrapText="1"/>
    </xf>
    <xf numFmtId="164" fontId="12" fillId="12" borderId="2" xfId="0" applyNumberFormat="1" applyFont="1" applyFill="1" applyBorder="1" applyAlignment="1">
      <alignment horizontal="right"/>
    </xf>
    <xf numFmtId="164" fontId="11" fillId="12" borderId="3" xfId="0" applyNumberFormat="1" applyFont="1" applyFill="1" applyBorder="1" applyAlignment="1">
      <alignment horizontal="right" vertical="center" wrapText="1"/>
    </xf>
    <xf numFmtId="0" fontId="7" fillId="12" borderId="0" xfId="0" applyFont="1" applyFill="1" applyAlignment="1">
      <alignment horizontal="left" vertical="center"/>
    </xf>
    <xf numFmtId="164" fontId="7" fillId="12" borderId="0" xfId="0" applyNumberFormat="1" applyFont="1" applyFill="1" applyAlignment="1">
      <alignment horizontal="right"/>
    </xf>
    <xf numFmtId="0" fontId="16" fillId="12" borderId="0" xfId="0" applyFont="1" applyFill="1" applyAlignment="1">
      <alignment horizontal="left" vertical="center"/>
    </xf>
    <xf numFmtId="0" fontId="12" fillId="12" borderId="0" xfId="0" applyFont="1" applyFill="1" applyAlignment="1">
      <alignment horizontal="left" vertical="center"/>
    </xf>
    <xf numFmtId="0" fontId="10" fillId="12" borderId="0" xfId="0" applyFont="1" applyFill="1" applyAlignment="1">
      <alignment horizontal="left" vertical="center"/>
    </xf>
    <xf numFmtId="0" fontId="0" fillId="8" borderId="0" xfId="0" applyFill="1"/>
    <xf numFmtId="0" fontId="3" fillId="8" borderId="0" xfId="0" applyFont="1" applyFill="1"/>
    <xf numFmtId="0" fontId="3" fillId="8" borderId="0" xfId="0" applyFont="1" applyFill="1" applyAlignment="1">
      <alignment horizontal="right"/>
    </xf>
    <xf numFmtId="0" fontId="33" fillId="8" borderId="0" xfId="0" applyFont="1" applyFill="1"/>
    <xf numFmtId="0" fontId="33" fillId="8" borderId="7" xfId="0" applyFont="1" applyFill="1" applyBorder="1" applyAlignment="1">
      <alignment horizontal="left" vertical="center" wrapText="1"/>
    </xf>
    <xf numFmtId="168" fontId="33" fillId="8" borderId="9" xfId="0" applyNumberFormat="1" applyFont="1" applyFill="1" applyBorder="1"/>
    <xf numFmtId="0" fontId="31" fillId="8" borderId="0" xfId="0" applyFont="1" applyFill="1"/>
    <xf numFmtId="0" fontId="34" fillId="8" borderId="0" xfId="0" applyFont="1" applyFill="1"/>
    <xf numFmtId="0" fontId="33" fillId="8" borderId="26" xfId="0" applyFont="1" applyFill="1" applyBorder="1" applyAlignment="1">
      <alignment horizontal="left" vertical="center" wrapText="1"/>
    </xf>
    <xf numFmtId="0" fontId="33" fillId="8" borderId="21" xfId="0" applyFont="1" applyFill="1" applyBorder="1" applyAlignment="1">
      <alignment horizontal="center"/>
    </xf>
    <xf numFmtId="168" fontId="33" fillId="8" borderId="21" xfId="1" applyNumberFormat="1" applyFont="1" applyFill="1" applyBorder="1"/>
    <xf numFmtId="0" fontId="33" fillId="8" borderId="28" xfId="0" applyFont="1" applyFill="1" applyBorder="1" applyAlignment="1">
      <alignment horizontal="left" vertical="center" wrapText="1"/>
    </xf>
    <xf numFmtId="0" fontId="33" fillId="8" borderId="22" xfId="0" applyFont="1" applyFill="1" applyBorder="1" applyAlignment="1">
      <alignment horizontal="center"/>
    </xf>
    <xf numFmtId="44" fontId="33" fillId="8" borderId="22" xfId="2" applyFont="1" applyFill="1" applyBorder="1" applyAlignment="1">
      <alignment horizontal="center"/>
    </xf>
    <xf numFmtId="0" fontId="33" fillId="8" borderId="30" xfId="0" applyFont="1" applyFill="1" applyBorder="1" applyAlignment="1">
      <alignment horizontal="left" vertical="center" wrapText="1"/>
    </xf>
    <xf numFmtId="44" fontId="33" fillId="8" borderId="31" xfId="2" applyFont="1" applyFill="1" applyBorder="1" applyAlignment="1">
      <alignment horizontal="center"/>
    </xf>
    <xf numFmtId="168" fontId="33" fillId="8" borderId="14" xfId="1" applyNumberFormat="1" applyFont="1" applyFill="1" applyBorder="1"/>
    <xf numFmtId="0" fontId="33" fillId="11" borderId="23" xfId="0" applyFont="1" applyFill="1" applyBorder="1" applyAlignment="1">
      <alignment horizontal="left" vertical="center" wrapText="1"/>
    </xf>
    <xf numFmtId="44" fontId="33" fillId="11" borderId="24" xfId="2" applyFont="1" applyFill="1" applyBorder="1" applyAlignment="1">
      <alignment horizontal="center"/>
    </xf>
    <xf numFmtId="44" fontId="33" fillId="11" borderId="24" xfId="2" applyFont="1" applyFill="1" applyBorder="1" applyAlignment="1">
      <alignment horizontal="right"/>
    </xf>
    <xf numFmtId="168" fontId="33" fillId="11" borderId="24" xfId="1" applyNumberFormat="1" applyFont="1" applyFill="1" applyBorder="1"/>
    <xf numFmtId="168" fontId="33" fillId="11" borderId="25" xfId="1" applyNumberFormat="1" applyFont="1" applyFill="1" applyBorder="1"/>
    <xf numFmtId="0" fontId="32" fillId="8" borderId="0" xfId="0" applyFont="1" applyFill="1"/>
    <xf numFmtId="168" fontId="32" fillId="8" borderId="0" xfId="1" applyNumberFormat="1" applyFont="1" applyFill="1"/>
    <xf numFmtId="170" fontId="36" fillId="8" borderId="0" xfId="0" applyNumberFormat="1" applyFont="1" applyFill="1" applyAlignment="1">
      <alignment horizontal="center"/>
    </xf>
    <xf numFmtId="168" fontId="32" fillId="8" borderId="0" xfId="0" applyNumberFormat="1" applyFont="1" applyFill="1"/>
    <xf numFmtId="170" fontId="33" fillId="8" borderId="0" xfId="0" applyNumberFormat="1" applyFont="1" applyFill="1" applyAlignment="1">
      <alignment horizontal="center"/>
    </xf>
    <xf numFmtId="170" fontId="33" fillId="8" borderId="0" xfId="0" applyNumberFormat="1" applyFont="1" applyFill="1"/>
    <xf numFmtId="44" fontId="35" fillId="2" borderId="6" xfId="0" applyNumberFormat="1" applyFont="1" applyFill="1" applyBorder="1"/>
    <xf numFmtId="0" fontId="36" fillId="8" borderId="0" xfId="0" applyFont="1" applyFill="1"/>
    <xf numFmtId="0" fontId="34" fillId="0" borderId="21" xfId="0" applyFont="1" applyBorder="1"/>
    <xf numFmtId="44" fontId="34" fillId="0" borderId="21" xfId="2" applyFont="1" applyBorder="1"/>
    <xf numFmtId="169" fontId="34" fillId="0" borderId="21" xfId="1" applyNumberFormat="1" applyFont="1" applyBorder="1"/>
    <xf numFmtId="43" fontId="34" fillId="0" borderId="21" xfId="1" applyFont="1" applyBorder="1"/>
    <xf numFmtId="0" fontId="34" fillId="0" borderId="22" xfId="0" applyFont="1" applyBorder="1"/>
    <xf numFmtId="44" fontId="34" fillId="0" borderId="22" xfId="2" applyFont="1" applyBorder="1"/>
    <xf numFmtId="169" fontId="34" fillId="0" borderId="22" xfId="1" applyNumberFormat="1" applyFont="1" applyBorder="1"/>
    <xf numFmtId="168" fontId="31" fillId="8" borderId="21" xfId="1" applyNumberFormat="1" applyFont="1" applyFill="1" applyBorder="1" applyAlignment="1">
      <alignment vertical="center"/>
    </xf>
    <xf numFmtId="0" fontId="31" fillId="8" borderId="0" xfId="0" applyFont="1" applyFill="1" applyAlignment="1">
      <alignment horizontal="left"/>
    </xf>
    <xf numFmtId="0" fontId="37" fillId="8" borderId="0" xfId="0" applyFont="1" applyFill="1"/>
    <xf numFmtId="10" fontId="34" fillId="8" borderId="0" xfId="0" applyNumberFormat="1" applyFont="1" applyFill="1"/>
    <xf numFmtId="0" fontId="31" fillId="8" borderId="0" xfId="0" applyFont="1" applyFill="1" applyAlignment="1">
      <alignment horizontal="right"/>
    </xf>
    <xf numFmtId="44" fontId="31" fillId="2" borderId="6" xfId="2" applyFont="1" applyFill="1" applyBorder="1"/>
    <xf numFmtId="10" fontId="31" fillId="8" borderId="0" xfId="0" applyNumberFormat="1" applyFont="1" applyFill="1"/>
    <xf numFmtId="8" fontId="34" fillId="8" borderId="0" xfId="0" applyNumberFormat="1" applyFont="1" applyFill="1"/>
    <xf numFmtId="8" fontId="31" fillId="8" borderId="0" xfId="0" applyNumberFormat="1" applyFont="1" applyFill="1"/>
    <xf numFmtId="0" fontId="31" fillId="8" borderId="0" xfId="0" quotePrefix="1" applyFont="1" applyFill="1"/>
    <xf numFmtId="0" fontId="3" fillId="8" borderId="0" xfId="0" applyFont="1" applyFill="1" applyAlignment="1">
      <alignment horizontal="left"/>
    </xf>
    <xf numFmtId="10" fontId="31" fillId="8" borderId="0" xfId="3" applyNumberFormat="1" applyFont="1" applyFill="1" applyAlignment="1">
      <alignment horizontal="right"/>
    </xf>
    <xf numFmtId="0" fontId="3" fillId="8" borderId="0" xfId="0" applyFont="1" applyFill="1" applyAlignment="1">
      <alignment horizontal="center"/>
    </xf>
    <xf numFmtId="0" fontId="33" fillId="8" borderId="0" xfId="0" applyFont="1" applyFill="1" applyAlignment="1">
      <alignment horizontal="right"/>
    </xf>
    <xf numFmtId="44" fontId="34" fillId="8" borderId="0" xfId="2" applyFont="1" applyFill="1" applyBorder="1"/>
    <xf numFmtId="10" fontId="31" fillId="8" borderId="0" xfId="3" applyNumberFormat="1" applyFont="1" applyFill="1" applyBorder="1"/>
    <xf numFmtId="0" fontId="31" fillId="10" borderId="9" xfId="0" applyFont="1" applyFill="1" applyBorder="1" applyAlignment="1">
      <alignment horizontal="center" vertical="center" wrapText="1"/>
    </xf>
    <xf numFmtId="0" fontId="34" fillId="7" borderId="15" xfId="0" applyFont="1" applyFill="1" applyBorder="1"/>
    <xf numFmtId="168" fontId="34" fillId="7" borderId="4" xfId="0" applyNumberFormat="1" applyFont="1" applyFill="1" applyBorder="1"/>
    <xf numFmtId="168" fontId="34" fillId="7" borderId="4" xfId="0" applyNumberFormat="1" applyFont="1" applyFill="1" applyBorder="1" applyAlignment="1">
      <alignment horizontal="center" vertical="center"/>
    </xf>
    <xf numFmtId="0" fontId="0" fillId="8" borderId="15" xfId="0" applyFill="1" applyBorder="1"/>
    <xf numFmtId="168" fontId="0" fillId="8" borderId="4" xfId="0" applyNumberFormat="1" applyFill="1" applyBorder="1"/>
    <xf numFmtId="44" fontId="0" fillId="8" borderId="16" xfId="2" applyFont="1" applyFill="1" applyBorder="1" applyAlignment="1"/>
    <xf numFmtId="168" fontId="0" fillId="8" borderId="4" xfId="0" applyNumberFormat="1" applyFill="1" applyBorder="1" applyAlignment="1">
      <alignment horizontal="center" vertical="center"/>
    </xf>
    <xf numFmtId="0" fontId="0" fillId="8" borderId="18" xfId="0" applyFill="1" applyBorder="1"/>
    <xf numFmtId="168" fontId="0" fillId="8" borderId="19" xfId="0" applyNumberFormat="1" applyFill="1" applyBorder="1"/>
    <xf numFmtId="0" fontId="31" fillId="8" borderId="13" xfId="0" applyFont="1" applyFill="1" applyBorder="1"/>
    <xf numFmtId="168" fontId="31" fillId="8" borderId="5" xfId="0" applyNumberFormat="1" applyFont="1" applyFill="1" applyBorder="1"/>
    <xf numFmtId="168" fontId="34" fillId="8" borderId="5" xfId="0" applyNumberFormat="1" applyFont="1" applyFill="1" applyBorder="1" applyAlignment="1">
      <alignment horizontal="center" vertical="center"/>
    </xf>
    <xf numFmtId="0" fontId="0" fillId="8" borderId="10" xfId="0" applyFill="1" applyBorder="1"/>
    <xf numFmtId="0" fontId="0" fillId="8" borderId="11" xfId="0" applyFill="1" applyBorder="1"/>
    <xf numFmtId="10" fontId="0" fillId="8" borderId="4" xfId="3" applyNumberFormat="1" applyFont="1" applyFill="1" applyBorder="1" applyAlignment="1">
      <alignment horizontal="center" vertical="center"/>
    </xf>
    <xf numFmtId="10" fontId="34" fillId="8" borderId="5" xfId="3" applyNumberFormat="1" applyFont="1" applyFill="1" applyBorder="1" applyAlignment="1">
      <alignment horizontal="center" vertical="center"/>
    </xf>
    <xf numFmtId="0" fontId="0" fillId="10" borderId="7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31" fillId="10" borderId="8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4" fillId="8" borderId="0" xfId="0" applyFont="1" applyFill="1" applyAlignment="1">
      <alignment horizontal="left"/>
    </xf>
    <xf numFmtId="164" fontId="38" fillId="0" borderId="0" xfId="0" applyNumberFormat="1" applyFont="1" applyAlignment="1">
      <alignment horizontal="right"/>
    </xf>
    <xf numFmtId="0" fontId="4" fillId="2" borderId="0" xfId="0" applyFont="1" applyFill="1"/>
    <xf numFmtId="0" fontId="28" fillId="13" borderId="34" xfId="0" applyFont="1" applyFill="1" applyBorder="1" applyAlignment="1">
      <alignment horizontal="left" vertical="center"/>
    </xf>
    <xf numFmtId="0" fontId="8" fillId="13" borderId="34" xfId="0" applyFont="1" applyFill="1" applyBorder="1" applyAlignment="1">
      <alignment horizontal="left" vertical="center"/>
    </xf>
    <xf numFmtId="164" fontId="12" fillId="13" borderId="4" xfId="0" applyNumberFormat="1" applyFont="1" applyFill="1" applyBorder="1" applyAlignment="1">
      <alignment horizontal="right"/>
    </xf>
    <xf numFmtId="0" fontId="8" fillId="13" borderId="4" xfId="0" applyFont="1" applyFill="1" applyBorder="1" applyAlignment="1">
      <alignment horizontal="left" vertical="center"/>
    </xf>
    <xf numFmtId="168" fontId="39" fillId="7" borderId="4" xfId="0" applyNumberFormat="1" applyFont="1" applyFill="1" applyBorder="1"/>
    <xf numFmtId="44" fontId="39" fillId="7" borderId="16" xfId="2" applyFont="1" applyFill="1" applyBorder="1" applyAlignment="1"/>
    <xf numFmtId="170" fontId="39" fillId="8" borderId="0" xfId="0" applyNumberFormat="1" applyFont="1" applyFill="1" applyAlignment="1">
      <alignment horizontal="center"/>
    </xf>
    <xf numFmtId="10" fontId="39" fillId="8" borderId="0" xfId="0" applyNumberFormat="1" applyFont="1" applyFill="1"/>
    <xf numFmtId="8" fontId="39" fillId="8" borderId="0" xfId="0" applyNumberFormat="1" applyFont="1" applyFill="1"/>
    <xf numFmtId="44" fontId="40" fillId="8" borderId="21" xfId="2" applyFont="1" applyFill="1" applyBorder="1"/>
    <xf numFmtId="44" fontId="40" fillId="8" borderId="22" xfId="2" applyFont="1" applyFill="1" applyBorder="1"/>
    <xf numFmtId="44" fontId="40" fillId="8" borderId="31" xfId="2" applyFont="1" applyFill="1" applyBorder="1"/>
    <xf numFmtId="168" fontId="40" fillId="8" borderId="21" xfId="1" applyNumberFormat="1" applyFont="1" applyFill="1" applyBorder="1"/>
    <xf numFmtId="168" fontId="40" fillId="8" borderId="22" xfId="1" applyNumberFormat="1" applyFont="1" applyFill="1" applyBorder="1"/>
    <xf numFmtId="168" fontId="40" fillId="8" borderId="31" xfId="1" applyNumberFormat="1" applyFont="1" applyFill="1" applyBorder="1"/>
    <xf numFmtId="168" fontId="40" fillId="8" borderId="27" xfId="1" applyNumberFormat="1" applyFont="1" applyFill="1" applyBorder="1"/>
    <xf numFmtId="168" fontId="40" fillId="8" borderId="29" xfId="1" applyNumberFormat="1" applyFont="1" applyFill="1" applyBorder="1"/>
    <xf numFmtId="168" fontId="40" fillId="8" borderId="32" xfId="1" applyNumberFormat="1" applyFont="1" applyFill="1" applyBorder="1"/>
    <xf numFmtId="44" fontId="35" fillId="6" borderId="6" xfId="2" applyFont="1" applyFill="1" applyBorder="1"/>
    <xf numFmtId="44" fontId="31" fillId="2" borderId="36" xfId="2" applyFont="1" applyFill="1" applyBorder="1" applyAlignment="1"/>
    <xf numFmtId="175" fontId="26" fillId="8" borderId="4" xfId="0" quotePrefix="1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41" fillId="0" borderId="6" xfId="0" applyFont="1" applyBorder="1" applyAlignment="1">
      <alignment vertical="center"/>
    </xf>
    <xf numFmtId="0" fontId="42" fillId="0" borderId="8" xfId="4" applyFont="1" applyBorder="1" applyAlignment="1">
      <alignment horizontal="left" vertical="center"/>
    </xf>
    <xf numFmtId="14" fontId="39" fillId="0" borderId="6" xfId="0" applyNumberFormat="1" applyFont="1" applyBorder="1" applyAlignment="1">
      <alignment horizontal="center" vertical="center"/>
    </xf>
    <xf numFmtId="44" fontId="34" fillId="0" borderId="20" xfId="2" applyFont="1" applyFill="1" applyBorder="1"/>
    <xf numFmtId="44" fontId="34" fillId="0" borderId="20" xfId="2" applyFont="1" applyBorder="1"/>
    <xf numFmtId="169" fontId="34" fillId="0" borderId="20" xfId="1" applyNumberFormat="1" applyFont="1" applyBorder="1"/>
    <xf numFmtId="43" fontId="34" fillId="0" borderId="12" xfId="1" applyFont="1" applyBorder="1"/>
    <xf numFmtId="44" fontId="31" fillId="8" borderId="21" xfId="2" applyFont="1" applyFill="1" applyBorder="1" applyAlignment="1">
      <alignment horizontal="center" vertical="center"/>
    </xf>
    <xf numFmtId="168" fontId="31" fillId="8" borderId="27" xfId="1" applyNumberFormat="1" applyFont="1" applyFill="1" applyBorder="1" applyAlignment="1">
      <alignment vertical="center"/>
    </xf>
    <xf numFmtId="0" fontId="31" fillId="10" borderId="41" xfId="0" applyFont="1" applyFill="1" applyBorder="1"/>
    <xf numFmtId="0" fontId="31" fillId="10" borderId="39" xfId="0" applyFont="1" applyFill="1" applyBorder="1" applyAlignment="1">
      <alignment horizontal="center" wrapText="1"/>
    </xf>
    <xf numFmtId="0" fontId="31" fillId="10" borderId="42" xfId="0" applyFont="1" applyFill="1" applyBorder="1"/>
    <xf numFmtId="14" fontId="31" fillId="10" borderId="43" xfId="0" applyNumberFormat="1" applyFont="1" applyFill="1" applyBorder="1" applyAlignment="1">
      <alignment horizont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8" borderId="27" xfId="0" applyFont="1" applyFill="1" applyBorder="1" applyAlignment="1">
      <alignment horizontal="left" vertical="center" wrapText="1"/>
    </xf>
    <xf numFmtId="0" fontId="31" fillId="10" borderId="20" xfId="0" applyFont="1" applyFill="1" applyBorder="1" applyAlignment="1">
      <alignment horizontal="center"/>
    </xf>
    <xf numFmtId="0" fontId="31" fillId="10" borderId="44" xfId="0" applyFont="1" applyFill="1" applyBorder="1" applyAlignment="1">
      <alignment horizontal="center"/>
    </xf>
    <xf numFmtId="168" fontId="31" fillId="8" borderId="38" xfId="1" applyNumberFormat="1" applyFont="1" applyFill="1" applyBorder="1" applyAlignment="1">
      <alignment vertical="center"/>
    </xf>
    <xf numFmtId="0" fontId="31" fillId="10" borderId="20" xfId="0" applyFont="1" applyFill="1" applyBorder="1" applyAlignment="1">
      <alignment horizontal="center" wrapText="1"/>
    </xf>
    <xf numFmtId="14" fontId="31" fillId="10" borderId="44" xfId="0" applyNumberFormat="1" applyFont="1" applyFill="1" applyBorder="1" applyAlignment="1">
      <alignment horizontal="center" wrapText="1"/>
    </xf>
    <xf numFmtId="43" fontId="34" fillId="0" borderId="38" xfId="1" applyFont="1" applyBorder="1"/>
    <xf numFmtId="43" fontId="34" fillId="0" borderId="40" xfId="1" applyFont="1" applyBorder="1"/>
    <xf numFmtId="43" fontId="34" fillId="0" borderId="39" xfId="1" applyFont="1" applyBorder="1"/>
    <xf numFmtId="43" fontId="31" fillId="5" borderId="21" xfId="1" applyFont="1" applyFill="1" applyBorder="1"/>
    <xf numFmtId="43" fontId="31" fillId="5" borderId="22" xfId="1" applyFont="1" applyFill="1" applyBorder="1"/>
    <xf numFmtId="43" fontId="31" fillId="5" borderId="20" xfId="1" applyFont="1" applyFill="1" applyBorder="1"/>
    <xf numFmtId="43" fontId="34" fillId="0" borderId="22" xfId="1" applyFont="1" applyBorder="1"/>
    <xf numFmtId="43" fontId="34" fillId="0" borderId="20" xfId="1" applyFont="1" applyBorder="1"/>
    <xf numFmtId="8" fontId="29" fillId="8" borderId="0" xfId="0" applyNumberFormat="1" applyFont="1" applyFill="1"/>
    <xf numFmtId="0" fontId="33" fillId="10" borderId="5" xfId="0" applyFont="1" applyFill="1" applyBorder="1" applyAlignment="1">
      <alignment vertical="center"/>
    </xf>
    <xf numFmtId="0" fontId="33" fillId="10" borderId="44" xfId="0" applyFont="1" applyFill="1" applyBorder="1" applyAlignment="1">
      <alignment horizontal="center" vertical="center"/>
    </xf>
    <xf numFmtId="14" fontId="33" fillId="10" borderId="44" xfId="0" applyNumberFormat="1" applyFont="1" applyFill="1" applyBorder="1" applyAlignment="1">
      <alignment horizontal="center" vertical="center" wrapText="1"/>
    </xf>
    <xf numFmtId="14" fontId="33" fillId="10" borderId="42" xfId="0" applyNumberFormat="1" applyFont="1" applyFill="1" applyBorder="1" applyAlignment="1">
      <alignment horizontal="center" vertical="center" wrapText="1"/>
    </xf>
    <xf numFmtId="0" fontId="33" fillId="10" borderId="45" xfId="0" applyFont="1" applyFill="1" applyBorder="1" applyAlignment="1">
      <alignment vertical="center"/>
    </xf>
    <xf numFmtId="14" fontId="33" fillId="10" borderId="43" xfId="0" applyNumberFormat="1" applyFont="1" applyFill="1" applyBorder="1" applyAlignment="1">
      <alignment horizontal="center" vertical="center" wrapText="1"/>
    </xf>
    <xf numFmtId="0" fontId="33" fillId="10" borderId="20" xfId="0" applyFont="1" applyFill="1" applyBorder="1" applyAlignment="1">
      <alignment horizontal="center" vertical="center"/>
    </xf>
    <xf numFmtId="0" fontId="33" fillId="10" borderId="39" xfId="0" applyFont="1" applyFill="1" applyBorder="1" applyAlignment="1">
      <alignment horizontal="center" vertical="center" wrapText="1"/>
    </xf>
    <xf numFmtId="0" fontId="33" fillId="10" borderId="20" xfId="0" applyFont="1" applyFill="1" applyBorder="1" applyAlignment="1">
      <alignment horizontal="center" vertical="center" wrapText="1"/>
    </xf>
    <xf numFmtId="170" fontId="33" fillId="8" borderId="21" xfId="1" applyNumberFormat="1" applyFont="1" applyFill="1" applyBorder="1" applyAlignment="1">
      <alignment horizontal="center"/>
    </xf>
    <xf numFmtId="170" fontId="33" fillId="8" borderId="14" xfId="1" applyNumberFormat="1" applyFont="1" applyFill="1" applyBorder="1" applyAlignment="1">
      <alignment horizontal="center"/>
    </xf>
    <xf numFmtId="170" fontId="33" fillId="11" borderId="24" xfId="1" applyNumberFormat="1" applyFont="1" applyFill="1" applyBorder="1" applyAlignment="1">
      <alignment horizontal="center"/>
    </xf>
    <xf numFmtId="170" fontId="40" fillId="8" borderId="21" xfId="1" applyNumberFormat="1" applyFont="1" applyFill="1" applyBorder="1" applyAlignment="1">
      <alignment horizontal="center"/>
    </xf>
    <xf numFmtId="170" fontId="40" fillId="8" borderId="22" xfId="1" applyNumberFormat="1" applyFont="1" applyFill="1" applyBorder="1" applyAlignment="1">
      <alignment horizontal="center"/>
    </xf>
    <xf numFmtId="170" fontId="40" fillId="8" borderId="31" xfId="1" applyNumberFormat="1" applyFont="1" applyFill="1" applyBorder="1" applyAlignment="1">
      <alignment horizontal="center"/>
    </xf>
    <xf numFmtId="170" fontId="35" fillId="11" borderId="24" xfId="1" applyNumberFormat="1" applyFont="1" applyFill="1" applyBorder="1" applyAlignment="1">
      <alignment horizontal="center"/>
    </xf>
    <xf numFmtId="14" fontId="33" fillId="10" borderId="20" xfId="0" applyNumberFormat="1" applyFont="1" applyFill="1" applyBorder="1" applyAlignment="1">
      <alignment horizontal="center" vertical="center" wrapText="1"/>
    </xf>
    <xf numFmtId="164" fontId="23" fillId="9" borderId="0" xfId="0" applyNumberFormat="1" applyFont="1" applyFill="1" applyAlignment="1">
      <alignment horizontal="center"/>
    </xf>
    <xf numFmtId="9" fontId="39" fillId="8" borderId="0" xfId="3" applyFont="1" applyFill="1" applyAlignment="1">
      <alignment horizontal="center"/>
    </xf>
    <xf numFmtId="170" fontId="39" fillId="8" borderId="0" xfId="0" applyNumberFormat="1" applyFont="1" applyFill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ance.yahoo.com/quote/H?p=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DBC5-E6C8-40C2-8C13-3227A2C3EF8C}">
  <sheetPr>
    <tabColor rgb="FF0066FF"/>
  </sheetPr>
  <dimension ref="B1:G174"/>
  <sheetViews>
    <sheetView showGridLines="0" tabSelected="1" topLeftCell="B1" workbookViewId="0">
      <selection activeCell="H7" sqref="H7"/>
    </sheetView>
  </sheetViews>
  <sheetFormatPr defaultColWidth="24.453125" defaultRowHeight="12.5"/>
  <cols>
    <col min="1" max="1" width="3.81640625" style="1" customWidth="1"/>
    <col min="2" max="2" width="31.26953125" style="12" customWidth="1"/>
    <col min="3" max="3" width="11.36328125" style="12" customWidth="1"/>
    <col min="4" max="4" width="9.36328125" style="12" customWidth="1"/>
    <col min="5" max="5" width="11.08984375" style="3" customWidth="1"/>
    <col min="6" max="6" width="9.54296875" style="3" bestFit="1" customWidth="1"/>
    <col min="7" max="7" width="12.7265625" style="1" customWidth="1"/>
    <col min="8" max="249" width="24.453125" style="1"/>
    <col min="250" max="250" width="3.81640625" style="1" customWidth="1"/>
    <col min="251" max="251" width="32.26953125" style="1" customWidth="1"/>
    <col min="252" max="255" width="13.90625" style="1" customWidth="1"/>
    <col min="256" max="259" width="7.54296875" style="1" customWidth="1"/>
    <col min="260" max="505" width="24.453125" style="1"/>
    <col min="506" max="506" width="3.81640625" style="1" customWidth="1"/>
    <col min="507" max="507" width="32.26953125" style="1" customWidth="1"/>
    <col min="508" max="511" width="13.90625" style="1" customWidth="1"/>
    <col min="512" max="515" width="7.54296875" style="1" customWidth="1"/>
    <col min="516" max="761" width="24.453125" style="1"/>
    <col min="762" max="762" width="3.81640625" style="1" customWidth="1"/>
    <col min="763" max="763" width="32.26953125" style="1" customWidth="1"/>
    <col min="764" max="767" width="13.90625" style="1" customWidth="1"/>
    <col min="768" max="771" width="7.54296875" style="1" customWidth="1"/>
    <col min="772" max="1017" width="24.453125" style="1"/>
    <col min="1018" max="1018" width="3.81640625" style="1" customWidth="1"/>
    <col min="1019" max="1019" width="32.26953125" style="1" customWidth="1"/>
    <col min="1020" max="1023" width="13.90625" style="1" customWidth="1"/>
    <col min="1024" max="1027" width="7.54296875" style="1" customWidth="1"/>
    <col min="1028" max="1273" width="24.453125" style="1"/>
    <col min="1274" max="1274" width="3.81640625" style="1" customWidth="1"/>
    <col min="1275" max="1275" width="32.26953125" style="1" customWidth="1"/>
    <col min="1276" max="1279" width="13.90625" style="1" customWidth="1"/>
    <col min="1280" max="1283" width="7.54296875" style="1" customWidth="1"/>
    <col min="1284" max="1529" width="24.453125" style="1"/>
    <col min="1530" max="1530" width="3.81640625" style="1" customWidth="1"/>
    <col min="1531" max="1531" width="32.26953125" style="1" customWidth="1"/>
    <col min="1532" max="1535" width="13.90625" style="1" customWidth="1"/>
    <col min="1536" max="1539" width="7.54296875" style="1" customWidth="1"/>
    <col min="1540" max="1785" width="24.453125" style="1"/>
    <col min="1786" max="1786" width="3.81640625" style="1" customWidth="1"/>
    <col min="1787" max="1787" width="32.26953125" style="1" customWidth="1"/>
    <col min="1788" max="1791" width="13.90625" style="1" customWidth="1"/>
    <col min="1792" max="1795" width="7.54296875" style="1" customWidth="1"/>
    <col min="1796" max="2041" width="24.453125" style="1"/>
    <col min="2042" max="2042" width="3.81640625" style="1" customWidth="1"/>
    <col min="2043" max="2043" width="32.26953125" style="1" customWidth="1"/>
    <col min="2044" max="2047" width="13.90625" style="1" customWidth="1"/>
    <col min="2048" max="2051" width="7.54296875" style="1" customWidth="1"/>
    <col min="2052" max="2297" width="24.453125" style="1"/>
    <col min="2298" max="2298" width="3.81640625" style="1" customWidth="1"/>
    <col min="2299" max="2299" width="32.26953125" style="1" customWidth="1"/>
    <col min="2300" max="2303" width="13.90625" style="1" customWidth="1"/>
    <col min="2304" max="2307" width="7.54296875" style="1" customWidth="1"/>
    <col min="2308" max="2553" width="24.453125" style="1"/>
    <col min="2554" max="2554" width="3.81640625" style="1" customWidth="1"/>
    <col min="2555" max="2555" width="32.26953125" style="1" customWidth="1"/>
    <col min="2556" max="2559" width="13.90625" style="1" customWidth="1"/>
    <col min="2560" max="2563" width="7.54296875" style="1" customWidth="1"/>
    <col min="2564" max="2809" width="24.453125" style="1"/>
    <col min="2810" max="2810" width="3.81640625" style="1" customWidth="1"/>
    <col min="2811" max="2811" width="32.26953125" style="1" customWidth="1"/>
    <col min="2812" max="2815" width="13.90625" style="1" customWidth="1"/>
    <col min="2816" max="2819" width="7.54296875" style="1" customWidth="1"/>
    <col min="2820" max="3065" width="24.453125" style="1"/>
    <col min="3066" max="3066" width="3.81640625" style="1" customWidth="1"/>
    <col min="3067" max="3067" width="32.26953125" style="1" customWidth="1"/>
    <col min="3068" max="3071" width="13.90625" style="1" customWidth="1"/>
    <col min="3072" max="3075" width="7.54296875" style="1" customWidth="1"/>
    <col min="3076" max="3321" width="24.453125" style="1"/>
    <col min="3322" max="3322" width="3.81640625" style="1" customWidth="1"/>
    <col min="3323" max="3323" width="32.26953125" style="1" customWidth="1"/>
    <col min="3324" max="3327" width="13.90625" style="1" customWidth="1"/>
    <col min="3328" max="3331" width="7.54296875" style="1" customWidth="1"/>
    <col min="3332" max="3577" width="24.453125" style="1"/>
    <col min="3578" max="3578" width="3.81640625" style="1" customWidth="1"/>
    <col min="3579" max="3579" width="32.26953125" style="1" customWidth="1"/>
    <col min="3580" max="3583" width="13.90625" style="1" customWidth="1"/>
    <col min="3584" max="3587" width="7.54296875" style="1" customWidth="1"/>
    <col min="3588" max="3833" width="24.453125" style="1"/>
    <col min="3834" max="3834" width="3.81640625" style="1" customWidth="1"/>
    <col min="3835" max="3835" width="32.26953125" style="1" customWidth="1"/>
    <col min="3836" max="3839" width="13.90625" style="1" customWidth="1"/>
    <col min="3840" max="3843" width="7.54296875" style="1" customWidth="1"/>
    <col min="3844" max="4089" width="24.453125" style="1"/>
    <col min="4090" max="4090" width="3.81640625" style="1" customWidth="1"/>
    <col min="4091" max="4091" width="32.26953125" style="1" customWidth="1"/>
    <col min="4092" max="4095" width="13.90625" style="1" customWidth="1"/>
    <col min="4096" max="4099" width="7.54296875" style="1" customWidth="1"/>
    <col min="4100" max="4345" width="24.453125" style="1"/>
    <col min="4346" max="4346" width="3.81640625" style="1" customWidth="1"/>
    <col min="4347" max="4347" width="32.26953125" style="1" customWidth="1"/>
    <col min="4348" max="4351" width="13.90625" style="1" customWidth="1"/>
    <col min="4352" max="4355" width="7.54296875" style="1" customWidth="1"/>
    <col min="4356" max="4601" width="24.453125" style="1"/>
    <col min="4602" max="4602" width="3.81640625" style="1" customWidth="1"/>
    <col min="4603" max="4603" width="32.26953125" style="1" customWidth="1"/>
    <col min="4604" max="4607" width="13.90625" style="1" customWidth="1"/>
    <col min="4608" max="4611" width="7.54296875" style="1" customWidth="1"/>
    <col min="4612" max="4857" width="24.453125" style="1"/>
    <col min="4858" max="4858" width="3.81640625" style="1" customWidth="1"/>
    <col min="4859" max="4859" width="32.26953125" style="1" customWidth="1"/>
    <col min="4860" max="4863" width="13.90625" style="1" customWidth="1"/>
    <col min="4864" max="4867" width="7.54296875" style="1" customWidth="1"/>
    <col min="4868" max="5113" width="24.453125" style="1"/>
    <col min="5114" max="5114" width="3.81640625" style="1" customWidth="1"/>
    <col min="5115" max="5115" width="32.26953125" style="1" customWidth="1"/>
    <col min="5116" max="5119" width="13.90625" style="1" customWidth="1"/>
    <col min="5120" max="5123" width="7.54296875" style="1" customWidth="1"/>
    <col min="5124" max="5369" width="24.453125" style="1"/>
    <col min="5370" max="5370" width="3.81640625" style="1" customWidth="1"/>
    <col min="5371" max="5371" width="32.26953125" style="1" customWidth="1"/>
    <col min="5372" max="5375" width="13.90625" style="1" customWidth="1"/>
    <col min="5376" max="5379" width="7.54296875" style="1" customWidth="1"/>
    <col min="5380" max="5625" width="24.453125" style="1"/>
    <col min="5626" max="5626" width="3.81640625" style="1" customWidth="1"/>
    <col min="5627" max="5627" width="32.26953125" style="1" customWidth="1"/>
    <col min="5628" max="5631" width="13.90625" style="1" customWidth="1"/>
    <col min="5632" max="5635" width="7.54296875" style="1" customWidth="1"/>
    <col min="5636" max="5881" width="24.453125" style="1"/>
    <col min="5882" max="5882" width="3.81640625" style="1" customWidth="1"/>
    <col min="5883" max="5883" width="32.26953125" style="1" customWidth="1"/>
    <col min="5884" max="5887" width="13.90625" style="1" customWidth="1"/>
    <col min="5888" max="5891" width="7.54296875" style="1" customWidth="1"/>
    <col min="5892" max="6137" width="24.453125" style="1"/>
    <col min="6138" max="6138" width="3.81640625" style="1" customWidth="1"/>
    <col min="6139" max="6139" width="32.26953125" style="1" customWidth="1"/>
    <col min="6140" max="6143" width="13.90625" style="1" customWidth="1"/>
    <col min="6144" max="6147" width="7.54296875" style="1" customWidth="1"/>
    <col min="6148" max="6393" width="24.453125" style="1"/>
    <col min="6394" max="6394" width="3.81640625" style="1" customWidth="1"/>
    <col min="6395" max="6395" width="32.26953125" style="1" customWidth="1"/>
    <col min="6396" max="6399" width="13.90625" style="1" customWidth="1"/>
    <col min="6400" max="6403" width="7.54296875" style="1" customWidth="1"/>
    <col min="6404" max="6649" width="24.453125" style="1"/>
    <col min="6650" max="6650" width="3.81640625" style="1" customWidth="1"/>
    <col min="6651" max="6651" width="32.26953125" style="1" customWidth="1"/>
    <col min="6652" max="6655" width="13.90625" style="1" customWidth="1"/>
    <col min="6656" max="6659" width="7.54296875" style="1" customWidth="1"/>
    <col min="6660" max="6905" width="24.453125" style="1"/>
    <col min="6906" max="6906" width="3.81640625" style="1" customWidth="1"/>
    <col min="6907" max="6907" width="32.26953125" style="1" customWidth="1"/>
    <col min="6908" max="6911" width="13.90625" style="1" customWidth="1"/>
    <col min="6912" max="6915" width="7.54296875" style="1" customWidth="1"/>
    <col min="6916" max="7161" width="24.453125" style="1"/>
    <col min="7162" max="7162" width="3.81640625" style="1" customWidth="1"/>
    <col min="7163" max="7163" width="32.26953125" style="1" customWidth="1"/>
    <col min="7164" max="7167" width="13.90625" style="1" customWidth="1"/>
    <col min="7168" max="7171" width="7.54296875" style="1" customWidth="1"/>
    <col min="7172" max="7417" width="24.453125" style="1"/>
    <col min="7418" max="7418" width="3.81640625" style="1" customWidth="1"/>
    <col min="7419" max="7419" width="32.26953125" style="1" customWidth="1"/>
    <col min="7420" max="7423" width="13.90625" style="1" customWidth="1"/>
    <col min="7424" max="7427" width="7.54296875" style="1" customWidth="1"/>
    <col min="7428" max="7673" width="24.453125" style="1"/>
    <col min="7674" max="7674" width="3.81640625" style="1" customWidth="1"/>
    <col min="7675" max="7675" width="32.26953125" style="1" customWidth="1"/>
    <col min="7676" max="7679" width="13.90625" style="1" customWidth="1"/>
    <col min="7680" max="7683" width="7.54296875" style="1" customWidth="1"/>
    <col min="7684" max="7929" width="24.453125" style="1"/>
    <col min="7930" max="7930" width="3.81640625" style="1" customWidth="1"/>
    <col min="7931" max="7931" width="32.26953125" style="1" customWidth="1"/>
    <col min="7932" max="7935" width="13.90625" style="1" customWidth="1"/>
    <col min="7936" max="7939" width="7.54296875" style="1" customWidth="1"/>
    <col min="7940" max="8185" width="24.453125" style="1"/>
    <col min="8186" max="8186" width="3.81640625" style="1" customWidth="1"/>
    <col min="8187" max="8187" width="32.26953125" style="1" customWidth="1"/>
    <col min="8188" max="8191" width="13.90625" style="1" customWidth="1"/>
    <col min="8192" max="8195" width="7.54296875" style="1" customWidth="1"/>
    <col min="8196" max="8441" width="24.453125" style="1"/>
    <col min="8442" max="8442" width="3.81640625" style="1" customWidth="1"/>
    <col min="8443" max="8443" width="32.26953125" style="1" customWidth="1"/>
    <col min="8444" max="8447" width="13.90625" style="1" customWidth="1"/>
    <col min="8448" max="8451" width="7.54296875" style="1" customWidth="1"/>
    <col min="8452" max="8697" width="24.453125" style="1"/>
    <col min="8698" max="8698" width="3.81640625" style="1" customWidth="1"/>
    <col min="8699" max="8699" width="32.26953125" style="1" customWidth="1"/>
    <col min="8700" max="8703" width="13.90625" style="1" customWidth="1"/>
    <col min="8704" max="8707" width="7.54296875" style="1" customWidth="1"/>
    <col min="8708" max="8953" width="24.453125" style="1"/>
    <col min="8954" max="8954" width="3.81640625" style="1" customWidth="1"/>
    <col min="8955" max="8955" width="32.26953125" style="1" customWidth="1"/>
    <col min="8956" max="8959" width="13.90625" style="1" customWidth="1"/>
    <col min="8960" max="8963" width="7.54296875" style="1" customWidth="1"/>
    <col min="8964" max="9209" width="24.453125" style="1"/>
    <col min="9210" max="9210" width="3.81640625" style="1" customWidth="1"/>
    <col min="9211" max="9211" width="32.26953125" style="1" customWidth="1"/>
    <col min="9212" max="9215" width="13.90625" style="1" customWidth="1"/>
    <col min="9216" max="9219" width="7.54296875" style="1" customWidth="1"/>
    <col min="9220" max="9465" width="24.453125" style="1"/>
    <col min="9466" max="9466" width="3.81640625" style="1" customWidth="1"/>
    <col min="9467" max="9467" width="32.26953125" style="1" customWidth="1"/>
    <col min="9468" max="9471" width="13.90625" style="1" customWidth="1"/>
    <col min="9472" max="9475" width="7.54296875" style="1" customWidth="1"/>
    <col min="9476" max="9721" width="24.453125" style="1"/>
    <col min="9722" max="9722" width="3.81640625" style="1" customWidth="1"/>
    <col min="9723" max="9723" width="32.26953125" style="1" customWidth="1"/>
    <col min="9724" max="9727" width="13.90625" style="1" customWidth="1"/>
    <col min="9728" max="9731" width="7.54296875" style="1" customWidth="1"/>
    <col min="9732" max="9977" width="24.453125" style="1"/>
    <col min="9978" max="9978" width="3.81640625" style="1" customWidth="1"/>
    <col min="9979" max="9979" width="32.26953125" style="1" customWidth="1"/>
    <col min="9980" max="9983" width="13.90625" style="1" customWidth="1"/>
    <col min="9984" max="9987" width="7.54296875" style="1" customWidth="1"/>
    <col min="9988" max="10233" width="24.453125" style="1"/>
    <col min="10234" max="10234" width="3.81640625" style="1" customWidth="1"/>
    <col min="10235" max="10235" width="32.26953125" style="1" customWidth="1"/>
    <col min="10236" max="10239" width="13.90625" style="1" customWidth="1"/>
    <col min="10240" max="10243" width="7.54296875" style="1" customWidth="1"/>
    <col min="10244" max="10489" width="24.453125" style="1"/>
    <col min="10490" max="10490" width="3.81640625" style="1" customWidth="1"/>
    <col min="10491" max="10491" width="32.26953125" style="1" customWidth="1"/>
    <col min="10492" max="10495" width="13.90625" style="1" customWidth="1"/>
    <col min="10496" max="10499" width="7.54296875" style="1" customWidth="1"/>
    <col min="10500" max="10745" width="24.453125" style="1"/>
    <col min="10746" max="10746" width="3.81640625" style="1" customWidth="1"/>
    <col min="10747" max="10747" width="32.26953125" style="1" customWidth="1"/>
    <col min="10748" max="10751" width="13.90625" style="1" customWidth="1"/>
    <col min="10752" max="10755" width="7.54296875" style="1" customWidth="1"/>
    <col min="10756" max="11001" width="24.453125" style="1"/>
    <col min="11002" max="11002" width="3.81640625" style="1" customWidth="1"/>
    <col min="11003" max="11003" width="32.26953125" style="1" customWidth="1"/>
    <col min="11004" max="11007" width="13.90625" style="1" customWidth="1"/>
    <col min="11008" max="11011" width="7.54296875" style="1" customWidth="1"/>
    <col min="11012" max="11257" width="24.453125" style="1"/>
    <col min="11258" max="11258" width="3.81640625" style="1" customWidth="1"/>
    <col min="11259" max="11259" width="32.26953125" style="1" customWidth="1"/>
    <col min="11260" max="11263" width="13.90625" style="1" customWidth="1"/>
    <col min="11264" max="11267" width="7.54296875" style="1" customWidth="1"/>
    <col min="11268" max="11513" width="24.453125" style="1"/>
    <col min="11514" max="11514" width="3.81640625" style="1" customWidth="1"/>
    <col min="11515" max="11515" width="32.26953125" style="1" customWidth="1"/>
    <col min="11516" max="11519" width="13.90625" style="1" customWidth="1"/>
    <col min="11520" max="11523" width="7.54296875" style="1" customWidth="1"/>
    <col min="11524" max="11769" width="24.453125" style="1"/>
    <col min="11770" max="11770" width="3.81640625" style="1" customWidth="1"/>
    <col min="11771" max="11771" width="32.26953125" style="1" customWidth="1"/>
    <col min="11772" max="11775" width="13.90625" style="1" customWidth="1"/>
    <col min="11776" max="11779" width="7.54296875" style="1" customWidth="1"/>
    <col min="11780" max="12025" width="24.453125" style="1"/>
    <col min="12026" max="12026" width="3.81640625" style="1" customWidth="1"/>
    <col min="12027" max="12027" width="32.26953125" style="1" customWidth="1"/>
    <col min="12028" max="12031" width="13.90625" style="1" customWidth="1"/>
    <col min="12032" max="12035" width="7.54296875" style="1" customWidth="1"/>
    <col min="12036" max="12281" width="24.453125" style="1"/>
    <col min="12282" max="12282" width="3.81640625" style="1" customWidth="1"/>
    <col min="12283" max="12283" width="32.26953125" style="1" customWidth="1"/>
    <col min="12284" max="12287" width="13.90625" style="1" customWidth="1"/>
    <col min="12288" max="12291" width="7.54296875" style="1" customWidth="1"/>
    <col min="12292" max="12537" width="24.453125" style="1"/>
    <col min="12538" max="12538" width="3.81640625" style="1" customWidth="1"/>
    <col min="12539" max="12539" width="32.26953125" style="1" customWidth="1"/>
    <col min="12540" max="12543" width="13.90625" style="1" customWidth="1"/>
    <col min="12544" max="12547" width="7.54296875" style="1" customWidth="1"/>
    <col min="12548" max="12793" width="24.453125" style="1"/>
    <col min="12794" max="12794" width="3.81640625" style="1" customWidth="1"/>
    <col min="12795" max="12795" width="32.26953125" style="1" customWidth="1"/>
    <col min="12796" max="12799" width="13.90625" style="1" customWidth="1"/>
    <col min="12800" max="12803" width="7.54296875" style="1" customWidth="1"/>
    <col min="12804" max="13049" width="24.453125" style="1"/>
    <col min="13050" max="13050" width="3.81640625" style="1" customWidth="1"/>
    <col min="13051" max="13051" width="32.26953125" style="1" customWidth="1"/>
    <col min="13052" max="13055" width="13.90625" style="1" customWidth="1"/>
    <col min="13056" max="13059" width="7.54296875" style="1" customWidth="1"/>
    <col min="13060" max="13305" width="24.453125" style="1"/>
    <col min="13306" max="13306" width="3.81640625" style="1" customWidth="1"/>
    <col min="13307" max="13307" width="32.26953125" style="1" customWidth="1"/>
    <col min="13308" max="13311" width="13.90625" style="1" customWidth="1"/>
    <col min="13312" max="13315" width="7.54296875" style="1" customWidth="1"/>
    <col min="13316" max="13561" width="24.453125" style="1"/>
    <col min="13562" max="13562" width="3.81640625" style="1" customWidth="1"/>
    <col min="13563" max="13563" width="32.26953125" style="1" customWidth="1"/>
    <col min="13564" max="13567" width="13.90625" style="1" customWidth="1"/>
    <col min="13568" max="13571" width="7.54296875" style="1" customWidth="1"/>
    <col min="13572" max="13817" width="24.453125" style="1"/>
    <col min="13818" max="13818" width="3.81640625" style="1" customWidth="1"/>
    <col min="13819" max="13819" width="32.26953125" style="1" customWidth="1"/>
    <col min="13820" max="13823" width="13.90625" style="1" customWidth="1"/>
    <col min="13824" max="13827" width="7.54296875" style="1" customWidth="1"/>
    <col min="13828" max="14073" width="24.453125" style="1"/>
    <col min="14074" max="14074" width="3.81640625" style="1" customWidth="1"/>
    <col min="14075" max="14075" width="32.26953125" style="1" customWidth="1"/>
    <col min="14076" max="14079" width="13.90625" style="1" customWidth="1"/>
    <col min="14080" max="14083" width="7.54296875" style="1" customWidth="1"/>
    <col min="14084" max="14329" width="24.453125" style="1"/>
    <col min="14330" max="14330" width="3.81640625" style="1" customWidth="1"/>
    <col min="14331" max="14331" width="32.26953125" style="1" customWidth="1"/>
    <col min="14332" max="14335" width="13.90625" style="1" customWidth="1"/>
    <col min="14336" max="14339" width="7.54296875" style="1" customWidth="1"/>
    <col min="14340" max="14585" width="24.453125" style="1"/>
    <col min="14586" max="14586" width="3.81640625" style="1" customWidth="1"/>
    <col min="14587" max="14587" width="32.26953125" style="1" customWidth="1"/>
    <col min="14588" max="14591" width="13.90625" style="1" customWidth="1"/>
    <col min="14592" max="14595" width="7.54296875" style="1" customWidth="1"/>
    <col min="14596" max="14841" width="24.453125" style="1"/>
    <col min="14842" max="14842" width="3.81640625" style="1" customWidth="1"/>
    <col min="14843" max="14843" width="32.26953125" style="1" customWidth="1"/>
    <col min="14844" max="14847" width="13.90625" style="1" customWidth="1"/>
    <col min="14848" max="14851" width="7.54296875" style="1" customWidth="1"/>
    <col min="14852" max="15097" width="24.453125" style="1"/>
    <col min="15098" max="15098" width="3.81640625" style="1" customWidth="1"/>
    <col min="15099" max="15099" width="32.26953125" style="1" customWidth="1"/>
    <col min="15100" max="15103" width="13.90625" style="1" customWidth="1"/>
    <col min="15104" max="15107" width="7.54296875" style="1" customWidth="1"/>
    <col min="15108" max="15353" width="24.453125" style="1"/>
    <col min="15354" max="15354" width="3.81640625" style="1" customWidth="1"/>
    <col min="15355" max="15355" width="32.26953125" style="1" customWidth="1"/>
    <col min="15356" max="15359" width="13.90625" style="1" customWidth="1"/>
    <col min="15360" max="15363" width="7.54296875" style="1" customWidth="1"/>
    <col min="15364" max="15609" width="24.453125" style="1"/>
    <col min="15610" max="15610" width="3.81640625" style="1" customWidth="1"/>
    <col min="15611" max="15611" width="32.26953125" style="1" customWidth="1"/>
    <col min="15612" max="15615" width="13.90625" style="1" customWidth="1"/>
    <col min="15616" max="15619" width="7.54296875" style="1" customWidth="1"/>
    <col min="15620" max="15865" width="24.453125" style="1"/>
    <col min="15866" max="15866" width="3.81640625" style="1" customWidth="1"/>
    <col min="15867" max="15867" width="32.26953125" style="1" customWidth="1"/>
    <col min="15868" max="15871" width="13.90625" style="1" customWidth="1"/>
    <col min="15872" max="15875" width="7.54296875" style="1" customWidth="1"/>
    <col min="15876" max="16121" width="24.453125" style="1"/>
    <col min="16122" max="16122" width="3.81640625" style="1" customWidth="1"/>
    <col min="16123" max="16123" width="32.26953125" style="1" customWidth="1"/>
    <col min="16124" max="16127" width="13.90625" style="1" customWidth="1"/>
    <col min="16128" max="16131" width="7.54296875" style="1" customWidth="1"/>
    <col min="16132" max="16384" width="24.453125" style="1"/>
  </cols>
  <sheetData>
    <row r="1" spans="2:6" ht="19.399999999999999" customHeight="1">
      <c r="B1" s="2" t="s">
        <v>0</v>
      </c>
      <c r="C1" s="2"/>
      <c r="D1" s="2"/>
    </row>
    <row r="2" spans="2:6" ht="10.75" customHeight="1">
      <c r="B2" s="59" t="s">
        <v>165</v>
      </c>
      <c r="C2" s="59"/>
      <c r="D2" s="2"/>
    </row>
    <row r="3" spans="2:6" ht="10.75" customHeight="1">
      <c r="B3" s="59"/>
      <c r="C3" s="59"/>
      <c r="D3" s="2"/>
    </row>
    <row r="4" spans="2:6" ht="19.75" customHeight="1">
      <c r="B4" s="82" t="s">
        <v>73</v>
      </c>
      <c r="C4" s="250" t="s">
        <v>82</v>
      </c>
      <c r="D4" s="82"/>
      <c r="E4" s="83"/>
      <c r="F4" s="83"/>
    </row>
    <row r="5" spans="2:6" ht="19.75" customHeight="1">
      <c r="B5" s="77"/>
      <c r="C5" s="200" t="s">
        <v>433</v>
      </c>
      <c r="D5" s="78" t="s">
        <v>164</v>
      </c>
      <c r="E5" s="78" t="s">
        <v>164</v>
      </c>
      <c r="F5" s="78" t="s">
        <v>164</v>
      </c>
    </row>
    <row r="6" spans="2:6" s="5" customFormat="1" ht="15" customHeight="1" thickBot="1">
      <c r="B6" s="79" t="s">
        <v>1</v>
      </c>
      <c r="C6" s="80">
        <v>2023</v>
      </c>
      <c r="D6" s="80">
        <f>C6-1</f>
        <v>2022</v>
      </c>
      <c r="E6" s="80">
        <f t="shared" ref="E6:F6" si="0">D6-1</f>
        <v>2021</v>
      </c>
      <c r="F6" s="80">
        <f t="shared" si="0"/>
        <v>2020</v>
      </c>
    </row>
    <row r="7" spans="2:6" ht="11.5" customHeight="1">
      <c r="B7" s="6" t="s">
        <v>2</v>
      </c>
      <c r="C7" s="93">
        <f>'Income Stat Yahoo Input'!B2/1000</f>
        <v>6514000</v>
      </c>
      <c r="D7" s="93">
        <f>'Income Stat Yahoo Input'!C2/1000</f>
        <v>5891000</v>
      </c>
      <c r="E7" s="93">
        <f>'Income Stat Yahoo Input'!D2/1000</f>
        <v>3028000</v>
      </c>
      <c r="F7" s="93">
        <f>'Income Stat Yahoo Input'!E2/1000</f>
        <v>2066000</v>
      </c>
    </row>
    <row r="8" spans="2:6" ht="11.5" customHeight="1">
      <c r="B8" s="7" t="s">
        <v>3</v>
      </c>
      <c r="C8" s="94">
        <f>'Income Stat Yahoo Input'!B4/1000</f>
        <v>5146000</v>
      </c>
      <c r="D8" s="94">
        <f>'Income Stat Yahoo Input'!C4/1000</f>
        <v>4603000</v>
      </c>
      <c r="E8" s="94">
        <f>'Income Stat Yahoo Input'!D4/1000</f>
        <v>2603000</v>
      </c>
      <c r="F8" s="94">
        <f>'Income Stat Yahoo Input'!E4/1000</f>
        <v>2067000</v>
      </c>
    </row>
    <row r="9" spans="2:6" ht="11.5" customHeight="1" thickBot="1">
      <c r="B9" s="7" t="s">
        <v>4</v>
      </c>
      <c r="C9" s="95">
        <f>+C7-C8</f>
        <v>1368000</v>
      </c>
      <c r="D9" s="95">
        <f>+D7-D8</f>
        <v>1288000</v>
      </c>
      <c r="E9" s="95">
        <f t="shared" ref="E9:F9" si="1">+E7-E8</f>
        <v>425000</v>
      </c>
      <c r="F9" s="95">
        <f t="shared" si="1"/>
        <v>-1000</v>
      </c>
    </row>
    <row r="10" spans="2:6" ht="11.5" customHeight="1" thickTop="1">
      <c r="B10" s="6" t="s">
        <v>5</v>
      </c>
      <c r="C10" s="96">
        <f>'Income Stat Yahoo Input'!B6/1000</f>
        <v>984000</v>
      </c>
      <c r="D10" s="96">
        <f>'Income Stat Yahoo Input'!C6/1000</f>
        <v>890000</v>
      </c>
      <c r="E10" s="96">
        <f>'Income Stat Yahoo Input'!D6/1000</f>
        <v>676000</v>
      </c>
      <c r="F10" s="96">
        <f>'Income Stat Yahoo Input'!E6/1000</f>
        <v>631000</v>
      </c>
    </row>
    <row r="11" spans="2:6" ht="11.5" customHeight="1">
      <c r="B11" s="6" t="s">
        <v>6</v>
      </c>
      <c r="C11" s="94">
        <f>+C9-C10</f>
        <v>384000</v>
      </c>
      <c r="D11" s="94">
        <f>+D9-D10</f>
        <v>398000</v>
      </c>
      <c r="E11" s="94">
        <f t="shared" ref="E11:F11" si="2">+E9-E10</f>
        <v>-251000</v>
      </c>
      <c r="F11" s="94">
        <f t="shared" si="2"/>
        <v>-632000</v>
      </c>
    </row>
    <row r="12" spans="2:6" ht="11.5" customHeight="1">
      <c r="B12" s="7" t="s">
        <v>7</v>
      </c>
      <c r="C12" s="10">
        <f>'Income Stat Yahoo Input'!B13/1000</f>
        <v>136000</v>
      </c>
      <c r="D12" s="10">
        <f>'Income Stat Yahoo Input'!C13/1000</f>
        <v>150000</v>
      </c>
      <c r="E12" s="10">
        <f>'Income Stat Yahoo Input'!D13/1000</f>
        <v>163000</v>
      </c>
      <c r="F12" s="10">
        <f>'Income Stat Yahoo Input'!E13/1000</f>
        <v>128000</v>
      </c>
    </row>
    <row r="13" spans="2:6" ht="11.5" customHeight="1">
      <c r="B13" s="7" t="s">
        <v>8</v>
      </c>
      <c r="C13" s="8">
        <f>+C11-C12</f>
        <v>248000</v>
      </c>
      <c r="D13" s="8">
        <f>+D11-D12</f>
        <v>248000</v>
      </c>
      <c r="E13" s="8">
        <f t="shared" ref="E13:F13" si="3">+E11-E12</f>
        <v>-414000</v>
      </c>
      <c r="F13" s="8">
        <f t="shared" si="3"/>
        <v>-760000</v>
      </c>
    </row>
    <row r="14" spans="2:6" ht="11.5" customHeight="1">
      <c r="B14" s="7" t="s">
        <v>9</v>
      </c>
      <c r="C14" s="10">
        <f>-(C15-C13)</f>
        <v>-74000</v>
      </c>
      <c r="D14" s="10">
        <f>-(D15-D13)</f>
        <v>-115000</v>
      </c>
      <c r="E14" s="10">
        <f t="shared" ref="E14:F14" si="4">-(E15-E13)</f>
        <v>-458000</v>
      </c>
      <c r="F14" s="10">
        <f t="shared" si="4"/>
        <v>200000</v>
      </c>
    </row>
    <row r="15" spans="2:6" ht="11.5" customHeight="1">
      <c r="B15" s="7" t="s">
        <v>10</v>
      </c>
      <c r="C15" s="11">
        <f>'Income Stat Yahoo Input'!B25/1000</f>
        <v>322000</v>
      </c>
      <c r="D15" s="11">
        <f>'Income Stat Yahoo Input'!C25/1000</f>
        <v>363000</v>
      </c>
      <c r="E15" s="11">
        <f>'Income Stat Yahoo Input'!D25/1000</f>
        <v>44000</v>
      </c>
      <c r="F15" s="11">
        <f>'Income Stat Yahoo Input'!E25/1000</f>
        <v>-960000</v>
      </c>
    </row>
    <row r="16" spans="2:6" ht="11.5" customHeight="1">
      <c r="B16" s="7" t="s">
        <v>11</v>
      </c>
      <c r="C16" s="8">
        <f>'Income Stat Yahoo Input'!B26/1000</f>
        <v>-126000</v>
      </c>
      <c r="D16" s="8">
        <f>'Income Stat Yahoo Input'!C26/1000</f>
        <v>-92000</v>
      </c>
      <c r="E16" s="8">
        <f>'Income Stat Yahoo Input'!D26/1000</f>
        <v>266000</v>
      </c>
      <c r="F16" s="8">
        <f>'Income Stat Yahoo Input'!E26/1000</f>
        <v>-257000</v>
      </c>
    </row>
    <row r="17" spans="2:6" ht="11.5" customHeight="1" thickBot="1">
      <c r="B17" s="6" t="s">
        <v>12</v>
      </c>
      <c r="C17" s="9">
        <f>+C15-C16</f>
        <v>448000</v>
      </c>
      <c r="D17" s="9">
        <f>+D15-D16</f>
        <v>455000</v>
      </c>
      <c r="E17" s="9">
        <f t="shared" ref="E17:F17" si="5">+E15-E16</f>
        <v>-222000</v>
      </c>
      <c r="F17" s="9">
        <f t="shared" si="5"/>
        <v>-703000</v>
      </c>
    </row>
    <row r="18" spans="2:6" ht="11.5" customHeight="1" thickTop="1"/>
    <row r="19" spans="2:6" ht="15" customHeight="1">
      <c r="B19" s="82" t="s">
        <v>417</v>
      </c>
      <c r="C19" s="82"/>
      <c r="D19" s="82"/>
      <c r="E19" s="83"/>
      <c r="F19" s="83"/>
    </row>
    <row r="20" spans="2:6" ht="19.75" customHeight="1">
      <c r="B20" s="77"/>
      <c r="C20" s="200" t="str">
        <f>C5</f>
        <v>June 30</v>
      </c>
      <c r="D20" s="200" t="str">
        <f t="shared" ref="D20:F20" si="6">D5</f>
        <v>Dec 31</v>
      </c>
      <c r="E20" s="200" t="str">
        <f t="shared" si="6"/>
        <v>Dec 31</v>
      </c>
      <c r="F20" s="200" t="str">
        <f t="shared" si="6"/>
        <v>Dec 31</v>
      </c>
    </row>
    <row r="21" spans="2:6" s="5" customFormat="1" ht="20.399999999999999" customHeight="1" thickBot="1">
      <c r="B21" s="79" t="s">
        <v>1</v>
      </c>
      <c r="C21" s="80">
        <f>+C6</f>
        <v>2023</v>
      </c>
      <c r="D21" s="80">
        <f t="shared" ref="D21:F21" si="7">+D6</f>
        <v>2022</v>
      </c>
      <c r="E21" s="80">
        <f t="shared" si="7"/>
        <v>2021</v>
      </c>
      <c r="F21" s="80">
        <f t="shared" si="7"/>
        <v>2020</v>
      </c>
    </row>
    <row r="22" spans="2:6" ht="11.5" customHeight="1">
      <c r="B22" s="180" t="s">
        <v>13</v>
      </c>
      <c r="C22" s="181"/>
      <c r="D22" s="181"/>
      <c r="E22" s="181"/>
      <c r="F22" s="181"/>
    </row>
    <row r="23" spans="2:6" ht="11.5" customHeight="1">
      <c r="B23" s="13" t="s">
        <v>14</v>
      </c>
      <c r="C23" s="13"/>
      <c r="D23" s="13"/>
      <c r="E23" s="13"/>
      <c r="F23" s="13"/>
    </row>
    <row r="24" spans="2:6" ht="11.5" customHeight="1">
      <c r="B24" s="7" t="s">
        <v>15</v>
      </c>
      <c r="C24" s="11">
        <f>'Balance Sheet Yahoo Input'!B4/1000</f>
        <v>906000</v>
      </c>
      <c r="D24" s="11">
        <f>'Balance Sheet Yahoo Input'!C4/1000</f>
        <v>1149000</v>
      </c>
      <c r="E24" s="11">
        <f>'Balance Sheet Yahoo Input'!D4/1000</f>
        <v>1187000</v>
      </c>
      <c r="F24" s="11">
        <f>'Balance Sheet Yahoo Input'!E4/1000</f>
        <v>1882000</v>
      </c>
    </row>
    <row r="25" spans="2:6" ht="11.5" customHeight="1">
      <c r="B25" s="7" t="s">
        <v>16</v>
      </c>
      <c r="C25" s="14">
        <f>+'Balance Sheet Yahoo Input'!B6/1000</f>
        <v>24000</v>
      </c>
      <c r="D25" s="14">
        <f>+'Balance Sheet Yahoo Input'!C6/1000</f>
        <v>158000</v>
      </c>
      <c r="E25" s="14">
        <f>+'Balance Sheet Yahoo Input'!D6/1000</f>
        <v>227000</v>
      </c>
      <c r="F25" s="14">
        <f>+'Balance Sheet Yahoo Input'!E6/1000</f>
        <v>675000</v>
      </c>
    </row>
    <row r="26" spans="2:6" ht="11.5" customHeight="1">
      <c r="B26" s="101" t="s">
        <v>17</v>
      </c>
      <c r="C26" s="92">
        <f>+C24+C25</f>
        <v>930000</v>
      </c>
      <c r="D26" s="92">
        <f t="shared" ref="D26:F26" si="8">+D24+D25</f>
        <v>1307000</v>
      </c>
      <c r="E26" s="92">
        <f t="shared" si="8"/>
        <v>1414000</v>
      </c>
      <c r="F26" s="92">
        <f t="shared" si="8"/>
        <v>2557000</v>
      </c>
    </row>
    <row r="27" spans="2:6" ht="11.5" customHeight="1">
      <c r="B27" s="7" t="s">
        <v>18</v>
      </c>
      <c r="C27" s="11">
        <f>'Balance Sheet Yahoo Input'!B10/1000</f>
        <v>-55000</v>
      </c>
      <c r="D27" s="11">
        <f>'Balance Sheet Yahoo Input'!C10/1000</f>
        <v>-63000</v>
      </c>
      <c r="E27" s="11">
        <f>'Balance Sheet Yahoo Input'!D10/1000</f>
        <v>-53000</v>
      </c>
      <c r="F27" s="11">
        <f>'Balance Sheet Yahoo Input'!E10/1000</f>
        <v>-56000</v>
      </c>
    </row>
    <row r="28" spans="2:6" ht="11.5" customHeight="1">
      <c r="B28" s="7" t="s">
        <v>19</v>
      </c>
      <c r="C28" s="11">
        <f>'Balance Sheet Yahoo Input'!B14/1000</f>
        <v>0</v>
      </c>
      <c r="D28" s="11">
        <f>'Balance Sheet Yahoo Input'!C14/1000</f>
        <v>0</v>
      </c>
      <c r="E28" s="11">
        <f>'Balance Sheet Yahoo Input'!D14/1000</f>
        <v>0</v>
      </c>
      <c r="F28" s="11">
        <f>'Balance Sheet Yahoo Input'!E14/1000</f>
        <v>0</v>
      </c>
    </row>
    <row r="29" spans="2:6" ht="11.5" customHeight="1">
      <c r="B29" s="7" t="s">
        <v>409</v>
      </c>
      <c r="C29" s="11">
        <f>'Balance Sheet Yahoo Input'!B15/1000</f>
        <v>0</v>
      </c>
      <c r="D29" s="11">
        <f>'Balance Sheet Yahoo Input'!C15/1000</f>
        <v>0</v>
      </c>
      <c r="E29" s="11">
        <f>'Balance Sheet Yahoo Input'!D15/1000</f>
        <v>0</v>
      </c>
      <c r="F29" s="11">
        <f>'Balance Sheet Yahoo Input'!E15/1000</f>
        <v>0</v>
      </c>
    </row>
    <row r="30" spans="2:6" ht="11.5" customHeight="1">
      <c r="B30" s="7" t="s">
        <v>410</v>
      </c>
      <c r="C30" s="11">
        <f>'Balance Sheet Yahoo Input'!B16/1000</f>
        <v>0</v>
      </c>
      <c r="D30" s="11">
        <f>'Balance Sheet Yahoo Input'!C16/1000</f>
        <v>0</v>
      </c>
      <c r="E30" s="11">
        <f>'Balance Sheet Yahoo Input'!D16/1000</f>
        <v>0</v>
      </c>
      <c r="F30" s="11">
        <f>'Balance Sheet Yahoo Input'!E16/1000</f>
        <v>0</v>
      </c>
    </row>
    <row r="31" spans="2:6" ht="11.5" customHeight="1">
      <c r="B31" s="7" t="s">
        <v>20</v>
      </c>
      <c r="C31" s="16">
        <f t="shared" ref="C31" si="9">SUM(C26:C30)</f>
        <v>875000</v>
      </c>
      <c r="D31" s="16">
        <f t="shared" ref="D31:F31" si="10">SUM(D26:D30)</f>
        <v>1244000</v>
      </c>
      <c r="E31" s="16">
        <f t="shared" si="10"/>
        <v>1361000</v>
      </c>
      <c r="F31" s="16">
        <f t="shared" si="10"/>
        <v>2501000</v>
      </c>
    </row>
    <row r="32" spans="2:6" ht="11.5" customHeight="1">
      <c r="B32" s="15"/>
      <c r="C32" s="11"/>
      <c r="D32" s="11"/>
      <c r="E32" s="11"/>
      <c r="F32" s="11"/>
    </row>
    <row r="33" spans="2:7" ht="11.5" customHeight="1">
      <c r="B33" s="13" t="s">
        <v>21</v>
      </c>
      <c r="C33" s="11"/>
      <c r="D33" s="11"/>
      <c r="E33" s="11"/>
      <c r="F33" s="11"/>
    </row>
    <row r="34" spans="2:7" ht="11.5" customHeight="1">
      <c r="B34" s="101" t="s">
        <v>22</v>
      </c>
      <c r="C34" s="92">
        <f>'Balance Sheet Yahoo Input'!B20/1000</f>
        <v>2767000</v>
      </c>
      <c r="D34" s="92">
        <f>'Balance Sheet Yahoo Input'!C20/1000</f>
        <v>4950000</v>
      </c>
      <c r="E34" s="92">
        <f>'Balance Sheet Yahoo Input'!D20/1000</f>
        <v>5612000</v>
      </c>
      <c r="F34" s="92">
        <f>'Balance Sheet Yahoo Input'!E20/1000</f>
        <v>5948000</v>
      </c>
    </row>
    <row r="35" spans="2:7" ht="11.5" customHeight="1">
      <c r="B35" s="7" t="s">
        <v>23</v>
      </c>
      <c r="C35" s="11">
        <f>+C36-C34</f>
        <v>0</v>
      </c>
      <c r="D35" s="11">
        <f t="shared" ref="D35:F35" si="11">+D36-D34</f>
        <v>-2181000</v>
      </c>
      <c r="E35" s="11">
        <f t="shared" si="11"/>
        <v>-2318000</v>
      </c>
      <c r="F35" s="11">
        <f t="shared" si="11"/>
        <v>-2348000</v>
      </c>
    </row>
    <row r="36" spans="2:7" ht="11.5" customHeight="1">
      <c r="B36" s="7" t="s">
        <v>24</v>
      </c>
      <c r="C36" s="16">
        <f>'Balance Sheet Yahoo Input'!B19/1000</f>
        <v>2767000</v>
      </c>
      <c r="D36" s="16">
        <f>'Balance Sheet Yahoo Input'!C19/1000</f>
        <v>2769000</v>
      </c>
      <c r="E36" s="16">
        <f>'Balance Sheet Yahoo Input'!D19/1000</f>
        <v>3294000</v>
      </c>
      <c r="F36" s="16">
        <f>'Balance Sheet Yahoo Input'!E19/1000</f>
        <v>3600000</v>
      </c>
    </row>
    <row r="37" spans="2:7" ht="11.5" customHeight="1">
      <c r="B37" s="7" t="s">
        <v>25</v>
      </c>
      <c r="C37" s="11">
        <f>+'Balance Sheet Yahoo Input'!B32/1000</f>
        <v>958000</v>
      </c>
      <c r="D37" s="11">
        <f>+'Balance Sheet Yahoo Input'!C32/1000</f>
        <v>833000</v>
      </c>
      <c r="E37" s="11">
        <f>+'Balance Sheet Yahoo Input'!D32/1000</f>
        <v>954000</v>
      </c>
      <c r="F37" s="11">
        <f>+'Balance Sheet Yahoo Input'!E32/1000</f>
        <v>980000</v>
      </c>
    </row>
    <row r="38" spans="2:7" ht="11.5" customHeight="1">
      <c r="B38" s="7" t="s">
        <v>26</v>
      </c>
      <c r="C38" s="11">
        <f>+'Balance Sheet Yahoo Input'!B30/1000</f>
        <v>3205000</v>
      </c>
      <c r="D38" s="11">
        <f>+'Balance Sheet Yahoo Input'!C30/1000</f>
        <v>3101000</v>
      </c>
      <c r="E38" s="11">
        <f>+'Balance Sheet Yahoo Input'!D30/1000</f>
        <v>2965000</v>
      </c>
      <c r="F38" s="11">
        <f>+'Balance Sheet Yahoo Input'!E30/1000</f>
        <v>288000</v>
      </c>
    </row>
    <row r="39" spans="2:7" ht="11.5" customHeight="1">
      <c r="B39" s="7" t="s">
        <v>27</v>
      </c>
      <c r="C39" s="11">
        <f>+'Balance Sheet Yahoo Input'!B31/1000</f>
        <v>1785000</v>
      </c>
      <c r="D39" s="11">
        <f>+'Balance Sheet Yahoo Input'!C31/1000</f>
        <v>1668000</v>
      </c>
      <c r="E39" s="11">
        <f>+'Balance Sheet Yahoo Input'!D31/1000</f>
        <v>1977000</v>
      </c>
      <c r="F39" s="11">
        <f>+'Balance Sheet Yahoo Input'!E31/1000</f>
        <v>385000</v>
      </c>
    </row>
    <row r="40" spans="2:7" ht="11.5" customHeight="1">
      <c r="B40" s="7" t="s">
        <v>28</v>
      </c>
      <c r="C40" s="14">
        <f>+C42-C39-C38-C37-C36-C31</f>
        <v>2999000</v>
      </c>
      <c r="D40" s="14">
        <f t="shared" ref="D40:F40" si="12">+D42-D39-D38-D37-D36-D31</f>
        <v>2697000</v>
      </c>
      <c r="E40" s="14">
        <f t="shared" si="12"/>
        <v>2052000</v>
      </c>
      <c r="F40" s="14">
        <f t="shared" si="12"/>
        <v>1375000</v>
      </c>
      <c r="G40" s="179" t="s">
        <v>411</v>
      </c>
    </row>
    <row r="41" spans="2:7" ht="11.5" customHeight="1">
      <c r="B41" s="7" t="s">
        <v>29</v>
      </c>
      <c r="C41" s="11">
        <f>SUM(C36:C40)</f>
        <v>11714000</v>
      </c>
      <c r="D41" s="11">
        <f t="shared" ref="D41:F41" si="13">SUM(D36:D40)</f>
        <v>11068000</v>
      </c>
      <c r="E41" s="11">
        <f t="shared" si="13"/>
        <v>11242000</v>
      </c>
      <c r="F41" s="11">
        <f t="shared" si="13"/>
        <v>6628000</v>
      </c>
    </row>
    <row r="42" spans="2:7" ht="11.5" customHeight="1" thickBot="1">
      <c r="B42" s="6" t="s">
        <v>30</v>
      </c>
      <c r="C42" s="17">
        <f>+'Balance Sheet Yahoo Input'!B2/1000</f>
        <v>12589000</v>
      </c>
      <c r="D42" s="17">
        <f>+'Balance Sheet Yahoo Input'!C2/1000</f>
        <v>12312000</v>
      </c>
      <c r="E42" s="17">
        <f>+'Balance Sheet Yahoo Input'!D2/1000</f>
        <v>12603000</v>
      </c>
      <c r="F42" s="17">
        <f>+'Balance Sheet Yahoo Input'!E2/1000</f>
        <v>9129000</v>
      </c>
    </row>
    <row r="43" spans="2:7" ht="11.5" customHeight="1" thickTop="1">
      <c r="B43" s="15"/>
      <c r="C43" s="11"/>
      <c r="D43" s="11"/>
      <c r="E43" s="11"/>
      <c r="F43" s="11"/>
    </row>
    <row r="44" spans="2:7" ht="11.5" customHeight="1">
      <c r="B44" s="183" t="s">
        <v>31</v>
      </c>
      <c r="C44" s="182"/>
      <c r="D44" s="182"/>
      <c r="E44" s="182"/>
      <c r="F44" s="182"/>
    </row>
    <row r="45" spans="2:7" ht="11.5" customHeight="1">
      <c r="B45" s="7" t="s">
        <v>32</v>
      </c>
      <c r="C45" s="11"/>
      <c r="D45" s="11"/>
      <c r="E45" s="11"/>
      <c r="F45" s="11"/>
    </row>
    <row r="46" spans="2:7" ht="11.5" customHeight="1">
      <c r="B46" s="7" t="s">
        <v>33</v>
      </c>
      <c r="C46" s="11">
        <f>+'Balance Sheet Yahoo Input'!B46/1000</f>
        <v>486000</v>
      </c>
      <c r="D46" s="11">
        <f>+'Balance Sheet Yahoo Input'!C46/1000</f>
        <v>500000</v>
      </c>
      <c r="E46" s="11">
        <f>+'Balance Sheet Yahoo Input'!D46/1000</f>
        <v>523000</v>
      </c>
      <c r="F46" s="11">
        <f>+'Balance Sheet Yahoo Input'!E46/1000</f>
        <v>102000</v>
      </c>
    </row>
    <row r="47" spans="2:7" ht="11.5" customHeight="1">
      <c r="B47" s="7" t="s">
        <v>34</v>
      </c>
      <c r="C47" s="11">
        <f>+'Balance Sheet Yahoo Input'!B49/1000</f>
        <v>444000</v>
      </c>
      <c r="D47" s="11">
        <f>+'Balance Sheet Yahoo Input'!C49/1000</f>
        <v>415000</v>
      </c>
      <c r="E47" s="11">
        <f>+'Balance Sheet Yahoo Input'!D49/1000</f>
        <v>299000</v>
      </c>
      <c r="F47" s="11">
        <f>+'Balance Sheet Yahoo Input'!E49/1000</f>
        <v>200000</v>
      </c>
    </row>
    <row r="48" spans="2:7" ht="11.5" customHeight="1">
      <c r="B48" s="7" t="s">
        <v>412</v>
      </c>
      <c r="C48" s="11">
        <f t="shared" ref="C48" si="14">+C50-C46-C47-C49</f>
        <v>1645000</v>
      </c>
      <c r="D48" s="11">
        <f t="shared" ref="D48:F48" si="15">+D50-D46-D47-D49</f>
        <v>1712000</v>
      </c>
      <c r="E48" s="11">
        <f t="shared" si="15"/>
        <v>1400000</v>
      </c>
      <c r="F48" s="11">
        <f t="shared" si="15"/>
        <v>422000</v>
      </c>
      <c r="G48" s="179" t="s">
        <v>413</v>
      </c>
    </row>
    <row r="49" spans="2:7" ht="11.5" customHeight="1">
      <c r="B49" s="101" t="s">
        <v>35</v>
      </c>
      <c r="C49" s="92">
        <f>+'Balance Sheet Yahoo Input'!B53/1000</f>
        <v>46000</v>
      </c>
      <c r="D49" s="92">
        <f>+'Balance Sheet Yahoo Input'!C53/1000</f>
        <v>660000</v>
      </c>
      <c r="E49" s="92">
        <f>+'Balance Sheet Yahoo Input'!D53/1000</f>
        <v>10000</v>
      </c>
      <c r="F49" s="92">
        <f>+'Balance Sheet Yahoo Input'!E53/1000</f>
        <v>260000</v>
      </c>
    </row>
    <row r="50" spans="2:7" ht="11.5" customHeight="1">
      <c r="B50" s="7" t="s">
        <v>36</v>
      </c>
      <c r="C50" s="16">
        <f>'Balance Sheet Yahoo Input'!B43/1000</f>
        <v>2621000</v>
      </c>
      <c r="D50" s="16">
        <f>'Balance Sheet Yahoo Input'!C43/1000</f>
        <v>3287000</v>
      </c>
      <c r="E50" s="16">
        <f>'Balance Sheet Yahoo Input'!D43/1000</f>
        <v>2232000</v>
      </c>
      <c r="F50" s="16">
        <f>'Balance Sheet Yahoo Input'!E43/1000</f>
        <v>984000</v>
      </c>
    </row>
    <row r="51" spans="2:7" ht="11.5" customHeight="1">
      <c r="B51" s="18"/>
      <c r="C51" s="11"/>
      <c r="D51" s="11"/>
      <c r="E51" s="11"/>
      <c r="F51" s="11"/>
    </row>
    <row r="52" spans="2:7" ht="11.5" customHeight="1">
      <c r="B52" s="13" t="s">
        <v>37</v>
      </c>
      <c r="C52" s="11"/>
      <c r="D52" s="11"/>
      <c r="E52" s="11"/>
      <c r="F52" s="11"/>
    </row>
    <row r="53" spans="2:7" ht="11.5" customHeight="1">
      <c r="B53" s="101" t="s">
        <v>38</v>
      </c>
      <c r="C53" s="92">
        <f>'Balance Sheet Yahoo Input'!B61/1000</f>
        <v>3053000</v>
      </c>
      <c r="D53" s="92">
        <f>'Balance Sheet Yahoo Input'!C61/1000</f>
        <v>2453000</v>
      </c>
      <c r="E53" s="92">
        <f>'Balance Sheet Yahoo Input'!D61/1000</f>
        <v>3968000</v>
      </c>
      <c r="F53" s="92">
        <f>'Balance Sheet Yahoo Input'!E61/1000</f>
        <v>2984000</v>
      </c>
    </row>
    <row r="54" spans="2:7" ht="11.5" customHeight="1">
      <c r="B54" s="7" t="s">
        <v>39</v>
      </c>
      <c r="C54" s="11">
        <f>'Balance Sheet Yahoo Input'!B64/1000</f>
        <v>85000</v>
      </c>
      <c r="D54" s="11">
        <f>'Balance Sheet Yahoo Input'!C64/1000</f>
        <v>72000</v>
      </c>
      <c r="E54" s="11">
        <f>'Balance Sheet Yahoo Input'!D64/1000</f>
        <v>93000</v>
      </c>
      <c r="F54" s="11">
        <f>'Balance Sheet Yahoo Input'!E64/1000</f>
        <v>48000</v>
      </c>
    </row>
    <row r="55" spans="2:7" ht="11.5" customHeight="1">
      <c r="B55" s="7" t="s">
        <v>414</v>
      </c>
      <c r="C55" s="14">
        <f>C56-C54-C53</f>
        <v>3145000</v>
      </c>
      <c r="D55" s="14">
        <f t="shared" ref="D55:F55" si="16">D56-D54-D53</f>
        <v>2798000</v>
      </c>
      <c r="E55" s="14">
        <f t="shared" si="16"/>
        <v>2744000</v>
      </c>
      <c r="F55" s="14">
        <f t="shared" si="16"/>
        <v>1899000</v>
      </c>
      <c r="G55" s="179" t="s">
        <v>413</v>
      </c>
    </row>
    <row r="56" spans="2:7" ht="11.5" customHeight="1">
      <c r="B56" s="7" t="s">
        <v>40</v>
      </c>
      <c r="C56" s="11">
        <f>C57-C50</f>
        <v>6283000</v>
      </c>
      <c r="D56" s="11">
        <f t="shared" ref="D56:F56" si="17">D57-D50</f>
        <v>5323000</v>
      </c>
      <c r="E56" s="11">
        <f t="shared" si="17"/>
        <v>6805000</v>
      </c>
      <c r="F56" s="11">
        <f t="shared" si="17"/>
        <v>4931000</v>
      </c>
    </row>
    <row r="57" spans="2:7" ht="11.5" customHeight="1">
      <c r="B57" s="7" t="s">
        <v>41</v>
      </c>
      <c r="C57" s="16">
        <f>'Balance Sheet Yahoo Input'!B42/1000</f>
        <v>8904000</v>
      </c>
      <c r="D57" s="16">
        <f>'Balance Sheet Yahoo Input'!C42/1000</f>
        <v>8610000</v>
      </c>
      <c r="E57" s="16">
        <f>'Balance Sheet Yahoo Input'!D42/1000</f>
        <v>9037000</v>
      </c>
      <c r="F57" s="16">
        <f>'Balance Sheet Yahoo Input'!E42/1000</f>
        <v>5915000</v>
      </c>
    </row>
    <row r="58" spans="2:7" ht="11.5" customHeight="1">
      <c r="B58" s="1"/>
      <c r="C58" s="11"/>
      <c r="D58" s="11"/>
      <c r="E58" s="11"/>
      <c r="F58" s="11"/>
    </row>
    <row r="59" spans="2:7" ht="11.5" customHeight="1">
      <c r="B59" s="13" t="s">
        <v>416</v>
      </c>
      <c r="C59" s="11">
        <f>+'Balance Sheet Yahoo Input'!B80/1000</f>
        <v>3000</v>
      </c>
      <c r="D59" s="11">
        <f>+'Balance Sheet Yahoo Input'!C80/1000</f>
        <v>3000</v>
      </c>
      <c r="E59" s="11">
        <f>+'Balance Sheet Yahoo Input'!D80/1000</f>
        <v>3000</v>
      </c>
      <c r="F59" s="11">
        <f>+'Balance Sheet Yahoo Input'!E80/1000</f>
        <v>3000</v>
      </c>
    </row>
    <row r="60" spans="2:7" ht="11.5" customHeight="1">
      <c r="B60" s="7"/>
      <c r="C60" s="11"/>
      <c r="D60" s="11"/>
      <c r="E60" s="11"/>
      <c r="F60" s="11"/>
    </row>
    <row r="61" spans="2:7" ht="11.5" customHeight="1">
      <c r="B61" s="183" t="s">
        <v>42</v>
      </c>
      <c r="C61" s="182"/>
      <c r="D61" s="182"/>
      <c r="E61" s="182"/>
      <c r="F61" s="182"/>
    </row>
    <row r="62" spans="2:7" ht="11.5" customHeight="1">
      <c r="B62" s="7" t="s">
        <v>43</v>
      </c>
      <c r="C62" s="11">
        <f>+'Balance Sheet Yahoo Input'!B74/1000</f>
        <v>1000</v>
      </c>
      <c r="D62" s="11">
        <f>+'Balance Sheet Yahoo Input'!C74/1000</f>
        <v>1000</v>
      </c>
      <c r="E62" s="11">
        <f>+'Balance Sheet Yahoo Input'!D74/1000</f>
        <v>1000</v>
      </c>
      <c r="F62" s="11">
        <f>+'Balance Sheet Yahoo Input'!E74/1000</f>
        <v>1000</v>
      </c>
    </row>
    <row r="63" spans="2:7" ht="11.5" customHeight="1">
      <c r="B63" s="7" t="s">
        <v>415</v>
      </c>
      <c r="C63" s="11">
        <f>+C42-C64-C62-C57</f>
        <v>-48000</v>
      </c>
      <c r="D63" s="11">
        <f t="shared" ref="D63:F63" si="18">+D42-D64-D62-D57</f>
        <v>79000</v>
      </c>
      <c r="E63" s="11">
        <f t="shared" si="18"/>
        <v>398000</v>
      </c>
      <c r="F63" s="11">
        <f t="shared" si="18"/>
        <v>-176000</v>
      </c>
      <c r="G63" s="179" t="s">
        <v>413</v>
      </c>
    </row>
    <row r="64" spans="2:7" ht="11.5" customHeight="1">
      <c r="B64" s="7" t="s">
        <v>44</v>
      </c>
      <c r="C64" s="11">
        <f>+'Balance Sheet Yahoo Input'!B76/1000</f>
        <v>3732000</v>
      </c>
      <c r="D64" s="11">
        <f>+'Balance Sheet Yahoo Input'!C76/1000</f>
        <v>3622000</v>
      </c>
      <c r="E64" s="11">
        <f>+'Balance Sheet Yahoo Input'!D76/1000</f>
        <v>3167000</v>
      </c>
      <c r="F64" s="11">
        <f>+'Balance Sheet Yahoo Input'!E76/1000</f>
        <v>3389000</v>
      </c>
    </row>
    <row r="65" spans="2:6" ht="11.5" customHeight="1">
      <c r="B65" s="7" t="s">
        <v>45</v>
      </c>
      <c r="C65" s="16">
        <f>+'Balance Sheet Yahoo Input'!B71/1000</f>
        <v>3682000</v>
      </c>
      <c r="D65" s="16">
        <f>+'Balance Sheet Yahoo Input'!C71/1000</f>
        <v>3699000</v>
      </c>
      <c r="E65" s="16">
        <f>+'Balance Sheet Yahoo Input'!D71/1000</f>
        <v>3563000</v>
      </c>
      <c r="F65" s="16">
        <f>+'Balance Sheet Yahoo Input'!E71/1000</f>
        <v>3211000</v>
      </c>
    </row>
    <row r="66" spans="2:6" ht="11.5" customHeight="1">
      <c r="B66" s="18"/>
      <c r="C66" s="11"/>
      <c r="D66" s="11"/>
      <c r="E66" s="11"/>
      <c r="F66" s="11"/>
    </row>
    <row r="67" spans="2:6" ht="11.5" customHeight="1" thickBot="1">
      <c r="B67" s="19" t="s">
        <v>46</v>
      </c>
      <c r="C67" s="17">
        <f>+C65+C57+C59</f>
        <v>12589000</v>
      </c>
      <c r="D67" s="17">
        <f t="shared" ref="D67:F67" si="19">+D65+D57+D59</f>
        <v>12312000</v>
      </c>
      <c r="E67" s="17">
        <f t="shared" si="19"/>
        <v>12603000</v>
      </c>
      <c r="F67" s="17">
        <f t="shared" si="19"/>
        <v>9129000</v>
      </c>
    </row>
    <row r="68" spans="2:6" ht="11.5" customHeight="1" thickTop="1">
      <c r="B68" s="20" t="s">
        <v>47</v>
      </c>
      <c r="C68" s="21">
        <f t="shared" ref="C68:F68" si="20">+C42-C67</f>
        <v>0</v>
      </c>
      <c r="D68" s="21">
        <f t="shared" si="20"/>
        <v>0</v>
      </c>
      <c r="E68" s="21">
        <f t="shared" si="20"/>
        <v>0</v>
      </c>
      <c r="F68" s="21">
        <f t="shared" si="20"/>
        <v>0</v>
      </c>
    </row>
    <row r="69" spans="2:6" ht="17" customHeight="1">
      <c r="E69" s="12"/>
    </row>
    <row r="70" spans="2:6" ht="17" customHeight="1">
      <c r="B70" s="82" t="s">
        <v>405</v>
      </c>
      <c r="C70" s="250" t="s">
        <v>82</v>
      </c>
      <c r="D70" s="82"/>
      <c r="E70" s="83"/>
      <c r="F70" s="83"/>
    </row>
    <row r="71" spans="2:6" ht="19.75" customHeight="1">
      <c r="B71" s="77"/>
      <c r="C71" s="78" t="str">
        <f>+C5</f>
        <v>June 30</v>
      </c>
      <c r="D71" s="78" t="s">
        <v>164</v>
      </c>
      <c r="E71" s="81" t="str">
        <f t="shared" ref="E71:F71" si="21">+E5</f>
        <v>Dec 31</v>
      </c>
      <c r="F71" s="81" t="str">
        <f t="shared" si="21"/>
        <v>Dec 31</v>
      </c>
    </row>
    <row r="72" spans="2:6" ht="17" customHeight="1" thickBot="1">
      <c r="B72" s="79" t="s">
        <v>1</v>
      </c>
      <c r="C72" s="80">
        <f>+C6</f>
        <v>2023</v>
      </c>
      <c r="D72" s="80">
        <f t="shared" ref="D72:F72" si="22">+D21</f>
        <v>2022</v>
      </c>
      <c r="E72" s="80">
        <f t="shared" si="22"/>
        <v>2021</v>
      </c>
      <c r="F72" s="80">
        <f t="shared" si="22"/>
        <v>2020</v>
      </c>
    </row>
    <row r="73" spans="2:6" ht="13.75" customHeight="1">
      <c r="B73" s="97" t="s">
        <v>399</v>
      </c>
      <c r="C73" s="98">
        <f>+'Income Stat Yahoo Input'!B8/1000</f>
        <v>399000</v>
      </c>
      <c r="D73" s="98">
        <f>+'Income Stat Yahoo Input'!C8/1000</f>
        <v>426000</v>
      </c>
      <c r="E73" s="98">
        <f>+'Income Stat Yahoo Input'!D8/1000</f>
        <v>310000</v>
      </c>
      <c r="F73" s="98">
        <f>+'Income Stat Yahoo Input'!E8/1000</f>
        <v>310000</v>
      </c>
    </row>
    <row r="74" spans="2:6" ht="13.75" customHeight="1">
      <c r="B74" s="19"/>
      <c r="C74" s="24"/>
      <c r="D74" s="24"/>
      <c r="E74" s="24"/>
      <c r="F74" s="24"/>
    </row>
    <row r="75" spans="2:6" ht="11.5" customHeight="1">
      <c r="B75" s="99" t="s">
        <v>406</v>
      </c>
      <c r="C75" s="98">
        <f>+'Cash Flow Yahoo Input'!B21/1000</f>
        <v>40000</v>
      </c>
      <c r="D75" s="98">
        <f>+'Cash Flow Yahoo Input'!C21/1000</f>
        <v>167000</v>
      </c>
      <c r="E75" s="98">
        <f>+'Cash Flow Yahoo Input'!D21/1000</f>
        <v>388000</v>
      </c>
      <c r="F75" s="98">
        <f>+'Cash Flow Yahoo Input'!E21/1000</f>
        <v>-404000</v>
      </c>
    </row>
    <row r="76" spans="2:6" ht="11.5" customHeight="1">
      <c r="B76" s="18"/>
      <c r="C76" s="11"/>
      <c r="D76" s="11"/>
      <c r="E76" s="11"/>
      <c r="F76" s="11"/>
    </row>
    <row r="77" spans="2:6" ht="11.5" customHeight="1">
      <c r="B77" s="23" t="s">
        <v>48</v>
      </c>
      <c r="C77" s="11"/>
      <c r="D77" s="11"/>
      <c r="E77" s="11"/>
      <c r="F77" s="11"/>
    </row>
    <row r="78" spans="2:6" ht="11.5" customHeight="1">
      <c r="B78" s="100" t="s">
        <v>49</v>
      </c>
      <c r="C78" s="98">
        <f>+'Cash Flow Yahoo Input'!B35/1000</f>
        <v>-177000</v>
      </c>
      <c r="D78" s="98">
        <f>+'Cash Flow Yahoo Input'!C35/1000</f>
        <v>-201000</v>
      </c>
      <c r="E78" s="98">
        <f>+'Cash Flow Yahoo Input'!D35/1000</f>
        <v>-111000</v>
      </c>
      <c r="F78" s="98">
        <f>+'Cash Flow Yahoo Input'!E35/1000</f>
        <v>-122000</v>
      </c>
    </row>
    <row r="79" spans="2:6" ht="11.5" customHeight="1">
      <c r="B79" s="18"/>
      <c r="C79" s="11"/>
      <c r="D79" s="11"/>
      <c r="E79" s="11"/>
      <c r="F79" s="11"/>
    </row>
    <row r="80" spans="2:6" ht="11.5" customHeight="1">
      <c r="B80" s="23" t="s">
        <v>50</v>
      </c>
      <c r="C80" s="11"/>
      <c r="D80" s="11"/>
      <c r="E80" s="11"/>
      <c r="F80" s="11"/>
    </row>
    <row r="81" spans="2:6" ht="11.5" customHeight="1">
      <c r="B81" s="22" t="s">
        <v>51</v>
      </c>
      <c r="C81" s="11">
        <f t="shared" ref="C81:E81" si="23">+C49-D49</f>
        <v>-614000</v>
      </c>
      <c r="D81" s="11">
        <f t="shared" si="23"/>
        <v>650000</v>
      </c>
      <c r="E81" s="11">
        <f t="shared" si="23"/>
        <v>-250000</v>
      </c>
      <c r="F81" s="11"/>
    </row>
    <row r="82" spans="2:6" ht="11.5" customHeight="1">
      <c r="B82" s="22" t="s">
        <v>52</v>
      </c>
      <c r="C82" s="11">
        <f t="shared" ref="C82:E82" si="24">+C53-D53</f>
        <v>600000</v>
      </c>
      <c r="D82" s="11">
        <f t="shared" si="24"/>
        <v>-1515000</v>
      </c>
      <c r="E82" s="11">
        <f t="shared" si="24"/>
        <v>984000</v>
      </c>
      <c r="F82" s="11"/>
    </row>
    <row r="83" spans="2:6" ht="11.5" customHeight="1">
      <c r="B83" s="22" t="s">
        <v>53</v>
      </c>
      <c r="C83" s="11">
        <f t="shared" ref="C83:E83" si="25">+C55-D55</f>
        <v>347000</v>
      </c>
      <c r="D83" s="11">
        <f t="shared" si="25"/>
        <v>54000</v>
      </c>
      <c r="E83" s="11">
        <f t="shared" si="25"/>
        <v>845000</v>
      </c>
      <c r="F83" s="11"/>
    </row>
    <row r="84" spans="2:6" ht="11.5" customHeight="1">
      <c r="B84" s="22" t="s">
        <v>54</v>
      </c>
      <c r="C84" s="14">
        <v>0</v>
      </c>
      <c r="D84" s="14">
        <v>0</v>
      </c>
      <c r="E84" s="14">
        <v>1</v>
      </c>
      <c r="F84" s="14"/>
    </row>
    <row r="85" spans="2:6" ht="11.5" customHeight="1">
      <c r="B85" s="19" t="s">
        <v>55</v>
      </c>
      <c r="C85" s="24">
        <f>SUM(C81:C84)</f>
        <v>333000</v>
      </c>
      <c r="D85" s="24">
        <f>SUM(D81:D84)</f>
        <v>-811000</v>
      </c>
      <c r="E85" s="24">
        <f>SUM(E81:E84)</f>
        <v>1579001</v>
      </c>
      <c r="F85" s="24"/>
    </row>
    <row r="86" spans="2:6" ht="11.5" customHeight="1">
      <c r="B86" s="18"/>
      <c r="C86" s="11"/>
      <c r="D86" s="11"/>
      <c r="E86" s="11"/>
      <c r="F86" s="11"/>
    </row>
    <row r="87" spans="2:6" ht="11.5" customHeight="1">
      <c r="B87" s="22"/>
      <c r="C87" s="11"/>
      <c r="D87" s="11"/>
      <c r="E87" s="11"/>
      <c r="F87" s="11"/>
    </row>
    <row r="88" spans="2:6" ht="11.5" customHeight="1">
      <c r="B88" s="82" t="s">
        <v>56</v>
      </c>
      <c r="C88" s="82"/>
      <c r="D88" s="82"/>
      <c r="E88" s="83"/>
      <c r="F88" s="83"/>
    </row>
    <row r="89" spans="2:6" ht="19.75" customHeight="1">
      <c r="B89" s="4"/>
      <c r="C89" s="78" t="str">
        <f>+C71</f>
        <v>June 30</v>
      </c>
      <c r="D89" s="78" t="str">
        <f>+D71</f>
        <v>Dec 31</v>
      </c>
      <c r="E89" s="81" t="s">
        <v>164</v>
      </c>
      <c r="F89" s="81" t="s">
        <v>164</v>
      </c>
    </row>
    <row r="90" spans="2:6" ht="20" customHeight="1" thickBot="1">
      <c r="B90" s="26"/>
      <c r="C90" s="80">
        <f t="shared" ref="C90" si="26">+C72</f>
        <v>2023</v>
      </c>
      <c r="D90" s="80">
        <f t="shared" ref="D90:F90" si="27">+D72</f>
        <v>2022</v>
      </c>
      <c r="E90" s="80">
        <f t="shared" si="27"/>
        <v>2021</v>
      </c>
      <c r="F90" s="80">
        <f t="shared" si="27"/>
        <v>2020</v>
      </c>
    </row>
    <row r="91" spans="2:6" ht="11.5" customHeight="1">
      <c r="B91" s="27" t="s">
        <v>57</v>
      </c>
      <c r="C91" s="178">
        <f t="shared" ref="C91:F91" si="28">+C11+C73</f>
        <v>783000</v>
      </c>
      <c r="D91" s="178">
        <f t="shared" si="28"/>
        <v>824000</v>
      </c>
      <c r="E91" s="178">
        <f t="shared" si="28"/>
        <v>59000</v>
      </c>
      <c r="F91" s="178">
        <f t="shared" si="28"/>
        <v>-322000</v>
      </c>
    </row>
    <row r="92" spans="2:6" ht="11.5" customHeight="1">
      <c r="B92" s="18"/>
      <c r="C92" s="73"/>
      <c r="D92" s="73"/>
      <c r="E92" s="201" t="s">
        <v>400</v>
      </c>
      <c r="F92" s="1"/>
    </row>
    <row r="93" spans="2:6" ht="11.5" customHeight="1">
      <c r="B93" s="28" t="s">
        <v>58</v>
      </c>
      <c r="C93" s="28"/>
      <c r="D93" s="28"/>
      <c r="E93" s="26"/>
      <c r="F93" s="26"/>
    </row>
    <row r="94" spans="2:6" ht="11.5" customHeight="1">
      <c r="B94" s="22" t="s">
        <v>59</v>
      </c>
      <c r="C94" s="29">
        <f t="shared" ref="C94:E94" si="29">+C7/D7-1</f>
        <v>0.10575454082498736</v>
      </c>
      <c r="D94" s="29">
        <f t="shared" si="29"/>
        <v>0.94550858652575953</v>
      </c>
      <c r="E94" s="29">
        <f t="shared" si="29"/>
        <v>0.46563407550822844</v>
      </c>
      <c r="F94" s="29"/>
    </row>
    <row r="95" spans="2:6" ht="11.5" customHeight="1">
      <c r="B95" s="18"/>
      <c r="C95" s="11"/>
      <c r="D95" s="11"/>
      <c r="E95" s="11"/>
      <c r="F95" s="11"/>
    </row>
    <row r="96" spans="2:6" ht="11.5" customHeight="1">
      <c r="B96" s="23" t="s">
        <v>60</v>
      </c>
      <c r="C96" s="11"/>
      <c r="D96" s="11"/>
      <c r="E96" s="11"/>
      <c r="F96" s="11"/>
    </row>
    <row r="97" spans="2:6" ht="11.5" customHeight="1">
      <c r="B97" s="22" t="s">
        <v>61</v>
      </c>
      <c r="C97" s="30">
        <f t="shared" ref="C97:F97" si="30">+C31/C50</f>
        <v>0.33384204502098436</v>
      </c>
      <c r="D97" s="30">
        <f t="shared" si="30"/>
        <v>0.37846060237298451</v>
      </c>
      <c r="E97" s="30">
        <f t="shared" si="30"/>
        <v>0.60976702508960579</v>
      </c>
      <c r="F97" s="30">
        <f t="shared" si="30"/>
        <v>2.5416666666666665</v>
      </c>
    </row>
    <row r="98" spans="2:6" ht="11.5" customHeight="1">
      <c r="B98" s="22" t="s">
        <v>62</v>
      </c>
      <c r="C98" s="30">
        <f t="shared" ref="C98:F98" si="31">+(C26+C27)/C50</f>
        <v>0.33384204502098436</v>
      </c>
      <c r="D98" s="30">
        <f t="shared" si="31"/>
        <v>0.37846060237298451</v>
      </c>
      <c r="E98" s="30">
        <f t="shared" si="31"/>
        <v>0.60976702508960579</v>
      </c>
      <c r="F98" s="30">
        <f t="shared" si="31"/>
        <v>2.5416666666666665</v>
      </c>
    </row>
    <row r="99" spans="2:6" ht="11.5" customHeight="1">
      <c r="B99" s="22" t="s">
        <v>63</v>
      </c>
      <c r="C99" s="30">
        <f t="shared" ref="C99:E99" si="32">+C7/((C27+D27)/2)</f>
        <v>-110.40677966101696</v>
      </c>
      <c r="D99" s="30">
        <f t="shared" si="32"/>
        <v>-101.56896551724138</v>
      </c>
      <c r="E99" s="30">
        <f t="shared" si="32"/>
        <v>-55.559633027522935</v>
      </c>
      <c r="F99" s="30"/>
    </row>
    <row r="100" spans="2:6" ht="11.5" customHeight="1">
      <c r="B100" s="22" t="s">
        <v>64</v>
      </c>
      <c r="C100" s="31">
        <f>365/C99</f>
        <v>-3.305956401596561</v>
      </c>
      <c r="D100" s="31">
        <f>365/D99</f>
        <v>-3.5936173824478015</v>
      </c>
      <c r="E100" s="31">
        <f t="shared" ref="E100:F100" si="33">365/E99</f>
        <v>-6.5695178335535012</v>
      </c>
      <c r="F100" s="31"/>
    </row>
    <row r="101" spans="2:6" ht="11.5" customHeight="1">
      <c r="B101" s="18"/>
      <c r="C101" s="11"/>
      <c r="D101" s="11"/>
      <c r="E101" s="11"/>
      <c r="F101" s="11"/>
    </row>
    <row r="102" spans="2:6" ht="11.5" customHeight="1">
      <c r="B102" s="23" t="s">
        <v>65</v>
      </c>
      <c r="C102" s="11"/>
      <c r="D102" s="11"/>
      <c r="E102" s="11"/>
      <c r="F102" s="11"/>
    </row>
    <row r="103" spans="2:6" ht="11.5" customHeight="1">
      <c r="B103" s="22" t="s">
        <v>66</v>
      </c>
      <c r="C103" s="29">
        <f t="shared" ref="C103:F103" si="34">+(C49+C53)/(C49+C53+C65)</f>
        <v>0.45701224008258368</v>
      </c>
      <c r="D103" s="29">
        <f t="shared" si="34"/>
        <v>0.45698766881972991</v>
      </c>
      <c r="E103" s="29">
        <f t="shared" si="34"/>
        <v>0.5275162445299032</v>
      </c>
      <c r="F103" s="29">
        <f t="shared" si="34"/>
        <v>0.50255615801704101</v>
      </c>
    </row>
    <row r="104" spans="2:6" ht="11.5" customHeight="1">
      <c r="B104" s="22" t="s">
        <v>67</v>
      </c>
      <c r="C104" s="30">
        <f t="shared" ref="C104:F104" si="35">+C91/C12</f>
        <v>5.757352941176471</v>
      </c>
      <c r="D104" s="30">
        <f t="shared" si="35"/>
        <v>5.4933333333333332</v>
      </c>
      <c r="E104" s="30">
        <f t="shared" si="35"/>
        <v>0.3619631901840491</v>
      </c>
      <c r="F104" s="30">
        <f t="shared" si="35"/>
        <v>-2.515625</v>
      </c>
    </row>
    <row r="105" spans="2:6" ht="11.5" customHeight="1">
      <c r="B105" s="22" t="s">
        <v>68</v>
      </c>
      <c r="C105" s="30">
        <f>+(C53+C49)/C91</f>
        <v>3.9578544061302683</v>
      </c>
      <c r="D105" s="30">
        <f t="shared" ref="D105:F105" si="36">+(D53+D49)/D91</f>
        <v>3.7779126213592233</v>
      </c>
      <c r="E105" s="30">
        <f t="shared" si="36"/>
        <v>67.423728813559322</v>
      </c>
      <c r="F105" s="30">
        <f t="shared" si="36"/>
        <v>-10.074534161490684</v>
      </c>
    </row>
    <row r="106" spans="2:6" ht="11.5" customHeight="1">
      <c r="B106" s="18"/>
      <c r="C106" s="11"/>
      <c r="D106" s="11"/>
      <c r="E106" s="11"/>
      <c r="F106" s="11"/>
    </row>
    <row r="107" spans="2:6" ht="11.5" customHeight="1">
      <c r="B107" s="23" t="s">
        <v>69</v>
      </c>
      <c r="C107" s="11"/>
      <c r="D107" s="11"/>
      <c r="E107" s="11"/>
      <c r="F107" s="11"/>
    </row>
    <row r="108" spans="2:6" ht="11.5" customHeight="1">
      <c r="B108" s="22" t="s">
        <v>4</v>
      </c>
      <c r="C108" s="29">
        <f t="shared" ref="C108:F108" si="37">+C9/C7</f>
        <v>0.21000921093030397</v>
      </c>
      <c r="D108" s="29">
        <f t="shared" si="37"/>
        <v>0.21863860125615345</v>
      </c>
      <c r="E108" s="29">
        <f t="shared" si="37"/>
        <v>0.14035667107001321</v>
      </c>
      <c r="F108" s="29">
        <f t="shared" si="37"/>
        <v>-4.8402710551790902E-4</v>
      </c>
    </row>
    <row r="109" spans="2:6" ht="11.5" customHeight="1">
      <c r="B109" s="22" t="s">
        <v>70</v>
      </c>
      <c r="C109" s="29">
        <f t="shared" ref="C109:F109" si="38">+C91/C7</f>
        <v>0.12020264046668713</v>
      </c>
      <c r="D109" s="29">
        <f t="shared" si="38"/>
        <v>0.13987438465455779</v>
      </c>
      <c r="E109" s="29">
        <f t="shared" si="38"/>
        <v>1.9484808454425365E-2</v>
      </c>
      <c r="F109" s="29">
        <f t="shared" si="38"/>
        <v>-0.1558567279767667</v>
      </c>
    </row>
    <row r="110" spans="2:6" ht="11.5" customHeight="1">
      <c r="B110" s="22" t="s">
        <v>71</v>
      </c>
      <c r="C110" s="29">
        <f t="shared" ref="C110:E110" si="39">+C17/((C42+D42)/2)</f>
        <v>3.5982490663025585E-2</v>
      </c>
      <c r="D110" s="29">
        <f t="shared" si="39"/>
        <v>3.652418221954646E-2</v>
      </c>
      <c r="E110" s="29">
        <f t="shared" si="39"/>
        <v>-2.0430701270016567E-2</v>
      </c>
      <c r="F110" s="29"/>
    </row>
    <row r="111" spans="2:6" ht="11.5" customHeight="1">
      <c r="B111" s="22" t="s">
        <v>72</v>
      </c>
      <c r="C111" s="29">
        <f t="shared" ref="C111:E111" si="40">+C17/((C65+D65)/2)</f>
        <v>0.12139276520796639</v>
      </c>
      <c r="D111" s="29">
        <f t="shared" si="40"/>
        <v>0.12530983200220325</v>
      </c>
      <c r="E111" s="29">
        <f t="shared" si="40"/>
        <v>-6.5544729849424263E-2</v>
      </c>
      <c r="F111" s="29"/>
    </row>
    <row r="112" spans="2:6" ht="11.5" customHeight="1">
      <c r="B112" s="25"/>
      <c r="C112" s="25"/>
      <c r="D112" s="25"/>
      <c r="E112" s="11"/>
      <c r="F112" s="11"/>
    </row>
    <row r="113" spans="2:6" ht="11.5" customHeight="1">
      <c r="B113" s="25"/>
      <c r="C113" s="25"/>
      <c r="D113" s="25"/>
      <c r="E113" s="11"/>
      <c r="F113" s="11"/>
    </row>
    <row r="114" spans="2:6" ht="11.5" customHeight="1">
      <c r="B114" s="25"/>
      <c r="C114" s="25"/>
      <c r="D114" s="25"/>
      <c r="E114" s="11"/>
      <c r="F114" s="11"/>
    </row>
    <row r="115" spans="2:6" ht="11.5" customHeight="1">
      <c r="B115" s="25"/>
      <c r="C115" s="25"/>
      <c r="D115" s="25"/>
      <c r="E115" s="11"/>
      <c r="F115" s="11"/>
    </row>
    <row r="116" spans="2:6" ht="11.5" customHeight="1">
      <c r="B116" s="25"/>
      <c r="C116" s="25"/>
      <c r="D116" s="25"/>
      <c r="E116" s="11"/>
      <c r="F116" s="11"/>
    </row>
    <row r="117" spans="2:6" ht="11.5" customHeight="1">
      <c r="B117" s="25"/>
      <c r="C117" s="25"/>
      <c r="D117" s="25"/>
      <c r="E117" s="11"/>
      <c r="F117" s="11"/>
    </row>
    <row r="118" spans="2:6" ht="11.5" customHeight="1">
      <c r="B118" s="25"/>
      <c r="C118" s="25"/>
      <c r="D118" s="25"/>
      <c r="E118" s="11"/>
      <c r="F118" s="11"/>
    </row>
    <row r="119" spans="2:6" ht="11.5" customHeight="1">
      <c r="B119" s="25"/>
      <c r="C119" s="25"/>
      <c r="D119" s="25"/>
      <c r="E119" s="11"/>
      <c r="F119" s="11"/>
    </row>
    <row r="120" spans="2:6" ht="11.5" customHeight="1">
      <c r="B120" s="25"/>
      <c r="C120" s="25"/>
      <c r="D120" s="25"/>
      <c r="E120" s="11"/>
      <c r="F120" s="11"/>
    </row>
    <row r="121" spans="2:6" ht="11.5" customHeight="1">
      <c r="B121" s="25"/>
      <c r="C121" s="25"/>
      <c r="D121" s="25"/>
      <c r="E121" s="11"/>
      <c r="F121" s="11"/>
    </row>
    <row r="122" spans="2:6" ht="11.5" customHeight="1">
      <c r="B122" s="25"/>
      <c r="C122" s="25"/>
      <c r="D122" s="25"/>
      <c r="E122" s="11"/>
      <c r="F122" s="11"/>
    </row>
    <row r="123" spans="2:6" ht="11.5" customHeight="1">
      <c r="B123" s="25"/>
      <c r="C123" s="25"/>
      <c r="D123" s="25"/>
      <c r="E123" s="11"/>
      <c r="F123" s="11"/>
    </row>
    <row r="124" spans="2:6" ht="11.5" customHeight="1">
      <c r="B124" s="25"/>
      <c r="C124" s="25"/>
      <c r="D124" s="25"/>
      <c r="E124" s="11"/>
      <c r="F124" s="11"/>
    </row>
    <row r="125" spans="2:6" ht="11.5" customHeight="1">
      <c r="B125" s="25"/>
      <c r="C125" s="25"/>
      <c r="D125" s="25"/>
      <c r="E125" s="11"/>
      <c r="F125" s="11"/>
    </row>
    <row r="126" spans="2:6" ht="11.5" customHeight="1">
      <c r="B126" s="25"/>
      <c r="C126" s="25"/>
      <c r="D126" s="25"/>
      <c r="E126" s="11"/>
      <c r="F126" s="11"/>
    </row>
    <row r="127" spans="2:6" ht="11.5" customHeight="1">
      <c r="B127" s="25"/>
      <c r="C127" s="25"/>
      <c r="D127" s="25"/>
      <c r="E127" s="11"/>
      <c r="F127" s="11"/>
    </row>
    <row r="128" spans="2:6" ht="11.5" customHeight="1">
      <c r="B128" s="25"/>
      <c r="C128" s="25"/>
      <c r="D128" s="25"/>
      <c r="E128" s="11"/>
      <c r="F128" s="11"/>
    </row>
    <row r="129" spans="2:6" ht="11.5" customHeight="1">
      <c r="B129" s="25"/>
      <c r="C129" s="25"/>
      <c r="D129" s="25"/>
      <c r="E129" s="11"/>
      <c r="F129" s="11"/>
    </row>
    <row r="130" spans="2:6" ht="11.5" customHeight="1">
      <c r="B130" s="25"/>
      <c r="C130" s="25"/>
      <c r="D130" s="25"/>
      <c r="E130" s="11"/>
      <c r="F130" s="11"/>
    </row>
    <row r="131" spans="2:6" ht="11.5" customHeight="1">
      <c r="B131" s="25"/>
      <c r="C131" s="25"/>
      <c r="D131" s="25"/>
      <c r="E131" s="11"/>
      <c r="F131" s="11"/>
    </row>
    <row r="132" spans="2:6" ht="11.5" customHeight="1">
      <c r="B132" s="25"/>
      <c r="C132" s="25"/>
      <c r="D132" s="25"/>
      <c r="E132" s="11"/>
      <c r="F132" s="11"/>
    </row>
    <row r="133" spans="2:6" ht="11.5" customHeight="1">
      <c r="B133" s="25"/>
      <c r="C133" s="25"/>
      <c r="D133" s="25"/>
      <c r="E133" s="11"/>
      <c r="F133" s="11"/>
    </row>
    <row r="134" spans="2:6" ht="11.5" customHeight="1">
      <c r="B134" s="25"/>
      <c r="C134" s="25"/>
      <c r="D134" s="25"/>
      <c r="E134" s="11"/>
      <c r="F134" s="11"/>
    </row>
    <row r="135" spans="2:6" ht="11.5" customHeight="1">
      <c r="B135" s="25"/>
      <c r="C135" s="25"/>
      <c r="D135" s="25"/>
      <c r="E135" s="11"/>
      <c r="F135" s="11"/>
    </row>
    <row r="136" spans="2:6" ht="11.5" customHeight="1">
      <c r="B136" s="25"/>
      <c r="C136" s="25"/>
      <c r="D136" s="25"/>
      <c r="E136" s="11"/>
      <c r="F136" s="11"/>
    </row>
    <row r="137" spans="2:6" ht="11.5" customHeight="1">
      <c r="B137" s="25"/>
      <c r="C137" s="25"/>
      <c r="D137" s="25"/>
      <c r="E137" s="11"/>
      <c r="F137" s="11"/>
    </row>
    <row r="138" spans="2:6" ht="11.5" customHeight="1">
      <c r="B138" s="25"/>
      <c r="C138" s="25"/>
      <c r="D138" s="25"/>
      <c r="E138" s="11"/>
      <c r="F138" s="11"/>
    </row>
    <row r="139" spans="2:6" ht="11.5" customHeight="1">
      <c r="B139" s="25"/>
      <c r="C139" s="25"/>
      <c r="D139" s="25"/>
      <c r="E139" s="11"/>
      <c r="F139" s="11"/>
    </row>
    <row r="140" spans="2:6" ht="11.5" customHeight="1">
      <c r="B140" s="25"/>
      <c r="C140" s="25"/>
      <c r="D140" s="25"/>
      <c r="E140" s="11"/>
      <c r="F140" s="11"/>
    </row>
    <row r="141" spans="2:6" ht="11.5" customHeight="1">
      <c r="B141" s="25"/>
      <c r="C141" s="25"/>
      <c r="D141" s="25"/>
      <c r="E141" s="11"/>
      <c r="F141" s="11"/>
    </row>
    <row r="142" spans="2:6" ht="11.5" customHeight="1">
      <c r="B142" s="25"/>
      <c r="C142" s="25"/>
      <c r="D142" s="25"/>
      <c r="E142" s="11"/>
      <c r="F142" s="11"/>
    </row>
    <row r="143" spans="2:6" ht="11.5" customHeight="1">
      <c r="B143" s="25"/>
      <c r="C143" s="25"/>
      <c r="D143" s="25"/>
      <c r="E143" s="11"/>
      <c r="F143" s="11"/>
    </row>
    <row r="144" spans="2:6" ht="11.5" customHeight="1">
      <c r="B144" s="25"/>
      <c r="C144" s="25"/>
      <c r="D144" s="25"/>
      <c r="E144" s="11"/>
      <c r="F144" s="11"/>
    </row>
    <row r="145" spans="2:6" ht="11.5" customHeight="1">
      <c r="B145" s="25"/>
      <c r="C145" s="25"/>
      <c r="D145" s="25"/>
      <c r="E145" s="11"/>
      <c r="F145" s="11"/>
    </row>
    <row r="146" spans="2:6" ht="11.5" customHeight="1">
      <c r="B146" s="25"/>
      <c r="C146" s="25"/>
      <c r="D146" s="25"/>
      <c r="E146" s="11"/>
      <c r="F146" s="11"/>
    </row>
    <row r="147" spans="2:6" ht="11.5" customHeight="1">
      <c r="B147" s="25"/>
      <c r="C147" s="25"/>
      <c r="D147" s="25"/>
      <c r="E147" s="11"/>
      <c r="F147" s="11"/>
    </row>
    <row r="148" spans="2:6" ht="11.5" customHeight="1">
      <c r="B148" s="25"/>
      <c r="C148" s="25"/>
      <c r="D148" s="25"/>
      <c r="E148" s="11"/>
      <c r="F148" s="11"/>
    </row>
    <row r="149" spans="2:6" ht="11.5" customHeight="1">
      <c r="B149" s="25"/>
      <c r="C149" s="25"/>
      <c r="D149" s="25"/>
      <c r="E149" s="11"/>
      <c r="F149" s="11"/>
    </row>
    <row r="150" spans="2:6" ht="11.5" customHeight="1">
      <c r="B150" s="25"/>
      <c r="C150" s="25"/>
      <c r="D150" s="25"/>
      <c r="E150" s="11"/>
      <c r="F150" s="11"/>
    </row>
    <row r="151" spans="2:6" ht="11.5" customHeight="1">
      <c r="B151" s="25"/>
      <c r="C151" s="25"/>
      <c r="D151" s="25"/>
      <c r="E151" s="11"/>
      <c r="F151" s="11"/>
    </row>
    <row r="152" spans="2:6" ht="11.5" customHeight="1">
      <c r="B152" s="25"/>
      <c r="C152" s="25"/>
      <c r="D152" s="25"/>
      <c r="E152" s="11"/>
      <c r="F152" s="11"/>
    </row>
    <row r="153" spans="2:6" ht="11.5" customHeight="1">
      <c r="B153" s="25"/>
      <c r="C153" s="25"/>
      <c r="D153" s="25"/>
      <c r="E153" s="11"/>
      <c r="F153" s="11"/>
    </row>
    <row r="154" spans="2:6" ht="11.5" customHeight="1">
      <c r="B154" s="25"/>
      <c r="C154" s="25"/>
      <c r="D154" s="25"/>
      <c r="E154" s="11"/>
      <c r="F154" s="11"/>
    </row>
    <row r="155" spans="2:6" ht="11.5" customHeight="1">
      <c r="B155" s="25"/>
      <c r="C155" s="25"/>
      <c r="D155" s="25"/>
      <c r="E155" s="11"/>
      <c r="F155" s="11"/>
    </row>
    <row r="156" spans="2:6" ht="11.5" customHeight="1">
      <c r="B156" s="25"/>
      <c r="C156" s="25"/>
      <c r="D156" s="25"/>
      <c r="E156" s="11"/>
      <c r="F156" s="11"/>
    </row>
    <row r="157" spans="2:6" ht="11.5" customHeight="1">
      <c r="B157" s="25"/>
      <c r="C157" s="25"/>
      <c r="D157" s="25"/>
      <c r="E157" s="11"/>
      <c r="F157" s="11"/>
    </row>
    <row r="158" spans="2:6" ht="11.5" customHeight="1">
      <c r="B158" s="25"/>
      <c r="C158" s="25"/>
      <c r="D158" s="25"/>
      <c r="E158" s="11"/>
      <c r="F158" s="11"/>
    </row>
    <row r="159" spans="2:6" ht="11.5" customHeight="1">
      <c r="B159" s="25"/>
      <c r="C159" s="25"/>
      <c r="D159" s="25"/>
      <c r="E159" s="11"/>
      <c r="F159" s="11"/>
    </row>
    <row r="160" spans="2:6" ht="11.5" customHeight="1">
      <c r="B160" s="25"/>
      <c r="C160" s="25"/>
      <c r="D160" s="25"/>
      <c r="E160" s="11"/>
      <c r="F160" s="11"/>
    </row>
    <row r="161" spans="2:6" ht="11.5" customHeight="1">
      <c r="B161" s="25"/>
      <c r="C161" s="25"/>
      <c r="D161" s="25"/>
      <c r="E161" s="11"/>
      <c r="F161" s="11"/>
    </row>
    <row r="162" spans="2:6" ht="11.5" customHeight="1">
      <c r="B162" s="25"/>
      <c r="C162" s="25"/>
      <c r="D162" s="25"/>
      <c r="E162" s="11"/>
      <c r="F162" s="11"/>
    </row>
    <row r="163" spans="2:6" ht="11.5" customHeight="1">
      <c r="B163" s="25"/>
      <c r="C163" s="25"/>
      <c r="D163" s="25"/>
      <c r="E163" s="11"/>
      <c r="F163" s="11"/>
    </row>
    <row r="164" spans="2:6" ht="11.5" customHeight="1">
      <c r="B164" s="25"/>
      <c r="C164" s="25"/>
      <c r="D164" s="25"/>
      <c r="E164" s="11"/>
      <c r="F164" s="11"/>
    </row>
    <row r="165" spans="2:6" ht="11.5" customHeight="1">
      <c r="B165" s="25"/>
      <c r="C165" s="25"/>
      <c r="D165" s="25"/>
      <c r="E165" s="11"/>
      <c r="F165" s="11"/>
    </row>
    <row r="166" spans="2:6" ht="11.5" customHeight="1">
      <c r="B166" s="25"/>
      <c r="C166" s="25"/>
      <c r="D166" s="25"/>
      <c r="E166" s="11"/>
      <c r="F166" s="11"/>
    </row>
    <row r="167" spans="2:6" ht="11.5" customHeight="1">
      <c r="B167" s="25"/>
      <c r="C167" s="25"/>
      <c r="D167" s="25"/>
      <c r="E167" s="11"/>
      <c r="F167" s="11"/>
    </row>
    <row r="168" spans="2:6" ht="11.5" customHeight="1">
      <c r="B168" s="25"/>
      <c r="C168" s="25"/>
      <c r="D168" s="25"/>
      <c r="E168" s="11"/>
      <c r="F168" s="11"/>
    </row>
    <row r="169" spans="2:6" ht="11.5" customHeight="1">
      <c r="B169" s="25"/>
      <c r="C169" s="25"/>
      <c r="D169" s="25"/>
      <c r="E169" s="11"/>
      <c r="F169" s="11"/>
    </row>
    <row r="170" spans="2:6" ht="11.5" customHeight="1">
      <c r="B170" s="25"/>
      <c r="C170" s="25"/>
      <c r="D170" s="25"/>
      <c r="E170" s="11"/>
      <c r="F170" s="11"/>
    </row>
    <row r="171" spans="2:6" ht="11.5" customHeight="1">
      <c r="B171" s="25"/>
      <c r="C171" s="25"/>
      <c r="D171" s="25"/>
      <c r="E171" s="11"/>
      <c r="F171" s="11"/>
    </row>
    <row r="172" spans="2:6" ht="11.5" customHeight="1">
      <c r="B172" s="25"/>
      <c r="C172" s="25"/>
      <c r="D172" s="25"/>
      <c r="E172" s="11"/>
      <c r="F172" s="11"/>
    </row>
    <row r="173" spans="2:6" ht="17" customHeight="1">
      <c r="B173" s="25"/>
      <c r="C173" s="25"/>
      <c r="D173" s="25"/>
      <c r="E173" s="11"/>
      <c r="F173" s="11"/>
    </row>
    <row r="174" spans="2:6" ht="17" customHeight="1">
      <c r="B174" s="25"/>
      <c r="C174" s="25"/>
      <c r="D174" s="25"/>
      <c r="E174" s="11"/>
      <c r="F174" s="11"/>
    </row>
  </sheetData>
  <phoneticPr fontId="2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F418-C846-4939-AD08-2FE86EDE6457}">
  <sheetPr>
    <tabColor rgb="FF0066FF"/>
  </sheetPr>
  <dimension ref="A1:AB64"/>
  <sheetViews>
    <sheetView workbookViewId="0">
      <selection activeCell="N27" sqref="N27"/>
    </sheetView>
  </sheetViews>
  <sheetFormatPr defaultRowHeight="14.5"/>
  <cols>
    <col min="1" max="1" width="34.81640625" customWidth="1"/>
    <col min="2" max="2" width="13.36328125" customWidth="1"/>
    <col min="3" max="3" width="11.26953125" customWidth="1"/>
    <col min="4" max="4" width="11.7265625" customWidth="1"/>
    <col min="5" max="5" width="13.1796875" customWidth="1"/>
    <col min="6" max="6" width="12.36328125" customWidth="1"/>
    <col min="7" max="7" width="12.6328125" customWidth="1"/>
    <col min="8" max="8" width="12.26953125" customWidth="1"/>
    <col min="9" max="9" width="12.6328125" customWidth="1"/>
    <col min="10" max="10" width="12.7265625" customWidth="1"/>
    <col min="11" max="11" width="12.54296875" bestFit="1" customWidth="1"/>
    <col min="12" max="12" width="2.7265625" customWidth="1"/>
    <col min="13" max="13" width="12.26953125" style="35" customWidth="1"/>
    <col min="14" max="14" width="10.90625" customWidth="1"/>
    <col min="15" max="19" width="12.26953125" customWidth="1"/>
    <col min="20" max="21" width="10.36328125" customWidth="1"/>
    <col min="22" max="22" width="12.36328125" customWidth="1"/>
    <col min="23" max="27" width="10.90625" customWidth="1"/>
    <col min="28" max="28" width="12.36328125" bestFit="1" customWidth="1"/>
  </cols>
  <sheetData>
    <row r="1" spans="1:27" ht="28.75" customHeight="1" thickBot="1">
      <c r="A1" s="202" t="s">
        <v>74</v>
      </c>
      <c r="B1" s="72" t="s">
        <v>75</v>
      </c>
      <c r="C1" s="203" t="s">
        <v>76</v>
      </c>
      <c r="D1" s="70"/>
      <c r="E1" s="70"/>
      <c r="F1" s="71"/>
      <c r="G1" s="32" t="s">
        <v>77</v>
      </c>
      <c r="H1" s="204">
        <v>45229</v>
      </c>
      <c r="U1" s="33" t="s">
        <v>78</v>
      </c>
      <c r="V1" s="33"/>
      <c r="W1" s="34"/>
      <c r="X1" s="34"/>
      <c r="Y1" s="34"/>
      <c r="Z1" s="34"/>
      <c r="AA1" s="34"/>
    </row>
    <row r="2" spans="1:27" ht="18" customHeight="1" thickBot="1">
      <c r="A2" s="75" t="s">
        <v>175</v>
      </c>
      <c r="B2" s="36"/>
      <c r="G2" s="37" t="s">
        <v>168</v>
      </c>
      <c r="H2" s="204">
        <v>45107</v>
      </c>
      <c r="U2" s="38" t="s">
        <v>79</v>
      </c>
    </row>
    <row r="3" spans="1:27" ht="10.5" customHeight="1" thickBot="1"/>
    <row r="4" spans="1:27" ht="16" thickBot="1">
      <c r="A4" s="85" t="s">
        <v>80</v>
      </c>
      <c r="B4" s="86"/>
      <c r="C4" s="86"/>
      <c r="D4" s="86"/>
      <c r="E4" s="86"/>
      <c r="F4" s="86"/>
      <c r="G4" s="86"/>
      <c r="H4" s="87"/>
      <c r="I4" s="86"/>
      <c r="J4" s="86"/>
      <c r="U4" s="39" t="s">
        <v>81</v>
      </c>
      <c r="V4" s="39"/>
      <c r="W4" s="40" t="s">
        <v>82</v>
      </c>
      <c r="X4" s="41"/>
      <c r="Y4" s="41"/>
      <c r="Z4" s="41"/>
      <c r="AA4" s="41"/>
    </row>
    <row r="5" spans="1:27" s="176" customFormat="1" ht="44.5" customHeight="1" thickBot="1">
      <c r="A5" s="172"/>
      <c r="B5" s="173"/>
      <c r="C5" s="174" t="s">
        <v>83</v>
      </c>
      <c r="D5" s="174" t="s">
        <v>84</v>
      </c>
      <c r="E5" s="174" t="s">
        <v>85</v>
      </c>
      <c r="F5" s="174" t="s">
        <v>86</v>
      </c>
      <c r="G5" s="174" t="s">
        <v>87</v>
      </c>
      <c r="H5" s="175" t="s">
        <v>88</v>
      </c>
      <c r="I5" s="174" t="s">
        <v>423</v>
      </c>
      <c r="J5" s="155" t="s">
        <v>424</v>
      </c>
      <c r="M5" s="74"/>
      <c r="U5" s="42" t="s">
        <v>89</v>
      </c>
      <c r="V5" s="42"/>
      <c r="W5" s="43">
        <v>44012</v>
      </c>
      <c r="X5" s="44">
        <v>43830</v>
      </c>
      <c r="Y5" s="44">
        <v>43465</v>
      </c>
      <c r="Z5" s="44">
        <v>43100</v>
      </c>
      <c r="AA5" s="44">
        <v>42735</v>
      </c>
    </row>
    <row r="6" spans="1:27">
      <c r="A6" s="156" t="s">
        <v>90</v>
      </c>
      <c r="B6" s="157"/>
      <c r="C6" s="157">
        <f>+F6+D6-E6</f>
        <v>12674000</v>
      </c>
      <c r="D6" s="157">
        <f>+'Historical Analysis'!C49+'Historical Analysis'!C53</f>
        <v>3099000</v>
      </c>
      <c r="E6" s="157">
        <f>'Historical Analysis'!C24</f>
        <v>906000</v>
      </c>
      <c r="F6" s="157">
        <f>+H6*G6</f>
        <v>10481000</v>
      </c>
      <c r="G6" s="184">
        <f>10481000/H6</f>
        <v>103291.61328471469</v>
      </c>
      <c r="H6" s="185">
        <v>101.47</v>
      </c>
      <c r="I6" s="158"/>
      <c r="J6" s="158"/>
      <c r="K6" s="176"/>
      <c r="U6" s="45" t="s">
        <v>91</v>
      </c>
      <c r="W6" s="66">
        <f>+'Historical Analysis'!D7</f>
        <v>5891000</v>
      </c>
      <c r="X6" s="60">
        <f>+'Historical Analysis'!E7</f>
        <v>3028000</v>
      </c>
      <c r="Y6" s="60">
        <f>+'Historical Analysis'!F7</f>
        <v>2066000</v>
      </c>
      <c r="Z6" s="60" t="e">
        <f>+'Historical Analysis'!#REF!</f>
        <v>#REF!</v>
      </c>
      <c r="AA6" s="60" t="e">
        <f>+'Historical Analysis'!#REF!</f>
        <v>#REF!</v>
      </c>
    </row>
    <row r="7" spans="1:27">
      <c r="A7" s="159"/>
      <c r="B7" s="160"/>
      <c r="C7" s="160"/>
      <c r="D7" s="160"/>
      <c r="E7" s="160"/>
      <c r="F7" s="160"/>
      <c r="G7" s="160"/>
      <c r="H7" s="161"/>
      <c r="I7" s="162"/>
      <c r="J7" s="162"/>
      <c r="K7" s="176"/>
      <c r="U7" t="s">
        <v>3</v>
      </c>
      <c r="W7" s="66">
        <f>+'Historical Analysis'!D8</f>
        <v>4603000</v>
      </c>
      <c r="X7" s="60">
        <f>+'Historical Analysis'!E8</f>
        <v>2603000</v>
      </c>
      <c r="Y7" s="60">
        <f>+'Historical Analysis'!F8</f>
        <v>2067000</v>
      </c>
      <c r="Z7" s="60" t="e">
        <f>+'Historical Analysis'!#REF!</f>
        <v>#REF!</v>
      </c>
      <c r="AA7" s="60" t="e">
        <f>+'Historical Analysis'!#REF!</f>
        <v>#REF!</v>
      </c>
    </row>
    <row r="8" spans="1:27" ht="15" thickBot="1">
      <c r="A8" s="159" t="s">
        <v>92</v>
      </c>
      <c r="B8" s="160"/>
      <c r="C8" s="160">
        <f>+D8+F8-E8</f>
        <v>13687443.985576192</v>
      </c>
      <c r="D8" s="160">
        <f>+D6</f>
        <v>3099000</v>
      </c>
      <c r="E8" s="160">
        <f>+E6</f>
        <v>906000</v>
      </c>
      <c r="F8" s="160">
        <f>+G8*H8</f>
        <v>11494443.985576192</v>
      </c>
      <c r="G8" s="160">
        <f>+G6</f>
        <v>103291.61328471469</v>
      </c>
      <c r="H8" s="161">
        <f>+E36</f>
        <v>111.2814837531167</v>
      </c>
      <c r="I8" s="162" t="s">
        <v>169</v>
      </c>
      <c r="J8" s="170">
        <f t="shared" ref="J8:J11" si="0">+H8/$H$6-1</f>
        <v>9.6693443905752519E-2</v>
      </c>
      <c r="K8" s="176"/>
      <c r="U8" s="45" t="s">
        <v>93</v>
      </c>
      <c r="W8" s="67">
        <f>+W6-W7</f>
        <v>1288000</v>
      </c>
      <c r="X8" s="47">
        <f>+X6-X7</f>
        <v>425000</v>
      </c>
      <c r="Y8" s="47">
        <f>+Y6-Y7</f>
        <v>-1000</v>
      </c>
      <c r="Z8" s="47" t="e">
        <f>+Z6-Z7</f>
        <v>#REF!</v>
      </c>
      <c r="AA8" s="47" t="e">
        <f>+AA6-AA7</f>
        <v>#REF!</v>
      </c>
    </row>
    <row r="9" spans="1:27" ht="15" thickTop="1">
      <c r="A9" s="159" t="s">
        <v>94</v>
      </c>
      <c r="B9" s="160"/>
      <c r="C9" s="160">
        <f>+D9+F9-E9</f>
        <v>9811582.911825832</v>
      </c>
      <c r="D9" s="160">
        <f>+D8</f>
        <v>3099000</v>
      </c>
      <c r="E9" s="160">
        <f>+E8</f>
        <v>906000</v>
      </c>
      <c r="F9" s="160">
        <f>+G9*H9</f>
        <v>7618582.911825831</v>
      </c>
      <c r="G9" s="160">
        <f>+G8</f>
        <v>103291.61328471469</v>
      </c>
      <c r="H9" s="161">
        <f>+B44</f>
        <v>73.758000960115169</v>
      </c>
      <c r="I9" s="162" t="s">
        <v>169</v>
      </c>
      <c r="J9" s="170">
        <f t="shared" si="0"/>
        <v>-0.27310534187331059</v>
      </c>
      <c r="U9" s="45" t="s">
        <v>95</v>
      </c>
      <c r="W9" s="68">
        <f>+'Historical Analysis'!D10</f>
        <v>890000</v>
      </c>
      <c r="X9" s="61">
        <f>+'Historical Analysis'!E10</f>
        <v>676000</v>
      </c>
      <c r="Y9" s="61">
        <f>+'Historical Analysis'!F10</f>
        <v>631000</v>
      </c>
      <c r="Z9" s="61" t="e">
        <f>+'Historical Analysis'!#REF!</f>
        <v>#REF!</v>
      </c>
      <c r="AA9" s="61" t="e">
        <f>+'Historical Analysis'!#REF!</f>
        <v>#REF!</v>
      </c>
    </row>
    <row r="10" spans="1:27">
      <c r="A10" s="163" t="s">
        <v>96</v>
      </c>
      <c r="B10" s="160"/>
      <c r="C10" s="164">
        <f>+B63</f>
        <v>10868490.424907181</v>
      </c>
      <c r="D10" s="160">
        <f>+D8</f>
        <v>3099000</v>
      </c>
      <c r="E10" s="160">
        <f>+E8</f>
        <v>906000</v>
      </c>
      <c r="F10" s="160">
        <f>+C10-D10+E10</f>
        <v>8675490.4249071814</v>
      </c>
      <c r="G10" s="160">
        <f>+G8</f>
        <v>103291.61328471469</v>
      </c>
      <c r="H10" s="161">
        <f>+F10/G10</f>
        <v>83.990269384155297</v>
      </c>
      <c r="I10" s="162" t="s">
        <v>169</v>
      </c>
      <c r="J10" s="170">
        <f t="shared" si="0"/>
        <v>-0.17226501050403764</v>
      </c>
      <c r="U10" s="45" t="s">
        <v>166</v>
      </c>
      <c r="W10" s="66">
        <f>+W8-W9</f>
        <v>398000</v>
      </c>
      <c r="X10" s="48">
        <f>+X8-X9</f>
        <v>-251000</v>
      </c>
      <c r="Y10" s="48">
        <f>+Y8-Y9</f>
        <v>-632000</v>
      </c>
      <c r="Z10" s="48" t="e">
        <f>+Z8-Z9</f>
        <v>#REF!</v>
      </c>
      <c r="AA10" s="48" t="e">
        <f>+AA8-AA9</f>
        <v>#REF!</v>
      </c>
    </row>
    <row r="11" spans="1:27">
      <c r="A11" s="163" t="s">
        <v>426</v>
      </c>
      <c r="B11" s="160"/>
      <c r="C11" s="160">
        <f>+D11+F11-E11</f>
        <v>13604065.830120001</v>
      </c>
      <c r="D11" s="160">
        <f>+D10</f>
        <v>3099000</v>
      </c>
      <c r="E11" s="160">
        <f>+E10</f>
        <v>906000</v>
      </c>
      <c r="F11" s="160">
        <f>+G11*H11</f>
        <v>11411065.830120001</v>
      </c>
      <c r="G11" s="160">
        <f>+G9</f>
        <v>103291.61328471469</v>
      </c>
      <c r="H11" s="161">
        <f>+E61</f>
        <v>110.47427247230956</v>
      </c>
      <c r="I11" s="162" t="s">
        <v>422</v>
      </c>
      <c r="J11" s="170">
        <f t="shared" si="0"/>
        <v>8.8738272122889095E-2</v>
      </c>
      <c r="U11" s="45"/>
      <c r="W11" s="66"/>
      <c r="X11" s="48"/>
      <c r="Y11" s="48"/>
      <c r="Z11" s="48"/>
      <c r="AA11" s="48"/>
    </row>
    <row r="12" spans="1:27" ht="15" thickBot="1">
      <c r="A12" s="165" t="s">
        <v>97</v>
      </c>
      <c r="B12" s="108"/>
      <c r="C12" s="166">
        <f>AVERAGE(C8:C11)</f>
        <v>11992895.788107302</v>
      </c>
      <c r="D12" s="166"/>
      <c r="E12" s="166"/>
      <c r="F12" s="166">
        <f>AVERAGE(F8:F11)</f>
        <v>9799895.788107302</v>
      </c>
      <c r="G12" s="166"/>
      <c r="H12" s="199">
        <f>AVERAGE(H8:H11)</f>
        <v>94.876006642424187</v>
      </c>
      <c r="I12" s="167" t="s">
        <v>169</v>
      </c>
      <c r="J12" s="171">
        <f>+H12/$H$6-1</f>
        <v>-6.4984659087176655E-2</v>
      </c>
      <c r="U12" s="45" t="s">
        <v>10</v>
      </c>
      <c r="W12" s="66" t="e">
        <f>+#REF!+#REF!</f>
        <v>#REF!</v>
      </c>
      <c r="X12" s="62" t="e">
        <f>+#REF!+#REF!</f>
        <v>#REF!</v>
      </c>
      <c r="Y12" s="62" t="e">
        <f>+#REF!+#REF!</f>
        <v>#REF!</v>
      </c>
      <c r="Z12" s="62" t="e">
        <f>+#REF!+#REF!</f>
        <v>#REF!</v>
      </c>
      <c r="AA12" s="62" t="e">
        <f>+#REF!+#REF!</f>
        <v>#REF!</v>
      </c>
    </row>
    <row r="13" spans="1:27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U13" s="45" t="s">
        <v>167</v>
      </c>
      <c r="W13" s="69">
        <f>+'Historical Analysis'!D16</f>
        <v>-92000</v>
      </c>
      <c r="X13" s="60">
        <f>+'Historical Analysis'!E16</f>
        <v>266000</v>
      </c>
      <c r="Y13" s="60">
        <f>+'Historical Analysis'!F16</f>
        <v>-257000</v>
      </c>
      <c r="Z13" s="60" t="e">
        <f>+'Historical Analysis'!#REF!</f>
        <v>#REF!</v>
      </c>
      <c r="AA13" s="60" t="e">
        <f>+'Historical Analysis'!#REF!</f>
        <v>#REF!</v>
      </c>
    </row>
    <row r="14" spans="1:27" ht="9.5" customHeight="1" thickBot="1">
      <c r="U14" s="45" t="s">
        <v>12</v>
      </c>
      <c r="W14" s="67" t="e">
        <f>+W12-W13</f>
        <v>#REF!</v>
      </c>
      <c r="X14" s="47" t="e">
        <f>+X12-X13</f>
        <v>#REF!</v>
      </c>
      <c r="Y14" s="47" t="e">
        <f>+Y12-Y13</f>
        <v>#REF!</v>
      </c>
      <c r="Z14" s="47" t="e">
        <f>+Z12-Z13</f>
        <v>#REF!</v>
      </c>
      <c r="AA14" s="47" t="e">
        <f>+AA12-AA13</f>
        <v>#REF!</v>
      </c>
    </row>
    <row r="15" spans="1:27" ht="16" thickTop="1">
      <c r="A15" s="88" t="s">
        <v>90</v>
      </c>
      <c r="B15" s="89"/>
      <c r="C15" s="84"/>
      <c r="D15" s="84"/>
      <c r="E15" s="84"/>
      <c r="F15" s="84"/>
      <c r="G15" s="84"/>
      <c r="H15" s="84"/>
      <c r="U15" s="45" t="s">
        <v>98</v>
      </c>
      <c r="W15" s="46">
        <v>103329.27324401138</v>
      </c>
    </row>
    <row r="16" spans="1:27" ht="7.5" customHeight="1">
      <c r="U16" s="45" t="s">
        <v>99</v>
      </c>
      <c r="W16" s="50" t="e">
        <f>+W14/W15</f>
        <v>#REF!</v>
      </c>
      <c r="X16" s="49"/>
      <c r="Y16" s="49"/>
      <c r="Z16" s="49"/>
      <c r="AA16" s="49"/>
    </row>
    <row r="17" spans="1:27" ht="44" thickBot="1">
      <c r="A17" s="211" t="s">
        <v>101</v>
      </c>
      <c r="B17" s="219" t="s">
        <v>102</v>
      </c>
      <c r="C17" s="222" t="s">
        <v>429</v>
      </c>
      <c r="D17" s="222" t="s">
        <v>103</v>
      </c>
      <c r="E17" s="222" t="s">
        <v>104</v>
      </c>
      <c r="F17" s="222" t="s">
        <v>430</v>
      </c>
      <c r="G17" s="212" t="s">
        <v>431</v>
      </c>
      <c r="H17" s="222" t="s">
        <v>105</v>
      </c>
      <c r="U17" s="42" t="s">
        <v>89</v>
      </c>
      <c r="V17" s="42"/>
      <c r="W17" s="43">
        <f>+W5</f>
        <v>44012</v>
      </c>
      <c r="X17" s="44">
        <v>43830</v>
      </c>
      <c r="Y17" s="44">
        <v>43465</v>
      </c>
      <c r="Z17" s="44">
        <v>43100</v>
      </c>
      <c r="AA17" s="44">
        <v>42735</v>
      </c>
    </row>
    <row r="18" spans="1:27" ht="20" hidden="1" customHeight="1">
      <c r="A18" s="215" t="s">
        <v>106</v>
      </c>
      <c r="B18" s="132" t="s">
        <v>107</v>
      </c>
      <c r="C18" s="133">
        <v>64.37</v>
      </c>
      <c r="D18" s="134">
        <v>32.695999999999998</v>
      </c>
      <c r="E18" s="135">
        <v>2104.6415200000001</v>
      </c>
      <c r="F18" s="135">
        <v>328.71</v>
      </c>
      <c r="G18" s="224"/>
      <c r="H18" s="227">
        <v>2433.3515200000002</v>
      </c>
      <c r="W18" s="51"/>
    </row>
    <row r="19" spans="1:27" ht="30" hidden="1" customHeight="1">
      <c r="A19" s="216" t="s">
        <v>108</v>
      </c>
      <c r="B19" s="136" t="s">
        <v>109</v>
      </c>
      <c r="C19" s="137">
        <v>30.76</v>
      </c>
      <c r="D19" s="138">
        <v>74.518000000000001</v>
      </c>
      <c r="E19" s="135">
        <v>2292.1736800000003</v>
      </c>
      <c r="F19" s="230">
        <v>402.1</v>
      </c>
      <c r="G19" s="225"/>
      <c r="H19" s="228">
        <v>2694.2736800000002</v>
      </c>
      <c r="W19" s="51"/>
    </row>
    <row r="20" spans="1:27" ht="15.75" hidden="1" customHeight="1">
      <c r="A20" s="216" t="s">
        <v>110</v>
      </c>
      <c r="B20" s="136" t="s">
        <v>111</v>
      </c>
      <c r="C20" s="137">
        <v>24.35</v>
      </c>
      <c r="D20" s="138">
        <v>380.96499999999997</v>
      </c>
      <c r="E20" s="135">
        <v>9276.4977500000005</v>
      </c>
      <c r="F20" s="230">
        <v>3647</v>
      </c>
      <c r="G20" s="225"/>
      <c r="H20" s="228">
        <v>12923.49775</v>
      </c>
      <c r="W20" s="51"/>
    </row>
    <row r="21" spans="1:27" ht="30" hidden="1" customHeight="1">
      <c r="A21" s="216" t="s">
        <v>112</v>
      </c>
      <c r="B21" s="136" t="s">
        <v>113</v>
      </c>
      <c r="C21" s="137">
        <v>23.6</v>
      </c>
      <c r="D21" s="138">
        <v>5.2530000000000001</v>
      </c>
      <c r="E21" s="135">
        <v>123.97080000000001</v>
      </c>
      <c r="F21" s="230">
        <v>765.2</v>
      </c>
      <c r="G21" s="225"/>
      <c r="H21" s="228">
        <v>889.1708000000001</v>
      </c>
      <c r="W21" s="51"/>
    </row>
    <row r="22" spans="1:27" ht="20" hidden="1" customHeight="1">
      <c r="A22" s="216" t="s">
        <v>114</v>
      </c>
      <c r="B22" s="136" t="s">
        <v>115</v>
      </c>
      <c r="C22" s="137">
        <v>8.52</v>
      </c>
      <c r="D22" s="138">
        <v>201.8</v>
      </c>
      <c r="E22" s="135">
        <v>1719.336</v>
      </c>
      <c r="F22" s="230">
        <v>925.61</v>
      </c>
      <c r="G22" s="225"/>
      <c r="H22" s="228">
        <v>2644.9459999999999</v>
      </c>
      <c r="W22" s="51"/>
    </row>
    <row r="23" spans="1:27" ht="20" hidden="1" customHeight="1">
      <c r="A23" s="216" t="s">
        <v>116</v>
      </c>
      <c r="B23" s="137" t="s">
        <v>117</v>
      </c>
      <c r="C23" s="137">
        <v>19.920000000000002</v>
      </c>
      <c r="D23" s="138">
        <v>21.282</v>
      </c>
      <c r="E23" s="135">
        <v>423.93744000000004</v>
      </c>
      <c r="F23" s="230">
        <v>198.43</v>
      </c>
      <c r="G23" s="225"/>
      <c r="H23" s="228">
        <v>622.36743999999999</v>
      </c>
      <c r="W23" s="51"/>
    </row>
    <row r="24" spans="1:27" ht="20" hidden="1" customHeight="1">
      <c r="A24" s="216" t="s">
        <v>118</v>
      </c>
      <c r="B24" s="137" t="s">
        <v>119</v>
      </c>
      <c r="C24" s="137">
        <v>67.510000000000005</v>
      </c>
      <c r="D24" s="138">
        <v>216.71100000000001</v>
      </c>
      <c r="E24" s="135">
        <v>14630.159610000002</v>
      </c>
      <c r="F24" s="230">
        <v>1325</v>
      </c>
      <c r="G24" s="225"/>
      <c r="H24" s="228">
        <v>15955.159610000002</v>
      </c>
      <c r="W24" s="51"/>
    </row>
    <row r="25" spans="1:27" ht="20" hidden="1" customHeight="1">
      <c r="A25" s="217" t="s">
        <v>120</v>
      </c>
      <c r="B25" s="205" t="s">
        <v>121</v>
      </c>
      <c r="C25" s="206">
        <v>28.92</v>
      </c>
      <c r="D25" s="207">
        <v>31.791</v>
      </c>
      <c r="E25" s="208">
        <v>919.3957200000001</v>
      </c>
      <c r="F25" s="231">
        <v>626.63</v>
      </c>
      <c r="G25" s="226"/>
      <c r="H25" s="229">
        <v>1546.0257200000001</v>
      </c>
      <c r="W25" s="51"/>
    </row>
    <row r="26" spans="1:27" ht="20" customHeight="1" thickBot="1">
      <c r="A26" s="213"/>
      <c r="B26" s="220"/>
      <c r="C26" s="223">
        <f>+H1</f>
        <v>45229</v>
      </c>
      <c r="D26" s="223">
        <f>+H1</f>
        <v>45229</v>
      </c>
      <c r="E26" s="223">
        <f>+H1</f>
        <v>45229</v>
      </c>
      <c r="F26" s="223">
        <f>+H2</f>
        <v>45107</v>
      </c>
      <c r="G26" s="214">
        <f>+H2</f>
        <v>45107</v>
      </c>
      <c r="H26" s="223">
        <f>+H1</f>
        <v>45229</v>
      </c>
      <c r="W26" s="51"/>
    </row>
    <row r="27" spans="1:27" ht="31" customHeight="1" thickTop="1">
      <c r="A27" s="218" t="s">
        <v>122</v>
      </c>
      <c r="B27" s="209" t="s">
        <v>123</v>
      </c>
      <c r="C27" s="209">
        <f>+H6</f>
        <v>101.47</v>
      </c>
      <c r="D27" s="139">
        <f>+G6</f>
        <v>103291.61328471469</v>
      </c>
      <c r="E27" s="221">
        <f>+D27*C27</f>
        <v>10481000</v>
      </c>
      <c r="F27" s="210">
        <f>'Historical Analysis'!C53+'Historical Analysis'!C49</f>
        <v>3099000</v>
      </c>
      <c r="G27" s="139">
        <f>'Historical Analysis'!C24</f>
        <v>906000</v>
      </c>
      <c r="H27" s="139">
        <f>+E27+F27-G27</f>
        <v>12674000</v>
      </c>
      <c r="U27" t="s">
        <v>124</v>
      </c>
      <c r="W27" s="52">
        <f>+'Historical Analysis'!E24</f>
        <v>1187000</v>
      </c>
      <c r="X27" s="48">
        <f>+'Historical Analysis'!F24</f>
        <v>1882000</v>
      </c>
      <c r="Y27" s="48" t="e">
        <f>+'Historical Analysis'!#REF!</f>
        <v>#REF!</v>
      </c>
      <c r="Z27" s="48" t="e">
        <f>+'Historical Analysis'!#REF!</f>
        <v>#REF!</v>
      </c>
      <c r="AA27" s="48" t="e">
        <f>+'Historical Analysis'!#REF!</f>
        <v>#REF!</v>
      </c>
    </row>
    <row r="28" spans="1:27" ht="15" thickBot="1">
      <c r="U28" s="53" t="s">
        <v>30</v>
      </c>
      <c r="V28" s="65"/>
      <c r="W28" s="54">
        <f>+'Historical Analysis'!E42</f>
        <v>12603000</v>
      </c>
      <c r="X28" s="55">
        <f>+'Historical Analysis'!F42</f>
        <v>9129000</v>
      </c>
      <c r="Y28" s="55" t="e">
        <f>+'Historical Analysis'!#REF!</f>
        <v>#REF!</v>
      </c>
      <c r="Z28" s="55" t="e">
        <f>+'Historical Analysis'!#REF!</f>
        <v>#REF!</v>
      </c>
      <c r="AA28" s="55" t="e">
        <f>+'Historical Analysis'!#REF!</f>
        <v>#REF!</v>
      </c>
    </row>
    <row r="29" spans="1:27" ht="16" thickTop="1">
      <c r="A29" s="88" t="s">
        <v>92</v>
      </c>
      <c r="B29" s="84"/>
      <c r="C29" s="84"/>
      <c r="D29" s="84"/>
      <c r="E29" s="84"/>
      <c r="F29" s="84"/>
      <c r="G29" s="84"/>
      <c r="H29" s="90"/>
      <c r="U29" t="s">
        <v>125</v>
      </c>
      <c r="W29" s="52">
        <f>+'Historical Analysis'!E37</f>
        <v>954000</v>
      </c>
      <c r="X29" s="48">
        <f>+'Historical Analysis'!F37</f>
        <v>980000</v>
      </c>
      <c r="Y29" s="48" t="e">
        <f>+'Historical Analysis'!#REF!</f>
        <v>#REF!</v>
      </c>
      <c r="Z29" s="48" t="e">
        <f>+'Historical Analysis'!#REF!</f>
        <v>#REF!</v>
      </c>
      <c r="AA29" s="48" t="e">
        <f>+'Historical Analysis'!#REF!</f>
        <v>#REF!</v>
      </c>
    </row>
    <row r="30" spans="1:27">
      <c r="A30" s="140"/>
      <c r="B30" s="103"/>
      <c r="C30" s="103"/>
      <c r="D30" s="103"/>
      <c r="E30" s="103"/>
      <c r="F30" s="103"/>
      <c r="G30" s="103"/>
      <c r="H30" s="108"/>
      <c r="U30" t="s">
        <v>41</v>
      </c>
      <c r="W30" s="52">
        <f>+'Historical Analysis'!E57</f>
        <v>9037000</v>
      </c>
      <c r="X30" s="48">
        <f>+'Historical Analysis'!F57</f>
        <v>5915000</v>
      </c>
      <c r="Y30" s="48" t="e">
        <f>+'Historical Analysis'!#REF!</f>
        <v>#REF!</v>
      </c>
      <c r="Z30" s="48" t="e">
        <f>+'Historical Analysis'!#REF!</f>
        <v>#REF!</v>
      </c>
      <c r="AA30" s="48" t="e">
        <f>+'Historical Analysis'!#REF!</f>
        <v>#REF!</v>
      </c>
    </row>
    <row r="31" spans="1:27" ht="16.5" customHeight="1">
      <c r="A31" s="141" t="s">
        <v>126</v>
      </c>
      <c r="B31" s="108"/>
      <c r="C31" s="103"/>
      <c r="D31" s="141" t="s">
        <v>127</v>
      </c>
      <c r="E31" s="108"/>
      <c r="F31" s="103"/>
      <c r="G31" s="103"/>
      <c r="H31" s="103"/>
      <c r="U31" t="s">
        <v>43</v>
      </c>
      <c r="W31" s="52">
        <f>+W28-W30</f>
        <v>3566000</v>
      </c>
      <c r="X31" s="48">
        <f>+X28-X30</f>
        <v>3214000</v>
      </c>
      <c r="Y31" s="48" t="e">
        <f>+Y28-Y30</f>
        <v>#REF!</v>
      </c>
      <c r="Z31" s="48" t="e">
        <f>+Z28-Z30</f>
        <v>#REF!</v>
      </c>
      <c r="AA31" s="48" t="e">
        <f>+AA28-AA30</f>
        <v>#REF!</v>
      </c>
    </row>
    <row r="32" spans="1:27" ht="16.5" customHeight="1">
      <c r="A32" s="108" t="s">
        <v>418</v>
      </c>
      <c r="B32" s="187">
        <v>4.87E-2</v>
      </c>
      <c r="C32" s="108"/>
      <c r="D32" s="108" t="s">
        <v>128</v>
      </c>
      <c r="E32" s="188">
        <v>0.76</v>
      </c>
      <c r="F32" s="103" t="s">
        <v>419</v>
      </c>
      <c r="G32" s="103"/>
      <c r="H32" s="103"/>
      <c r="W32" s="48"/>
      <c r="X32" s="48"/>
      <c r="Y32" s="48"/>
      <c r="Z32" s="48"/>
      <c r="AA32" s="48"/>
    </row>
    <row r="33" spans="1:28" ht="16.5" customHeight="1">
      <c r="A33" s="108" t="s">
        <v>129</v>
      </c>
      <c r="B33" s="252">
        <v>1.387</v>
      </c>
      <c r="C33" s="186"/>
      <c r="D33" s="108"/>
      <c r="E33" s="147"/>
      <c r="F33" s="148"/>
      <c r="G33" s="103"/>
      <c r="H33" s="103"/>
      <c r="U33" s="39" t="s">
        <v>130</v>
      </c>
      <c r="V33" s="39"/>
      <c r="W33" s="40" t="s">
        <v>82</v>
      </c>
      <c r="X33" s="41"/>
      <c r="Y33" s="41"/>
      <c r="Z33" s="41"/>
      <c r="AA33" s="41"/>
    </row>
    <row r="34" spans="1:28" ht="16.5" customHeight="1" thickBot="1">
      <c r="A34" s="108" t="s">
        <v>407</v>
      </c>
      <c r="B34" s="187">
        <v>5.5E-2</v>
      </c>
      <c r="C34" s="108"/>
      <c r="D34" s="108" t="s">
        <v>131</v>
      </c>
      <c r="E34" s="188">
        <v>124.43</v>
      </c>
      <c r="F34" s="148" t="s">
        <v>428</v>
      </c>
      <c r="G34" s="103"/>
      <c r="H34" s="103"/>
      <c r="U34" s="42" t="s">
        <v>89</v>
      </c>
      <c r="V34" s="42"/>
      <c r="W34" s="43">
        <f>+W17</f>
        <v>44012</v>
      </c>
      <c r="X34" s="44">
        <v>43830</v>
      </c>
      <c r="Y34" s="44">
        <v>43465</v>
      </c>
      <c r="Z34" s="44">
        <v>43100</v>
      </c>
      <c r="AA34" s="44">
        <v>42735</v>
      </c>
    </row>
    <row r="35" spans="1:28" ht="16.5" customHeight="1" thickBot="1">
      <c r="A35" s="108" t="s">
        <v>132</v>
      </c>
      <c r="B35" s="145">
        <f>+B34+B32</f>
        <v>0.1037</v>
      </c>
      <c r="C35" s="108"/>
      <c r="D35" s="108" t="s">
        <v>133</v>
      </c>
      <c r="E35" s="145">
        <f>+B36</f>
        <v>0.12498500000000001</v>
      </c>
      <c r="F35" s="103"/>
      <c r="G35" s="103"/>
      <c r="H35" s="103"/>
      <c r="U35" s="45" t="s">
        <v>134</v>
      </c>
      <c r="W35" s="64">
        <v>-358000</v>
      </c>
      <c r="X35" s="48">
        <v>-369000</v>
      </c>
      <c r="Y35" s="48">
        <v>-297000</v>
      </c>
      <c r="Z35" s="48">
        <v>-298000</v>
      </c>
      <c r="AA35" s="48">
        <v>-211000</v>
      </c>
    </row>
    <row r="36" spans="1:28" ht="16.5" customHeight="1" thickBot="1">
      <c r="A36" s="149" t="s">
        <v>135</v>
      </c>
      <c r="B36" s="150">
        <f>+B32+B33*B34</f>
        <v>0.12498500000000001</v>
      </c>
      <c r="C36" s="108"/>
      <c r="D36" s="143" t="s">
        <v>402</v>
      </c>
      <c r="E36" s="144">
        <f>+(E34+E32)/(1+(E35))</f>
        <v>111.2814837531167</v>
      </c>
      <c r="F36" s="148"/>
      <c r="G36" s="103"/>
      <c r="H36" s="103"/>
      <c r="U36" s="45" t="s">
        <v>136</v>
      </c>
      <c r="W36" s="64">
        <v>363000</v>
      </c>
      <c r="X36" s="48">
        <v>364000</v>
      </c>
      <c r="Y36" s="48">
        <v>327000</v>
      </c>
      <c r="Z36" s="48">
        <v>366000</v>
      </c>
      <c r="AA36" s="48">
        <v>342000</v>
      </c>
    </row>
    <row r="37" spans="1:28" ht="16.5" customHeight="1">
      <c r="A37" s="151"/>
      <c r="B37" s="151"/>
      <c r="C37" s="103"/>
      <c r="D37" s="103"/>
      <c r="E37" s="103"/>
      <c r="F37" s="103"/>
      <c r="G37" s="103"/>
      <c r="H37" s="103"/>
    </row>
    <row r="38" spans="1:28" ht="15.5">
      <c r="A38" s="88" t="s">
        <v>94</v>
      </c>
      <c r="B38" s="84"/>
      <c r="C38" s="84"/>
      <c r="D38" s="84"/>
      <c r="E38" s="84"/>
      <c r="F38" s="84"/>
      <c r="G38" s="84"/>
      <c r="H38" s="90"/>
      <c r="U38" s="39" t="s">
        <v>137</v>
      </c>
      <c r="V38" s="39"/>
      <c r="W38" s="40" t="s">
        <v>82</v>
      </c>
      <c r="X38" s="41"/>
      <c r="Y38" s="41"/>
      <c r="Z38" s="41"/>
      <c r="AA38" s="41"/>
      <c r="AB38" s="39" t="s">
        <v>138</v>
      </c>
    </row>
    <row r="39" spans="1:28" ht="15" thickBot="1">
      <c r="A39" s="109"/>
      <c r="B39" s="109"/>
      <c r="C39" s="109"/>
      <c r="D39" s="109"/>
      <c r="E39" s="109"/>
      <c r="F39" s="109"/>
      <c r="G39" s="109"/>
      <c r="H39" s="109"/>
      <c r="U39" s="42" t="s">
        <v>89</v>
      </c>
      <c r="V39" s="42"/>
      <c r="W39" s="43">
        <f>+W17</f>
        <v>44012</v>
      </c>
      <c r="X39" s="44">
        <v>43830</v>
      </c>
      <c r="Y39" s="44">
        <v>43465</v>
      </c>
      <c r="Z39" s="44">
        <v>43100</v>
      </c>
      <c r="AA39" s="44">
        <v>42735</v>
      </c>
      <c r="AB39" s="44"/>
    </row>
    <row r="40" spans="1:28">
      <c r="A40" s="141" t="s">
        <v>139</v>
      </c>
      <c r="B40" s="109"/>
      <c r="C40" s="109"/>
      <c r="D40" s="141" t="s">
        <v>140</v>
      </c>
      <c r="E40" s="109"/>
      <c r="F40" s="109"/>
      <c r="G40" s="109"/>
      <c r="H40" s="109"/>
      <c r="U40" s="45" t="s">
        <v>141</v>
      </c>
      <c r="W40" s="57">
        <f>+W6/X6-1</f>
        <v>0.94550858652575953</v>
      </c>
      <c r="X40" s="57">
        <f>+X6/Y6-1</f>
        <v>0.46563407550822844</v>
      </c>
      <c r="Y40" s="57" t="e">
        <f>+Y6/Z6-1</f>
        <v>#REF!</v>
      </c>
      <c r="Z40" s="57" t="e">
        <f>+Z6/AA6-1</f>
        <v>#REF!</v>
      </c>
      <c r="AB40" s="56" t="e">
        <f>AVERAGE(W40:AA40)</f>
        <v>#REF!</v>
      </c>
    </row>
    <row r="41" spans="1:28">
      <c r="A41" s="109" t="s">
        <v>142</v>
      </c>
      <c r="B41" s="146">
        <f>+F41</f>
        <v>1.25</v>
      </c>
      <c r="C41" s="109"/>
      <c r="D41" s="109" t="s">
        <v>143</v>
      </c>
      <c r="E41" s="109"/>
      <c r="F41" s="232">
        <v>1.25</v>
      </c>
      <c r="G41" s="109"/>
      <c r="H41" s="109"/>
      <c r="U41" s="45" t="s">
        <v>144</v>
      </c>
      <c r="W41" s="57">
        <f>+W7/W6</f>
        <v>0.78136139874384658</v>
      </c>
      <c r="X41" s="57">
        <f>+X7/X6</f>
        <v>0.85964332892998674</v>
      </c>
      <c r="Y41" s="57">
        <f>+Y7/Y6</f>
        <v>1.000484027105518</v>
      </c>
      <c r="Z41" s="57" t="e">
        <f>+Z7/Z6</f>
        <v>#REF!</v>
      </c>
      <c r="AA41" s="57" t="e">
        <f>+AA7/AA6</f>
        <v>#REF!</v>
      </c>
      <c r="AB41" s="56" t="e">
        <f>AVERAGE(W41:AA41)</f>
        <v>#REF!</v>
      </c>
    </row>
    <row r="42" spans="1:28">
      <c r="A42" s="109" t="s">
        <v>145</v>
      </c>
      <c r="B42" s="142">
        <f>+B36</f>
        <v>0.12498500000000001</v>
      </c>
      <c r="C42" s="109"/>
      <c r="D42" s="109" t="s">
        <v>146</v>
      </c>
      <c r="E42" s="109"/>
      <c r="F42" s="146">
        <f>+F43+F41</f>
        <v>102.72</v>
      </c>
      <c r="G42" s="109"/>
      <c r="H42" s="109"/>
      <c r="U42" s="45" t="s">
        <v>147</v>
      </c>
      <c r="W42" s="57">
        <f>+W9/W6</f>
        <v>0.15107791546426752</v>
      </c>
      <c r="X42" s="57">
        <f>+X9/X6</f>
        <v>0.22324966974900926</v>
      </c>
      <c r="Y42" s="57">
        <f>+Y9/Y6</f>
        <v>0.30542110358180058</v>
      </c>
      <c r="Z42" s="57" t="e">
        <f>+Z9/Z6</f>
        <v>#REF!</v>
      </c>
      <c r="AA42" s="57" t="e">
        <f>+AA9/AA6</f>
        <v>#REF!</v>
      </c>
      <c r="AB42" s="56" t="e">
        <f>AVERAGE(W42:AA42)</f>
        <v>#REF!</v>
      </c>
    </row>
    <row r="43" spans="1:28" ht="15" thickBot="1">
      <c r="A43" s="109" t="s">
        <v>148</v>
      </c>
      <c r="B43" s="187">
        <f>C43*B42</f>
        <v>0.10623725000000001</v>
      </c>
      <c r="C43" s="251">
        <v>0.85</v>
      </c>
      <c r="D43" s="109" t="s">
        <v>149</v>
      </c>
      <c r="E43" s="109"/>
      <c r="F43" s="153">
        <f>+C27</f>
        <v>101.47</v>
      </c>
      <c r="G43" s="109"/>
      <c r="H43" s="109"/>
      <c r="U43" s="45" t="s">
        <v>150</v>
      </c>
      <c r="W43" s="57">
        <f>+W36/W6</f>
        <v>6.1619419453403497E-2</v>
      </c>
      <c r="X43" s="57">
        <f>+X36/X6</f>
        <v>0.1202113606340819</v>
      </c>
      <c r="Y43" s="57">
        <f>+Y36/Y6</f>
        <v>0.15827686350435624</v>
      </c>
      <c r="Z43" s="57" t="e">
        <f>+Z36/Z6</f>
        <v>#REF!</v>
      </c>
      <c r="AA43" s="57" t="e">
        <f>+AA36/AA6</f>
        <v>#REF!</v>
      </c>
      <c r="AB43" s="56" t="e">
        <f>AVERAGE(W43:AA43)</f>
        <v>#REF!</v>
      </c>
    </row>
    <row r="44" spans="1:28" ht="15" thickBot="1">
      <c r="A44" s="143" t="s">
        <v>403</v>
      </c>
      <c r="B44" s="144">
        <f>+(B41*(1+B43))/(B42-B43)</f>
        <v>73.758000960115169</v>
      </c>
      <c r="C44" s="109"/>
      <c r="D44" s="108" t="s">
        <v>151</v>
      </c>
      <c r="E44" s="109"/>
      <c r="F44" s="154">
        <f>+(F41+(F42-F43))/F43</f>
        <v>2.4637823987385433E-2</v>
      </c>
      <c r="G44" s="109"/>
      <c r="H44" s="109"/>
      <c r="U44" s="45" t="s">
        <v>152</v>
      </c>
      <c r="W44" s="57">
        <f>-W35/W6</f>
        <v>6.0770667119334577E-2</v>
      </c>
      <c r="X44" s="57">
        <f>-X35/X6</f>
        <v>0.12186261558784676</v>
      </c>
      <c r="Y44" s="57">
        <f>-Y35/Y6</f>
        <v>0.14375605033881897</v>
      </c>
      <c r="Z44" s="57" t="e">
        <f>-Z35/Z6</f>
        <v>#REF!</v>
      </c>
      <c r="AA44" s="57" t="e">
        <f>-AA35/AA6</f>
        <v>#REF!</v>
      </c>
      <c r="AB44" s="56" t="e">
        <f>AVERAGE(W44:AA44)</f>
        <v>#REF!</v>
      </c>
    </row>
    <row r="45" spans="1:28" ht="10.5" customHeight="1">
      <c r="W45" s="45"/>
    </row>
    <row r="46" spans="1:28" ht="15.5">
      <c r="A46" s="88" t="s">
        <v>96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</row>
    <row r="47" spans="1:28" ht="8.25" customHeight="1">
      <c r="A47" s="177"/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28" ht="43.5" customHeight="1">
      <c r="A48" s="233" t="s">
        <v>101</v>
      </c>
      <c r="B48" s="239" t="s">
        <v>102</v>
      </c>
      <c r="C48" s="249" t="str">
        <f>+C17</f>
        <v>Stock Price</v>
      </c>
      <c r="D48" s="240" t="s">
        <v>103</v>
      </c>
      <c r="E48" s="241" t="s">
        <v>153</v>
      </c>
      <c r="F48" s="241" t="str">
        <f>+F17</f>
        <v>Debt (ST&amp;LT)
($000)</v>
      </c>
      <c r="G48" s="240" t="str">
        <f>+G17</f>
        <v>Cash
 ($000)</v>
      </c>
      <c r="H48" s="241" t="s">
        <v>105</v>
      </c>
      <c r="I48" s="241" t="s">
        <v>432</v>
      </c>
      <c r="J48" s="241" t="s">
        <v>154</v>
      </c>
      <c r="K48" s="241" t="s">
        <v>155</v>
      </c>
    </row>
    <row r="49" spans="1:13" ht="20.5" customHeight="1" thickBot="1">
      <c r="A49" s="237"/>
      <c r="B49" s="234"/>
      <c r="C49" s="235">
        <f>+H1</f>
        <v>45229</v>
      </c>
      <c r="D49" s="238">
        <f>+H1</f>
        <v>45229</v>
      </c>
      <c r="E49" s="238">
        <f>+H1</f>
        <v>45229</v>
      </c>
      <c r="F49" s="236">
        <f>+H2</f>
        <v>45107</v>
      </c>
      <c r="G49" s="235">
        <f>+H2</f>
        <v>45107</v>
      </c>
      <c r="H49" s="235">
        <f>+H1</f>
        <v>45229</v>
      </c>
      <c r="I49" s="235">
        <f>+H2</f>
        <v>45107</v>
      </c>
      <c r="J49" s="235">
        <f>+H1</f>
        <v>45229</v>
      </c>
      <c r="K49" s="235">
        <f>+H1</f>
        <v>45229</v>
      </c>
    </row>
    <row r="50" spans="1:13" ht="15.65" customHeight="1" thickTop="1">
      <c r="A50" s="110" t="s">
        <v>106</v>
      </c>
      <c r="B50" s="111" t="s">
        <v>107</v>
      </c>
      <c r="C50" s="189">
        <v>110.73</v>
      </c>
      <c r="D50" s="192">
        <v>50380</v>
      </c>
      <c r="E50" s="112">
        <f t="shared" ref="E50:E56" si="1">+D50*C50</f>
        <v>5578577.4000000004</v>
      </c>
      <c r="F50" s="195">
        <v>1460000</v>
      </c>
      <c r="G50" s="192">
        <v>36170</v>
      </c>
      <c r="H50" s="112">
        <f t="shared" ref="H50:H56" si="2">+E50+F50-G50</f>
        <v>7002407.4000000004</v>
      </c>
      <c r="I50" s="192">
        <v>518930</v>
      </c>
      <c r="J50" s="242">
        <f t="shared" ref="J50:J56" si="3">+H50/I50</f>
        <v>13.493934442024937</v>
      </c>
      <c r="K50" s="245">
        <v>1.26</v>
      </c>
    </row>
    <row r="51" spans="1:13" ht="15.65" customHeight="1">
      <c r="A51" s="110" t="s">
        <v>156</v>
      </c>
      <c r="B51" s="111" t="s">
        <v>111</v>
      </c>
      <c r="C51" s="189">
        <v>151.28</v>
      </c>
      <c r="D51" s="192">
        <v>256440</v>
      </c>
      <c r="E51" s="112">
        <f t="shared" si="1"/>
        <v>38794243.200000003</v>
      </c>
      <c r="F51" s="195">
        <v>9520000</v>
      </c>
      <c r="G51" s="192">
        <v>698000</v>
      </c>
      <c r="H51" s="112">
        <f t="shared" si="2"/>
        <v>47616243.200000003</v>
      </c>
      <c r="I51" s="192">
        <v>2500000</v>
      </c>
      <c r="J51" s="242">
        <f t="shared" si="3"/>
        <v>19.046497280000001</v>
      </c>
      <c r="K51" s="245">
        <v>1.21</v>
      </c>
    </row>
    <row r="52" spans="1:13" ht="15.65" customHeight="1">
      <c r="A52" s="113" t="s">
        <v>157</v>
      </c>
      <c r="B52" s="114" t="s">
        <v>158</v>
      </c>
      <c r="C52" s="190">
        <v>73.91</v>
      </c>
      <c r="D52" s="193">
        <v>165150</v>
      </c>
      <c r="E52" s="112">
        <f t="shared" si="1"/>
        <v>12206236.5</v>
      </c>
      <c r="F52" s="196">
        <v>2960000</v>
      </c>
      <c r="G52" s="193">
        <v>713000</v>
      </c>
      <c r="H52" s="112">
        <f t="shared" si="2"/>
        <v>14453236.5</v>
      </c>
      <c r="I52" s="193">
        <v>915000</v>
      </c>
      <c r="J52" s="242">
        <f t="shared" si="3"/>
        <v>15.795886885245901</v>
      </c>
      <c r="K52" s="246">
        <v>0.9</v>
      </c>
    </row>
    <row r="53" spans="1:13" ht="15.65" customHeight="1">
      <c r="A53" s="113" t="s">
        <v>116</v>
      </c>
      <c r="B53" s="115" t="s">
        <v>117</v>
      </c>
      <c r="C53" s="190">
        <v>15.41</v>
      </c>
      <c r="D53" s="193">
        <v>24450</v>
      </c>
      <c r="E53" s="112">
        <f t="shared" si="1"/>
        <v>376774.5</v>
      </c>
      <c r="F53" s="196">
        <v>398230</v>
      </c>
      <c r="G53" s="193">
        <v>49470</v>
      </c>
      <c r="H53" s="112">
        <f t="shared" si="2"/>
        <v>725534.5</v>
      </c>
      <c r="I53" s="193">
        <v>82460</v>
      </c>
      <c r="J53" s="242">
        <f t="shared" si="3"/>
        <v>8.7986235750666992</v>
      </c>
      <c r="K53" s="246">
        <v>1.54</v>
      </c>
    </row>
    <row r="54" spans="1:13" ht="15.65" customHeight="1">
      <c r="A54" s="113" t="s">
        <v>118</v>
      </c>
      <c r="B54" s="115" t="s">
        <v>119</v>
      </c>
      <c r="C54" s="190">
        <v>188.09</v>
      </c>
      <c r="D54" s="193">
        <v>298240</v>
      </c>
      <c r="E54" s="112">
        <f>+D54*C54</f>
        <v>56095961.600000001</v>
      </c>
      <c r="F54" s="196">
        <v>12300000</v>
      </c>
      <c r="G54" s="193">
        <v>563000</v>
      </c>
      <c r="H54" s="112">
        <f>+E54+F54-G54</f>
        <v>67832961.599999994</v>
      </c>
      <c r="I54" s="193">
        <v>4320000</v>
      </c>
      <c r="J54" s="242">
        <f t="shared" si="3"/>
        <v>15.702074444444444</v>
      </c>
      <c r="K54" s="246">
        <v>1.59</v>
      </c>
    </row>
    <row r="55" spans="1:13" ht="15.65" customHeight="1">
      <c r="A55" s="113" t="s">
        <v>159</v>
      </c>
      <c r="B55" s="115" t="s">
        <v>160</v>
      </c>
      <c r="C55" s="190">
        <v>11.5</v>
      </c>
      <c r="D55" s="193">
        <v>215730</v>
      </c>
      <c r="E55" s="112">
        <f t="shared" si="1"/>
        <v>2480895</v>
      </c>
      <c r="F55" s="196">
        <v>4720000</v>
      </c>
      <c r="G55" s="193">
        <v>797000</v>
      </c>
      <c r="H55" s="112">
        <f t="shared" si="2"/>
        <v>6403895</v>
      </c>
      <c r="I55" s="193">
        <v>615000</v>
      </c>
      <c r="J55" s="242">
        <f t="shared" si="3"/>
        <v>10.412837398373984</v>
      </c>
      <c r="K55" s="246">
        <v>2</v>
      </c>
    </row>
    <row r="56" spans="1:13" ht="15.65" customHeight="1" thickBot="1">
      <c r="A56" s="116" t="s">
        <v>161</v>
      </c>
      <c r="B56" s="117" t="s">
        <v>427</v>
      </c>
      <c r="C56" s="191">
        <v>71.599999999999994</v>
      </c>
      <c r="D56" s="194">
        <v>82960</v>
      </c>
      <c r="E56" s="118">
        <f t="shared" si="1"/>
        <v>5939935.9999999991</v>
      </c>
      <c r="F56" s="197">
        <v>2160000</v>
      </c>
      <c r="G56" s="194">
        <v>79000</v>
      </c>
      <c r="H56" s="118">
        <f t="shared" si="2"/>
        <v>8020935.9999999991</v>
      </c>
      <c r="I56" s="194">
        <v>573000</v>
      </c>
      <c r="J56" s="243">
        <f t="shared" si="3"/>
        <v>13.99814310645724</v>
      </c>
      <c r="K56" s="247">
        <v>1.39</v>
      </c>
    </row>
    <row r="57" spans="1:13" ht="9.5" customHeight="1" thickBot="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</row>
    <row r="58" spans="1:13" ht="15.65" customHeight="1" thickBot="1">
      <c r="A58" s="119" t="s">
        <v>122</v>
      </c>
      <c r="B58" s="120" t="s">
        <v>123</v>
      </c>
      <c r="C58" s="121">
        <f>+C27</f>
        <v>101.47</v>
      </c>
      <c r="D58" s="122">
        <f>D27</f>
        <v>103291.61328471469</v>
      </c>
      <c r="E58" s="122">
        <f>+D58*C58</f>
        <v>10481000</v>
      </c>
      <c r="F58" s="123">
        <f>+F27</f>
        <v>3099000</v>
      </c>
      <c r="G58" s="122">
        <f>+G27</f>
        <v>906000</v>
      </c>
      <c r="H58" s="122">
        <f>+F58+E58-G58</f>
        <v>12674000</v>
      </c>
      <c r="I58" s="122">
        <f>'Historical Analysis'!C91</f>
        <v>783000</v>
      </c>
      <c r="J58" s="244">
        <f>+H58/I58</f>
        <v>16.186462324393357</v>
      </c>
      <c r="K58" s="248">
        <f>+B33</f>
        <v>1.387</v>
      </c>
      <c r="L58" s="45"/>
    </row>
    <row r="59" spans="1:13" ht="15" thickBot="1">
      <c r="A59" s="105"/>
      <c r="B59" s="124"/>
      <c r="C59" s="125"/>
      <c r="D59" s="125"/>
      <c r="E59" s="124"/>
      <c r="F59" s="124"/>
      <c r="G59" s="124"/>
      <c r="H59" s="124"/>
      <c r="I59" s="124"/>
      <c r="J59" s="126"/>
      <c r="K59" s="124"/>
    </row>
    <row r="60" spans="1:13" ht="15" thickBot="1">
      <c r="A60" s="105" t="s">
        <v>425</v>
      </c>
      <c r="B60" s="127">
        <f>+I58</f>
        <v>783000</v>
      </c>
      <c r="C60" s="128">
        <f>+J61</f>
        <v>13.880575255309299</v>
      </c>
      <c r="D60" s="104" t="s">
        <v>401</v>
      </c>
      <c r="E60" s="130">
        <f>+H10</f>
        <v>83.990269384155297</v>
      </c>
      <c r="F60" s="124"/>
      <c r="G60" s="124"/>
      <c r="H60" s="124"/>
      <c r="I60" s="152" t="s">
        <v>162</v>
      </c>
      <c r="J60" s="128">
        <f>AVERAGE(J50:J56)</f>
        <v>13.892571018801885</v>
      </c>
      <c r="K60" s="128">
        <f>AVERAGE(K50:K58)</f>
        <v>1.4096250000000001</v>
      </c>
      <c r="L60" s="58"/>
    </row>
    <row r="61" spans="1:13" ht="15" thickBot="1">
      <c r="A61" s="105" t="s">
        <v>421</v>
      </c>
      <c r="B61" s="127">
        <f>+B60</f>
        <v>783000</v>
      </c>
      <c r="C61" s="128">
        <f>AVERAGE(J51,J54)</f>
        <v>17.374285862222223</v>
      </c>
      <c r="D61" s="104" t="s">
        <v>401</v>
      </c>
      <c r="E61" s="198">
        <f>+((C61*B61)-F58+G58)/D58</f>
        <v>110.47427247230956</v>
      </c>
      <c r="F61" s="129"/>
      <c r="G61" s="129"/>
      <c r="H61" s="124"/>
      <c r="I61" s="152" t="s">
        <v>420</v>
      </c>
      <c r="J61" s="128">
        <f>SUM(J50+J52+J54+J55+J56)/5</f>
        <v>13.880575255309299</v>
      </c>
      <c r="K61" s="128"/>
    </row>
    <row r="62" spans="1:13" ht="15" thickBot="1">
      <c r="A62" s="105"/>
      <c r="B62" s="124"/>
      <c r="C62" s="124"/>
      <c r="D62" s="124"/>
      <c r="E62" s="105"/>
      <c r="F62" s="129"/>
      <c r="G62" s="129"/>
      <c r="H62" s="124"/>
      <c r="I62" s="152"/>
      <c r="J62" s="128"/>
      <c r="K62" s="128"/>
    </row>
    <row r="63" spans="1:13" ht="15" thickBot="1">
      <c r="A63" s="106" t="s">
        <v>163</v>
      </c>
      <c r="B63" s="107">
        <f>+B60*C60</f>
        <v>10868490.424907181</v>
      </c>
      <c r="C63" s="124"/>
      <c r="D63" s="124"/>
      <c r="E63" s="105"/>
      <c r="F63" s="129"/>
      <c r="G63" s="129"/>
      <c r="H63" s="124"/>
      <c r="I63" s="124"/>
      <c r="J63" s="131"/>
      <c r="K63" s="131"/>
    </row>
    <row r="64" spans="1:1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</sheetData>
  <hyperlinks>
    <hyperlink ref="C1" r:id="rId1" xr:uid="{C7AEFBB4-87F0-41DD-8CB5-3721A78EFE8B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064F-496F-4672-A27B-C24FAFADFE9A}">
  <sheetPr>
    <tabColor rgb="FFFF0000"/>
  </sheetPr>
  <dimension ref="A1:R55"/>
  <sheetViews>
    <sheetView workbookViewId="0">
      <selection activeCell="B1" sqref="B1"/>
    </sheetView>
  </sheetViews>
  <sheetFormatPr defaultRowHeight="14.5"/>
  <cols>
    <col min="1" max="1" width="49" bestFit="1" customWidth="1"/>
    <col min="2" max="4" width="12.1796875" bestFit="1" customWidth="1"/>
    <col min="5" max="5" width="14" bestFit="1" customWidth="1"/>
    <col min="6" max="7" width="13.36328125" bestFit="1" customWidth="1"/>
    <col min="8" max="9" width="12.1796875" bestFit="1" customWidth="1"/>
    <col min="10" max="12" width="13.36328125" bestFit="1" customWidth="1"/>
    <col min="13" max="15" width="12.1796875" bestFit="1" customWidth="1"/>
    <col min="16" max="16" width="13" bestFit="1" customWidth="1"/>
    <col min="17" max="18" width="12.1796875" bestFit="1" customWidth="1"/>
  </cols>
  <sheetData>
    <row r="1" spans="1:18">
      <c r="A1" t="s">
        <v>176</v>
      </c>
      <c r="B1" s="35" t="s">
        <v>177</v>
      </c>
      <c r="C1" s="63">
        <v>44926</v>
      </c>
      <c r="D1" s="63">
        <v>44561</v>
      </c>
      <c r="E1" s="63">
        <v>44196</v>
      </c>
      <c r="F1" s="63">
        <v>43830</v>
      </c>
      <c r="G1" s="63">
        <v>43465</v>
      </c>
      <c r="H1" s="63">
        <v>43100</v>
      </c>
      <c r="I1" s="63">
        <v>42735</v>
      </c>
      <c r="J1" s="63">
        <v>42369</v>
      </c>
      <c r="K1" s="63">
        <v>42004</v>
      </c>
      <c r="L1" s="63">
        <v>41639</v>
      </c>
      <c r="M1" s="63">
        <v>41274</v>
      </c>
      <c r="N1" s="63">
        <v>40908</v>
      </c>
      <c r="O1" s="63">
        <v>40543</v>
      </c>
      <c r="P1" s="63">
        <v>40178</v>
      </c>
      <c r="Q1" s="63">
        <v>39813</v>
      </c>
      <c r="R1" s="63">
        <v>39447</v>
      </c>
    </row>
    <row r="2" spans="1:18">
      <c r="A2" t="s">
        <v>178</v>
      </c>
      <c r="B2" s="45">
        <v>6514000000</v>
      </c>
      <c r="C2" s="45">
        <v>5891000000</v>
      </c>
      <c r="D2" s="45">
        <v>3028000000</v>
      </c>
      <c r="E2" s="45">
        <v>2066000000</v>
      </c>
      <c r="F2" s="45">
        <v>5020000000</v>
      </c>
      <c r="G2" s="45">
        <v>4454000000</v>
      </c>
      <c r="H2" s="45">
        <v>4685000000</v>
      </c>
      <c r="I2" s="45">
        <v>4429000000</v>
      </c>
      <c r="J2" s="45">
        <v>4328000000</v>
      </c>
      <c r="K2" s="45">
        <v>4415000000</v>
      </c>
      <c r="L2" s="45">
        <v>4184000000</v>
      </c>
      <c r="M2" s="45">
        <v>3949000000</v>
      </c>
      <c r="N2" s="45">
        <v>3698000000</v>
      </c>
      <c r="O2" s="45">
        <v>3527000000</v>
      </c>
      <c r="P2" s="45">
        <v>3332000000</v>
      </c>
      <c r="Q2" s="45">
        <v>3837000000</v>
      </c>
      <c r="R2" s="45">
        <v>3738000000</v>
      </c>
    </row>
    <row r="3" spans="1:18">
      <c r="A3" t="s">
        <v>179</v>
      </c>
      <c r="B3" s="45">
        <v>3302000000</v>
      </c>
      <c r="C3" s="45">
        <v>3029000000</v>
      </c>
      <c r="D3" s="45">
        <v>1371000000</v>
      </c>
      <c r="E3" s="45">
        <v>752000000</v>
      </c>
      <c r="F3" s="45">
        <v>2456000000</v>
      </c>
      <c r="G3" s="45">
        <v>2470000000</v>
      </c>
      <c r="H3" s="45">
        <v>2697000000</v>
      </c>
      <c r="I3" s="45">
        <v>2556000000</v>
      </c>
      <c r="J3" s="45">
        <v>2506000000</v>
      </c>
      <c r="K3" s="45">
        <v>2633000000</v>
      </c>
      <c r="L3" s="45">
        <v>2484000000</v>
      </c>
      <c r="M3" s="45">
        <v>2328000000</v>
      </c>
      <c r="N3" s="45">
        <v>3698000000</v>
      </c>
      <c r="O3" s="45">
        <v>3527000000</v>
      </c>
      <c r="P3" s="45">
        <v>3332000000</v>
      </c>
      <c r="Q3" s="45">
        <v>3837000000</v>
      </c>
      <c r="R3" s="45">
        <v>3738000000</v>
      </c>
    </row>
    <row r="4" spans="1:18">
      <c r="A4" t="s">
        <v>180</v>
      </c>
      <c r="B4" s="45">
        <v>5146000000</v>
      </c>
      <c r="C4" s="45">
        <v>4603000000</v>
      </c>
      <c r="D4" s="45">
        <v>2603000000</v>
      </c>
      <c r="E4" s="45">
        <v>2067000000</v>
      </c>
      <c r="F4" s="45">
        <v>4077000000</v>
      </c>
      <c r="G4" s="45">
        <v>3475000000</v>
      </c>
      <c r="H4" s="45">
        <v>3638000000</v>
      </c>
      <c r="I4" s="45">
        <v>3473000000</v>
      </c>
      <c r="J4" s="45">
        <v>3377000000</v>
      </c>
      <c r="K4" s="45">
        <v>3433000000</v>
      </c>
      <c r="L4" s="45">
        <v>3283000000</v>
      </c>
      <c r="M4" s="45">
        <v>3121000000</v>
      </c>
      <c r="N4" s="45">
        <v>2957000000</v>
      </c>
      <c r="O4" s="45">
        <v>2864000000</v>
      </c>
      <c r="P4" s="45">
        <v>2753000000</v>
      </c>
      <c r="Q4" s="45">
        <v>2934000000</v>
      </c>
      <c r="R4" s="45">
        <v>2847000000</v>
      </c>
    </row>
    <row r="5" spans="1:18">
      <c r="A5" t="s">
        <v>181</v>
      </c>
      <c r="B5" s="45">
        <v>1368000000</v>
      </c>
      <c r="C5" s="45">
        <v>1288000000</v>
      </c>
      <c r="D5" s="45">
        <v>425000000</v>
      </c>
      <c r="E5" s="45">
        <v>-1000000</v>
      </c>
      <c r="F5" s="45">
        <v>943000000</v>
      </c>
      <c r="G5" s="45">
        <v>979000000</v>
      </c>
      <c r="H5" s="45">
        <v>1047000000</v>
      </c>
      <c r="I5" s="45">
        <v>956000000</v>
      </c>
      <c r="J5" s="45">
        <v>951000000</v>
      </c>
      <c r="K5" s="45">
        <v>982000000</v>
      </c>
      <c r="L5" s="45">
        <v>901000000</v>
      </c>
      <c r="M5" s="45">
        <v>828000000</v>
      </c>
      <c r="N5" s="45">
        <v>741000000</v>
      </c>
      <c r="O5" s="45">
        <v>663000000</v>
      </c>
      <c r="P5" s="45">
        <v>579000000</v>
      </c>
      <c r="Q5" s="45">
        <v>903000000</v>
      </c>
      <c r="R5" s="45">
        <v>891000000</v>
      </c>
    </row>
    <row r="6" spans="1:18">
      <c r="A6" t="s">
        <v>182</v>
      </c>
      <c r="B6" s="45">
        <v>984000000</v>
      </c>
      <c r="C6" s="45">
        <v>890000000</v>
      </c>
      <c r="D6" s="45">
        <v>676000000</v>
      </c>
      <c r="E6" s="45">
        <v>631000000</v>
      </c>
      <c r="F6" s="45">
        <v>746000000</v>
      </c>
      <c r="G6" s="45">
        <v>647000000</v>
      </c>
      <c r="H6" s="45">
        <v>745000000</v>
      </c>
      <c r="I6" s="45">
        <v>657000000</v>
      </c>
      <c r="J6" s="45">
        <v>628000000</v>
      </c>
      <c r="K6" s="45">
        <v>703000000</v>
      </c>
      <c r="L6" s="45">
        <v>668000000</v>
      </c>
      <c r="M6" s="45">
        <v>669000000</v>
      </c>
      <c r="N6" s="45">
        <v>588000000</v>
      </c>
      <c r="O6" s="45">
        <v>555000000</v>
      </c>
      <c r="P6" s="45">
        <v>531000000</v>
      </c>
      <c r="Q6" s="45">
        <v>539000000</v>
      </c>
      <c r="R6" s="45">
        <v>506000000</v>
      </c>
    </row>
    <row r="7" spans="1:18">
      <c r="A7" t="s">
        <v>183</v>
      </c>
      <c r="B7" s="45">
        <v>580000000</v>
      </c>
      <c r="C7" s="45">
        <v>464000000</v>
      </c>
      <c r="D7" s="45">
        <v>366000000</v>
      </c>
      <c r="E7" s="45">
        <v>321000000</v>
      </c>
      <c r="F7" s="45">
        <v>417000000</v>
      </c>
      <c r="G7" s="45">
        <v>320000000</v>
      </c>
      <c r="H7" s="45">
        <v>379000000</v>
      </c>
      <c r="I7" s="45">
        <v>315000000</v>
      </c>
      <c r="J7" s="45">
        <v>308000000</v>
      </c>
      <c r="K7" s="45">
        <v>349000000</v>
      </c>
      <c r="L7" s="45">
        <v>323000000</v>
      </c>
      <c r="M7" s="45">
        <v>316000000</v>
      </c>
      <c r="N7" s="45">
        <v>283000000</v>
      </c>
      <c r="O7" s="45">
        <v>276000000</v>
      </c>
      <c r="P7" s="45">
        <v>261000000</v>
      </c>
      <c r="Q7" s="45">
        <v>290000000</v>
      </c>
      <c r="R7" s="45">
        <v>292000000</v>
      </c>
    </row>
    <row r="8" spans="1:18">
      <c r="A8" t="s">
        <v>184</v>
      </c>
      <c r="B8" s="45">
        <v>399000000</v>
      </c>
      <c r="C8" s="45">
        <v>426000000</v>
      </c>
      <c r="D8" s="45">
        <v>310000000</v>
      </c>
      <c r="E8" s="45">
        <v>310000000</v>
      </c>
      <c r="F8" s="45">
        <v>329000000</v>
      </c>
      <c r="G8" s="45">
        <v>327000000</v>
      </c>
      <c r="H8" s="45">
        <v>366000000</v>
      </c>
      <c r="I8" s="45">
        <v>342000000</v>
      </c>
      <c r="J8" s="45">
        <v>320000000</v>
      </c>
      <c r="K8" s="45">
        <v>354000000</v>
      </c>
      <c r="L8" s="45">
        <v>345000000</v>
      </c>
      <c r="M8" s="45">
        <v>353000000</v>
      </c>
      <c r="N8" s="45">
        <v>305000000</v>
      </c>
      <c r="O8" s="45">
        <v>279000000</v>
      </c>
      <c r="P8" s="45">
        <v>270000000</v>
      </c>
      <c r="Q8" s="45">
        <v>249000000</v>
      </c>
      <c r="R8" s="45">
        <v>214000000</v>
      </c>
    </row>
    <row r="9" spans="1:18">
      <c r="A9" t="s">
        <v>185</v>
      </c>
      <c r="B9" s="45">
        <v>399000000</v>
      </c>
      <c r="C9" s="45">
        <v>426000000</v>
      </c>
      <c r="D9" s="45">
        <v>310000000</v>
      </c>
      <c r="E9" s="45">
        <v>310000000</v>
      </c>
      <c r="F9" s="45">
        <v>329000000</v>
      </c>
      <c r="G9" s="45">
        <v>327000000</v>
      </c>
      <c r="H9" s="45">
        <v>366000000</v>
      </c>
      <c r="I9" s="45">
        <v>342000000</v>
      </c>
      <c r="J9" s="45">
        <v>320000000</v>
      </c>
      <c r="K9" s="45">
        <v>354000000</v>
      </c>
      <c r="L9" s="45">
        <v>345000000</v>
      </c>
      <c r="M9" s="45">
        <v>353000000</v>
      </c>
      <c r="N9" s="45">
        <v>305000000</v>
      </c>
      <c r="O9" s="45">
        <v>279000000</v>
      </c>
      <c r="P9" s="45">
        <v>270000000</v>
      </c>
      <c r="Q9" s="45">
        <v>249000000</v>
      </c>
      <c r="R9" s="45">
        <v>214000000</v>
      </c>
    </row>
    <row r="10" spans="1:18">
      <c r="A10" t="s">
        <v>186</v>
      </c>
      <c r="B10" s="45">
        <v>384000000</v>
      </c>
      <c r="C10" s="45">
        <v>398000000</v>
      </c>
      <c r="D10" s="45">
        <v>-251000000</v>
      </c>
      <c r="E10" s="45">
        <v>-632000000</v>
      </c>
      <c r="F10" s="45">
        <v>197000000</v>
      </c>
      <c r="G10" s="45">
        <v>332000000</v>
      </c>
      <c r="H10" s="45">
        <v>302000000</v>
      </c>
      <c r="I10" s="45">
        <v>299000000</v>
      </c>
      <c r="J10" s="45">
        <v>323000000</v>
      </c>
      <c r="K10" s="45">
        <v>279000000</v>
      </c>
      <c r="L10" s="45">
        <v>233000000</v>
      </c>
      <c r="M10" s="45">
        <v>159000000</v>
      </c>
      <c r="N10" s="45">
        <v>153000000</v>
      </c>
      <c r="O10" s="45">
        <v>108000000</v>
      </c>
      <c r="P10" s="45">
        <v>48000000</v>
      </c>
      <c r="Q10" s="45">
        <v>364000000</v>
      </c>
      <c r="R10" s="45">
        <v>385000000</v>
      </c>
    </row>
    <row r="11" spans="1:18">
      <c r="A11" t="s">
        <v>187</v>
      </c>
      <c r="B11" s="45">
        <v>-75000000</v>
      </c>
      <c r="C11" s="45">
        <v>-150000000</v>
      </c>
      <c r="D11" s="45">
        <v>-163000000</v>
      </c>
      <c r="E11" s="45">
        <v>-128000000</v>
      </c>
      <c r="F11" s="45">
        <v>-75000000</v>
      </c>
      <c r="G11" s="45">
        <v>-76000000</v>
      </c>
      <c r="H11" s="45">
        <v>-80000000</v>
      </c>
      <c r="I11" s="45">
        <v>-57000000</v>
      </c>
      <c r="J11" s="45">
        <v>-68000000</v>
      </c>
      <c r="K11" s="45">
        <v>-71000000</v>
      </c>
      <c r="L11" s="45">
        <v>-65000000</v>
      </c>
      <c r="M11" s="45">
        <v>-47000000</v>
      </c>
      <c r="N11" s="45">
        <v>-57000000</v>
      </c>
      <c r="O11" s="45">
        <v>-54000000</v>
      </c>
      <c r="P11" s="45">
        <v>-56000000</v>
      </c>
      <c r="Q11" s="45">
        <v>-75000000</v>
      </c>
      <c r="R11" s="45">
        <v>-43000000</v>
      </c>
    </row>
    <row r="12" spans="1:18">
      <c r="A12" t="s">
        <v>188</v>
      </c>
      <c r="B12" s="45">
        <v>61000000</v>
      </c>
      <c r="C12" s="45">
        <v>44000000</v>
      </c>
      <c r="D12" s="45">
        <v>28000000</v>
      </c>
      <c r="E12" s="45">
        <v>60000000</v>
      </c>
      <c r="F12" s="45">
        <v>62000000</v>
      </c>
      <c r="G12" s="45">
        <v>28000000</v>
      </c>
      <c r="H12" s="45">
        <v>47000000</v>
      </c>
      <c r="I12" s="45">
        <v>19000000</v>
      </c>
      <c r="J12" s="45">
        <v>4000000</v>
      </c>
      <c r="K12" s="45">
        <v>15000000</v>
      </c>
      <c r="L12" s="45">
        <v>34000000</v>
      </c>
      <c r="M12" s="45">
        <v>23000000</v>
      </c>
    </row>
    <row r="13" spans="1:18">
      <c r="A13" t="s">
        <v>189</v>
      </c>
      <c r="B13" s="45">
        <v>136000000</v>
      </c>
      <c r="C13" s="45">
        <v>150000000</v>
      </c>
      <c r="D13" s="45">
        <v>163000000</v>
      </c>
      <c r="E13" s="45">
        <v>128000000</v>
      </c>
      <c r="F13" s="45">
        <v>75000000</v>
      </c>
      <c r="G13" s="45">
        <v>76000000</v>
      </c>
      <c r="H13" s="45">
        <v>80000000</v>
      </c>
      <c r="I13" s="45">
        <v>76000000</v>
      </c>
      <c r="J13" s="45">
        <v>68000000</v>
      </c>
      <c r="K13" s="45">
        <v>71000000</v>
      </c>
      <c r="L13" s="45">
        <v>65000000</v>
      </c>
      <c r="M13" s="45">
        <v>70000000</v>
      </c>
      <c r="N13" s="45">
        <v>57000000</v>
      </c>
      <c r="O13" s="45">
        <v>54000000</v>
      </c>
      <c r="P13" s="45">
        <v>56000000</v>
      </c>
      <c r="Q13" s="45">
        <v>75000000</v>
      </c>
      <c r="R13" s="45">
        <v>43000000</v>
      </c>
    </row>
    <row r="14" spans="1:18">
      <c r="A14" t="s">
        <v>190</v>
      </c>
      <c r="F14" s="45">
        <v>-18000000</v>
      </c>
      <c r="G14" s="45">
        <v>-11000000</v>
      </c>
      <c r="H14" s="45">
        <v>-10000000</v>
      </c>
    </row>
    <row r="15" spans="1:18">
      <c r="A15" t="s">
        <v>191</v>
      </c>
      <c r="B15" s="45">
        <v>13000000</v>
      </c>
      <c r="C15" s="45">
        <v>115000000</v>
      </c>
      <c r="D15" s="45">
        <v>458000000</v>
      </c>
      <c r="E15" s="45">
        <v>-200000000</v>
      </c>
      <c r="F15" s="45">
        <v>884000000</v>
      </c>
      <c r="G15" s="45">
        <v>695000000</v>
      </c>
      <c r="H15" s="45">
        <v>351000000</v>
      </c>
      <c r="I15" s="45">
        <v>47000000</v>
      </c>
      <c r="J15" s="45">
        <v>-61000000</v>
      </c>
      <c r="K15" s="45">
        <v>317000000</v>
      </c>
      <c r="L15" s="45">
        <v>153000000</v>
      </c>
      <c r="M15" s="45">
        <v>-17000000</v>
      </c>
      <c r="N15" s="45">
        <v>-13000000</v>
      </c>
      <c r="O15" s="45">
        <v>34000000</v>
      </c>
      <c r="P15" s="45">
        <v>-47000000</v>
      </c>
      <c r="Q15" s="45">
        <v>-85000000</v>
      </c>
      <c r="R15" s="45">
        <v>132000000</v>
      </c>
    </row>
    <row r="16" spans="1:18">
      <c r="A16" t="s">
        <v>192</v>
      </c>
      <c r="B16" s="45">
        <v>51000000</v>
      </c>
      <c r="C16" s="45">
        <v>188000000</v>
      </c>
      <c r="D16" s="45">
        <v>457000000</v>
      </c>
      <c r="E16" s="45">
        <v>24000000</v>
      </c>
      <c r="F16" s="45">
        <v>785000000</v>
      </c>
      <c r="G16" s="45">
        <v>761000000</v>
      </c>
      <c r="H16" s="45">
        <v>98000000</v>
      </c>
      <c r="I16" s="45">
        <v>-9000000</v>
      </c>
      <c r="J16" s="45">
        <v>13000000</v>
      </c>
      <c r="K16" s="45">
        <v>326000000</v>
      </c>
      <c r="L16" s="45">
        <v>159000000</v>
      </c>
      <c r="M16" s="45">
        <v>35000000</v>
      </c>
      <c r="O16" s="45">
        <v>21000000</v>
      </c>
      <c r="P16" s="45">
        <v>29000000</v>
      </c>
      <c r="Q16" s="45">
        <v>-36000000</v>
      </c>
      <c r="R16" s="45">
        <v>15000000</v>
      </c>
    </row>
    <row r="17" spans="1:18">
      <c r="A17" t="s">
        <v>193</v>
      </c>
      <c r="B17" s="45">
        <v>10000000</v>
      </c>
      <c r="C17" s="45">
        <v>5000000</v>
      </c>
      <c r="D17" s="45">
        <v>28000000</v>
      </c>
      <c r="E17" s="45">
        <v>-70000000</v>
      </c>
      <c r="F17" s="45">
        <v>-10000000</v>
      </c>
      <c r="G17" s="45">
        <v>8000000</v>
      </c>
      <c r="H17" s="45">
        <v>220000000</v>
      </c>
      <c r="I17" s="45">
        <v>68000000</v>
      </c>
      <c r="J17" s="45">
        <v>-64000000</v>
      </c>
      <c r="K17" s="45">
        <v>25000000</v>
      </c>
      <c r="L17" s="45">
        <v>-1000000</v>
      </c>
      <c r="M17" s="45">
        <v>-22000000</v>
      </c>
      <c r="N17" s="45">
        <v>4000000</v>
      </c>
      <c r="O17" s="45">
        <v>-40000000</v>
      </c>
      <c r="P17" s="45">
        <v>-13000000</v>
      </c>
      <c r="Q17" s="45">
        <v>14000000</v>
      </c>
      <c r="R17" s="45">
        <v>11000000</v>
      </c>
    </row>
    <row r="18" spans="1:18">
      <c r="A18" t="s">
        <v>194</v>
      </c>
      <c r="B18" s="45">
        <v>-60000000</v>
      </c>
      <c r="C18" s="45">
        <v>-38000000</v>
      </c>
      <c r="D18" s="45">
        <v>-8000000</v>
      </c>
      <c r="E18" s="45">
        <v>-62000000</v>
      </c>
      <c r="F18" s="45">
        <v>-18000000</v>
      </c>
      <c r="G18" s="45">
        <v>-25000000</v>
      </c>
      <c r="H18" s="45">
        <v>51000000</v>
      </c>
      <c r="I18" s="45">
        <v>-4000000</v>
      </c>
      <c r="J18" s="45">
        <v>-5000000</v>
      </c>
      <c r="K18" s="45">
        <v>-17000000</v>
      </c>
      <c r="L18" s="45">
        <v>-22000000</v>
      </c>
      <c r="M18" s="45">
        <v>-27000000</v>
      </c>
      <c r="N18" s="45">
        <v>-17000000</v>
      </c>
      <c r="O18" s="45">
        <v>53000000</v>
      </c>
      <c r="P18" s="45">
        <v>-63000000</v>
      </c>
      <c r="Q18" s="45">
        <v>-63000000</v>
      </c>
      <c r="R18" s="45">
        <v>106000000</v>
      </c>
    </row>
    <row r="19" spans="1:18">
      <c r="A19" t="s">
        <v>195</v>
      </c>
      <c r="B19" s="45">
        <v>56000000</v>
      </c>
      <c r="C19" s="45">
        <v>45000000</v>
      </c>
      <c r="D19" s="45">
        <v>49000000</v>
      </c>
      <c r="E19" s="45">
        <v>72000000</v>
      </c>
      <c r="F19" s="45">
        <v>-29000000</v>
      </c>
      <c r="G19" s="45">
        <v>10000000</v>
      </c>
      <c r="J19">
        <v>0</v>
      </c>
      <c r="K19" s="45">
        <v>13000000</v>
      </c>
      <c r="L19" s="45">
        <v>10000000</v>
      </c>
      <c r="M19" s="45">
        <v>23000000</v>
      </c>
    </row>
    <row r="20" spans="1:18">
      <c r="A20" t="s">
        <v>196</v>
      </c>
      <c r="B20" s="45">
        <v>35000000</v>
      </c>
      <c r="C20" s="45">
        <v>38000000</v>
      </c>
      <c r="D20" s="45">
        <v>8000000</v>
      </c>
      <c r="E20" s="45">
        <v>62000000</v>
      </c>
      <c r="F20" s="45">
        <v>18000000</v>
      </c>
      <c r="G20" s="45">
        <v>25000000</v>
      </c>
      <c r="H20">
        <v>0</v>
      </c>
      <c r="I20">
        <v>0</v>
      </c>
      <c r="J20" s="45">
        <v>5000000</v>
      </c>
      <c r="K20" s="45">
        <v>17000000</v>
      </c>
      <c r="L20" s="45">
        <v>22000000</v>
      </c>
      <c r="M20">
        <v>0</v>
      </c>
      <c r="N20" s="45">
        <v>6000000</v>
      </c>
      <c r="O20" s="45">
        <v>44000000</v>
      </c>
      <c r="P20" s="45">
        <v>15000000</v>
      </c>
      <c r="Q20" s="45">
        <v>86000000</v>
      </c>
      <c r="R20" s="45">
        <v>61000000</v>
      </c>
    </row>
    <row r="21" spans="1:18">
      <c r="A21" t="s">
        <v>197</v>
      </c>
      <c r="C21" s="45">
        <v>-16000000</v>
      </c>
      <c r="D21" s="45">
        <v>22000000</v>
      </c>
      <c r="E21" s="45">
        <v>29000000</v>
      </c>
      <c r="F21">
        <v>0</v>
      </c>
      <c r="G21" s="45">
        <v>22000000</v>
      </c>
      <c r="K21">
        <v>0</v>
      </c>
      <c r="L21">
        <v>0</v>
      </c>
      <c r="M21" s="45">
        <v>4000000</v>
      </c>
    </row>
    <row r="22" spans="1:18">
      <c r="A22" t="s">
        <v>198</v>
      </c>
      <c r="C22" s="45">
        <v>-6000000</v>
      </c>
      <c r="D22" s="45">
        <v>-17000000</v>
      </c>
      <c r="E22" s="45">
        <v>-23000000</v>
      </c>
      <c r="F22" s="45">
        <v>-25000000</v>
      </c>
      <c r="G22" s="45">
        <v>-19000000</v>
      </c>
      <c r="H22" s="45">
        <v>-24000000</v>
      </c>
      <c r="I22" s="45">
        <v>4000000</v>
      </c>
      <c r="J22" s="45">
        <v>-30000000</v>
      </c>
      <c r="K22" s="45">
        <v>-7000000</v>
      </c>
      <c r="L22" s="45">
        <v>55000000</v>
      </c>
      <c r="N22" s="45">
        <v>9000000</v>
      </c>
      <c r="O22" s="45">
        <v>-71000000</v>
      </c>
      <c r="P22" s="45">
        <v>48000000</v>
      </c>
      <c r="Q22" s="45">
        <v>-23000000</v>
      </c>
      <c r="R22" s="45">
        <v>-145000000</v>
      </c>
    </row>
    <row r="23" spans="1:18">
      <c r="A23" t="s">
        <v>199</v>
      </c>
      <c r="D23">
        <v>0</v>
      </c>
      <c r="E23">
        <v>0</v>
      </c>
      <c r="F23" s="45">
        <v>723000000</v>
      </c>
      <c r="G23" s="45">
        <v>772000000</v>
      </c>
      <c r="H23" s="45">
        <v>51000000</v>
      </c>
      <c r="I23" s="45">
        <v>-23000000</v>
      </c>
      <c r="J23" s="45">
        <v>9000000</v>
      </c>
      <c r="K23" s="45">
        <v>311000000</v>
      </c>
      <c r="L23" s="45">
        <v>125000000</v>
      </c>
      <c r="M23">
        <v>0</v>
      </c>
      <c r="N23" s="45">
        <v>-2000000</v>
      </c>
      <c r="O23" s="45">
        <v>26000000</v>
      </c>
      <c r="P23">
        <v>0</v>
      </c>
      <c r="Q23">
        <v>0</v>
      </c>
      <c r="R23" s="45">
        <v>22000000</v>
      </c>
    </row>
    <row r="24" spans="1:18">
      <c r="A24" t="s">
        <v>200</v>
      </c>
      <c r="B24" s="45">
        <v>12000000</v>
      </c>
      <c r="C24" s="45">
        <v>-40000000</v>
      </c>
      <c r="D24" s="45">
        <v>-19000000</v>
      </c>
      <c r="E24" s="45">
        <v>-92000000</v>
      </c>
      <c r="F24" s="45">
        <v>127000000</v>
      </c>
      <c r="G24" s="45">
        <v>-49000000</v>
      </c>
      <c r="H24" s="45">
        <v>33000000</v>
      </c>
      <c r="I24" s="45">
        <v>-8000000</v>
      </c>
      <c r="J24" s="45">
        <v>-5000000</v>
      </c>
      <c r="K24" s="45">
        <v>-17000000</v>
      </c>
      <c r="L24" s="45">
        <v>17000000</v>
      </c>
      <c r="M24" s="45">
        <v>-3000000</v>
      </c>
    </row>
    <row r="25" spans="1:18">
      <c r="A25" t="s">
        <v>201</v>
      </c>
      <c r="B25" s="45">
        <v>322000000</v>
      </c>
      <c r="C25" s="45">
        <v>363000000</v>
      </c>
      <c r="D25" s="45">
        <v>44000000</v>
      </c>
      <c r="E25" s="45">
        <v>-960000000</v>
      </c>
      <c r="F25" s="45">
        <v>1006000000</v>
      </c>
      <c r="G25" s="45">
        <v>951000000</v>
      </c>
      <c r="H25" s="45">
        <v>573000000</v>
      </c>
      <c r="I25" s="45">
        <v>289000000</v>
      </c>
      <c r="J25" s="45">
        <v>194000000</v>
      </c>
      <c r="K25" s="45">
        <v>525000000</v>
      </c>
      <c r="L25" s="45">
        <v>321000000</v>
      </c>
      <c r="M25" s="45">
        <v>95000000</v>
      </c>
      <c r="N25" s="45">
        <v>83000000</v>
      </c>
      <c r="O25" s="45">
        <v>88000000</v>
      </c>
      <c r="P25" s="45">
        <v>-55000000</v>
      </c>
      <c r="Q25" s="45">
        <v>204000000</v>
      </c>
      <c r="R25" s="45">
        <v>474000000</v>
      </c>
    </row>
    <row r="26" spans="1:18">
      <c r="A26" t="s">
        <v>202</v>
      </c>
      <c r="B26" s="45">
        <v>-126000000</v>
      </c>
      <c r="C26" s="45">
        <v>-92000000</v>
      </c>
      <c r="D26" s="45">
        <v>266000000</v>
      </c>
      <c r="E26" s="45">
        <v>-257000000</v>
      </c>
      <c r="F26" s="45">
        <v>240000000</v>
      </c>
      <c r="G26" s="45">
        <v>182000000</v>
      </c>
      <c r="H26" s="45">
        <v>323000000</v>
      </c>
      <c r="I26" s="45">
        <v>85000000</v>
      </c>
      <c r="J26" s="45">
        <v>70000000</v>
      </c>
      <c r="K26" s="45">
        <v>179000000</v>
      </c>
      <c r="L26" s="45">
        <v>116000000</v>
      </c>
      <c r="M26" s="45">
        <v>8000000</v>
      </c>
      <c r="N26" s="45">
        <v>-28000000</v>
      </c>
      <c r="O26" s="45">
        <v>37000000</v>
      </c>
      <c r="P26" s="45">
        <v>-10000000</v>
      </c>
      <c r="Q26" s="45">
        <v>90000000</v>
      </c>
      <c r="R26" s="45">
        <v>208000000</v>
      </c>
    </row>
    <row r="27" spans="1:18">
      <c r="A27" t="s">
        <v>203</v>
      </c>
      <c r="B27" s="45">
        <v>448000000</v>
      </c>
      <c r="C27" s="45">
        <v>455000000</v>
      </c>
      <c r="D27" s="45">
        <v>-222000000</v>
      </c>
      <c r="E27" s="45">
        <v>-703000000</v>
      </c>
      <c r="F27" s="45">
        <v>766000000</v>
      </c>
      <c r="G27" s="45">
        <v>769000000</v>
      </c>
      <c r="H27" s="45">
        <v>249000000</v>
      </c>
      <c r="I27" s="45">
        <v>204000000</v>
      </c>
      <c r="J27" s="45">
        <v>124000000</v>
      </c>
      <c r="K27" s="45">
        <v>344000000</v>
      </c>
      <c r="L27" s="45">
        <v>207000000</v>
      </c>
      <c r="M27" s="45">
        <v>88000000</v>
      </c>
      <c r="N27" s="45">
        <v>113000000</v>
      </c>
      <c r="O27" s="45">
        <v>66000000</v>
      </c>
      <c r="P27" s="45">
        <v>-43000000</v>
      </c>
      <c r="Q27" s="45">
        <v>170000000</v>
      </c>
      <c r="R27" s="45">
        <v>271000000</v>
      </c>
    </row>
    <row r="28" spans="1:18">
      <c r="A28" t="s">
        <v>204</v>
      </c>
      <c r="B28" s="45">
        <v>448000000</v>
      </c>
      <c r="C28" s="45">
        <v>455000000</v>
      </c>
      <c r="D28" s="45">
        <v>-222000000</v>
      </c>
      <c r="E28" s="45">
        <v>-703000000</v>
      </c>
      <c r="F28" s="45">
        <v>766000000</v>
      </c>
      <c r="G28" s="45">
        <v>769000000</v>
      </c>
      <c r="H28" s="45">
        <v>249000000</v>
      </c>
      <c r="I28" s="45">
        <v>204000000</v>
      </c>
      <c r="J28" s="45">
        <v>124000000</v>
      </c>
      <c r="K28" s="45">
        <v>344000000</v>
      </c>
      <c r="L28" s="45">
        <v>207000000</v>
      </c>
      <c r="M28" s="45">
        <v>88000000</v>
      </c>
      <c r="N28" s="45">
        <v>113000000</v>
      </c>
      <c r="O28" s="45">
        <v>66000000</v>
      </c>
      <c r="P28" s="45">
        <v>-43000000</v>
      </c>
      <c r="Q28" s="45">
        <v>170000000</v>
      </c>
      <c r="R28" s="45">
        <v>271000000</v>
      </c>
    </row>
    <row r="29" spans="1:18">
      <c r="A29" t="s">
        <v>205</v>
      </c>
      <c r="B29" s="45">
        <v>448000000</v>
      </c>
      <c r="C29" s="45">
        <v>455000000</v>
      </c>
      <c r="D29" s="45">
        <v>-222000000</v>
      </c>
      <c r="E29" s="45">
        <v>-703000000</v>
      </c>
      <c r="F29" s="45">
        <v>766000000</v>
      </c>
      <c r="G29" s="45">
        <v>769000000</v>
      </c>
      <c r="H29" s="45">
        <v>250000000</v>
      </c>
      <c r="I29" s="45">
        <v>204000000</v>
      </c>
      <c r="J29" s="45">
        <v>124000000</v>
      </c>
      <c r="K29" s="45">
        <v>346000000</v>
      </c>
      <c r="L29" s="45">
        <v>205000000</v>
      </c>
      <c r="M29" s="45">
        <v>87000000</v>
      </c>
      <c r="N29" s="45">
        <v>111000000</v>
      </c>
      <c r="O29" s="45">
        <v>55000000</v>
      </c>
      <c r="P29" s="45">
        <v>-46000000</v>
      </c>
      <c r="Q29" s="45">
        <v>168000000</v>
      </c>
      <c r="R29" s="45">
        <v>270000000</v>
      </c>
    </row>
    <row r="30" spans="1:18">
      <c r="A30" t="s">
        <v>206</v>
      </c>
      <c r="B30" s="45">
        <v>448000000</v>
      </c>
      <c r="C30" s="45">
        <v>455000000</v>
      </c>
      <c r="D30" s="45">
        <v>-222000000</v>
      </c>
      <c r="E30" s="45">
        <v>-703000000</v>
      </c>
      <c r="F30" s="45">
        <v>766000000</v>
      </c>
      <c r="G30" s="45">
        <v>769000000</v>
      </c>
      <c r="H30" s="45">
        <v>250000000</v>
      </c>
      <c r="I30" s="45">
        <v>204000000</v>
      </c>
      <c r="J30" s="45">
        <v>124000000</v>
      </c>
      <c r="K30" s="45">
        <v>346000000</v>
      </c>
      <c r="L30" s="45">
        <v>205000000</v>
      </c>
      <c r="M30" s="45">
        <v>87000000</v>
      </c>
      <c r="N30" s="45">
        <v>111000000</v>
      </c>
      <c r="O30" s="45">
        <v>51000000</v>
      </c>
      <c r="P30" s="45">
        <v>-45000000</v>
      </c>
      <c r="Q30" s="45">
        <v>114000000</v>
      </c>
      <c r="R30" s="45">
        <v>266000000</v>
      </c>
    </row>
    <row r="31" spans="1:18">
      <c r="A31" t="s">
        <v>207</v>
      </c>
      <c r="M31">
        <v>0</v>
      </c>
      <c r="N31">
        <v>0</v>
      </c>
      <c r="O31" s="45">
        <v>4000000</v>
      </c>
      <c r="P31" s="45">
        <v>-1000000</v>
      </c>
      <c r="Q31" s="45">
        <v>56000000</v>
      </c>
      <c r="R31" s="45">
        <v>5000000</v>
      </c>
    </row>
    <row r="32" spans="1:18">
      <c r="A32" t="s">
        <v>208</v>
      </c>
      <c r="Q32">
        <v>0</v>
      </c>
      <c r="R32">
        <v>0</v>
      </c>
    </row>
    <row r="33" spans="1:18">
      <c r="A33" t="s">
        <v>209</v>
      </c>
      <c r="Q33" s="45">
        <v>-2000000</v>
      </c>
      <c r="R33" s="45">
        <v>-1000000</v>
      </c>
    </row>
    <row r="34" spans="1:18">
      <c r="A34" t="s">
        <v>210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 s="45">
        <v>-1000000</v>
      </c>
      <c r="I34">
        <v>0</v>
      </c>
      <c r="K34" s="45">
        <v>-2000000</v>
      </c>
      <c r="L34" s="45">
        <v>2000000</v>
      </c>
      <c r="M34" s="45">
        <v>1000000</v>
      </c>
      <c r="N34" s="45">
        <v>2000000</v>
      </c>
      <c r="O34" s="45">
        <v>11000000</v>
      </c>
      <c r="P34" s="45">
        <v>3000000</v>
      </c>
      <c r="Q34" s="45">
        <v>-2000000</v>
      </c>
      <c r="R34" s="45">
        <v>-1000000</v>
      </c>
    </row>
    <row r="35" spans="1:18">
      <c r="A35" t="s">
        <v>211</v>
      </c>
      <c r="B35" s="45">
        <v>448000000</v>
      </c>
      <c r="C35" s="45">
        <v>455000000</v>
      </c>
      <c r="D35" s="45">
        <v>-222000000</v>
      </c>
      <c r="E35" s="45">
        <v>-703000000</v>
      </c>
      <c r="F35" s="45">
        <v>766000000</v>
      </c>
      <c r="G35" s="45">
        <v>769000000</v>
      </c>
      <c r="H35" s="45">
        <v>249000000</v>
      </c>
      <c r="I35" s="45">
        <v>204000000</v>
      </c>
      <c r="J35" s="45">
        <v>124000000</v>
      </c>
      <c r="K35" s="45">
        <v>344000000</v>
      </c>
      <c r="L35" s="45">
        <v>207000000</v>
      </c>
      <c r="M35" s="45">
        <v>88000000</v>
      </c>
      <c r="N35" s="45">
        <v>113000000</v>
      </c>
      <c r="O35" s="45">
        <v>66000000</v>
      </c>
      <c r="P35" s="45">
        <v>-43000000</v>
      </c>
      <c r="Q35" s="45">
        <v>170000000</v>
      </c>
      <c r="R35" s="45">
        <v>271000000</v>
      </c>
    </row>
    <row r="36" spans="1:18">
      <c r="A36" t="s">
        <v>212</v>
      </c>
      <c r="C36">
        <v>4.17</v>
      </c>
      <c r="D36">
        <v>-2.13</v>
      </c>
      <c r="E36">
        <v>-6.93</v>
      </c>
      <c r="F36">
        <v>7.33</v>
      </c>
      <c r="G36">
        <v>6.79</v>
      </c>
      <c r="H36">
        <v>3.12</v>
      </c>
      <c r="I36">
        <v>1.55</v>
      </c>
      <c r="J36">
        <v>0.87</v>
      </c>
      <c r="K36">
        <v>2.25</v>
      </c>
      <c r="L36">
        <v>1.3</v>
      </c>
      <c r="M36">
        <v>0.53</v>
      </c>
      <c r="N36">
        <v>0.67</v>
      </c>
      <c r="O36">
        <v>0.38</v>
      </c>
      <c r="P36">
        <v>-0.28000000000000003</v>
      </c>
      <c r="Q36">
        <v>1.31</v>
      </c>
      <c r="R36">
        <v>2.0099999999999998</v>
      </c>
    </row>
    <row r="37" spans="1:18">
      <c r="A37" t="s">
        <v>213</v>
      </c>
      <c r="C37">
        <v>4.09</v>
      </c>
      <c r="D37">
        <v>-2.13</v>
      </c>
      <c r="E37">
        <v>-6.93</v>
      </c>
      <c r="F37">
        <v>7.21</v>
      </c>
      <c r="G37">
        <v>6.68</v>
      </c>
      <c r="H37">
        <v>3.08</v>
      </c>
      <c r="I37">
        <v>1.53</v>
      </c>
      <c r="J37">
        <v>0.86</v>
      </c>
      <c r="K37">
        <v>2.23</v>
      </c>
      <c r="L37">
        <v>1.3</v>
      </c>
      <c r="M37">
        <v>0.53</v>
      </c>
      <c r="N37">
        <v>0.67</v>
      </c>
      <c r="O37">
        <v>0.38</v>
      </c>
      <c r="P37">
        <v>-0.28000000000000003</v>
      </c>
      <c r="Q37">
        <v>1.31</v>
      </c>
      <c r="R37">
        <v>2.0099999999999998</v>
      </c>
    </row>
    <row r="38" spans="1:18">
      <c r="A38" t="s">
        <v>214</v>
      </c>
      <c r="C38" s="45">
        <v>109093790</v>
      </c>
      <c r="D38" s="45">
        <v>103970738</v>
      </c>
      <c r="E38" s="45">
        <v>101325394</v>
      </c>
      <c r="F38" s="45">
        <v>104590383</v>
      </c>
      <c r="G38" s="45">
        <v>113259113</v>
      </c>
      <c r="H38" s="45">
        <v>124836917</v>
      </c>
      <c r="I38" s="45">
        <v>132930578</v>
      </c>
      <c r="J38" s="45">
        <v>142814868</v>
      </c>
      <c r="K38" s="45">
        <v>153136511</v>
      </c>
      <c r="L38" s="45">
        <v>158544930</v>
      </c>
      <c r="M38" s="45">
        <v>165017485</v>
      </c>
      <c r="N38" s="45">
        <v>168761751</v>
      </c>
      <c r="O38" s="45">
        <v>174115200</v>
      </c>
      <c r="P38" s="45">
        <v>153571429</v>
      </c>
      <c r="Q38" s="45">
        <v>128037015</v>
      </c>
      <c r="R38" s="45">
        <v>134585000</v>
      </c>
    </row>
    <row r="39" spans="1:18">
      <c r="A39" t="s">
        <v>215</v>
      </c>
      <c r="C39" s="45">
        <v>111264939</v>
      </c>
      <c r="D39" s="45">
        <v>103970738</v>
      </c>
      <c r="E39" s="45">
        <v>101325394</v>
      </c>
      <c r="F39" s="45">
        <v>106292404</v>
      </c>
      <c r="G39" s="45">
        <v>115125017</v>
      </c>
      <c r="H39" s="45">
        <v>126346903</v>
      </c>
      <c r="I39" s="45">
        <v>133939331</v>
      </c>
      <c r="J39" s="45">
        <v>143999323</v>
      </c>
      <c r="K39" s="45">
        <v>154350452</v>
      </c>
      <c r="L39" s="45">
        <v>159189079</v>
      </c>
      <c r="M39" s="45">
        <v>165377328</v>
      </c>
      <c r="N39" s="45">
        <v>169240447</v>
      </c>
      <c r="O39" s="45">
        <v>174354202</v>
      </c>
      <c r="P39" s="45">
        <v>153571429</v>
      </c>
      <c r="Q39" s="45">
        <v>128061147</v>
      </c>
      <c r="R39" s="45">
        <v>134634000</v>
      </c>
    </row>
    <row r="40" spans="1:18">
      <c r="A40" t="s">
        <v>216</v>
      </c>
      <c r="B40" s="45">
        <v>6130000000</v>
      </c>
      <c r="C40" s="45">
        <v>5493000000</v>
      </c>
      <c r="D40" s="45">
        <v>3279000000</v>
      </c>
      <c r="E40" s="45">
        <v>2698000000</v>
      </c>
      <c r="F40" s="45">
        <v>4823000000</v>
      </c>
      <c r="G40" s="45">
        <v>4122000000</v>
      </c>
      <c r="H40" s="45">
        <v>4383000000</v>
      </c>
      <c r="I40" s="45">
        <v>4130000000</v>
      </c>
      <c r="J40" s="45">
        <v>4005000000</v>
      </c>
      <c r="K40" s="45">
        <v>4136000000</v>
      </c>
      <c r="L40" s="45">
        <v>3951000000</v>
      </c>
      <c r="M40" s="45">
        <v>3790000000</v>
      </c>
      <c r="N40" s="45">
        <v>3545000000</v>
      </c>
      <c r="O40" s="45">
        <v>3419000000</v>
      </c>
      <c r="P40" s="45">
        <v>3284000000</v>
      </c>
      <c r="Q40" s="45">
        <v>3473000000</v>
      </c>
      <c r="R40" s="45">
        <v>3353000000</v>
      </c>
    </row>
    <row r="41" spans="1:18">
      <c r="A41" t="s">
        <v>217</v>
      </c>
      <c r="B41" s="45">
        <v>448000000</v>
      </c>
      <c r="C41" s="45">
        <v>455000000</v>
      </c>
      <c r="D41" s="45">
        <v>-222000000</v>
      </c>
      <c r="E41" s="45">
        <v>-703000000</v>
      </c>
      <c r="F41" s="45">
        <v>766000000</v>
      </c>
      <c r="G41" s="45">
        <v>769000000</v>
      </c>
      <c r="H41" s="45">
        <v>249000000</v>
      </c>
      <c r="I41" s="45">
        <v>204000000</v>
      </c>
      <c r="J41" s="45">
        <v>124000000</v>
      </c>
      <c r="K41" s="45">
        <v>344000000</v>
      </c>
      <c r="L41" s="45">
        <v>207000000</v>
      </c>
      <c r="M41" s="45">
        <v>88000000</v>
      </c>
      <c r="N41" s="45">
        <v>113000000</v>
      </c>
      <c r="O41" s="45">
        <v>66000000</v>
      </c>
      <c r="P41" s="45">
        <v>-43000000</v>
      </c>
      <c r="Q41" s="45">
        <v>172000000</v>
      </c>
      <c r="R41" s="45">
        <v>272000000</v>
      </c>
    </row>
    <row r="42" spans="1:18">
      <c r="A42" t="s">
        <v>218</v>
      </c>
      <c r="B42" s="45">
        <v>453400000</v>
      </c>
      <c r="C42" s="45">
        <v>365000000</v>
      </c>
      <c r="D42" s="45">
        <v>-549770000</v>
      </c>
      <c r="E42" s="76">
        <v>-675172916.66700006</v>
      </c>
      <c r="F42" s="76">
        <v>181982107.35600001</v>
      </c>
      <c r="G42" s="76">
        <v>173853838.065</v>
      </c>
      <c r="H42" s="45">
        <v>190200000</v>
      </c>
      <c r="I42" s="45">
        <v>213165000</v>
      </c>
      <c r="J42" s="76">
        <v>118886597.93799999</v>
      </c>
      <c r="K42" s="76">
        <v>140354285.71399999</v>
      </c>
      <c r="L42" s="76">
        <v>119507788.162</v>
      </c>
      <c r="M42" s="45">
        <v>80664000</v>
      </c>
      <c r="N42" s="45">
        <v>124050000</v>
      </c>
      <c r="O42" s="45">
        <v>13900000</v>
      </c>
      <c r="P42" s="76">
        <v>-14181818.182</v>
      </c>
      <c r="Q42" s="45">
        <v>180350000</v>
      </c>
      <c r="R42" s="45">
        <v>188350000</v>
      </c>
    </row>
    <row r="43" spans="1:18">
      <c r="A43" t="s">
        <v>219</v>
      </c>
      <c r="B43" s="45">
        <v>61000000</v>
      </c>
      <c r="C43" s="45">
        <v>44000000</v>
      </c>
      <c r="D43" s="45">
        <v>28000000</v>
      </c>
      <c r="E43" s="45">
        <v>60000000</v>
      </c>
      <c r="F43" s="45">
        <v>62000000</v>
      </c>
      <c r="G43" s="45">
        <v>28000000</v>
      </c>
      <c r="H43" s="45">
        <v>47000000</v>
      </c>
      <c r="I43" s="45">
        <v>19000000</v>
      </c>
      <c r="J43" s="45">
        <v>4000000</v>
      </c>
      <c r="K43" s="45">
        <v>15000000</v>
      </c>
      <c r="L43" s="45">
        <v>34000000</v>
      </c>
      <c r="M43" s="45">
        <v>23000000</v>
      </c>
    </row>
    <row r="44" spans="1:18">
      <c r="A44" t="s">
        <v>220</v>
      </c>
      <c r="B44" s="45">
        <v>136000000</v>
      </c>
      <c r="C44" s="45">
        <v>150000000</v>
      </c>
      <c r="D44" s="45">
        <v>163000000</v>
      </c>
      <c r="E44" s="45">
        <v>128000000</v>
      </c>
      <c r="F44" s="45">
        <v>75000000</v>
      </c>
      <c r="G44" s="45">
        <v>76000000</v>
      </c>
      <c r="H44" s="45">
        <v>80000000</v>
      </c>
      <c r="I44" s="45">
        <v>76000000</v>
      </c>
      <c r="J44" s="45">
        <v>68000000</v>
      </c>
      <c r="K44" s="45">
        <v>71000000</v>
      </c>
      <c r="L44" s="45">
        <v>65000000</v>
      </c>
      <c r="M44" s="45">
        <v>70000000</v>
      </c>
      <c r="N44" s="45">
        <v>57000000</v>
      </c>
      <c r="O44" s="45">
        <v>54000000</v>
      </c>
      <c r="P44" s="45">
        <v>56000000</v>
      </c>
      <c r="Q44" s="45">
        <v>75000000</v>
      </c>
      <c r="R44" s="45">
        <v>43000000</v>
      </c>
    </row>
    <row r="45" spans="1:18">
      <c r="A45" t="s">
        <v>221</v>
      </c>
      <c r="B45" s="45">
        <v>-75000000</v>
      </c>
      <c r="C45" s="45">
        <v>-150000000</v>
      </c>
      <c r="D45" s="45">
        <v>-163000000</v>
      </c>
      <c r="E45" s="45">
        <v>-128000000</v>
      </c>
      <c r="F45" s="45">
        <v>-75000000</v>
      </c>
      <c r="G45" s="45">
        <v>-76000000</v>
      </c>
      <c r="H45" s="45">
        <v>-80000000</v>
      </c>
      <c r="I45" s="45">
        <v>-57000000</v>
      </c>
      <c r="J45" s="45">
        <v>-68000000</v>
      </c>
      <c r="K45" s="45">
        <v>-71000000</v>
      </c>
      <c r="L45" s="45">
        <v>-65000000</v>
      </c>
      <c r="M45" s="45">
        <v>-47000000</v>
      </c>
      <c r="N45" s="45">
        <v>-57000000</v>
      </c>
      <c r="O45" s="45">
        <v>-54000000</v>
      </c>
      <c r="P45" s="45">
        <v>-56000000</v>
      </c>
      <c r="Q45" s="45">
        <v>-75000000</v>
      </c>
      <c r="R45" s="45">
        <v>-43000000</v>
      </c>
    </row>
    <row r="46" spans="1:18">
      <c r="A46" t="s">
        <v>222</v>
      </c>
      <c r="B46" s="45">
        <v>458000000</v>
      </c>
      <c r="C46" s="45">
        <v>513000000</v>
      </c>
      <c r="D46" s="45">
        <v>207000000</v>
      </c>
      <c r="E46" s="45">
        <v>-832000000</v>
      </c>
      <c r="F46" s="45">
        <v>1081000000</v>
      </c>
      <c r="G46" s="45">
        <v>1027000000</v>
      </c>
      <c r="H46" s="45">
        <v>653000000</v>
      </c>
      <c r="I46" s="45">
        <v>365000000</v>
      </c>
      <c r="J46" s="45">
        <v>262000000</v>
      </c>
      <c r="K46" s="45">
        <v>596000000</v>
      </c>
      <c r="L46" s="45">
        <v>386000000</v>
      </c>
      <c r="M46" s="45">
        <v>165000000</v>
      </c>
      <c r="N46" s="45">
        <v>140000000</v>
      </c>
      <c r="O46" s="45">
        <v>142000000</v>
      </c>
      <c r="P46" s="45">
        <v>1000000</v>
      </c>
      <c r="Q46" s="45">
        <v>279000000</v>
      </c>
      <c r="R46" s="45">
        <v>517000000</v>
      </c>
    </row>
    <row r="47" spans="1:18">
      <c r="A47" t="s">
        <v>100</v>
      </c>
      <c r="B47" s="45">
        <v>894000000</v>
      </c>
      <c r="C47" s="45">
        <v>939000000</v>
      </c>
      <c r="D47" s="45">
        <v>517000000</v>
      </c>
      <c r="E47" s="45">
        <v>-522000000</v>
      </c>
      <c r="F47" s="45">
        <v>1410000000</v>
      </c>
      <c r="G47" s="45">
        <v>1354000000</v>
      </c>
      <c r="H47" s="45">
        <v>1019000000</v>
      </c>
      <c r="I47" s="45">
        <v>707000000</v>
      </c>
      <c r="J47" s="45">
        <v>582000000</v>
      </c>
      <c r="K47" s="45">
        <v>950000000</v>
      </c>
      <c r="L47" s="45">
        <v>731000000</v>
      </c>
      <c r="M47" s="45">
        <v>518000000</v>
      </c>
      <c r="N47" s="45">
        <v>445000000</v>
      </c>
      <c r="O47" s="45">
        <v>421000000</v>
      </c>
      <c r="P47" s="45">
        <v>271000000</v>
      </c>
      <c r="Q47" s="45">
        <v>528000000</v>
      </c>
      <c r="R47" s="45">
        <v>731000000</v>
      </c>
    </row>
    <row r="48" spans="1:18">
      <c r="A48" t="s">
        <v>223</v>
      </c>
      <c r="B48" s="45">
        <v>5109000000</v>
      </c>
      <c r="C48" s="45">
        <v>4603000000</v>
      </c>
      <c r="D48" s="45">
        <v>2603000000</v>
      </c>
      <c r="E48" s="45">
        <v>2067000000</v>
      </c>
      <c r="F48" s="45">
        <v>4077000000</v>
      </c>
      <c r="G48" s="45">
        <v>3475000000</v>
      </c>
      <c r="H48" s="45">
        <v>3638000000</v>
      </c>
      <c r="I48" s="45">
        <v>3473000000</v>
      </c>
      <c r="J48" s="45">
        <v>3377000000</v>
      </c>
      <c r="K48" s="45">
        <v>3433000000</v>
      </c>
      <c r="L48" s="45">
        <v>3283000000</v>
      </c>
      <c r="M48" s="45">
        <v>3121000000</v>
      </c>
      <c r="N48" s="45">
        <v>2957000000</v>
      </c>
      <c r="O48" s="45">
        <v>2864000000</v>
      </c>
      <c r="P48" s="45">
        <v>2753000000</v>
      </c>
      <c r="Q48" s="45">
        <v>2934000000</v>
      </c>
      <c r="R48" s="45">
        <v>2847000000</v>
      </c>
    </row>
    <row r="49" spans="1:18">
      <c r="A49" t="s">
        <v>224</v>
      </c>
      <c r="B49" s="45">
        <v>436000000</v>
      </c>
      <c r="C49" s="45">
        <v>426000000</v>
      </c>
      <c r="D49" s="45">
        <v>310000000</v>
      </c>
      <c r="E49" s="45">
        <v>310000000</v>
      </c>
      <c r="F49" s="45">
        <v>329000000</v>
      </c>
      <c r="G49" s="45">
        <v>327000000</v>
      </c>
      <c r="H49" s="45">
        <v>366000000</v>
      </c>
      <c r="I49" s="45">
        <v>342000000</v>
      </c>
      <c r="J49" s="45">
        <v>320000000</v>
      </c>
      <c r="K49" s="45">
        <v>354000000</v>
      </c>
      <c r="L49" s="45">
        <v>345000000</v>
      </c>
      <c r="M49" s="45">
        <v>353000000</v>
      </c>
      <c r="N49" s="45">
        <v>305000000</v>
      </c>
      <c r="O49" s="45">
        <v>279000000</v>
      </c>
      <c r="P49" s="45">
        <v>270000000</v>
      </c>
      <c r="Q49" s="45">
        <v>249000000</v>
      </c>
      <c r="R49" s="45">
        <v>214000000</v>
      </c>
    </row>
    <row r="50" spans="1:18">
      <c r="A50" t="s">
        <v>225</v>
      </c>
      <c r="B50" s="45">
        <v>448000000</v>
      </c>
      <c r="C50" s="45">
        <v>455000000</v>
      </c>
      <c r="D50" s="45">
        <v>-222000000</v>
      </c>
      <c r="E50" s="45">
        <v>-703000000</v>
      </c>
      <c r="F50" s="45">
        <v>766000000</v>
      </c>
      <c r="G50" s="45">
        <v>769000000</v>
      </c>
      <c r="H50" s="45">
        <v>249000000</v>
      </c>
      <c r="I50" s="45">
        <v>204000000</v>
      </c>
      <c r="J50" s="45">
        <v>124000000</v>
      </c>
      <c r="K50" s="45">
        <v>344000000</v>
      </c>
      <c r="L50" s="45">
        <v>207000000</v>
      </c>
      <c r="M50" s="45">
        <v>88000000</v>
      </c>
      <c r="N50" s="45">
        <v>113000000</v>
      </c>
      <c r="O50" s="45">
        <v>62000000</v>
      </c>
      <c r="P50" s="45">
        <v>-42000000</v>
      </c>
      <c r="Q50" s="45">
        <v>116000000</v>
      </c>
      <c r="R50" s="45">
        <v>267000000</v>
      </c>
    </row>
    <row r="51" spans="1:18">
      <c r="A51" t="s">
        <v>226</v>
      </c>
      <c r="B51" s="45">
        <v>-9000000</v>
      </c>
      <c r="C51" s="45">
        <v>150000000</v>
      </c>
      <c r="D51" s="45">
        <v>449000000</v>
      </c>
      <c r="E51" s="45">
        <v>-38000000</v>
      </c>
      <c r="F51" s="45">
        <v>767000000</v>
      </c>
      <c r="G51" s="45">
        <v>736000000</v>
      </c>
      <c r="H51" s="45">
        <v>98000000</v>
      </c>
      <c r="I51" s="45">
        <v>-13000000</v>
      </c>
      <c r="J51" s="45">
        <v>8000000</v>
      </c>
      <c r="K51" s="45">
        <v>309000000</v>
      </c>
      <c r="L51" s="45">
        <v>137000000</v>
      </c>
      <c r="M51" s="45">
        <v>8000000</v>
      </c>
      <c r="N51" s="45">
        <v>-17000000</v>
      </c>
      <c r="O51" s="45">
        <v>74000000</v>
      </c>
      <c r="P51" s="45">
        <v>-34000000</v>
      </c>
      <c r="Q51" s="45">
        <v>-99000000</v>
      </c>
      <c r="R51" s="45">
        <v>121000000</v>
      </c>
    </row>
    <row r="52" spans="1:18">
      <c r="A52" t="s">
        <v>227</v>
      </c>
      <c r="B52" s="45">
        <v>-9000000</v>
      </c>
      <c r="C52" s="45">
        <v>150000000</v>
      </c>
      <c r="D52" s="45">
        <v>449000000</v>
      </c>
      <c r="E52" s="45">
        <v>-38000000</v>
      </c>
      <c r="F52" s="45">
        <v>767000000</v>
      </c>
      <c r="G52" s="45">
        <v>736000000</v>
      </c>
      <c r="H52" s="45">
        <v>98000000</v>
      </c>
      <c r="I52" s="45">
        <v>-13000000</v>
      </c>
      <c r="J52" s="45">
        <v>8000000</v>
      </c>
      <c r="K52" s="45">
        <v>309000000</v>
      </c>
      <c r="L52" s="45">
        <v>137000000</v>
      </c>
      <c r="M52" s="45">
        <v>8000000</v>
      </c>
      <c r="N52" s="45">
        <v>-17000000</v>
      </c>
      <c r="O52" s="45">
        <v>74000000</v>
      </c>
      <c r="P52" s="45">
        <v>-34000000</v>
      </c>
      <c r="Q52" s="45">
        <v>-99000000</v>
      </c>
      <c r="R52" s="45">
        <v>121000000</v>
      </c>
    </row>
    <row r="53" spans="1:18">
      <c r="A53" t="s">
        <v>228</v>
      </c>
      <c r="B53" s="45">
        <v>903000000</v>
      </c>
      <c r="C53" s="45">
        <v>789000000</v>
      </c>
      <c r="D53" s="45">
        <v>68000000</v>
      </c>
      <c r="E53" s="45">
        <v>-484000000</v>
      </c>
      <c r="F53" s="45">
        <v>643000000</v>
      </c>
      <c r="G53" s="45">
        <v>618000000</v>
      </c>
      <c r="H53" s="45">
        <v>921000000</v>
      </c>
      <c r="I53" s="45">
        <v>720000000</v>
      </c>
      <c r="J53" s="45">
        <v>574000000</v>
      </c>
      <c r="K53" s="45">
        <v>641000000</v>
      </c>
      <c r="L53" s="45">
        <v>594000000</v>
      </c>
      <c r="M53" s="45">
        <v>510000000</v>
      </c>
      <c r="N53" s="45">
        <v>462000000</v>
      </c>
      <c r="O53" s="45">
        <v>347000000</v>
      </c>
      <c r="P53" s="45">
        <v>305000000</v>
      </c>
      <c r="Q53" s="45">
        <v>627000000</v>
      </c>
      <c r="R53" s="45">
        <v>610000000</v>
      </c>
    </row>
    <row r="54" spans="1:18">
      <c r="A54" t="s">
        <v>229</v>
      </c>
      <c r="B54">
        <v>0.4</v>
      </c>
      <c r="C54">
        <v>0.4</v>
      </c>
      <c r="D54">
        <v>0.27</v>
      </c>
      <c r="E54">
        <v>0.26800000000000002</v>
      </c>
      <c r="F54">
        <v>0.23899999999999999</v>
      </c>
      <c r="G54">
        <v>0.191</v>
      </c>
      <c r="H54">
        <v>0.4</v>
      </c>
      <c r="I54">
        <v>0.29499999999999998</v>
      </c>
      <c r="J54">
        <v>0.36099999999999999</v>
      </c>
      <c r="K54">
        <v>0.34100000000000003</v>
      </c>
      <c r="L54">
        <v>0.36099999999999999</v>
      </c>
      <c r="M54">
        <v>8.3000000000000004E-2</v>
      </c>
      <c r="N54">
        <v>0.35</v>
      </c>
      <c r="O54">
        <v>0.35</v>
      </c>
      <c r="P54">
        <v>0.182</v>
      </c>
      <c r="Q54">
        <v>0.35</v>
      </c>
      <c r="R54">
        <v>0.35</v>
      </c>
    </row>
    <row r="55" spans="1:18">
      <c r="A55" t="s">
        <v>230</v>
      </c>
      <c r="B55" s="45">
        <v>-3600000</v>
      </c>
      <c r="C55" s="45">
        <v>60000000</v>
      </c>
      <c r="D55" s="45">
        <v>121230000</v>
      </c>
      <c r="E55" s="76">
        <v>-10172916.666999999</v>
      </c>
      <c r="F55" s="76">
        <v>182982107.35600001</v>
      </c>
      <c r="G55" s="76">
        <v>140853838.065</v>
      </c>
      <c r="H55" s="45">
        <v>39200000</v>
      </c>
      <c r="I55" s="45">
        <v>-3835000</v>
      </c>
      <c r="J55" s="76">
        <v>2886597.9380000001</v>
      </c>
      <c r="K55" s="76">
        <v>105354285.714</v>
      </c>
      <c r="L55" s="76">
        <v>49507788.162</v>
      </c>
      <c r="M55" s="45">
        <v>664000</v>
      </c>
      <c r="N55" s="45">
        <v>-5950000</v>
      </c>
      <c r="O55" s="45">
        <v>25900000</v>
      </c>
      <c r="P55" s="76">
        <v>-6181818.182</v>
      </c>
      <c r="Q55" s="45">
        <v>-34650000</v>
      </c>
      <c r="R55" s="45">
        <v>42350000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9EFE-3EEB-4FED-9CA7-42023775A597}">
  <sheetPr>
    <tabColor rgb="FFFF0000"/>
  </sheetPr>
  <dimension ref="A1:R94"/>
  <sheetViews>
    <sheetView workbookViewId="0">
      <selection activeCell="B85" sqref="B85"/>
    </sheetView>
  </sheetViews>
  <sheetFormatPr defaultRowHeight="14.5"/>
  <cols>
    <col min="1" max="1" width="52" bestFit="1" customWidth="1"/>
    <col min="2" max="2" width="13.36328125" customWidth="1"/>
    <col min="3" max="4" width="13.26953125" bestFit="1" customWidth="1"/>
    <col min="5" max="18" width="12.90625" bestFit="1" customWidth="1"/>
  </cols>
  <sheetData>
    <row r="1" spans="1:18">
      <c r="A1" t="s">
        <v>176</v>
      </c>
      <c r="B1" s="63">
        <v>45107</v>
      </c>
      <c r="C1" s="63">
        <v>44926</v>
      </c>
      <c r="D1" s="63">
        <v>44561</v>
      </c>
      <c r="E1" s="63">
        <v>44196</v>
      </c>
      <c r="F1" s="63">
        <v>43830</v>
      </c>
      <c r="G1" s="63">
        <v>43465</v>
      </c>
      <c r="H1" s="63">
        <v>43100</v>
      </c>
      <c r="I1" s="63">
        <v>42735</v>
      </c>
      <c r="J1" s="63">
        <v>42369</v>
      </c>
      <c r="K1" s="63">
        <v>42004</v>
      </c>
      <c r="L1" s="63">
        <v>41639</v>
      </c>
      <c r="M1" s="63">
        <v>41274</v>
      </c>
      <c r="N1" s="63">
        <v>40908</v>
      </c>
      <c r="O1" s="63">
        <v>40543</v>
      </c>
      <c r="P1" s="63">
        <v>40178</v>
      </c>
      <c r="Q1" s="63">
        <v>39813</v>
      </c>
      <c r="R1" s="63">
        <v>39447</v>
      </c>
    </row>
    <row r="2" spans="1:18">
      <c r="A2" t="s">
        <v>231</v>
      </c>
      <c r="B2" s="45">
        <v>12589000000</v>
      </c>
      <c r="C2" s="45">
        <v>12312000000</v>
      </c>
      <c r="D2" s="45">
        <v>12603000000</v>
      </c>
      <c r="E2" s="45">
        <v>9129000000</v>
      </c>
      <c r="F2" s="45">
        <v>8417000000</v>
      </c>
      <c r="G2" s="45">
        <v>7643000000</v>
      </c>
      <c r="H2" s="45">
        <v>7672000000</v>
      </c>
      <c r="I2" s="45">
        <v>7749000000</v>
      </c>
      <c r="J2" s="45">
        <v>7596000000</v>
      </c>
      <c r="K2" s="45">
        <v>8143000000</v>
      </c>
      <c r="L2" s="45">
        <v>8177000000</v>
      </c>
      <c r="M2" s="45">
        <v>7640000000</v>
      </c>
      <c r="N2" s="45">
        <v>7507000000</v>
      </c>
      <c r="O2" s="45">
        <v>7243000000</v>
      </c>
      <c r="P2" s="45">
        <v>7155000000</v>
      </c>
      <c r="Q2" s="45">
        <v>6119000000</v>
      </c>
      <c r="R2" s="45">
        <v>6248000000</v>
      </c>
    </row>
    <row r="3" spans="1:18">
      <c r="A3" t="s">
        <v>232</v>
      </c>
      <c r="B3" s="45">
        <v>1990000000</v>
      </c>
      <c r="C3" s="45">
        <v>2250000000</v>
      </c>
      <c r="D3" s="45">
        <v>2062000000</v>
      </c>
      <c r="E3" s="45">
        <v>2563000000</v>
      </c>
      <c r="F3" s="45">
        <v>1706000000</v>
      </c>
      <c r="G3" s="45">
        <v>1345000000</v>
      </c>
      <c r="H3" s="45">
        <v>1327000000</v>
      </c>
      <c r="I3" s="45">
        <v>1139000000</v>
      </c>
      <c r="J3" s="45">
        <v>1124000000</v>
      </c>
      <c r="K3" s="45">
        <v>1709000000</v>
      </c>
      <c r="L3" s="45">
        <v>1163000000</v>
      </c>
      <c r="M3" s="45">
        <v>1758000000</v>
      </c>
      <c r="N3" s="45">
        <v>1591000000</v>
      </c>
      <c r="O3" s="45">
        <v>2165000000</v>
      </c>
      <c r="P3" s="45">
        <v>1989000000</v>
      </c>
      <c r="Q3" s="45">
        <v>1057000000</v>
      </c>
      <c r="R3" s="45">
        <v>1065000000</v>
      </c>
    </row>
    <row r="4" spans="1:18">
      <c r="A4" t="s">
        <v>233</v>
      </c>
      <c r="B4" s="45">
        <v>906000000</v>
      </c>
      <c r="C4" s="45">
        <v>1149000000</v>
      </c>
      <c r="D4" s="45">
        <v>1187000000</v>
      </c>
      <c r="E4" s="45">
        <v>1882000000</v>
      </c>
      <c r="F4" s="45">
        <v>961000000</v>
      </c>
      <c r="G4" s="45">
        <v>686000000</v>
      </c>
      <c r="H4" s="45">
        <v>552000000</v>
      </c>
      <c r="I4" s="45">
        <v>538000000</v>
      </c>
      <c r="J4" s="45">
        <v>503000000</v>
      </c>
      <c r="K4" s="45">
        <v>815000000</v>
      </c>
      <c r="L4" s="45">
        <v>484000000</v>
      </c>
      <c r="M4" s="45">
        <v>927000000</v>
      </c>
      <c r="N4" s="45">
        <v>1122000000</v>
      </c>
      <c r="O4" s="45">
        <v>1634000000</v>
      </c>
      <c r="P4" s="45">
        <v>1327000000</v>
      </c>
      <c r="Q4" s="45">
        <v>428000000</v>
      </c>
      <c r="R4" s="45">
        <v>409000000</v>
      </c>
    </row>
    <row r="5" spans="1:18">
      <c r="A5" t="s">
        <v>234</v>
      </c>
      <c r="B5" s="45">
        <v>882000000</v>
      </c>
      <c r="C5" s="45">
        <v>991000000</v>
      </c>
      <c r="D5" s="45">
        <v>960000000</v>
      </c>
      <c r="E5" s="45">
        <v>1207000000</v>
      </c>
      <c r="F5" s="45">
        <v>893000000</v>
      </c>
      <c r="G5" s="45">
        <v>570000000</v>
      </c>
      <c r="H5" s="45">
        <v>503000000</v>
      </c>
      <c r="I5" s="45">
        <v>482000000</v>
      </c>
      <c r="J5" s="45">
        <v>457000000</v>
      </c>
      <c r="K5" s="45">
        <v>685000000</v>
      </c>
      <c r="L5" s="45">
        <v>454000000</v>
      </c>
      <c r="M5" s="45">
        <v>413000000</v>
      </c>
      <c r="N5" s="45">
        <v>534000000</v>
      </c>
      <c r="O5" s="45">
        <v>1110000000</v>
      </c>
      <c r="P5" s="45">
        <v>1327000000</v>
      </c>
      <c r="Q5" s="45">
        <v>428000000</v>
      </c>
      <c r="R5" s="45">
        <v>409000000</v>
      </c>
    </row>
    <row r="6" spans="1:18">
      <c r="A6" t="s">
        <v>235</v>
      </c>
      <c r="B6" s="45">
        <v>24000000</v>
      </c>
      <c r="C6" s="45">
        <v>158000000</v>
      </c>
      <c r="D6" s="45">
        <v>227000000</v>
      </c>
      <c r="E6" s="45">
        <v>675000000</v>
      </c>
      <c r="F6" s="45">
        <v>68000000</v>
      </c>
      <c r="G6" s="45">
        <v>116000000</v>
      </c>
      <c r="H6" s="45">
        <v>49000000</v>
      </c>
      <c r="I6" s="45">
        <v>56000000</v>
      </c>
      <c r="J6" s="45">
        <v>46000000</v>
      </c>
      <c r="K6" s="45">
        <v>130000000</v>
      </c>
      <c r="L6" s="45">
        <v>30000000</v>
      </c>
      <c r="M6" s="45">
        <v>514000000</v>
      </c>
      <c r="N6" s="45">
        <v>588000000</v>
      </c>
      <c r="O6" s="45">
        <v>524000000</v>
      </c>
    </row>
    <row r="7" spans="1:18">
      <c r="A7" t="s">
        <v>236</v>
      </c>
      <c r="B7" s="45">
        <v>787000000</v>
      </c>
      <c r="C7" s="45">
        <v>834000000</v>
      </c>
      <c r="D7" s="45">
        <v>633000000</v>
      </c>
      <c r="E7" s="45">
        <v>316000000</v>
      </c>
      <c r="F7" s="45">
        <v>421000000</v>
      </c>
      <c r="G7" s="45">
        <v>427000000</v>
      </c>
      <c r="H7" s="45">
        <v>350000000</v>
      </c>
      <c r="I7" s="45">
        <v>304000000</v>
      </c>
      <c r="J7" s="45">
        <v>298000000</v>
      </c>
      <c r="K7" s="45">
        <v>274000000</v>
      </c>
      <c r="L7" s="45">
        <v>273000000</v>
      </c>
      <c r="M7" s="45">
        <v>531000000</v>
      </c>
      <c r="N7" s="45">
        <v>225000000</v>
      </c>
      <c r="O7" s="45">
        <v>272000000</v>
      </c>
      <c r="P7" s="45">
        <v>410000000</v>
      </c>
      <c r="Q7" s="45">
        <v>353000000</v>
      </c>
      <c r="R7" s="45">
        <v>391000000</v>
      </c>
    </row>
    <row r="8" spans="1:18">
      <c r="A8" t="s">
        <v>237</v>
      </c>
      <c r="B8" s="45">
        <v>787000000</v>
      </c>
      <c r="C8" s="45">
        <v>834000000</v>
      </c>
      <c r="D8" s="45">
        <v>633000000</v>
      </c>
      <c r="E8" s="45">
        <v>316000000</v>
      </c>
      <c r="F8" s="45">
        <v>421000000</v>
      </c>
      <c r="G8" s="45">
        <v>427000000</v>
      </c>
      <c r="H8" s="45">
        <v>350000000</v>
      </c>
      <c r="I8" s="45">
        <v>304000000</v>
      </c>
      <c r="J8" s="45">
        <v>298000000</v>
      </c>
      <c r="K8" s="45">
        <v>274000000</v>
      </c>
      <c r="L8" s="45">
        <v>273000000</v>
      </c>
      <c r="M8" s="45">
        <v>531000000</v>
      </c>
      <c r="N8" s="45">
        <v>225000000</v>
      </c>
    </row>
    <row r="9" spans="1:18">
      <c r="A9" t="s">
        <v>238</v>
      </c>
      <c r="B9" s="45">
        <v>842000000</v>
      </c>
      <c r="C9" s="45">
        <v>897000000</v>
      </c>
      <c r="D9" s="45">
        <v>686000000</v>
      </c>
      <c r="E9" s="45">
        <v>372000000</v>
      </c>
      <c r="F9" s="45">
        <v>453000000</v>
      </c>
      <c r="G9" s="45">
        <v>453000000</v>
      </c>
      <c r="H9" s="45">
        <v>371000000</v>
      </c>
      <c r="I9" s="45">
        <v>322000000</v>
      </c>
      <c r="J9" s="45">
        <v>313000000</v>
      </c>
      <c r="K9" s="45">
        <v>287000000</v>
      </c>
      <c r="L9" s="45">
        <v>284000000</v>
      </c>
      <c r="M9" s="45">
        <v>542000000</v>
      </c>
      <c r="N9" s="45">
        <v>235000000</v>
      </c>
    </row>
    <row r="10" spans="1:18">
      <c r="A10" t="s">
        <v>239</v>
      </c>
      <c r="B10" s="45">
        <v>-55000000</v>
      </c>
      <c r="C10" s="45">
        <v>-63000000</v>
      </c>
      <c r="D10" s="45">
        <v>-53000000</v>
      </c>
      <c r="E10" s="45">
        <v>-56000000</v>
      </c>
      <c r="F10" s="45">
        <v>-32000000</v>
      </c>
      <c r="G10" s="45">
        <v>-26000000</v>
      </c>
      <c r="H10" s="45">
        <v>-21000000</v>
      </c>
      <c r="I10" s="45">
        <v>-18000000</v>
      </c>
      <c r="J10" s="45">
        <v>-15000000</v>
      </c>
      <c r="K10" s="45">
        <v>-13000000</v>
      </c>
      <c r="L10" s="45">
        <v>-11000000</v>
      </c>
      <c r="M10" s="45">
        <v>-11000000</v>
      </c>
      <c r="N10" s="45">
        <v>-10000000</v>
      </c>
    </row>
    <row r="11" spans="1:18">
      <c r="A11" t="s">
        <v>240</v>
      </c>
      <c r="B11" s="45">
        <v>10000000</v>
      </c>
      <c r="C11" s="45">
        <v>9000000</v>
      </c>
      <c r="D11" s="45">
        <v>10000000</v>
      </c>
      <c r="E11" s="45">
        <v>9000000</v>
      </c>
      <c r="F11" s="45">
        <v>12000000</v>
      </c>
      <c r="G11" s="45">
        <v>14000000</v>
      </c>
      <c r="H11" s="45">
        <v>14000000</v>
      </c>
      <c r="I11" s="45">
        <v>28000000</v>
      </c>
      <c r="J11" s="45">
        <v>12000000</v>
      </c>
      <c r="K11" s="45">
        <v>17000000</v>
      </c>
      <c r="L11" s="45">
        <v>77000000</v>
      </c>
      <c r="M11" s="45">
        <v>80000000</v>
      </c>
      <c r="N11" s="45">
        <v>87000000</v>
      </c>
      <c r="O11" s="45">
        <v>100000000</v>
      </c>
      <c r="P11" s="45">
        <v>133000000</v>
      </c>
      <c r="Q11" s="45">
        <v>170000000</v>
      </c>
      <c r="R11" s="45">
        <v>150000000</v>
      </c>
    </row>
    <row r="12" spans="1:18">
      <c r="A12" t="s">
        <v>241</v>
      </c>
      <c r="B12" s="45">
        <v>50000000</v>
      </c>
      <c r="C12" s="45">
        <v>39000000</v>
      </c>
      <c r="D12" s="45">
        <v>175000000</v>
      </c>
      <c r="E12" s="45">
        <v>345000000</v>
      </c>
      <c r="F12" s="45">
        <v>162000000</v>
      </c>
      <c r="G12" s="45">
        <v>185000000</v>
      </c>
      <c r="H12" s="45">
        <v>177000000</v>
      </c>
      <c r="I12" s="45">
        <v>193000000</v>
      </c>
      <c r="J12" s="45">
        <v>215000000</v>
      </c>
      <c r="K12" s="45">
        <v>155000000</v>
      </c>
      <c r="L12" s="45">
        <v>134000000</v>
      </c>
      <c r="M12" s="45">
        <v>95000000</v>
      </c>
      <c r="N12" s="45">
        <v>107000000</v>
      </c>
      <c r="O12" s="45">
        <v>6000000</v>
      </c>
      <c r="P12" s="45">
        <v>85000000</v>
      </c>
      <c r="Q12" s="45">
        <v>18000000</v>
      </c>
      <c r="R12" s="45">
        <v>3000000</v>
      </c>
    </row>
    <row r="13" spans="1:18">
      <c r="A13" t="s">
        <v>242</v>
      </c>
      <c r="B13" s="45">
        <v>45000000</v>
      </c>
      <c r="C13" s="45">
        <v>39000000</v>
      </c>
      <c r="D13" s="45">
        <v>57000000</v>
      </c>
      <c r="E13" s="45">
        <v>11000000</v>
      </c>
      <c r="F13" s="45">
        <v>150000000</v>
      </c>
      <c r="G13" s="45">
        <v>33000000</v>
      </c>
      <c r="H13" s="45">
        <v>234000000</v>
      </c>
      <c r="I13" s="45">
        <v>76000000</v>
      </c>
      <c r="J13" s="45">
        <v>96000000</v>
      </c>
      <c r="K13" s="45">
        <v>359000000</v>
      </c>
      <c r="L13" s="45">
        <v>184000000</v>
      </c>
      <c r="M13" s="45">
        <v>72000000</v>
      </c>
      <c r="N13" s="45">
        <v>27000000</v>
      </c>
      <c r="O13" s="45">
        <v>106000000</v>
      </c>
      <c r="P13" s="45">
        <v>11000000</v>
      </c>
      <c r="Q13" s="45">
        <v>37000000</v>
      </c>
      <c r="R13" s="45">
        <v>20000000</v>
      </c>
    </row>
    <row r="14" spans="1:18">
      <c r="A14" t="s">
        <v>243</v>
      </c>
      <c r="B14" s="45"/>
      <c r="K14" s="45">
        <v>26000000</v>
      </c>
      <c r="L14" s="45">
        <v>11000000</v>
      </c>
      <c r="M14" s="45">
        <v>19000000</v>
      </c>
      <c r="N14" s="45">
        <v>23000000</v>
      </c>
      <c r="O14" s="45">
        <v>29000000</v>
      </c>
      <c r="P14" s="45">
        <v>23000000</v>
      </c>
      <c r="Q14" s="45">
        <v>51000000</v>
      </c>
      <c r="R14" s="45">
        <v>25000000</v>
      </c>
    </row>
    <row r="15" spans="1:18">
      <c r="A15" t="s">
        <v>244</v>
      </c>
      <c r="B15" s="45"/>
      <c r="K15" s="45">
        <v>26000000</v>
      </c>
      <c r="L15" s="45">
        <v>11000000</v>
      </c>
      <c r="M15" s="45">
        <v>19000000</v>
      </c>
      <c r="N15" s="45">
        <v>23000000</v>
      </c>
      <c r="O15" s="45">
        <v>29000000</v>
      </c>
      <c r="P15" s="45">
        <v>23000000</v>
      </c>
      <c r="Q15" s="45">
        <v>51000000</v>
      </c>
      <c r="R15" s="45">
        <v>25000000</v>
      </c>
    </row>
    <row r="16" spans="1:18">
      <c r="A16" t="s">
        <v>245</v>
      </c>
      <c r="B16" s="45"/>
      <c r="K16" s="45">
        <v>63000000</v>
      </c>
      <c r="L16">
        <v>0</v>
      </c>
      <c r="M16" s="45">
        <v>34000000</v>
      </c>
      <c r="N16">
        <v>0</v>
      </c>
    </row>
    <row r="17" spans="1:18">
      <c r="A17" t="s">
        <v>246</v>
      </c>
      <c r="B17" s="45">
        <v>192000000</v>
      </c>
      <c r="C17" s="45">
        <v>180000000</v>
      </c>
      <c r="D17" s="45">
        <v>149000000</v>
      </c>
      <c r="E17" s="45">
        <v>64000000</v>
      </c>
      <c r="F17" s="45">
        <v>134000000</v>
      </c>
      <c r="G17" s="45">
        <v>149000000</v>
      </c>
      <c r="H17" s="45">
        <v>153000000</v>
      </c>
      <c r="I17" s="45">
        <v>153000000</v>
      </c>
      <c r="J17" s="45">
        <v>152000000</v>
      </c>
      <c r="K17" s="45">
        <v>108000000</v>
      </c>
      <c r="L17" s="45">
        <v>122000000</v>
      </c>
      <c r="M17" s="45">
        <v>83000000</v>
      </c>
      <c r="O17" s="45">
        <v>18000000</v>
      </c>
      <c r="R17" s="45">
        <v>67000000</v>
      </c>
    </row>
    <row r="18" spans="1:18">
      <c r="A18" t="s">
        <v>247</v>
      </c>
      <c r="B18" s="45">
        <v>10599000000</v>
      </c>
      <c r="C18" s="45">
        <v>10062000000</v>
      </c>
      <c r="D18" s="45">
        <v>10541000000</v>
      </c>
      <c r="E18" s="45">
        <v>6566000000</v>
      </c>
      <c r="F18" s="45">
        <v>6711000000</v>
      </c>
      <c r="G18" s="45">
        <v>6298000000</v>
      </c>
      <c r="H18" s="45">
        <v>6345000000</v>
      </c>
      <c r="I18" s="45">
        <v>6610000000</v>
      </c>
      <c r="J18" s="45">
        <v>6472000000</v>
      </c>
      <c r="K18" s="45">
        <v>6434000000</v>
      </c>
      <c r="L18" s="45">
        <v>7014000000</v>
      </c>
      <c r="M18" s="45">
        <v>5882000000</v>
      </c>
      <c r="N18" s="45">
        <v>5916000000</v>
      </c>
      <c r="O18" s="45">
        <v>5078000000</v>
      </c>
      <c r="P18" s="45">
        <v>5166000000</v>
      </c>
      <c r="Q18" s="45">
        <v>5062000000</v>
      </c>
      <c r="R18" s="45">
        <v>5183000000</v>
      </c>
    </row>
    <row r="19" spans="1:18">
      <c r="A19" t="s">
        <v>248</v>
      </c>
      <c r="B19" s="45">
        <v>2767000000</v>
      </c>
      <c r="C19" s="45">
        <v>2769000000</v>
      </c>
      <c r="D19" s="45">
        <v>3294000000</v>
      </c>
      <c r="E19" s="45">
        <v>3600000000</v>
      </c>
      <c r="F19" s="45">
        <v>3949000000</v>
      </c>
      <c r="G19" s="45">
        <v>3608000000</v>
      </c>
      <c r="H19" s="45">
        <v>4034000000</v>
      </c>
      <c r="I19" s="45">
        <v>4270000000</v>
      </c>
      <c r="J19" s="45">
        <v>4031000000</v>
      </c>
      <c r="K19" s="45">
        <v>4186000000</v>
      </c>
      <c r="L19" s="45">
        <v>4671000000</v>
      </c>
      <c r="M19" s="45">
        <v>4139000000</v>
      </c>
      <c r="N19" s="45">
        <v>4043000000</v>
      </c>
      <c r="O19" s="45">
        <v>3453000000</v>
      </c>
      <c r="P19" s="45">
        <v>3605000000</v>
      </c>
      <c r="Q19" s="45">
        <v>3616000000</v>
      </c>
      <c r="R19" s="45">
        <v>3495000000</v>
      </c>
    </row>
    <row r="20" spans="1:18">
      <c r="A20" t="s">
        <v>249</v>
      </c>
      <c r="B20" s="45">
        <v>2767000000</v>
      </c>
      <c r="C20" s="45">
        <v>4950000000</v>
      </c>
      <c r="D20" s="45">
        <v>5612000000</v>
      </c>
      <c r="E20" s="45">
        <v>5948000000</v>
      </c>
      <c r="F20" s="45">
        <v>6098000000</v>
      </c>
      <c r="G20" s="45">
        <v>5847000000</v>
      </c>
      <c r="H20" s="45">
        <v>6332000000</v>
      </c>
      <c r="I20" s="45">
        <v>6634000000</v>
      </c>
      <c r="J20" s="45">
        <v>6252000000</v>
      </c>
      <c r="K20" s="45">
        <v>6208000000</v>
      </c>
      <c r="L20" s="45">
        <v>7016000000</v>
      </c>
      <c r="M20" s="45">
        <v>6351000000</v>
      </c>
      <c r="N20" s="45">
        <v>6083000000</v>
      </c>
      <c r="O20" s="45">
        <v>5437000000</v>
      </c>
      <c r="P20" s="45">
        <v>5527000000</v>
      </c>
      <c r="Q20" s="45">
        <v>5412000000</v>
      </c>
      <c r="R20" s="45">
        <v>5211000000</v>
      </c>
    </row>
    <row r="21" spans="1:18">
      <c r="A21" t="s">
        <v>250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>
      <c r="A22" t="s">
        <v>251</v>
      </c>
      <c r="C22" s="45">
        <v>557000000</v>
      </c>
      <c r="D22" s="45">
        <v>676000000</v>
      </c>
      <c r="E22" s="45">
        <v>658000000</v>
      </c>
      <c r="F22" s="45">
        <v>690000000</v>
      </c>
      <c r="G22" s="45">
        <v>713000000</v>
      </c>
      <c r="H22" s="45">
        <v>916000000</v>
      </c>
      <c r="I22" s="45">
        <v>901000000</v>
      </c>
      <c r="J22" s="45">
        <v>674000000</v>
      </c>
      <c r="K22" s="45">
        <v>710000000</v>
      </c>
      <c r="L22" s="45">
        <v>672000000</v>
      </c>
      <c r="M22" s="45">
        <v>688000000</v>
      </c>
      <c r="N22" s="45">
        <v>666000000</v>
      </c>
      <c r="O22" s="45">
        <v>621000000</v>
      </c>
      <c r="P22" s="45">
        <v>562000000</v>
      </c>
      <c r="Q22" s="45">
        <v>560000000</v>
      </c>
      <c r="R22" s="45">
        <v>560000000</v>
      </c>
    </row>
    <row r="23" spans="1:18">
      <c r="A23" t="s">
        <v>252</v>
      </c>
      <c r="B23" s="45">
        <v>2767000000</v>
      </c>
      <c r="C23" s="45">
        <v>2658000000</v>
      </c>
      <c r="D23" s="45">
        <v>3065000000</v>
      </c>
      <c r="E23" s="45">
        <v>3381000000</v>
      </c>
      <c r="F23" s="45">
        <v>3285000000</v>
      </c>
      <c r="G23" s="45">
        <v>3583000000</v>
      </c>
      <c r="H23" s="45">
        <v>3880000000</v>
      </c>
      <c r="I23" s="45">
        <v>4125000000</v>
      </c>
      <c r="J23" s="45">
        <v>3898000000</v>
      </c>
      <c r="K23" s="45">
        <v>3948000000</v>
      </c>
      <c r="L23" s="45">
        <v>4628000000</v>
      </c>
      <c r="M23" s="45">
        <v>4062000000</v>
      </c>
      <c r="N23" s="45">
        <v>3878000000</v>
      </c>
      <c r="O23" s="45">
        <v>3365000000</v>
      </c>
      <c r="P23" s="45">
        <v>3331000000</v>
      </c>
      <c r="Q23" s="45">
        <v>3276000000</v>
      </c>
      <c r="R23" s="45">
        <v>3158000000</v>
      </c>
    </row>
    <row r="24" spans="1:18">
      <c r="A24" t="s">
        <v>253</v>
      </c>
      <c r="C24" s="45">
        <v>1136000000</v>
      </c>
      <c r="D24" s="45">
        <v>1186000000</v>
      </c>
      <c r="E24" s="45">
        <v>1216000000</v>
      </c>
      <c r="F24" s="45">
        <v>1183000000</v>
      </c>
      <c r="G24" s="45">
        <v>1178000000</v>
      </c>
      <c r="H24" s="45">
        <v>1204000000</v>
      </c>
      <c r="I24" s="45">
        <v>1316000000</v>
      </c>
      <c r="J24" s="45">
        <v>1209000000</v>
      </c>
      <c r="K24" s="45">
        <v>1173000000</v>
      </c>
      <c r="L24" s="45">
        <v>1376000000</v>
      </c>
      <c r="M24" s="45">
        <v>1288000000</v>
      </c>
      <c r="N24" s="45">
        <v>1243000000</v>
      </c>
      <c r="O24" s="45">
        <v>1106000000</v>
      </c>
      <c r="P24" s="45">
        <v>1125000000</v>
      </c>
      <c r="Q24" s="45">
        <v>1077000000</v>
      </c>
      <c r="R24" s="45">
        <v>1057000000</v>
      </c>
    </row>
    <row r="25" spans="1:18">
      <c r="A25" t="s">
        <v>254</v>
      </c>
      <c r="B25" s="45"/>
      <c r="C25" s="45">
        <v>385000000</v>
      </c>
      <c r="D25" s="45">
        <v>446000000</v>
      </c>
      <c r="E25" s="45">
        <v>474000000</v>
      </c>
      <c r="F25" s="45">
        <v>493000000</v>
      </c>
    </row>
    <row r="26" spans="1:18">
      <c r="A26" t="s">
        <v>255</v>
      </c>
      <c r="C26" s="45">
        <v>30000000</v>
      </c>
      <c r="D26" s="45">
        <v>47000000</v>
      </c>
      <c r="E26" s="45">
        <v>32000000</v>
      </c>
      <c r="F26" s="45">
        <v>253000000</v>
      </c>
      <c r="G26" s="45">
        <v>158000000</v>
      </c>
      <c r="H26" s="45">
        <v>122000000</v>
      </c>
      <c r="I26" s="45">
        <v>90000000</v>
      </c>
      <c r="J26" s="45">
        <v>251000000</v>
      </c>
      <c r="K26" s="45">
        <v>151000000</v>
      </c>
      <c r="L26" s="45">
        <v>86000000</v>
      </c>
      <c r="M26" s="45">
        <v>65000000</v>
      </c>
      <c r="N26" s="45">
        <v>56000000</v>
      </c>
      <c r="O26" s="45">
        <v>84000000</v>
      </c>
      <c r="P26" s="45">
        <v>246000000</v>
      </c>
      <c r="Q26" s="45">
        <v>235000000</v>
      </c>
      <c r="R26" s="45">
        <v>202000000</v>
      </c>
    </row>
    <row r="27" spans="1:18">
      <c r="A27" t="s">
        <v>256</v>
      </c>
      <c r="C27" s="45">
        <v>184000000</v>
      </c>
      <c r="D27" s="45">
        <v>192000000</v>
      </c>
      <c r="E27" s="45">
        <v>187000000</v>
      </c>
      <c r="F27" s="45">
        <v>194000000</v>
      </c>
      <c r="G27" s="45">
        <v>215000000</v>
      </c>
      <c r="H27" s="45">
        <v>210000000</v>
      </c>
      <c r="I27" s="45">
        <v>202000000</v>
      </c>
      <c r="J27" s="45">
        <v>220000000</v>
      </c>
      <c r="K27" s="45">
        <v>226000000</v>
      </c>
      <c r="L27" s="45">
        <v>254000000</v>
      </c>
      <c r="M27" s="45">
        <v>248000000</v>
      </c>
      <c r="N27" s="45">
        <v>240000000</v>
      </c>
      <c r="O27" s="45">
        <v>261000000</v>
      </c>
      <c r="P27" s="45">
        <v>263000000</v>
      </c>
      <c r="Q27" s="45">
        <v>264000000</v>
      </c>
      <c r="R27" s="45">
        <v>234000000</v>
      </c>
    </row>
    <row r="28" spans="1:18">
      <c r="A28" t="s">
        <v>257</v>
      </c>
      <c r="C28" s="45">
        <v>-2181000000</v>
      </c>
      <c r="D28" s="45">
        <v>-2318000000</v>
      </c>
      <c r="E28" s="45">
        <v>-2348000000</v>
      </c>
      <c r="F28" s="45">
        <v>-2149000000</v>
      </c>
      <c r="G28" s="45">
        <v>-2239000000</v>
      </c>
      <c r="H28" s="45">
        <v>-2298000000</v>
      </c>
      <c r="I28" s="45">
        <v>-2364000000</v>
      </c>
      <c r="J28" s="45">
        <v>-2221000000</v>
      </c>
      <c r="K28" s="45">
        <v>-2022000000</v>
      </c>
      <c r="L28" s="45">
        <v>-2345000000</v>
      </c>
      <c r="M28" s="45">
        <v>-2212000000</v>
      </c>
      <c r="N28" s="45">
        <v>-2040000000</v>
      </c>
      <c r="O28" s="45">
        <v>-1984000000</v>
      </c>
      <c r="P28" s="45">
        <v>-1922000000</v>
      </c>
      <c r="Q28" s="45">
        <v>-1796000000</v>
      </c>
      <c r="R28" s="45">
        <v>-1716000000</v>
      </c>
    </row>
    <row r="29" spans="1:18">
      <c r="A29" t="s">
        <v>258</v>
      </c>
      <c r="B29" s="45">
        <v>4990000000</v>
      </c>
      <c r="C29" s="45">
        <v>4769000000</v>
      </c>
      <c r="D29" s="45">
        <v>4942000000</v>
      </c>
      <c r="E29" s="45">
        <v>673000000</v>
      </c>
      <c r="F29" s="45">
        <v>763000000</v>
      </c>
      <c r="G29" s="45">
        <v>911000000</v>
      </c>
      <c r="H29" s="45">
        <v>833000000</v>
      </c>
      <c r="I29" s="45">
        <v>724000000</v>
      </c>
      <c r="J29" s="45">
        <v>676000000</v>
      </c>
      <c r="K29" s="45">
        <v>685000000</v>
      </c>
      <c r="L29" s="45">
        <v>738000000</v>
      </c>
      <c r="M29" s="45">
        <v>521000000</v>
      </c>
      <c r="N29" s="45">
        <v>461000000</v>
      </c>
      <c r="O29" s="45">
        <v>382000000</v>
      </c>
      <c r="P29" s="45">
        <v>397000000</v>
      </c>
      <c r="Q29" s="45">
        <v>376000000</v>
      </c>
      <c r="R29" s="45">
        <v>562000000</v>
      </c>
    </row>
    <row r="30" spans="1:18">
      <c r="A30" t="s">
        <v>259</v>
      </c>
      <c r="B30" s="45">
        <v>3205000000</v>
      </c>
      <c r="C30" s="45">
        <v>3101000000</v>
      </c>
      <c r="D30" s="45">
        <v>2965000000</v>
      </c>
      <c r="E30" s="45">
        <v>288000000</v>
      </c>
      <c r="F30" s="45">
        <v>326000000</v>
      </c>
      <c r="G30" s="45">
        <v>283000000</v>
      </c>
      <c r="H30" s="45">
        <v>150000000</v>
      </c>
      <c r="I30" s="45">
        <v>125000000</v>
      </c>
      <c r="J30" s="45">
        <v>129000000</v>
      </c>
      <c r="K30" s="45">
        <v>133000000</v>
      </c>
      <c r="L30" s="45">
        <v>147000000</v>
      </c>
      <c r="M30" s="45">
        <v>133000000</v>
      </c>
      <c r="N30" s="45">
        <v>102000000</v>
      </c>
      <c r="O30" s="45">
        <v>102000000</v>
      </c>
      <c r="P30" s="45">
        <v>113000000</v>
      </c>
      <c r="Q30" s="45">
        <v>120000000</v>
      </c>
      <c r="R30" s="45">
        <v>203000000</v>
      </c>
    </row>
    <row r="31" spans="1:18">
      <c r="A31" t="s">
        <v>260</v>
      </c>
      <c r="B31" s="45">
        <v>1785000000</v>
      </c>
      <c r="C31" s="45">
        <v>1668000000</v>
      </c>
      <c r="D31" s="45">
        <v>1977000000</v>
      </c>
      <c r="E31" s="45">
        <v>385000000</v>
      </c>
      <c r="F31" s="45">
        <v>437000000</v>
      </c>
      <c r="G31" s="45">
        <v>628000000</v>
      </c>
      <c r="H31" s="45">
        <v>683000000</v>
      </c>
      <c r="I31" s="45">
        <v>599000000</v>
      </c>
      <c r="J31" s="45">
        <v>547000000</v>
      </c>
      <c r="K31" s="45">
        <v>552000000</v>
      </c>
      <c r="L31" s="45">
        <v>591000000</v>
      </c>
      <c r="M31" s="45">
        <v>388000000</v>
      </c>
      <c r="N31" s="45">
        <v>359000000</v>
      </c>
      <c r="O31" s="45">
        <v>280000000</v>
      </c>
      <c r="P31" s="45">
        <v>284000000</v>
      </c>
      <c r="Q31" s="45">
        <v>256000000</v>
      </c>
      <c r="R31" s="45">
        <v>359000000</v>
      </c>
    </row>
    <row r="32" spans="1:18">
      <c r="A32" t="s">
        <v>261</v>
      </c>
      <c r="B32" s="45">
        <v>958000000</v>
      </c>
      <c r="C32" s="45">
        <v>833000000</v>
      </c>
      <c r="D32" s="45">
        <v>954000000</v>
      </c>
      <c r="E32" s="45">
        <v>980000000</v>
      </c>
      <c r="F32" s="45">
        <v>843000000</v>
      </c>
      <c r="G32" s="45">
        <v>735000000</v>
      </c>
      <c r="H32" s="45">
        <v>211000000</v>
      </c>
      <c r="I32" s="45">
        <v>186000000</v>
      </c>
      <c r="J32" s="45">
        <v>327000000</v>
      </c>
      <c r="K32" s="45">
        <v>334000000</v>
      </c>
      <c r="L32" s="45">
        <v>329000000</v>
      </c>
      <c r="M32" s="45">
        <v>293000000</v>
      </c>
      <c r="N32" s="45">
        <v>280000000</v>
      </c>
      <c r="O32" s="45">
        <v>245000000</v>
      </c>
      <c r="P32" s="45">
        <v>223000000</v>
      </c>
      <c r="Q32" s="45">
        <v>204000000</v>
      </c>
      <c r="R32" s="45">
        <v>324000000</v>
      </c>
    </row>
    <row r="33" spans="1:18">
      <c r="A33" t="s">
        <v>262</v>
      </c>
      <c r="B33" s="45">
        <v>182000000</v>
      </c>
      <c r="C33" s="45">
        <v>178000000</v>
      </c>
      <c r="D33" s="45">
        <v>216000000</v>
      </c>
      <c r="E33" s="45">
        <v>260000000</v>
      </c>
      <c r="F33" s="45">
        <v>232000000</v>
      </c>
      <c r="G33" s="45">
        <v>233000000</v>
      </c>
    </row>
    <row r="34" spans="1:18">
      <c r="A34" t="s">
        <v>263</v>
      </c>
      <c r="B34" s="45">
        <v>663000000</v>
      </c>
      <c r="C34" s="45">
        <v>578000000</v>
      </c>
      <c r="D34" s="45">
        <v>673000000</v>
      </c>
      <c r="E34" s="45">
        <v>627000000</v>
      </c>
      <c r="F34" s="45">
        <v>449000000</v>
      </c>
      <c r="G34" s="45">
        <v>390000000</v>
      </c>
    </row>
    <row r="35" spans="1:18">
      <c r="A35" t="s">
        <v>264</v>
      </c>
      <c r="B35" s="45">
        <v>663000000</v>
      </c>
      <c r="C35" s="45">
        <v>578000000</v>
      </c>
      <c r="D35" s="45">
        <v>673000000</v>
      </c>
      <c r="E35" s="45">
        <v>627000000</v>
      </c>
      <c r="F35" s="45">
        <v>449000000</v>
      </c>
      <c r="G35" s="45">
        <v>390000000</v>
      </c>
    </row>
    <row r="36" spans="1:18">
      <c r="A36" t="s">
        <v>265</v>
      </c>
      <c r="B36" s="45">
        <v>113000000</v>
      </c>
      <c r="C36" s="45">
        <v>77000000</v>
      </c>
      <c r="D36" s="45">
        <v>65000000</v>
      </c>
      <c r="E36" s="45">
        <v>93000000</v>
      </c>
      <c r="F36" s="45">
        <v>162000000</v>
      </c>
      <c r="G36" s="45">
        <v>112000000</v>
      </c>
    </row>
    <row r="37" spans="1:18">
      <c r="A37" t="s">
        <v>266</v>
      </c>
      <c r="F37" s="45">
        <v>35000000</v>
      </c>
      <c r="G37" s="45">
        <v>13000000</v>
      </c>
      <c r="H37" s="45">
        <v>19000000</v>
      </c>
      <c r="I37" s="45">
        <v>19000000</v>
      </c>
      <c r="J37" s="45">
        <v>20000000</v>
      </c>
      <c r="K37" s="45">
        <v>40000000</v>
      </c>
      <c r="L37" s="45">
        <v>119000000</v>
      </c>
      <c r="M37" s="45">
        <v>126000000</v>
      </c>
    </row>
    <row r="38" spans="1:18">
      <c r="A38" t="s">
        <v>267</v>
      </c>
      <c r="B38" s="45">
        <v>64000000</v>
      </c>
      <c r="C38" s="45">
        <v>60000000</v>
      </c>
      <c r="D38" s="45">
        <v>41000000</v>
      </c>
      <c r="E38" s="45">
        <v>29000000</v>
      </c>
      <c r="F38" s="45">
        <v>35000000</v>
      </c>
      <c r="G38" s="45">
        <v>13000000</v>
      </c>
      <c r="H38" s="45">
        <v>19000000</v>
      </c>
      <c r="I38" s="45">
        <v>19000000</v>
      </c>
      <c r="J38" s="45">
        <v>20000000</v>
      </c>
      <c r="K38" s="45">
        <v>40000000</v>
      </c>
      <c r="L38" s="45">
        <v>119000000</v>
      </c>
      <c r="M38" s="45">
        <v>126000000</v>
      </c>
      <c r="P38" s="45">
        <v>385000000</v>
      </c>
      <c r="Q38" s="45">
        <v>410000000</v>
      </c>
      <c r="R38" s="45">
        <v>160000000</v>
      </c>
    </row>
    <row r="39" spans="1:18">
      <c r="A39" t="s">
        <v>268</v>
      </c>
      <c r="B39" s="45">
        <v>443000000</v>
      </c>
      <c r="C39" s="45">
        <v>363000000</v>
      </c>
      <c r="D39" s="45">
        <v>14000000</v>
      </c>
      <c r="E39" s="45">
        <v>207000000</v>
      </c>
      <c r="F39" s="45">
        <v>144000000</v>
      </c>
      <c r="G39" s="45">
        <v>180000000</v>
      </c>
      <c r="H39" s="45">
        <v>242000000</v>
      </c>
      <c r="I39" s="45">
        <v>313000000</v>
      </c>
      <c r="J39" s="45">
        <v>301000000</v>
      </c>
      <c r="K39" s="45">
        <v>196000000</v>
      </c>
      <c r="L39" s="45">
        <v>198000000</v>
      </c>
      <c r="M39" s="45">
        <v>183000000</v>
      </c>
      <c r="N39" s="45">
        <v>197000000</v>
      </c>
      <c r="O39" s="45">
        <v>62000000</v>
      </c>
      <c r="P39" s="45">
        <v>74000000</v>
      </c>
      <c r="Q39" s="45">
        <v>126000000</v>
      </c>
      <c r="R39" s="45">
        <v>151000000</v>
      </c>
    </row>
    <row r="40" spans="1:18">
      <c r="A40" t="s">
        <v>269</v>
      </c>
      <c r="B40" s="45">
        <v>293000000</v>
      </c>
      <c r="C40" s="45">
        <v>257000000</v>
      </c>
      <c r="D40" s="45">
        <v>14000000</v>
      </c>
      <c r="E40" s="45">
        <v>207000000</v>
      </c>
      <c r="F40" s="45">
        <v>144000000</v>
      </c>
      <c r="G40" s="45">
        <v>180000000</v>
      </c>
      <c r="H40" s="45">
        <v>242000000</v>
      </c>
      <c r="I40" s="45">
        <v>313000000</v>
      </c>
      <c r="J40" s="45">
        <v>301000000</v>
      </c>
      <c r="K40" s="45">
        <v>196000000</v>
      </c>
      <c r="L40" s="45">
        <v>198000000</v>
      </c>
      <c r="M40" s="45">
        <v>183000000</v>
      </c>
      <c r="N40" s="45">
        <v>197000000</v>
      </c>
      <c r="O40" s="45">
        <v>62000000</v>
      </c>
      <c r="P40" s="45">
        <v>74000000</v>
      </c>
      <c r="Q40" s="45">
        <v>126000000</v>
      </c>
      <c r="R40" s="45">
        <v>151000000</v>
      </c>
    </row>
    <row r="41" spans="1:18">
      <c r="A41" t="s">
        <v>270</v>
      </c>
      <c r="B41" s="45">
        <v>1377000000</v>
      </c>
      <c r="C41" s="45">
        <v>1268000000</v>
      </c>
      <c r="D41" s="45">
        <v>1296000000</v>
      </c>
      <c r="E41" s="45">
        <v>1077000000</v>
      </c>
      <c r="F41" s="45">
        <v>977000000</v>
      </c>
      <c r="G41" s="45">
        <v>851000000</v>
      </c>
      <c r="H41" s="45">
        <v>1006000000</v>
      </c>
      <c r="I41" s="45">
        <v>1098000000</v>
      </c>
      <c r="J41" s="45">
        <v>1117000000</v>
      </c>
      <c r="K41" s="45">
        <v>993000000</v>
      </c>
      <c r="L41" s="45">
        <v>959000000</v>
      </c>
      <c r="M41" s="45">
        <v>620000000</v>
      </c>
      <c r="N41" s="45">
        <v>935000000</v>
      </c>
      <c r="O41" s="45">
        <v>936000000</v>
      </c>
      <c r="P41" s="45">
        <v>482000000</v>
      </c>
      <c r="Q41" s="45">
        <v>330000000</v>
      </c>
      <c r="R41" s="45">
        <v>491000000</v>
      </c>
    </row>
    <row r="42" spans="1:18">
      <c r="A42" t="s">
        <v>271</v>
      </c>
      <c r="B42" s="45">
        <v>8904000000</v>
      </c>
      <c r="C42" s="45">
        <v>8610000000</v>
      </c>
      <c r="D42" s="45">
        <v>9037000000</v>
      </c>
      <c r="E42" s="45">
        <v>5915000000</v>
      </c>
      <c r="F42" s="45">
        <v>4450000000</v>
      </c>
      <c r="G42" s="45">
        <v>3966000000</v>
      </c>
      <c r="H42" s="45">
        <v>4131000000</v>
      </c>
      <c r="I42" s="45">
        <v>3841000000</v>
      </c>
      <c r="J42" s="45">
        <v>3601000000</v>
      </c>
      <c r="K42" s="45">
        <v>3512000000</v>
      </c>
      <c r="L42" s="45">
        <v>3400000000</v>
      </c>
      <c r="M42" s="45">
        <v>2809000000</v>
      </c>
      <c r="N42" s="45">
        <v>2679000000</v>
      </c>
      <c r="O42" s="45">
        <v>2112000000</v>
      </c>
      <c r="P42" s="45">
        <v>2115000000</v>
      </c>
      <c r="Q42" s="45">
        <v>2527000000</v>
      </c>
      <c r="R42" s="45">
        <v>2779000000</v>
      </c>
    </row>
    <row r="43" spans="1:18">
      <c r="A43" t="s">
        <v>272</v>
      </c>
      <c r="B43" s="45">
        <v>2621000000</v>
      </c>
      <c r="C43" s="45">
        <v>3287000000</v>
      </c>
      <c r="D43" s="45">
        <v>2232000000</v>
      </c>
      <c r="E43" s="45">
        <v>984000000</v>
      </c>
      <c r="F43" s="45">
        <v>1086000000</v>
      </c>
      <c r="G43" s="45">
        <v>1061000000</v>
      </c>
      <c r="H43" s="45">
        <v>966000000</v>
      </c>
      <c r="I43" s="45">
        <v>924000000</v>
      </c>
      <c r="J43" s="45">
        <v>1107000000</v>
      </c>
      <c r="K43" s="45">
        <v>730000000</v>
      </c>
      <c r="L43" s="45">
        <v>871000000</v>
      </c>
      <c r="M43" s="45">
        <v>618000000</v>
      </c>
      <c r="N43" s="45">
        <v>568000000</v>
      </c>
      <c r="O43" s="45">
        <v>596000000</v>
      </c>
      <c r="P43" s="45">
        <v>495000000</v>
      </c>
      <c r="Q43" s="45">
        <v>653000000</v>
      </c>
      <c r="R43" s="45">
        <v>697000000</v>
      </c>
    </row>
    <row r="44" spans="1:18">
      <c r="A44" t="s">
        <v>273</v>
      </c>
      <c r="B44" s="45">
        <v>930000000</v>
      </c>
      <c r="C44" s="45">
        <v>915000000</v>
      </c>
      <c r="D44" s="45">
        <v>822000000</v>
      </c>
      <c r="E44" s="45">
        <v>302000000</v>
      </c>
      <c r="F44" s="45">
        <v>454000000</v>
      </c>
      <c r="G44" s="45">
        <v>512000000</v>
      </c>
      <c r="H44" s="45">
        <v>810000000</v>
      </c>
      <c r="I44" s="45">
        <v>676000000</v>
      </c>
      <c r="J44" s="45">
        <v>657000000</v>
      </c>
      <c r="K44" s="45">
        <v>598000000</v>
      </c>
      <c r="L44" s="45">
        <v>544000000</v>
      </c>
      <c r="M44" s="45">
        <v>476000000</v>
      </c>
      <c r="N44" s="45">
        <v>450000000</v>
      </c>
      <c r="O44" s="45">
        <v>539000000</v>
      </c>
      <c r="P44" s="45">
        <v>483000000</v>
      </c>
      <c r="Q44" s="45">
        <v>615000000</v>
      </c>
      <c r="R44" s="45">
        <v>663000000</v>
      </c>
    </row>
    <row r="45" spans="1:18">
      <c r="A45" t="s">
        <v>274</v>
      </c>
      <c r="B45" s="45">
        <v>486000000</v>
      </c>
      <c r="C45" s="45">
        <v>500000000</v>
      </c>
      <c r="D45" s="45">
        <v>523000000</v>
      </c>
      <c r="E45" s="45">
        <v>102000000</v>
      </c>
      <c r="F45" s="45">
        <v>150000000</v>
      </c>
      <c r="G45" s="45">
        <v>151000000</v>
      </c>
      <c r="H45" s="45">
        <v>175000000</v>
      </c>
      <c r="I45" s="45">
        <v>162000000</v>
      </c>
      <c r="J45" s="45">
        <v>141000000</v>
      </c>
      <c r="K45" s="45">
        <v>130000000</v>
      </c>
      <c r="L45" s="45">
        <v>133000000</v>
      </c>
      <c r="M45" s="45">
        <v>138000000</v>
      </c>
      <c r="N45" s="45">
        <v>144000000</v>
      </c>
      <c r="O45" s="45">
        <v>145000000</v>
      </c>
      <c r="P45" s="45">
        <v>201000000</v>
      </c>
      <c r="Q45" s="45">
        <v>341000000</v>
      </c>
      <c r="R45" s="45">
        <v>357000000</v>
      </c>
    </row>
    <row r="46" spans="1:18">
      <c r="A46" t="s">
        <v>275</v>
      </c>
      <c r="B46" s="45">
        <v>486000000</v>
      </c>
      <c r="C46" s="45">
        <v>500000000</v>
      </c>
      <c r="D46" s="45">
        <v>523000000</v>
      </c>
      <c r="E46" s="45">
        <v>102000000</v>
      </c>
      <c r="F46" s="45">
        <v>150000000</v>
      </c>
      <c r="G46" s="45">
        <v>151000000</v>
      </c>
      <c r="H46" s="45">
        <v>175000000</v>
      </c>
      <c r="I46" s="45">
        <v>162000000</v>
      </c>
      <c r="J46" s="45">
        <v>141000000</v>
      </c>
      <c r="K46" s="45">
        <v>130000000</v>
      </c>
      <c r="L46" s="45">
        <v>133000000</v>
      </c>
      <c r="M46" s="45">
        <v>138000000</v>
      </c>
      <c r="N46" s="45">
        <v>144000000</v>
      </c>
      <c r="O46" s="45">
        <v>145000000</v>
      </c>
      <c r="P46" s="45">
        <v>196000000</v>
      </c>
      <c r="Q46" s="45">
        <v>318000000</v>
      </c>
      <c r="R46" s="45">
        <v>303000000</v>
      </c>
    </row>
    <row r="47" spans="1:18">
      <c r="A47" t="s">
        <v>276</v>
      </c>
      <c r="P47" s="45">
        <v>5000000</v>
      </c>
      <c r="Q47" s="45">
        <v>23000000</v>
      </c>
      <c r="R47" s="45">
        <v>54000000</v>
      </c>
    </row>
    <row r="48" spans="1:18">
      <c r="A48" t="s">
        <v>277</v>
      </c>
      <c r="P48" s="45">
        <v>5000000</v>
      </c>
      <c r="Q48" s="45">
        <v>23000000</v>
      </c>
      <c r="R48" s="45">
        <v>54000000</v>
      </c>
    </row>
    <row r="49" spans="1:18">
      <c r="A49" t="s">
        <v>278</v>
      </c>
      <c r="B49" s="45">
        <v>444000000</v>
      </c>
      <c r="C49" s="45">
        <v>415000000</v>
      </c>
      <c r="D49" s="45">
        <v>299000000</v>
      </c>
      <c r="E49" s="45">
        <v>200000000</v>
      </c>
      <c r="F49" s="45">
        <v>304000000</v>
      </c>
      <c r="G49" s="45">
        <v>361000000</v>
      </c>
      <c r="H49" s="45">
        <v>635000000</v>
      </c>
      <c r="I49" s="45">
        <v>514000000</v>
      </c>
      <c r="J49" s="45">
        <v>516000000</v>
      </c>
      <c r="K49" s="45">
        <v>468000000</v>
      </c>
      <c r="L49" s="45">
        <v>411000000</v>
      </c>
      <c r="M49" s="45">
        <v>338000000</v>
      </c>
      <c r="N49" s="45">
        <v>306000000</v>
      </c>
      <c r="O49" s="45">
        <v>394000000</v>
      </c>
      <c r="P49" s="45">
        <v>282000000</v>
      </c>
      <c r="Q49" s="45">
        <v>274000000</v>
      </c>
      <c r="R49" s="45">
        <v>306000000</v>
      </c>
    </row>
    <row r="50" spans="1:18">
      <c r="A50" t="s">
        <v>279</v>
      </c>
      <c r="B50" s="45">
        <v>162000000</v>
      </c>
      <c r="C50" s="45">
        <v>235000000</v>
      </c>
      <c r="D50" s="45">
        <v>187000000</v>
      </c>
      <c r="E50" s="45">
        <v>111000000</v>
      </c>
      <c r="F50" s="45">
        <v>144000000</v>
      </c>
      <c r="G50" s="45">
        <v>150000000</v>
      </c>
      <c r="H50" s="45">
        <v>145000000</v>
      </c>
      <c r="I50" s="45">
        <v>129000000</v>
      </c>
      <c r="J50" s="45">
        <v>122000000</v>
      </c>
      <c r="K50" s="45">
        <v>120000000</v>
      </c>
      <c r="L50" s="45">
        <v>133000000</v>
      </c>
      <c r="M50" s="45">
        <v>137000000</v>
      </c>
      <c r="N50" s="45">
        <v>114000000</v>
      </c>
    </row>
    <row r="51" spans="1:18">
      <c r="A51" t="s">
        <v>280</v>
      </c>
      <c r="B51" s="45">
        <v>87000000</v>
      </c>
      <c r="C51" s="45">
        <v>699000000</v>
      </c>
      <c r="D51" s="45">
        <v>45000000</v>
      </c>
      <c r="E51" s="45">
        <v>289000000</v>
      </c>
      <c r="F51" s="45">
        <v>43000000</v>
      </c>
      <c r="G51" s="45">
        <v>11000000</v>
      </c>
      <c r="H51" s="45">
        <v>11000000</v>
      </c>
      <c r="I51" s="45">
        <v>119000000</v>
      </c>
      <c r="J51" s="45">
        <v>328000000</v>
      </c>
      <c r="K51" s="45">
        <v>9000000</v>
      </c>
      <c r="L51" s="45">
        <v>194000000</v>
      </c>
      <c r="M51" s="45">
        <v>4000000</v>
      </c>
      <c r="N51" s="45">
        <v>4000000</v>
      </c>
      <c r="O51" s="45">
        <v>57000000</v>
      </c>
      <c r="P51" s="45">
        <v>12000000</v>
      </c>
      <c r="Q51" s="45">
        <v>38000000</v>
      </c>
      <c r="R51" s="45">
        <v>26000000</v>
      </c>
    </row>
    <row r="52" spans="1:18">
      <c r="A52" t="s">
        <v>281</v>
      </c>
      <c r="B52" s="45">
        <v>46000000</v>
      </c>
      <c r="C52" s="45">
        <v>660000000</v>
      </c>
      <c r="D52" s="45">
        <v>10000000</v>
      </c>
      <c r="E52" s="45">
        <v>260000000</v>
      </c>
      <c r="F52" s="45">
        <v>11000000</v>
      </c>
      <c r="G52" s="45">
        <v>11000000</v>
      </c>
      <c r="H52" s="45">
        <v>11000000</v>
      </c>
      <c r="I52" s="45">
        <v>119000000</v>
      </c>
      <c r="J52" s="45">
        <v>328000000</v>
      </c>
      <c r="K52" s="45">
        <v>9000000</v>
      </c>
      <c r="L52" s="45">
        <v>194000000</v>
      </c>
      <c r="M52" s="45">
        <v>4000000</v>
      </c>
      <c r="N52" s="45">
        <v>4000000</v>
      </c>
      <c r="O52" s="45">
        <v>57000000</v>
      </c>
      <c r="P52" s="45">
        <v>12000000</v>
      </c>
      <c r="Q52" s="45">
        <v>38000000</v>
      </c>
      <c r="R52" s="45">
        <v>26000000</v>
      </c>
    </row>
    <row r="53" spans="1:18">
      <c r="A53" t="s">
        <v>282</v>
      </c>
      <c r="B53" s="45">
        <v>46000000</v>
      </c>
      <c r="C53" s="45">
        <v>660000000</v>
      </c>
      <c r="D53" s="45">
        <v>10000000</v>
      </c>
      <c r="E53" s="45">
        <v>260000000</v>
      </c>
      <c r="F53" s="45">
        <v>11000000</v>
      </c>
    </row>
    <row r="54" spans="1:18">
      <c r="A54" t="s">
        <v>283</v>
      </c>
      <c r="B54" s="45">
        <v>41000000</v>
      </c>
      <c r="C54" s="45">
        <v>39000000</v>
      </c>
      <c r="D54" s="45">
        <v>35000000</v>
      </c>
      <c r="E54" s="45">
        <v>29000000</v>
      </c>
      <c r="F54" s="45">
        <v>32000000</v>
      </c>
    </row>
    <row r="55" spans="1:18">
      <c r="A55" t="s">
        <v>284</v>
      </c>
      <c r="B55" s="45">
        <v>1442000000</v>
      </c>
      <c r="C55" s="45">
        <v>1438000000</v>
      </c>
      <c r="D55" s="45">
        <v>1178000000</v>
      </c>
      <c r="E55" s="45">
        <v>282000000</v>
      </c>
      <c r="F55" s="45">
        <v>445000000</v>
      </c>
      <c r="G55" s="45">
        <v>388000000</v>
      </c>
    </row>
    <row r="56" spans="1:18">
      <c r="A56" t="s">
        <v>285</v>
      </c>
      <c r="B56" s="45">
        <v>1442000000</v>
      </c>
      <c r="C56" s="45">
        <v>1438000000</v>
      </c>
      <c r="D56" s="45">
        <v>1178000000</v>
      </c>
      <c r="E56" s="45">
        <v>282000000</v>
      </c>
      <c r="F56" s="45">
        <v>445000000</v>
      </c>
      <c r="G56" s="45">
        <v>388000000</v>
      </c>
    </row>
    <row r="57" spans="1:18">
      <c r="A57" t="s">
        <v>286</v>
      </c>
      <c r="K57" s="45">
        <v>3000000</v>
      </c>
      <c r="M57" s="45">
        <v>1000000</v>
      </c>
      <c r="R57" s="45">
        <v>8000000</v>
      </c>
    </row>
    <row r="58" spans="1:18">
      <c r="A58" t="s">
        <v>287</v>
      </c>
      <c r="B58" s="45">
        <v>6283000000</v>
      </c>
      <c r="C58" s="45">
        <v>5323000000</v>
      </c>
      <c r="D58" s="45">
        <v>6805000000</v>
      </c>
      <c r="E58" s="45">
        <v>4931000000</v>
      </c>
      <c r="F58" s="45">
        <v>3364000000</v>
      </c>
      <c r="G58" s="45">
        <v>2905000000</v>
      </c>
      <c r="H58" s="45">
        <v>3165000000</v>
      </c>
      <c r="I58" s="45">
        <v>2917000000</v>
      </c>
      <c r="J58" s="45">
        <v>2494000000</v>
      </c>
      <c r="K58" s="45">
        <v>2782000000</v>
      </c>
      <c r="L58" s="45">
        <v>2529000000</v>
      </c>
      <c r="M58" s="45">
        <v>2191000000</v>
      </c>
      <c r="N58" s="45">
        <v>2111000000</v>
      </c>
      <c r="O58" s="45">
        <v>1516000000</v>
      </c>
      <c r="P58" s="45">
        <v>1620000000</v>
      </c>
      <c r="Q58" s="45">
        <v>1874000000</v>
      </c>
      <c r="R58" s="45">
        <v>2082000000</v>
      </c>
    </row>
    <row r="59" spans="1:18">
      <c r="A59" t="s">
        <v>288</v>
      </c>
      <c r="I59" s="45">
        <v>296000000</v>
      </c>
      <c r="J59" s="45">
        <v>280000000</v>
      </c>
      <c r="K59" s="45">
        <v>284000000</v>
      </c>
      <c r="L59" s="45">
        <v>262000000</v>
      </c>
      <c r="M59" s="45">
        <v>267000000</v>
      </c>
    </row>
    <row r="60" spans="1:18">
      <c r="A60" t="s">
        <v>289</v>
      </c>
      <c r="B60" s="45">
        <v>3342000000</v>
      </c>
      <c r="C60" s="45">
        <v>2751000000</v>
      </c>
      <c r="D60" s="45">
        <v>4317000000</v>
      </c>
      <c r="E60" s="45">
        <v>3361000000</v>
      </c>
      <c r="F60" s="45">
        <v>2005000000</v>
      </c>
      <c r="G60" s="45">
        <v>1623000000</v>
      </c>
      <c r="H60" s="45">
        <v>1440000000</v>
      </c>
      <c r="I60" s="45">
        <v>1445000000</v>
      </c>
      <c r="J60" s="45">
        <v>1047000000</v>
      </c>
      <c r="K60" s="45">
        <v>1381000000</v>
      </c>
      <c r="L60" s="45">
        <v>1289000000</v>
      </c>
      <c r="M60" s="45">
        <v>1229000000</v>
      </c>
      <c r="N60" s="45">
        <v>1221000000</v>
      </c>
      <c r="O60" s="45">
        <v>1516000000</v>
      </c>
      <c r="P60" s="45">
        <v>1620000000</v>
      </c>
      <c r="Q60" s="45">
        <v>665000000</v>
      </c>
      <c r="R60" s="45">
        <v>794000000</v>
      </c>
    </row>
    <row r="61" spans="1:18">
      <c r="A61" t="s">
        <v>290</v>
      </c>
      <c r="B61" s="45">
        <v>3053000000</v>
      </c>
      <c r="C61" s="45">
        <v>2453000000</v>
      </c>
      <c r="D61" s="45">
        <v>3968000000</v>
      </c>
      <c r="E61" s="45">
        <v>2984000000</v>
      </c>
      <c r="F61" s="45">
        <v>1612000000</v>
      </c>
      <c r="G61" s="45">
        <v>1623000000</v>
      </c>
      <c r="H61" s="45">
        <v>1440000000</v>
      </c>
      <c r="I61" s="45">
        <v>1445000000</v>
      </c>
      <c r="J61" s="45">
        <v>1047000000</v>
      </c>
      <c r="K61" s="45">
        <v>1381000000</v>
      </c>
      <c r="L61" s="45">
        <v>1289000000</v>
      </c>
      <c r="M61" s="45">
        <v>1229000000</v>
      </c>
      <c r="N61" s="45">
        <v>1221000000</v>
      </c>
      <c r="O61" s="45">
        <v>1516000000</v>
      </c>
      <c r="P61" s="45">
        <v>1620000000</v>
      </c>
      <c r="Q61" s="45">
        <v>665000000</v>
      </c>
      <c r="R61" s="45">
        <v>794000000</v>
      </c>
    </row>
    <row r="62" spans="1:18">
      <c r="A62" t="s">
        <v>291</v>
      </c>
      <c r="B62" s="45">
        <v>289000000</v>
      </c>
      <c r="C62" s="45">
        <v>298000000</v>
      </c>
      <c r="D62" s="45">
        <v>349000000</v>
      </c>
      <c r="E62" s="45">
        <v>377000000</v>
      </c>
      <c r="F62" s="45">
        <v>393000000</v>
      </c>
    </row>
    <row r="63" spans="1:18">
      <c r="A63" t="s">
        <v>292</v>
      </c>
      <c r="B63" s="45">
        <v>2192000000</v>
      </c>
      <c r="C63" s="45">
        <v>1987000000</v>
      </c>
      <c r="D63" s="45">
        <v>1985000000</v>
      </c>
      <c r="E63" s="45">
        <v>1218000000</v>
      </c>
      <c r="F63" s="45">
        <v>972000000</v>
      </c>
      <c r="G63" s="45">
        <v>863000000</v>
      </c>
      <c r="H63" s="45">
        <v>987000000</v>
      </c>
      <c r="I63" s="45">
        <v>772000000</v>
      </c>
      <c r="J63" s="45">
        <v>759000000</v>
      </c>
      <c r="K63" s="45">
        <v>793000000</v>
      </c>
      <c r="L63" s="45">
        <v>604000000</v>
      </c>
      <c r="M63" s="45">
        <v>453000000</v>
      </c>
    </row>
    <row r="64" spans="1:18">
      <c r="A64" t="s">
        <v>293</v>
      </c>
      <c r="B64" s="45">
        <v>85000000</v>
      </c>
      <c r="C64" s="45">
        <v>72000000</v>
      </c>
      <c r="D64" s="45">
        <v>93000000</v>
      </c>
      <c r="E64" s="45">
        <v>48000000</v>
      </c>
      <c r="F64" s="45">
        <v>47000000</v>
      </c>
      <c r="G64" s="45">
        <v>54000000</v>
      </c>
      <c r="H64" s="45">
        <v>62000000</v>
      </c>
      <c r="I64" s="45">
        <v>57000000</v>
      </c>
      <c r="J64" s="45">
        <v>59000000</v>
      </c>
      <c r="K64" s="45">
        <v>66000000</v>
      </c>
      <c r="L64" s="45">
        <v>74000000</v>
      </c>
      <c r="M64" s="45">
        <v>80000000</v>
      </c>
    </row>
    <row r="65" spans="1:18">
      <c r="A65" t="s">
        <v>294</v>
      </c>
      <c r="B65" s="45">
        <v>1637000000</v>
      </c>
      <c r="C65" s="45">
        <v>1495000000</v>
      </c>
      <c r="D65" s="45">
        <v>1349000000</v>
      </c>
      <c r="E65" s="45">
        <v>659000000</v>
      </c>
      <c r="F65" s="45">
        <v>475000000</v>
      </c>
      <c r="G65" s="45">
        <v>442000000</v>
      </c>
      <c r="H65" s="45">
        <v>523000000</v>
      </c>
      <c r="I65" s="45">
        <v>363000000</v>
      </c>
      <c r="J65" s="45">
        <v>367000000</v>
      </c>
      <c r="K65" s="45">
        <v>383000000</v>
      </c>
      <c r="L65" s="45">
        <v>192000000</v>
      </c>
      <c r="M65" s="45">
        <v>93000000</v>
      </c>
    </row>
    <row r="66" spans="1:18">
      <c r="A66" t="s">
        <v>295</v>
      </c>
      <c r="B66" s="45">
        <v>389000000</v>
      </c>
      <c r="C66" s="45">
        <v>339000000</v>
      </c>
      <c r="D66" s="45">
        <v>281000000</v>
      </c>
      <c r="E66" s="45">
        <v>166000000</v>
      </c>
      <c r="F66" s="45">
        <v>147000000</v>
      </c>
      <c r="G66" s="45">
        <v>131000000</v>
      </c>
      <c r="H66" s="45">
        <v>107000000</v>
      </c>
      <c r="I66" s="45">
        <v>100000000</v>
      </c>
      <c r="J66" s="45">
        <v>127000000</v>
      </c>
      <c r="K66" s="45">
        <v>62000000</v>
      </c>
      <c r="L66" s="45">
        <v>90000000</v>
      </c>
      <c r="M66" s="45">
        <v>91000000</v>
      </c>
    </row>
    <row r="67" spans="1:18">
      <c r="A67" t="s">
        <v>296</v>
      </c>
      <c r="B67" s="45">
        <v>71000000</v>
      </c>
      <c r="C67" s="45">
        <v>68000000</v>
      </c>
      <c r="D67" s="45">
        <v>66000000</v>
      </c>
      <c r="E67" s="45">
        <v>67000000</v>
      </c>
      <c r="F67" s="45">
        <v>80000000</v>
      </c>
      <c r="G67" s="45">
        <v>78000000</v>
      </c>
      <c r="I67" s="45">
        <v>20000000</v>
      </c>
      <c r="J67" s="45">
        <v>20000000</v>
      </c>
      <c r="K67" s="45">
        <v>19000000</v>
      </c>
      <c r="L67" s="45">
        <v>18000000</v>
      </c>
      <c r="M67" s="45">
        <v>20000000</v>
      </c>
    </row>
    <row r="68" spans="1:18">
      <c r="A68" t="s">
        <v>297</v>
      </c>
      <c r="I68" s="45">
        <v>20000000</v>
      </c>
      <c r="J68" s="45">
        <v>20000000</v>
      </c>
      <c r="K68" s="45">
        <v>19000000</v>
      </c>
      <c r="L68" s="45">
        <v>18000000</v>
      </c>
      <c r="M68" s="45">
        <v>20000000</v>
      </c>
    </row>
    <row r="69" spans="1:18">
      <c r="A69" t="s">
        <v>298</v>
      </c>
      <c r="B69" s="45">
        <v>289000000</v>
      </c>
      <c r="C69" s="45">
        <v>178000000</v>
      </c>
      <c r="D69" s="45">
        <v>156000000</v>
      </c>
      <c r="E69" s="45">
        <v>119000000</v>
      </c>
      <c r="F69" s="45">
        <v>160000000</v>
      </c>
      <c r="G69" s="45">
        <v>210000000</v>
      </c>
      <c r="H69" s="45">
        <v>631000000</v>
      </c>
      <c r="I69" s="45">
        <v>284000000</v>
      </c>
      <c r="J69" s="45">
        <v>261000000</v>
      </c>
      <c r="K69" s="45">
        <v>243000000</v>
      </c>
      <c r="L69" s="45">
        <v>266000000</v>
      </c>
      <c r="M69" s="45">
        <v>131000000</v>
      </c>
      <c r="N69" s="45">
        <v>890000000</v>
      </c>
      <c r="Q69" s="45">
        <v>1209000000</v>
      </c>
      <c r="R69" s="45">
        <v>1288000000</v>
      </c>
    </row>
    <row r="70" spans="1:18">
      <c r="A70" t="s">
        <v>299</v>
      </c>
      <c r="B70" s="45">
        <v>3685000000</v>
      </c>
      <c r="C70" s="45">
        <v>3702000000</v>
      </c>
      <c r="D70" s="45">
        <v>3566000000</v>
      </c>
      <c r="E70" s="45">
        <v>3214000000</v>
      </c>
      <c r="F70" s="45">
        <v>3967000000</v>
      </c>
      <c r="G70" s="45">
        <v>3677000000</v>
      </c>
      <c r="H70" s="45">
        <v>3541000000</v>
      </c>
      <c r="I70" s="45">
        <v>3908000000</v>
      </c>
      <c r="J70" s="45">
        <v>3995000000</v>
      </c>
      <c r="K70" s="45">
        <v>4631000000</v>
      </c>
      <c r="L70" s="45">
        <v>4777000000</v>
      </c>
      <c r="M70" s="45">
        <v>4831000000</v>
      </c>
      <c r="N70" s="45">
        <v>4828000000</v>
      </c>
      <c r="O70" s="45">
        <v>5131000000</v>
      </c>
      <c r="P70" s="45">
        <v>5040000000</v>
      </c>
      <c r="Q70" s="45">
        <v>3592000000</v>
      </c>
      <c r="R70" s="45">
        <v>3469000000</v>
      </c>
    </row>
    <row r="71" spans="1:18">
      <c r="A71" t="s">
        <v>300</v>
      </c>
      <c r="B71" s="45">
        <v>3682000000</v>
      </c>
      <c r="C71" s="45">
        <v>3699000000</v>
      </c>
      <c r="D71" s="45">
        <v>3563000000</v>
      </c>
      <c r="E71" s="45">
        <v>3211000000</v>
      </c>
      <c r="F71" s="45">
        <v>3962000000</v>
      </c>
      <c r="G71" s="45">
        <v>3670000000</v>
      </c>
      <c r="H71" s="45">
        <v>3525000000</v>
      </c>
      <c r="I71" s="45">
        <v>3903000000</v>
      </c>
      <c r="J71" s="45">
        <v>3991000000</v>
      </c>
      <c r="K71" s="45">
        <v>4627000000</v>
      </c>
      <c r="L71" s="45">
        <v>4769000000</v>
      </c>
      <c r="M71" s="45">
        <v>4821000000</v>
      </c>
      <c r="N71" s="45">
        <v>4818000000</v>
      </c>
      <c r="O71" s="45">
        <v>5118000000</v>
      </c>
      <c r="P71" s="45">
        <v>5016000000</v>
      </c>
      <c r="Q71" s="45">
        <v>3564000000</v>
      </c>
      <c r="R71" s="45">
        <v>3434000000</v>
      </c>
    </row>
    <row r="72" spans="1:18">
      <c r="A72" t="s">
        <v>301</v>
      </c>
      <c r="B72" s="45">
        <v>1000000</v>
      </c>
      <c r="C72" s="45">
        <v>1000000</v>
      </c>
      <c r="D72" s="45">
        <v>1000000</v>
      </c>
      <c r="E72" s="45">
        <v>1000000</v>
      </c>
      <c r="F72" s="45">
        <v>1000000</v>
      </c>
      <c r="G72" s="45">
        <v>1000000</v>
      </c>
      <c r="H72" s="45">
        <v>1000000</v>
      </c>
      <c r="I72" s="45">
        <v>1000000</v>
      </c>
      <c r="J72" s="45">
        <v>1000000</v>
      </c>
      <c r="K72" s="45">
        <v>2000000</v>
      </c>
      <c r="L72" s="45">
        <v>2000000</v>
      </c>
      <c r="M72" s="45">
        <v>2000000</v>
      </c>
      <c r="N72" s="45">
        <v>2000000</v>
      </c>
      <c r="O72" s="45">
        <v>2000000</v>
      </c>
      <c r="P72" s="45">
        <v>2000000</v>
      </c>
      <c r="Q72" s="45">
        <v>1000000</v>
      </c>
      <c r="R72" s="45">
        <v>1000000</v>
      </c>
    </row>
    <row r="73" spans="1:18">
      <c r="A73" t="s">
        <v>302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Q73">
        <v>0</v>
      </c>
      <c r="R73">
        <v>0</v>
      </c>
    </row>
    <row r="74" spans="1:18">
      <c r="A74" t="s">
        <v>303</v>
      </c>
      <c r="B74" s="45">
        <v>1000000</v>
      </c>
      <c r="C74" s="45">
        <v>1000000</v>
      </c>
      <c r="D74" s="45">
        <v>1000000</v>
      </c>
      <c r="E74" s="45">
        <v>1000000</v>
      </c>
      <c r="F74" s="45">
        <v>1000000</v>
      </c>
      <c r="G74" s="45">
        <v>1000000</v>
      </c>
      <c r="H74" s="45">
        <v>1000000</v>
      </c>
      <c r="I74" s="45">
        <v>1000000</v>
      </c>
      <c r="J74" s="45">
        <v>1000000</v>
      </c>
      <c r="K74" s="45">
        <v>2000000</v>
      </c>
      <c r="L74" s="45">
        <v>2000000</v>
      </c>
      <c r="M74" s="45">
        <v>2000000</v>
      </c>
      <c r="N74" s="45">
        <v>2000000</v>
      </c>
      <c r="O74" s="45">
        <v>2000000</v>
      </c>
      <c r="P74" s="45">
        <v>2000000</v>
      </c>
      <c r="Q74" s="45">
        <v>1000000</v>
      </c>
      <c r="R74" s="45">
        <v>1000000</v>
      </c>
    </row>
    <row r="75" spans="1:18">
      <c r="A75" t="s">
        <v>304</v>
      </c>
      <c r="B75" s="45">
        <v>155000000</v>
      </c>
      <c r="C75" s="45">
        <v>318000000</v>
      </c>
      <c r="D75" s="45">
        <v>640000000</v>
      </c>
      <c r="E75" s="45">
        <v>13000000</v>
      </c>
      <c r="F75">
        <v>0</v>
      </c>
      <c r="G75" s="45">
        <v>50000000</v>
      </c>
      <c r="H75" s="45">
        <v>967000000</v>
      </c>
      <c r="I75" s="45">
        <v>1686000000</v>
      </c>
      <c r="J75" s="45">
        <v>1931000000</v>
      </c>
      <c r="K75" s="45">
        <v>2621000000</v>
      </c>
      <c r="L75" s="45">
        <v>3015000000</v>
      </c>
      <c r="M75" s="45">
        <v>3263000000</v>
      </c>
      <c r="N75" s="45">
        <v>3380000000</v>
      </c>
      <c r="O75" s="45">
        <v>3751000000</v>
      </c>
      <c r="P75" s="45">
        <v>3731000000</v>
      </c>
      <c r="Q75" s="45">
        <v>2242000000</v>
      </c>
      <c r="R75" s="45">
        <v>3325000000</v>
      </c>
    </row>
    <row r="76" spans="1:18">
      <c r="A76" t="s">
        <v>305</v>
      </c>
      <c r="B76" s="45">
        <v>3732000000</v>
      </c>
      <c r="C76" s="45">
        <v>3622000000</v>
      </c>
      <c r="D76" s="45">
        <v>3167000000</v>
      </c>
      <c r="E76" s="45">
        <v>3389000000</v>
      </c>
      <c r="F76" s="45">
        <v>4170000000</v>
      </c>
      <c r="G76" s="45">
        <v>3819000000</v>
      </c>
      <c r="H76" s="45">
        <v>2742000000</v>
      </c>
      <c r="I76" s="45">
        <v>2493000000</v>
      </c>
      <c r="J76" s="45">
        <v>2289000000</v>
      </c>
      <c r="K76" s="45">
        <v>2165000000</v>
      </c>
      <c r="L76" s="45">
        <v>1821000000</v>
      </c>
      <c r="M76" s="45">
        <v>1605000000</v>
      </c>
      <c r="N76" s="45">
        <v>1517000000</v>
      </c>
      <c r="O76" s="45">
        <v>1404000000</v>
      </c>
      <c r="P76" s="45">
        <v>1338000000</v>
      </c>
      <c r="Q76" s="45">
        <v>1381000000</v>
      </c>
      <c r="R76" s="45">
        <v>1213000000</v>
      </c>
    </row>
    <row r="77" spans="1:18">
      <c r="A77" t="s">
        <v>306</v>
      </c>
      <c r="J77">
        <v>0</v>
      </c>
      <c r="K77" s="45">
        <v>1000000</v>
      </c>
      <c r="L77" s="45">
        <v>1000000</v>
      </c>
      <c r="M77" s="45">
        <v>1000000</v>
      </c>
      <c r="N77" s="45">
        <v>1000000</v>
      </c>
      <c r="O77" s="45">
        <v>1000000</v>
      </c>
      <c r="P77" s="45">
        <v>2000000</v>
      </c>
      <c r="Q77">
        <v>0</v>
      </c>
      <c r="R77" s="45">
        <v>1101000000</v>
      </c>
    </row>
    <row r="78" spans="1:18">
      <c r="A78" t="s">
        <v>307</v>
      </c>
      <c r="B78" s="45">
        <v>-206000000</v>
      </c>
      <c r="C78" s="45">
        <v>-242000000</v>
      </c>
      <c r="D78" s="45">
        <v>-245000000</v>
      </c>
      <c r="E78" s="45">
        <v>-192000000</v>
      </c>
      <c r="F78" s="45">
        <v>-209000000</v>
      </c>
      <c r="G78" s="45">
        <v>-200000000</v>
      </c>
      <c r="H78" s="45">
        <v>-185000000</v>
      </c>
      <c r="I78" s="45">
        <v>-277000000</v>
      </c>
      <c r="J78" s="45">
        <v>-230000000</v>
      </c>
      <c r="K78" s="45">
        <v>-160000000</v>
      </c>
      <c r="L78" s="45">
        <v>-68000000</v>
      </c>
      <c r="M78" s="45">
        <v>-48000000</v>
      </c>
      <c r="N78" s="45">
        <v>-80000000</v>
      </c>
      <c r="O78" s="45">
        <v>-38000000</v>
      </c>
      <c r="P78" s="45">
        <v>-53000000</v>
      </c>
      <c r="Q78" s="45">
        <v>-60000000</v>
      </c>
      <c r="R78" s="45">
        <v>-4000000</v>
      </c>
    </row>
    <row r="79" spans="1:18">
      <c r="A79" t="s">
        <v>308</v>
      </c>
      <c r="B79" s="45">
        <v>-206000000</v>
      </c>
      <c r="C79" s="45">
        <v>-242000000</v>
      </c>
      <c r="D79" s="45">
        <v>-245000000</v>
      </c>
      <c r="E79" s="45">
        <v>-192000000</v>
      </c>
      <c r="F79" s="45">
        <v>-209000000</v>
      </c>
      <c r="G79" s="45">
        <v>-200000000</v>
      </c>
      <c r="H79" s="45">
        <v>-185000000</v>
      </c>
      <c r="I79" s="45">
        <v>-277000000</v>
      </c>
      <c r="J79" s="45">
        <v>-230000000</v>
      </c>
      <c r="K79" s="45">
        <v>-160000000</v>
      </c>
      <c r="L79" s="45">
        <v>-68000000</v>
      </c>
      <c r="M79" s="45">
        <v>-48000000</v>
      </c>
    </row>
    <row r="80" spans="1:18">
      <c r="A80" t="s">
        <v>309</v>
      </c>
      <c r="B80" s="45">
        <v>3000000</v>
      </c>
      <c r="C80" s="45">
        <v>3000000</v>
      </c>
      <c r="D80" s="45">
        <v>3000000</v>
      </c>
      <c r="E80" s="45">
        <v>3000000</v>
      </c>
      <c r="F80" s="45">
        <v>5000000</v>
      </c>
      <c r="G80" s="45">
        <v>7000000</v>
      </c>
      <c r="H80" s="45">
        <v>16000000</v>
      </c>
      <c r="I80" s="45">
        <v>5000000</v>
      </c>
      <c r="J80" s="45">
        <v>4000000</v>
      </c>
      <c r="K80" s="45">
        <v>4000000</v>
      </c>
      <c r="L80" s="45">
        <v>8000000</v>
      </c>
      <c r="M80" s="45">
        <v>10000000</v>
      </c>
      <c r="N80" s="45">
        <v>10000000</v>
      </c>
      <c r="O80" s="45">
        <v>13000000</v>
      </c>
      <c r="P80" s="45">
        <v>24000000</v>
      </c>
      <c r="Q80" s="45">
        <v>28000000</v>
      </c>
      <c r="R80" s="45">
        <v>35000000</v>
      </c>
    </row>
    <row r="81" spans="1:18">
      <c r="A81" t="s">
        <v>310</v>
      </c>
      <c r="B81" s="45">
        <v>6735000000</v>
      </c>
      <c r="C81" s="45">
        <v>6152000000</v>
      </c>
      <c r="D81" s="45">
        <v>7531000000</v>
      </c>
      <c r="E81" s="45">
        <v>6195000000</v>
      </c>
      <c r="F81" s="45">
        <v>5574000000</v>
      </c>
      <c r="G81" s="45">
        <v>5293000000</v>
      </c>
      <c r="H81" s="45">
        <v>4965000000</v>
      </c>
      <c r="I81" s="45">
        <v>5348000000</v>
      </c>
      <c r="J81" s="45">
        <v>5038000000</v>
      </c>
      <c r="K81" s="45">
        <v>6008000000</v>
      </c>
      <c r="L81" s="45">
        <v>6058000000</v>
      </c>
      <c r="M81" s="45">
        <v>6050000000</v>
      </c>
      <c r="N81" s="45">
        <v>6039000000</v>
      </c>
      <c r="O81" s="45">
        <v>6634000000</v>
      </c>
      <c r="P81" s="45">
        <v>6636000000</v>
      </c>
      <c r="Q81" s="45">
        <v>4229000000</v>
      </c>
      <c r="R81" s="45">
        <v>4228000000</v>
      </c>
    </row>
    <row r="82" spans="1:18">
      <c r="A82" t="s">
        <v>311</v>
      </c>
      <c r="B82" s="45">
        <v>3682000000</v>
      </c>
      <c r="C82" s="45">
        <v>3699000000</v>
      </c>
      <c r="D82" s="45">
        <v>3563000000</v>
      </c>
      <c r="E82" s="45">
        <v>3211000000</v>
      </c>
      <c r="F82" s="45">
        <v>3962000000</v>
      </c>
      <c r="G82" s="45">
        <v>3670000000</v>
      </c>
      <c r="H82" s="45">
        <v>3525000000</v>
      </c>
      <c r="I82" s="45">
        <v>3903000000</v>
      </c>
      <c r="J82" s="45">
        <v>3991000000</v>
      </c>
      <c r="K82" s="45">
        <v>4627000000</v>
      </c>
      <c r="L82" s="45">
        <v>4769000000</v>
      </c>
      <c r="M82" s="45">
        <v>4821000000</v>
      </c>
      <c r="N82" s="45">
        <v>4818000000</v>
      </c>
      <c r="O82" s="45">
        <v>5118000000</v>
      </c>
      <c r="P82" s="45">
        <v>5016000000</v>
      </c>
      <c r="Q82" s="45">
        <v>3564000000</v>
      </c>
      <c r="R82" s="45">
        <v>3434000000</v>
      </c>
    </row>
    <row r="83" spans="1:18">
      <c r="A83" t="s">
        <v>312</v>
      </c>
      <c r="B83" s="45">
        <v>330000000</v>
      </c>
      <c r="C83" s="45">
        <v>337000000</v>
      </c>
      <c r="D83" s="45">
        <v>384000000</v>
      </c>
      <c r="E83" s="45">
        <v>406000000</v>
      </c>
      <c r="F83" s="45">
        <v>425000000</v>
      </c>
    </row>
    <row r="84" spans="1:18">
      <c r="A84" t="s">
        <v>313</v>
      </c>
      <c r="B84" s="45">
        <v>-1308000000</v>
      </c>
      <c r="C84" s="45">
        <v>-1070000000</v>
      </c>
      <c r="D84" s="45">
        <v>-1379000000</v>
      </c>
      <c r="E84" s="45">
        <v>2538000000</v>
      </c>
      <c r="F84" s="45">
        <v>3199000000</v>
      </c>
      <c r="G84" s="45">
        <v>2759000000</v>
      </c>
      <c r="H84" s="45">
        <v>2692000000</v>
      </c>
      <c r="I84" s="45">
        <v>3179000000</v>
      </c>
      <c r="J84" s="45">
        <v>3315000000</v>
      </c>
      <c r="K84" s="45">
        <v>3942000000</v>
      </c>
      <c r="L84" s="45">
        <v>4031000000</v>
      </c>
      <c r="M84" s="45">
        <v>4300000000</v>
      </c>
      <c r="N84" s="45">
        <v>4357000000</v>
      </c>
      <c r="O84" s="45">
        <v>4736000000</v>
      </c>
      <c r="P84" s="45">
        <v>4619000000</v>
      </c>
      <c r="Q84" s="45">
        <v>3188000000</v>
      </c>
      <c r="R84" s="45">
        <v>2872000000</v>
      </c>
    </row>
    <row r="85" spans="1:18">
      <c r="A85" t="s">
        <v>314</v>
      </c>
      <c r="B85" s="45">
        <v>-631000000</v>
      </c>
      <c r="C85" s="45">
        <v>-1037000000</v>
      </c>
      <c r="D85" s="45">
        <v>-170000000</v>
      </c>
      <c r="E85" s="45">
        <v>1579000000</v>
      </c>
      <c r="F85" s="45">
        <v>620000000</v>
      </c>
      <c r="G85" s="45">
        <v>284000000</v>
      </c>
      <c r="H85" s="45">
        <v>361000000</v>
      </c>
      <c r="I85" s="45">
        <v>215000000</v>
      </c>
      <c r="J85" s="45">
        <v>17000000</v>
      </c>
      <c r="K85" s="45">
        <v>979000000</v>
      </c>
      <c r="L85" s="45">
        <v>292000000</v>
      </c>
      <c r="M85" s="45">
        <v>1140000000</v>
      </c>
      <c r="N85" s="45">
        <v>1023000000</v>
      </c>
      <c r="O85" s="45">
        <v>1569000000</v>
      </c>
      <c r="P85" s="45">
        <v>1494000000</v>
      </c>
      <c r="Q85" s="45">
        <v>404000000</v>
      </c>
      <c r="R85" s="45">
        <v>368000000</v>
      </c>
    </row>
    <row r="86" spans="1:18">
      <c r="A86" t="s">
        <v>315</v>
      </c>
      <c r="B86" s="45">
        <v>6781000000</v>
      </c>
      <c r="C86" s="45">
        <v>6812000000</v>
      </c>
      <c r="D86" s="45">
        <v>7541000000</v>
      </c>
      <c r="E86" s="45">
        <v>6455000000</v>
      </c>
      <c r="F86" s="45">
        <v>5585000000</v>
      </c>
      <c r="G86" s="45">
        <v>5304000000</v>
      </c>
      <c r="H86" s="45">
        <v>4976000000</v>
      </c>
      <c r="I86" s="45">
        <v>5467000000</v>
      </c>
      <c r="J86" s="45">
        <v>5366000000</v>
      </c>
      <c r="K86" s="45">
        <v>6017000000</v>
      </c>
      <c r="L86" s="45">
        <v>6252000000</v>
      </c>
      <c r="M86" s="45">
        <v>6054000000</v>
      </c>
      <c r="N86" s="45">
        <v>6043000000</v>
      </c>
      <c r="O86" s="45">
        <v>6691000000</v>
      </c>
      <c r="P86" s="45">
        <v>6648000000</v>
      </c>
      <c r="Q86" s="45">
        <v>4267000000</v>
      </c>
      <c r="R86" s="45">
        <v>4254000000</v>
      </c>
    </row>
    <row r="87" spans="1:18">
      <c r="A87" t="s">
        <v>316</v>
      </c>
      <c r="B87" s="45">
        <v>-1308000000</v>
      </c>
      <c r="C87" s="45">
        <v>-1070000000</v>
      </c>
      <c r="D87" s="45">
        <v>-1379000000</v>
      </c>
      <c r="E87" s="45">
        <v>2538000000</v>
      </c>
      <c r="F87" s="45">
        <v>3199000000</v>
      </c>
      <c r="G87" s="45">
        <v>2759000000</v>
      </c>
      <c r="H87" s="45">
        <v>2692000000</v>
      </c>
      <c r="I87" s="45">
        <v>3179000000</v>
      </c>
      <c r="J87" s="45">
        <v>3315000000</v>
      </c>
      <c r="K87" s="45">
        <v>3942000000</v>
      </c>
      <c r="L87" s="45">
        <v>4031000000</v>
      </c>
      <c r="M87" s="45">
        <v>4300000000</v>
      </c>
      <c r="N87" s="45">
        <v>4357000000</v>
      </c>
      <c r="O87" s="45">
        <v>4736000000</v>
      </c>
      <c r="P87" s="45">
        <v>4619000000</v>
      </c>
      <c r="Q87" s="45">
        <v>3188000000</v>
      </c>
      <c r="R87" s="45">
        <v>2872000000</v>
      </c>
    </row>
    <row r="88" spans="1:18">
      <c r="A88" t="s">
        <v>317</v>
      </c>
      <c r="B88" s="45">
        <v>3429000000</v>
      </c>
      <c r="C88" s="45">
        <v>3450000000</v>
      </c>
      <c r="D88" s="45">
        <v>4362000000</v>
      </c>
      <c r="E88" s="45">
        <v>3650000000</v>
      </c>
      <c r="F88" s="45">
        <v>2048000000</v>
      </c>
      <c r="G88" s="45">
        <v>1634000000</v>
      </c>
      <c r="H88" s="45">
        <v>1451000000</v>
      </c>
      <c r="I88" s="45">
        <v>1564000000</v>
      </c>
      <c r="J88" s="45">
        <v>1375000000</v>
      </c>
      <c r="K88" s="45">
        <v>1390000000</v>
      </c>
      <c r="L88" s="45">
        <v>1483000000</v>
      </c>
      <c r="M88" s="45">
        <v>1233000000</v>
      </c>
      <c r="N88" s="45">
        <v>1225000000</v>
      </c>
      <c r="O88" s="45">
        <v>1573000000</v>
      </c>
      <c r="P88" s="45">
        <v>1632000000</v>
      </c>
      <c r="Q88" s="45">
        <v>703000000</v>
      </c>
      <c r="R88" s="45">
        <v>820000000</v>
      </c>
    </row>
    <row r="89" spans="1:18">
      <c r="A89" t="s">
        <v>318</v>
      </c>
      <c r="B89" s="45">
        <v>2217000000</v>
      </c>
      <c r="C89" s="45">
        <v>2122000000</v>
      </c>
      <c r="D89" s="45">
        <v>3018000000</v>
      </c>
      <c r="E89" s="45">
        <v>2037000000</v>
      </c>
      <c r="F89" s="45">
        <v>730000000</v>
      </c>
      <c r="G89" s="45">
        <v>1064000000</v>
      </c>
      <c r="H89" s="45">
        <v>948000000</v>
      </c>
      <c r="I89" s="45">
        <v>1082000000</v>
      </c>
      <c r="J89" s="45">
        <v>918000000</v>
      </c>
      <c r="K89" s="45">
        <v>705000000</v>
      </c>
      <c r="L89" s="45">
        <v>1029000000</v>
      </c>
      <c r="M89" s="45">
        <v>820000000</v>
      </c>
      <c r="N89" s="45">
        <v>691000000</v>
      </c>
      <c r="O89" s="45">
        <v>463000000</v>
      </c>
      <c r="P89" s="45">
        <v>305000000</v>
      </c>
      <c r="Q89" s="45">
        <v>275000000</v>
      </c>
      <c r="R89" s="45">
        <v>411000000</v>
      </c>
    </row>
    <row r="90" spans="1:18">
      <c r="A90" t="s">
        <v>319</v>
      </c>
      <c r="B90" s="45">
        <v>104820348</v>
      </c>
      <c r="C90" s="45">
        <v>106400536</v>
      </c>
      <c r="D90" s="45">
        <v>109975321</v>
      </c>
      <c r="E90" s="45">
        <v>101289159</v>
      </c>
      <c r="F90" s="45">
        <v>101572453</v>
      </c>
      <c r="G90" s="45">
        <v>106623645</v>
      </c>
      <c r="H90" s="45">
        <v>118984986</v>
      </c>
      <c r="I90" s="45">
        <v>130815270</v>
      </c>
      <c r="J90" s="45">
        <v>136233649</v>
      </c>
      <c r="K90" s="45">
        <v>149118226</v>
      </c>
      <c r="L90" s="45">
        <v>156147880</v>
      </c>
      <c r="M90" s="45">
        <v>162102393</v>
      </c>
      <c r="N90" s="45">
        <v>165198512</v>
      </c>
      <c r="O90" s="45">
        <v>173989470</v>
      </c>
      <c r="P90" s="45">
        <v>173942263</v>
      </c>
      <c r="Q90" s="45">
        <v>168039995</v>
      </c>
      <c r="R90" s="45">
        <v>168039995</v>
      </c>
    </row>
    <row r="91" spans="1:18">
      <c r="A91" t="s">
        <v>320</v>
      </c>
      <c r="B91" s="45">
        <v>104820348</v>
      </c>
      <c r="C91" s="45">
        <v>106400536</v>
      </c>
      <c r="D91" s="45">
        <v>109975321</v>
      </c>
      <c r="E91" s="45">
        <v>101289159</v>
      </c>
      <c r="F91" s="45">
        <v>101572453</v>
      </c>
      <c r="G91" s="45">
        <v>106623645</v>
      </c>
      <c r="H91" s="45">
        <v>118984986</v>
      </c>
      <c r="I91" s="45">
        <v>130815270</v>
      </c>
      <c r="J91" s="45">
        <v>136233649</v>
      </c>
      <c r="K91" s="45">
        <v>149081953</v>
      </c>
      <c r="L91" s="45">
        <v>156111607</v>
      </c>
      <c r="M91" s="45">
        <v>162066120</v>
      </c>
      <c r="N91" s="45">
        <v>165162239</v>
      </c>
      <c r="O91" s="45">
        <v>173953197</v>
      </c>
      <c r="P91" s="45">
        <v>173875185</v>
      </c>
      <c r="Q91" s="45">
        <v>168039995</v>
      </c>
      <c r="R91" s="45">
        <v>168039995</v>
      </c>
    </row>
    <row r="92" spans="1:18">
      <c r="A92" t="s">
        <v>321</v>
      </c>
      <c r="B92" s="45"/>
      <c r="K92" s="45">
        <v>36273</v>
      </c>
      <c r="L92" s="45">
        <v>36273</v>
      </c>
      <c r="M92" s="45">
        <v>36273</v>
      </c>
      <c r="N92" s="45">
        <v>36273</v>
      </c>
      <c r="O92" s="45">
        <v>36273</v>
      </c>
      <c r="P92" s="45">
        <v>67078</v>
      </c>
    </row>
    <row r="93" spans="1:18">
      <c r="B93" s="45"/>
    </row>
    <row r="94" spans="1:18">
      <c r="B94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1511-9D76-4F9E-861A-C90CD6C9E8DE}">
  <sheetPr>
    <tabColor rgb="FFFF0000"/>
  </sheetPr>
  <dimension ref="A1:R78"/>
  <sheetViews>
    <sheetView workbookViewId="0">
      <selection activeCell="B1" sqref="B1"/>
    </sheetView>
  </sheetViews>
  <sheetFormatPr defaultRowHeight="14.5"/>
  <cols>
    <col min="1" max="1" width="39.453125" bestFit="1" customWidth="1"/>
    <col min="2" max="5" width="12.90625" bestFit="1" customWidth="1"/>
    <col min="6" max="7" width="12.1796875" bestFit="1" customWidth="1"/>
    <col min="8" max="10" width="11.36328125" bestFit="1" customWidth="1"/>
    <col min="11" max="11" width="12.1796875" bestFit="1" customWidth="1"/>
    <col min="12" max="13" width="11.36328125" bestFit="1" customWidth="1"/>
    <col min="14" max="16" width="12.90625" bestFit="1" customWidth="1"/>
    <col min="17" max="17" width="11.36328125" bestFit="1" customWidth="1"/>
    <col min="18" max="18" width="12.90625" bestFit="1" customWidth="1"/>
  </cols>
  <sheetData>
    <row r="1" spans="1:18">
      <c r="A1" t="s">
        <v>176</v>
      </c>
      <c r="B1" s="35" t="s">
        <v>177</v>
      </c>
      <c r="C1" s="63">
        <v>44926</v>
      </c>
      <c r="D1" s="63">
        <v>44561</v>
      </c>
      <c r="E1" s="63">
        <v>44196</v>
      </c>
      <c r="F1" s="63">
        <v>43830</v>
      </c>
      <c r="G1" s="63">
        <v>43465</v>
      </c>
      <c r="H1" s="63">
        <v>43100</v>
      </c>
      <c r="I1" s="63">
        <v>42735</v>
      </c>
      <c r="J1" s="63">
        <v>42369</v>
      </c>
      <c r="K1" s="63">
        <v>42004</v>
      </c>
      <c r="L1" s="63">
        <v>41639</v>
      </c>
      <c r="M1" s="63">
        <v>41274</v>
      </c>
      <c r="N1" s="63">
        <v>40908</v>
      </c>
      <c r="O1" s="63">
        <v>40543</v>
      </c>
      <c r="P1" s="63">
        <v>40178</v>
      </c>
      <c r="Q1" s="63">
        <v>39813</v>
      </c>
      <c r="R1" s="63">
        <v>39447</v>
      </c>
    </row>
    <row r="2" spans="1:18">
      <c r="A2" t="s">
        <v>322</v>
      </c>
      <c r="B2" s="45">
        <v>662000000</v>
      </c>
      <c r="C2" s="45">
        <v>674000000</v>
      </c>
      <c r="D2" s="45">
        <v>315000000</v>
      </c>
      <c r="E2" s="45">
        <v>-611000000</v>
      </c>
      <c r="F2" s="45">
        <v>396000000</v>
      </c>
      <c r="G2" s="45">
        <v>341000000</v>
      </c>
      <c r="H2" s="45">
        <v>620000000</v>
      </c>
      <c r="I2" s="45">
        <v>489000000</v>
      </c>
      <c r="J2" s="45">
        <v>538000000</v>
      </c>
      <c r="K2" s="45">
        <v>473000000</v>
      </c>
      <c r="L2" s="45">
        <v>456000000</v>
      </c>
      <c r="M2" s="45">
        <v>499000000</v>
      </c>
      <c r="N2" s="45">
        <v>393000000</v>
      </c>
      <c r="O2" s="45">
        <v>450000000</v>
      </c>
      <c r="P2" s="45">
        <v>276000000</v>
      </c>
      <c r="Q2" s="45">
        <v>291000000</v>
      </c>
      <c r="R2" s="45">
        <v>386000000</v>
      </c>
    </row>
    <row r="3" spans="1:18">
      <c r="A3" t="s">
        <v>323</v>
      </c>
      <c r="B3" s="45">
        <v>662000000</v>
      </c>
      <c r="C3" s="45">
        <v>674000000</v>
      </c>
      <c r="D3" s="45">
        <v>315000000</v>
      </c>
      <c r="E3" s="45">
        <v>-611000000</v>
      </c>
      <c r="F3" s="45">
        <v>396000000</v>
      </c>
      <c r="G3" s="45">
        <v>341000000</v>
      </c>
      <c r="H3" s="45">
        <v>620000000</v>
      </c>
      <c r="I3" s="45">
        <v>489000000</v>
      </c>
      <c r="J3" s="45">
        <v>538000000</v>
      </c>
      <c r="K3" s="45">
        <v>473000000</v>
      </c>
      <c r="L3" s="45">
        <v>456000000</v>
      </c>
      <c r="M3" s="45">
        <v>499000000</v>
      </c>
      <c r="N3" s="45">
        <v>393000000</v>
      </c>
      <c r="O3" s="45">
        <v>450000000</v>
      </c>
      <c r="P3" s="45">
        <v>276000000</v>
      </c>
      <c r="Q3" s="45">
        <v>287000000</v>
      </c>
      <c r="R3" s="45">
        <v>362000000</v>
      </c>
    </row>
    <row r="4" spans="1:18">
      <c r="A4" t="s">
        <v>324</v>
      </c>
      <c r="B4" s="45">
        <v>448000000</v>
      </c>
      <c r="C4" s="45">
        <v>455000000</v>
      </c>
      <c r="D4" s="45">
        <v>-222000000</v>
      </c>
      <c r="E4" s="45">
        <v>-703000000</v>
      </c>
      <c r="F4" s="45">
        <v>766000000</v>
      </c>
      <c r="G4" s="45">
        <v>769000000</v>
      </c>
      <c r="H4" s="45">
        <v>250000000</v>
      </c>
      <c r="I4" s="45">
        <v>204000000</v>
      </c>
      <c r="J4" s="45">
        <v>124000000</v>
      </c>
      <c r="K4" s="45">
        <v>346000000</v>
      </c>
      <c r="L4" s="45">
        <v>205000000</v>
      </c>
      <c r="M4" s="45">
        <v>87000000</v>
      </c>
      <c r="N4" s="45">
        <v>111000000</v>
      </c>
      <c r="O4" s="45">
        <v>51000000</v>
      </c>
      <c r="P4" s="45">
        <v>-45000000</v>
      </c>
      <c r="Q4" s="45">
        <v>114000000</v>
      </c>
      <c r="R4" s="45">
        <v>266000000</v>
      </c>
    </row>
    <row r="5" spans="1:18">
      <c r="A5" t="s">
        <v>325</v>
      </c>
      <c r="B5" s="45">
        <v>-21000000</v>
      </c>
      <c r="C5" s="45">
        <v>-259000000</v>
      </c>
      <c r="D5" s="45">
        <v>-442000000</v>
      </c>
      <c r="E5" s="45">
        <v>106000000</v>
      </c>
      <c r="F5" s="45">
        <v>-731000000</v>
      </c>
      <c r="G5" s="45">
        <v>-780000000</v>
      </c>
      <c r="H5" s="45">
        <v>-231000000</v>
      </c>
      <c r="I5" s="45">
        <v>-10000000</v>
      </c>
      <c r="J5" s="45">
        <v>105000000</v>
      </c>
      <c r="K5" s="45">
        <v>-254000000</v>
      </c>
      <c r="L5" s="45">
        <v>-72000000</v>
      </c>
      <c r="M5" s="45">
        <v>29000000</v>
      </c>
      <c r="N5" s="45">
        <v>24000000</v>
      </c>
      <c r="O5" s="45">
        <v>-23000000</v>
      </c>
      <c r="P5" s="45">
        <v>-9000000</v>
      </c>
      <c r="Q5" s="45">
        <v>56000000</v>
      </c>
      <c r="R5" s="45">
        <v>-50000000</v>
      </c>
    </row>
    <row r="6" spans="1:18">
      <c r="A6" t="s">
        <v>326</v>
      </c>
      <c r="B6" s="45">
        <v>-730000000</v>
      </c>
      <c r="F6" s="45">
        <v>-723000000</v>
      </c>
      <c r="G6" s="45">
        <v>-772000000</v>
      </c>
      <c r="H6" s="45">
        <v>-51000000</v>
      </c>
      <c r="I6" s="45">
        <v>23000000</v>
      </c>
      <c r="J6" s="45">
        <v>-9000000</v>
      </c>
      <c r="K6" s="45">
        <v>-311000000</v>
      </c>
      <c r="L6" s="45">
        <v>-125000000</v>
      </c>
      <c r="M6">
        <v>0</v>
      </c>
    </row>
    <row r="7" spans="1:18">
      <c r="A7" t="s">
        <v>327</v>
      </c>
      <c r="B7" s="45">
        <v>-12000000</v>
      </c>
      <c r="C7" s="45">
        <v>-263000000</v>
      </c>
      <c r="D7" s="45">
        <v>-414000000</v>
      </c>
      <c r="E7" s="45">
        <v>36000000</v>
      </c>
      <c r="F7" s="45">
        <v>-739000000</v>
      </c>
      <c r="G7" s="45">
        <v>-772000000</v>
      </c>
      <c r="H7" s="45">
        <v>-51000000</v>
      </c>
      <c r="I7" s="45">
        <v>23000000</v>
      </c>
      <c r="J7" s="45">
        <v>-9000000</v>
      </c>
      <c r="K7" s="45">
        <v>-311000000</v>
      </c>
      <c r="L7" s="45">
        <v>-125000000</v>
      </c>
      <c r="M7">
        <v>0</v>
      </c>
      <c r="N7" s="45">
        <v>2000000</v>
      </c>
      <c r="O7" s="45">
        <v>-26000000</v>
      </c>
      <c r="P7">
        <v>0</v>
      </c>
      <c r="Q7">
        <v>0</v>
      </c>
      <c r="R7" s="45">
        <v>-22000000</v>
      </c>
    </row>
    <row r="8" spans="1:18">
      <c r="A8" t="s">
        <v>328</v>
      </c>
      <c r="J8" s="45">
        <v>14000000</v>
      </c>
      <c r="K8" s="45">
        <v>3000000</v>
      </c>
      <c r="L8" s="45">
        <v>5000000</v>
      </c>
      <c r="M8" s="45">
        <v>3000000</v>
      </c>
      <c r="N8" s="45">
        <v>5000000</v>
      </c>
      <c r="O8" s="45">
        <v>3000000</v>
      </c>
      <c r="P8" s="45">
        <v>-5000000</v>
      </c>
      <c r="Q8" s="45">
        <v>24000000</v>
      </c>
      <c r="R8" s="45">
        <v>-17000000</v>
      </c>
    </row>
    <row r="9" spans="1:18">
      <c r="A9" t="s">
        <v>329</v>
      </c>
      <c r="F9" s="45">
        <v>-2000000</v>
      </c>
      <c r="H9" s="45">
        <v>40000000</v>
      </c>
      <c r="L9" s="45">
        <v>-2000000</v>
      </c>
      <c r="M9" s="45">
        <v>-18000000</v>
      </c>
      <c r="O9" s="45">
        <v>-19000000</v>
      </c>
      <c r="P9" s="45">
        <v>-10000000</v>
      </c>
      <c r="Q9" s="45">
        <v>37000000</v>
      </c>
      <c r="R9" s="45">
        <v>-12000000</v>
      </c>
    </row>
    <row r="10" spans="1:18">
      <c r="A10" t="s">
        <v>330</v>
      </c>
      <c r="B10" s="45">
        <v>-10000000</v>
      </c>
      <c r="C10" s="45">
        <v>-5000000</v>
      </c>
      <c r="D10" s="45">
        <v>-28000000</v>
      </c>
      <c r="E10" s="45">
        <v>70000000</v>
      </c>
      <c r="F10" s="45">
        <v>10000000</v>
      </c>
      <c r="G10" s="45">
        <v>-8000000</v>
      </c>
      <c r="H10" s="45">
        <v>-220000000</v>
      </c>
      <c r="I10" s="45">
        <v>-33000000</v>
      </c>
      <c r="J10" s="45">
        <v>100000000</v>
      </c>
      <c r="K10" s="45">
        <v>54000000</v>
      </c>
      <c r="L10" s="45">
        <v>50000000</v>
      </c>
      <c r="M10" s="45">
        <v>44000000</v>
      </c>
      <c r="N10" s="45">
        <v>17000000</v>
      </c>
      <c r="O10" s="45">
        <v>54000000</v>
      </c>
      <c r="P10" s="45">
        <v>28000000</v>
      </c>
      <c r="Q10" s="45">
        <v>-5000000</v>
      </c>
      <c r="R10" s="45">
        <v>1000000</v>
      </c>
    </row>
    <row r="11" spans="1:18">
      <c r="A11" t="s">
        <v>331</v>
      </c>
      <c r="B11" s="45">
        <v>436000000</v>
      </c>
      <c r="C11" s="45">
        <v>461000000</v>
      </c>
      <c r="D11" s="45">
        <v>337000000</v>
      </c>
      <c r="E11" s="45">
        <v>341000000</v>
      </c>
      <c r="F11" s="45">
        <v>364000000</v>
      </c>
      <c r="G11" s="45">
        <v>327000000</v>
      </c>
      <c r="H11" s="45">
        <v>366000000</v>
      </c>
      <c r="I11" s="45">
        <v>342000000</v>
      </c>
      <c r="J11" s="45">
        <v>320000000</v>
      </c>
      <c r="K11" s="45">
        <v>354000000</v>
      </c>
      <c r="L11" s="45">
        <v>345000000</v>
      </c>
      <c r="M11" s="45">
        <v>353000000</v>
      </c>
      <c r="N11" s="45">
        <v>305000000</v>
      </c>
      <c r="O11" s="45">
        <v>279000000</v>
      </c>
      <c r="P11" s="45">
        <v>270000000</v>
      </c>
      <c r="Q11" s="45">
        <v>249000000</v>
      </c>
      <c r="R11" s="45">
        <v>214000000</v>
      </c>
    </row>
    <row r="12" spans="1:18">
      <c r="A12" t="s">
        <v>332</v>
      </c>
      <c r="B12" s="45">
        <v>436000000</v>
      </c>
      <c r="C12" s="45">
        <v>461000000</v>
      </c>
      <c r="D12" s="45">
        <v>337000000</v>
      </c>
      <c r="E12" s="45">
        <v>341000000</v>
      </c>
      <c r="F12" s="45">
        <v>364000000</v>
      </c>
      <c r="G12" s="45">
        <v>327000000</v>
      </c>
      <c r="H12" s="45">
        <v>366000000</v>
      </c>
      <c r="I12" s="45">
        <v>342000000</v>
      </c>
      <c r="J12" s="45">
        <v>320000000</v>
      </c>
      <c r="K12" s="45">
        <v>354000000</v>
      </c>
      <c r="L12" s="45">
        <v>345000000</v>
      </c>
      <c r="M12" s="45">
        <v>353000000</v>
      </c>
      <c r="N12" s="45">
        <v>305000000</v>
      </c>
      <c r="O12" s="45">
        <v>279000000</v>
      </c>
      <c r="P12" s="45">
        <v>270000000</v>
      </c>
      <c r="Q12" s="45">
        <v>249000000</v>
      </c>
      <c r="R12" s="45">
        <v>214000000</v>
      </c>
    </row>
    <row r="13" spans="1:18">
      <c r="A13" t="s">
        <v>333</v>
      </c>
      <c r="B13" s="45">
        <v>436000000</v>
      </c>
      <c r="C13" s="45">
        <v>461000000</v>
      </c>
      <c r="D13" s="45">
        <v>337000000</v>
      </c>
      <c r="E13" s="45">
        <v>341000000</v>
      </c>
      <c r="F13" s="45">
        <v>364000000</v>
      </c>
    </row>
    <row r="14" spans="1:18">
      <c r="A14" t="s">
        <v>334</v>
      </c>
      <c r="B14" s="45">
        <v>-284000000</v>
      </c>
      <c r="C14" s="45">
        <v>-259000000</v>
      </c>
      <c r="D14" s="45">
        <v>200000000</v>
      </c>
      <c r="E14" s="45">
        <v>-59000000</v>
      </c>
      <c r="F14" s="45">
        <v>28000000</v>
      </c>
      <c r="G14" s="45">
        <v>-33000000</v>
      </c>
      <c r="H14" s="45">
        <v>47000000</v>
      </c>
      <c r="I14" s="45">
        <v>-3000000</v>
      </c>
      <c r="J14" s="45">
        <v>-103000000</v>
      </c>
      <c r="K14" s="45">
        <v>-28000000</v>
      </c>
      <c r="L14" s="45">
        <v>-7000000</v>
      </c>
      <c r="M14" s="45">
        <v>65000000</v>
      </c>
      <c r="N14" s="45">
        <v>-137000000</v>
      </c>
      <c r="O14" s="45">
        <v>-8000000</v>
      </c>
      <c r="P14" s="45">
        <v>73000000</v>
      </c>
      <c r="Q14" s="45">
        <v>5000000</v>
      </c>
      <c r="R14" s="45">
        <v>-100000000</v>
      </c>
    </row>
    <row r="15" spans="1:18">
      <c r="A15" t="s">
        <v>335</v>
      </c>
      <c r="B15" s="45">
        <v>-284000000</v>
      </c>
      <c r="C15" s="45">
        <v>-259000000</v>
      </c>
      <c r="D15" s="45">
        <v>200000000</v>
      </c>
      <c r="E15" s="45">
        <v>-59000000</v>
      </c>
      <c r="F15" s="45">
        <v>28000000</v>
      </c>
      <c r="G15" s="45">
        <v>-33000000</v>
      </c>
      <c r="H15" s="45">
        <v>47000000</v>
      </c>
      <c r="I15" s="45">
        <v>-3000000</v>
      </c>
      <c r="J15" s="45">
        <v>-103000000</v>
      </c>
      <c r="K15" s="45">
        <v>-28000000</v>
      </c>
      <c r="L15" s="45">
        <v>-7000000</v>
      </c>
      <c r="M15" s="45">
        <v>65000000</v>
      </c>
      <c r="N15" s="45">
        <v>-137000000</v>
      </c>
      <c r="O15" s="45">
        <v>-8000000</v>
      </c>
      <c r="P15" s="45">
        <v>73000000</v>
      </c>
      <c r="Q15" s="45">
        <v>5000000</v>
      </c>
      <c r="R15" s="45">
        <v>-100000000</v>
      </c>
    </row>
    <row r="16" spans="1:18">
      <c r="A16" t="s">
        <v>336</v>
      </c>
      <c r="B16" s="45">
        <v>35000000</v>
      </c>
      <c r="C16" s="45">
        <v>38000000</v>
      </c>
      <c r="D16" s="45">
        <v>8000000</v>
      </c>
      <c r="E16" s="45">
        <v>62000000</v>
      </c>
      <c r="F16" s="45">
        <v>18000000</v>
      </c>
      <c r="G16" s="45">
        <v>47000000</v>
      </c>
      <c r="J16" s="45">
        <v>5000000</v>
      </c>
      <c r="K16" s="45">
        <v>17000000</v>
      </c>
      <c r="L16" s="45">
        <v>22000000</v>
      </c>
      <c r="M16">
        <v>0</v>
      </c>
      <c r="N16" s="45">
        <v>6000000</v>
      </c>
      <c r="O16" s="45">
        <v>44000000</v>
      </c>
      <c r="P16" s="45">
        <v>15000000</v>
      </c>
      <c r="Q16" s="45">
        <v>86000000</v>
      </c>
      <c r="R16" s="45">
        <v>61000000</v>
      </c>
    </row>
    <row r="17" spans="1:18">
      <c r="A17" t="s">
        <v>337</v>
      </c>
      <c r="J17" s="45">
        <v>-6000000</v>
      </c>
      <c r="K17">
        <v>0</v>
      </c>
      <c r="L17" s="45">
        <v>6000000</v>
      </c>
      <c r="M17" s="45">
        <v>4000000</v>
      </c>
    </row>
    <row r="18" spans="1:18">
      <c r="A18" t="s">
        <v>338</v>
      </c>
      <c r="B18" s="45">
        <v>-14000000</v>
      </c>
      <c r="C18" s="45">
        <v>55000000</v>
      </c>
      <c r="D18" s="45">
        <v>-14000000</v>
      </c>
      <c r="E18" s="45">
        <v>13000000</v>
      </c>
      <c r="F18" s="45">
        <v>-26000000</v>
      </c>
      <c r="L18">
        <v>0</v>
      </c>
      <c r="M18">
        <v>0</v>
      </c>
    </row>
    <row r="19" spans="1:18">
      <c r="A19" t="s">
        <v>339</v>
      </c>
      <c r="B19" s="45">
        <v>63000000</v>
      </c>
      <c r="C19" s="45">
        <v>61000000</v>
      </c>
      <c r="D19" s="45">
        <v>59000000</v>
      </c>
      <c r="E19" s="45">
        <v>28000000</v>
      </c>
      <c r="F19" s="45">
        <v>35000000</v>
      </c>
      <c r="G19" s="45">
        <v>28000000</v>
      </c>
      <c r="H19" s="45">
        <v>32000000</v>
      </c>
      <c r="I19" s="45">
        <v>26000000</v>
      </c>
      <c r="J19" s="45">
        <v>26000000</v>
      </c>
      <c r="K19" s="45">
        <v>52000000</v>
      </c>
    </row>
    <row r="20" spans="1:18">
      <c r="A20" t="s">
        <v>340</v>
      </c>
      <c r="B20" s="45">
        <v>-57000000</v>
      </c>
      <c r="C20" s="45">
        <v>-61000000</v>
      </c>
      <c r="D20" s="45">
        <v>1000000</v>
      </c>
      <c r="E20" s="45">
        <v>2000000</v>
      </c>
      <c r="F20" s="45">
        <v>-63000000</v>
      </c>
      <c r="G20" s="45">
        <v>45000000</v>
      </c>
      <c r="H20" s="45">
        <v>1000000</v>
      </c>
      <c r="I20" s="45">
        <v>-38000000</v>
      </c>
      <c r="J20" s="45">
        <v>42000000</v>
      </c>
      <c r="K20" s="45">
        <v>-38000000</v>
      </c>
      <c r="L20" s="45">
        <v>-12000000</v>
      </c>
      <c r="M20" s="45">
        <v>28000000</v>
      </c>
      <c r="N20" s="45">
        <v>49000000</v>
      </c>
      <c r="O20" s="45">
        <v>37000000</v>
      </c>
      <c r="P20" s="45">
        <v>56000000</v>
      </c>
      <c r="Q20" s="45">
        <v>-44000000</v>
      </c>
      <c r="R20" s="45">
        <v>-76000000</v>
      </c>
    </row>
    <row r="21" spans="1:18">
      <c r="A21" t="s">
        <v>341</v>
      </c>
      <c r="B21" s="45">
        <v>40000000</v>
      </c>
      <c r="C21" s="45">
        <v>167000000</v>
      </c>
      <c r="D21" s="45">
        <v>388000000</v>
      </c>
      <c r="E21" s="45">
        <v>-404000000</v>
      </c>
      <c r="F21" s="45">
        <v>-8000000</v>
      </c>
      <c r="G21" s="45">
        <v>-79000000</v>
      </c>
      <c r="H21" s="45">
        <v>126000000</v>
      </c>
      <c r="I21" s="45">
        <v>-32000000</v>
      </c>
      <c r="J21" s="45">
        <v>25000000</v>
      </c>
      <c r="K21" s="45">
        <v>24000000</v>
      </c>
      <c r="L21" s="45">
        <v>-31000000</v>
      </c>
      <c r="M21" s="45">
        <v>-67000000</v>
      </c>
      <c r="N21" s="45">
        <v>35000000</v>
      </c>
      <c r="O21" s="45">
        <v>70000000</v>
      </c>
      <c r="P21" s="45">
        <v>-84000000</v>
      </c>
      <c r="Q21" s="45">
        <v>-179000000</v>
      </c>
      <c r="R21" s="45">
        <v>47000000</v>
      </c>
    </row>
    <row r="22" spans="1:18">
      <c r="A22" t="s">
        <v>342</v>
      </c>
      <c r="C22" s="45">
        <v>-209000000</v>
      </c>
      <c r="D22" s="45">
        <v>-85000000</v>
      </c>
      <c r="E22" s="45">
        <v>133000000</v>
      </c>
      <c r="F22" s="45">
        <v>-29000000</v>
      </c>
      <c r="G22" s="45">
        <v>14000000</v>
      </c>
      <c r="H22" s="45">
        <v>-37000000</v>
      </c>
      <c r="I22" s="45">
        <v>-14000000</v>
      </c>
      <c r="J22" s="45">
        <v>29000000</v>
      </c>
      <c r="K22" s="45">
        <v>-28000000</v>
      </c>
      <c r="L22" s="45">
        <v>-9000000</v>
      </c>
      <c r="M22" s="45">
        <v>-33000000</v>
      </c>
      <c r="N22" s="45">
        <v>-17000000</v>
      </c>
      <c r="O22" s="45">
        <v>22000000</v>
      </c>
      <c r="P22" s="45">
        <v>57000000</v>
      </c>
      <c r="Q22" s="45">
        <v>4000000</v>
      </c>
      <c r="R22" s="45">
        <v>-19000000</v>
      </c>
    </row>
    <row r="23" spans="1:18">
      <c r="A23" t="s">
        <v>343</v>
      </c>
      <c r="F23" s="45">
        <v>1000000</v>
      </c>
      <c r="G23">
        <v>0</v>
      </c>
      <c r="H23" s="45">
        <v>12000000</v>
      </c>
      <c r="I23" s="45">
        <v>2000000</v>
      </c>
      <c r="J23" s="45">
        <v>1000000</v>
      </c>
      <c r="K23" s="45">
        <v>8000000</v>
      </c>
      <c r="L23" s="45">
        <v>3000000</v>
      </c>
      <c r="M23" s="45">
        <v>8000000</v>
      </c>
      <c r="N23" s="45">
        <v>7000000</v>
      </c>
      <c r="O23" s="45">
        <v>4000000</v>
      </c>
      <c r="P23" s="45">
        <v>-10000000</v>
      </c>
      <c r="Q23" s="45">
        <v>-21000000</v>
      </c>
      <c r="R23" s="45">
        <v>14000000</v>
      </c>
    </row>
    <row r="24" spans="1:18">
      <c r="A24" t="s">
        <v>344</v>
      </c>
      <c r="C24" s="45">
        <v>-112000000</v>
      </c>
      <c r="D24" s="45">
        <v>201000000</v>
      </c>
      <c r="E24" s="45">
        <v>-241000000</v>
      </c>
      <c r="F24" s="45">
        <v>10000000</v>
      </c>
      <c r="G24" s="45">
        <v>-5000000</v>
      </c>
      <c r="H24" s="45">
        <v>14000000</v>
      </c>
      <c r="I24" s="45">
        <v>21000000</v>
      </c>
      <c r="J24" s="45">
        <v>-16000000</v>
      </c>
      <c r="K24" s="45">
        <v>-53000000</v>
      </c>
      <c r="L24" s="45">
        <v>16000000</v>
      </c>
      <c r="M24" s="45">
        <v>8000000</v>
      </c>
      <c r="N24" s="45">
        <v>-6000000</v>
      </c>
      <c r="O24" s="45">
        <v>76000000</v>
      </c>
      <c r="P24" s="45">
        <v>-67000000</v>
      </c>
    </row>
    <row r="25" spans="1:18">
      <c r="A25" t="s">
        <v>345</v>
      </c>
      <c r="C25" s="45">
        <v>96000000</v>
      </c>
      <c r="D25" s="45">
        <v>87000000</v>
      </c>
      <c r="E25" s="45">
        <v>-249000000</v>
      </c>
      <c r="F25" s="45">
        <v>26000000</v>
      </c>
      <c r="G25" s="45">
        <v>-80000000</v>
      </c>
      <c r="H25" s="45">
        <v>95000000</v>
      </c>
      <c r="I25" s="45">
        <v>7000000</v>
      </c>
      <c r="J25" s="45">
        <v>-7000000</v>
      </c>
      <c r="K25" s="45">
        <v>186000000</v>
      </c>
      <c r="L25" s="45">
        <v>71000000</v>
      </c>
      <c r="M25" s="45">
        <v>81000000</v>
      </c>
      <c r="N25" s="45">
        <v>15000000</v>
      </c>
      <c r="O25" s="45">
        <v>22000000</v>
      </c>
      <c r="P25" s="45">
        <v>-42000000</v>
      </c>
      <c r="Q25" s="45">
        <v>-136000000</v>
      </c>
      <c r="R25" s="45">
        <v>75000000</v>
      </c>
    </row>
    <row r="26" spans="1:18">
      <c r="A26" t="s">
        <v>346</v>
      </c>
      <c r="C26" s="45">
        <v>96000000</v>
      </c>
      <c r="D26" s="45">
        <v>87000000</v>
      </c>
      <c r="E26" s="45">
        <v>-249000000</v>
      </c>
      <c r="F26" s="45">
        <v>26000000</v>
      </c>
      <c r="G26" s="45">
        <v>-80000000</v>
      </c>
      <c r="H26" s="45">
        <v>95000000</v>
      </c>
      <c r="I26" s="45">
        <v>7000000</v>
      </c>
      <c r="J26" s="45">
        <v>-7000000</v>
      </c>
      <c r="K26" s="45">
        <v>186000000</v>
      </c>
      <c r="L26" s="45">
        <v>71000000</v>
      </c>
      <c r="M26" s="45">
        <v>81000000</v>
      </c>
      <c r="P26" s="45">
        <v>-42000000</v>
      </c>
      <c r="Q26" s="45">
        <v>-136000000</v>
      </c>
      <c r="R26" s="45">
        <v>75000000</v>
      </c>
    </row>
    <row r="27" spans="1:18">
      <c r="A27" t="s">
        <v>347</v>
      </c>
      <c r="C27" s="45">
        <v>96000000</v>
      </c>
      <c r="D27" s="45">
        <v>87000000</v>
      </c>
      <c r="E27" s="45">
        <v>-249000000</v>
      </c>
      <c r="F27" s="45">
        <v>26000000</v>
      </c>
      <c r="G27" s="45">
        <v>-80000000</v>
      </c>
      <c r="H27" s="45">
        <v>95000000</v>
      </c>
      <c r="I27" s="45">
        <v>7000000</v>
      </c>
      <c r="J27" s="45">
        <v>-7000000</v>
      </c>
      <c r="K27" s="45">
        <v>186000000</v>
      </c>
      <c r="L27" s="45">
        <v>71000000</v>
      </c>
      <c r="M27" s="45">
        <v>81000000</v>
      </c>
      <c r="P27" s="45">
        <v>-19000000</v>
      </c>
      <c r="Q27" s="45">
        <v>-10000000</v>
      </c>
      <c r="R27" s="45">
        <v>-19000000</v>
      </c>
    </row>
    <row r="28" spans="1:18">
      <c r="A28" t="s">
        <v>348</v>
      </c>
      <c r="C28" s="45">
        <v>-110000000</v>
      </c>
      <c r="H28" s="45">
        <v>13000000</v>
      </c>
      <c r="I28" s="45">
        <v>-4000000</v>
      </c>
      <c r="J28" s="45">
        <v>78000000</v>
      </c>
      <c r="K28" s="45">
        <v>-18000000</v>
      </c>
      <c r="L28" s="45">
        <v>-73000000</v>
      </c>
    </row>
    <row r="29" spans="1:18">
      <c r="A29" t="s">
        <v>349</v>
      </c>
      <c r="C29" s="45">
        <v>-35000000</v>
      </c>
      <c r="D29" s="45">
        <v>-50000000</v>
      </c>
      <c r="E29" s="45">
        <v>-50000000</v>
      </c>
      <c r="F29" s="45">
        <v>39000000</v>
      </c>
      <c r="G29" s="45">
        <v>51000000</v>
      </c>
      <c r="H29" s="45">
        <v>24000000</v>
      </c>
      <c r="I29" s="45">
        <v>10000000</v>
      </c>
      <c r="J29" s="45">
        <v>1000000</v>
      </c>
      <c r="K29" s="45">
        <v>-19000000</v>
      </c>
      <c r="L29" s="45">
        <v>-6000000</v>
      </c>
      <c r="M29" s="45">
        <v>-118000000</v>
      </c>
    </row>
    <row r="30" spans="1:18">
      <c r="A30" t="s">
        <v>350</v>
      </c>
      <c r="C30" s="45">
        <v>537000000</v>
      </c>
      <c r="D30" s="45">
        <v>235000000</v>
      </c>
      <c r="E30" s="45">
        <v>3000000</v>
      </c>
      <c r="F30" s="45">
        <v>-55000000</v>
      </c>
      <c r="G30" s="45">
        <v>-59000000</v>
      </c>
      <c r="H30" s="45">
        <v>18000000</v>
      </c>
      <c r="I30" s="45">
        <v>-58000000</v>
      </c>
      <c r="J30" s="45">
        <v>17000000</v>
      </c>
      <c r="K30" s="45">
        <v>-70000000</v>
      </c>
      <c r="L30" s="45">
        <v>-106000000</v>
      </c>
      <c r="M30" s="45">
        <v>-13000000</v>
      </c>
      <c r="N30" s="45">
        <v>36000000</v>
      </c>
      <c r="O30" s="45">
        <v>-54000000</v>
      </c>
      <c r="P30" s="45">
        <v>-22000000</v>
      </c>
      <c r="Q30" s="45">
        <v>-26000000</v>
      </c>
      <c r="R30" s="45">
        <v>-23000000</v>
      </c>
    </row>
    <row r="31" spans="1:18">
      <c r="A31" t="s">
        <v>351</v>
      </c>
      <c r="C31" s="45">
        <v>16000000</v>
      </c>
      <c r="E31" s="45">
        <v>3000000</v>
      </c>
      <c r="F31" s="45">
        <v>13000000</v>
      </c>
      <c r="G31" s="45">
        <v>17000000</v>
      </c>
      <c r="H31" s="45">
        <v>29000000</v>
      </c>
    </row>
    <row r="32" spans="1:18">
      <c r="A32" t="s">
        <v>352</v>
      </c>
      <c r="O32">
        <v>0</v>
      </c>
      <c r="P32">
        <v>0</v>
      </c>
      <c r="Q32" s="45">
        <v>4000000</v>
      </c>
      <c r="R32" s="45">
        <v>24000000</v>
      </c>
    </row>
    <row r="33" spans="1:18">
      <c r="A33" t="s">
        <v>353</v>
      </c>
      <c r="B33" s="45">
        <v>-23000000</v>
      </c>
      <c r="C33" s="45">
        <v>416000000</v>
      </c>
      <c r="D33" s="45">
        <v>-1772000000</v>
      </c>
      <c r="E33" s="45">
        <v>-736000000</v>
      </c>
      <c r="F33" s="45">
        <v>585000000</v>
      </c>
      <c r="G33" s="45">
        <v>374000000</v>
      </c>
      <c r="H33" s="45">
        <v>266000000</v>
      </c>
      <c r="I33" s="45">
        <v>-380000000</v>
      </c>
      <c r="J33" s="45">
        <v>-47000000</v>
      </c>
      <c r="K33" s="45">
        <v>373000000</v>
      </c>
      <c r="L33" s="45">
        <v>-147000000</v>
      </c>
      <c r="M33" s="45">
        <v>-489000000</v>
      </c>
      <c r="N33" s="45">
        <v>-1015000000</v>
      </c>
      <c r="O33" s="45">
        <v>-636000000</v>
      </c>
      <c r="P33" s="45">
        <v>-427000000</v>
      </c>
      <c r="Q33" s="45">
        <v>-284000000</v>
      </c>
      <c r="R33" s="45">
        <v>-389000000</v>
      </c>
    </row>
    <row r="34" spans="1:18">
      <c r="A34" t="s">
        <v>354</v>
      </c>
      <c r="B34" s="45">
        <v>-23000000</v>
      </c>
      <c r="C34" s="45">
        <v>416000000</v>
      </c>
      <c r="D34" s="45">
        <v>-1772000000</v>
      </c>
      <c r="E34" s="45">
        <v>-736000000</v>
      </c>
      <c r="F34" s="45">
        <v>585000000</v>
      </c>
      <c r="G34" s="45">
        <v>374000000</v>
      </c>
      <c r="H34" s="45">
        <v>266000000</v>
      </c>
      <c r="I34" s="45">
        <v>-380000000</v>
      </c>
      <c r="J34" s="45">
        <v>-47000000</v>
      </c>
      <c r="K34" s="45">
        <v>373000000</v>
      </c>
      <c r="L34" s="45">
        <v>-147000000</v>
      </c>
      <c r="M34" s="45">
        <v>-489000000</v>
      </c>
      <c r="N34" s="45">
        <v>-1015000000</v>
      </c>
      <c r="O34" s="45">
        <v>-663000000</v>
      </c>
      <c r="P34" s="45">
        <v>-427000000</v>
      </c>
      <c r="Q34" s="45">
        <v>-423000000</v>
      </c>
      <c r="R34" s="45">
        <v>-396000000</v>
      </c>
    </row>
    <row r="35" spans="1:18">
      <c r="A35" t="s">
        <v>355</v>
      </c>
      <c r="B35" s="45">
        <v>-177000000</v>
      </c>
      <c r="C35" s="45">
        <v>-201000000</v>
      </c>
      <c r="D35" s="45">
        <v>-111000000</v>
      </c>
      <c r="E35" s="45">
        <v>-122000000</v>
      </c>
      <c r="F35" s="45">
        <v>-369000000</v>
      </c>
      <c r="G35" s="45">
        <v>-297000000</v>
      </c>
      <c r="H35" s="45">
        <v>-298000000</v>
      </c>
      <c r="I35" s="45">
        <v>-211000000</v>
      </c>
      <c r="J35" s="45">
        <v>-269000000</v>
      </c>
      <c r="K35" s="45">
        <v>-253000000</v>
      </c>
      <c r="L35" s="45">
        <v>-232000000</v>
      </c>
      <c r="M35" s="45">
        <v>-301000000</v>
      </c>
      <c r="N35" s="45">
        <v>-331000000</v>
      </c>
      <c r="O35" s="45">
        <v>-310000000</v>
      </c>
      <c r="P35" s="45">
        <v>-216000000</v>
      </c>
    </row>
    <row r="36" spans="1:18">
      <c r="A36" t="s">
        <v>356</v>
      </c>
      <c r="B36" s="45">
        <v>34000000</v>
      </c>
      <c r="C36" s="45">
        <v>625000000</v>
      </c>
      <c r="D36" s="45">
        <v>758000000</v>
      </c>
      <c r="E36" s="45">
        <v>85000000</v>
      </c>
      <c r="F36" s="45">
        <v>940000000</v>
      </c>
      <c r="G36" s="45">
        <v>1382000000</v>
      </c>
      <c r="H36" s="45">
        <v>489000000</v>
      </c>
      <c r="I36" s="45">
        <v>318000000</v>
      </c>
      <c r="J36" s="45">
        <v>231000000</v>
      </c>
      <c r="K36" s="45">
        <v>1311000000</v>
      </c>
      <c r="L36" s="45">
        <v>569000000</v>
      </c>
      <c r="M36" s="45">
        <v>43000000</v>
      </c>
      <c r="N36" s="45">
        <v>90000000</v>
      </c>
      <c r="O36" s="45">
        <v>136000000</v>
      </c>
      <c r="P36" s="45">
        <v>-109000000</v>
      </c>
      <c r="Q36" s="45">
        <v>-286000000</v>
      </c>
      <c r="R36" s="45">
        <v>-519000000</v>
      </c>
    </row>
    <row r="37" spans="1:18">
      <c r="A37" t="s">
        <v>357</v>
      </c>
      <c r="O37" s="45">
        <v>-210000000</v>
      </c>
      <c r="P37" s="45">
        <v>-109000000</v>
      </c>
      <c r="Q37" s="45">
        <v>-286000000</v>
      </c>
      <c r="R37" s="45">
        <v>-617000000</v>
      </c>
    </row>
    <row r="38" spans="1:18">
      <c r="A38" t="s">
        <v>358</v>
      </c>
      <c r="B38" s="45">
        <v>34000000</v>
      </c>
      <c r="C38" s="45">
        <v>625000000</v>
      </c>
      <c r="D38" s="45">
        <v>758000000</v>
      </c>
      <c r="E38" s="45">
        <v>85000000</v>
      </c>
      <c r="F38" s="45">
        <v>940000000</v>
      </c>
      <c r="G38" s="45">
        <v>1382000000</v>
      </c>
      <c r="H38" s="45">
        <v>489000000</v>
      </c>
      <c r="I38" s="45">
        <v>318000000</v>
      </c>
      <c r="J38" s="45">
        <v>231000000</v>
      </c>
      <c r="K38" s="45">
        <v>1311000000</v>
      </c>
      <c r="L38" s="45">
        <v>569000000</v>
      </c>
      <c r="M38" s="45">
        <v>43000000</v>
      </c>
      <c r="N38" s="45">
        <v>90000000</v>
      </c>
      <c r="O38" s="45">
        <v>346000000</v>
      </c>
      <c r="P38">
        <v>0</v>
      </c>
      <c r="Q38">
        <v>0</v>
      </c>
      <c r="R38" s="45">
        <v>98000000</v>
      </c>
    </row>
    <row r="39" spans="1:18">
      <c r="A39" t="s">
        <v>359</v>
      </c>
      <c r="D39">
        <v>0</v>
      </c>
      <c r="E39">
        <v>0</v>
      </c>
      <c r="F39" s="45">
        <v>21000000</v>
      </c>
    </row>
    <row r="40" spans="1:18">
      <c r="A40" t="s">
        <v>360</v>
      </c>
      <c r="D40">
        <v>0</v>
      </c>
      <c r="E40">
        <v>0</v>
      </c>
      <c r="F40" s="45">
        <v>21000000</v>
      </c>
    </row>
    <row r="41" spans="1:18">
      <c r="A41" t="s">
        <v>361</v>
      </c>
      <c r="B41" s="45">
        <v>-317000000</v>
      </c>
      <c r="C41" s="45">
        <v>-128000000</v>
      </c>
      <c r="D41" s="45">
        <v>-2847000000</v>
      </c>
      <c r="E41" s="45">
        <v>-60000000</v>
      </c>
      <c r="F41" s="45">
        <v>-38000000</v>
      </c>
      <c r="G41" s="45">
        <v>-687000000</v>
      </c>
      <c r="H41" s="45">
        <v>-259000000</v>
      </c>
      <c r="I41" s="45">
        <v>-492000000</v>
      </c>
      <c r="J41" s="45">
        <v>-3000000</v>
      </c>
      <c r="K41" s="45">
        <v>-548000000</v>
      </c>
      <c r="L41" s="45">
        <v>-814000000</v>
      </c>
      <c r="M41" s="45">
        <v>-233000000</v>
      </c>
      <c r="N41" s="45">
        <v>-716000000</v>
      </c>
    </row>
    <row r="42" spans="1:18">
      <c r="A42" t="s">
        <v>362</v>
      </c>
      <c r="B42" s="45">
        <v>-348000000</v>
      </c>
      <c r="C42" s="45">
        <v>-182000000</v>
      </c>
      <c r="D42" s="45">
        <v>-2945000000</v>
      </c>
      <c r="E42" s="45">
        <v>-65000000</v>
      </c>
      <c r="F42" s="45">
        <v>-66000000</v>
      </c>
      <c r="G42" s="45">
        <v>-738000000</v>
      </c>
      <c r="H42" s="45">
        <v>-259000000</v>
      </c>
      <c r="I42" s="45">
        <v>-492000000</v>
      </c>
      <c r="J42" s="45">
        <v>-3000000</v>
      </c>
      <c r="K42" s="45">
        <v>-548000000</v>
      </c>
      <c r="L42" s="45">
        <v>-814000000</v>
      </c>
      <c r="M42" s="45">
        <v>-233000000</v>
      </c>
      <c r="N42" s="45">
        <v>-716000000</v>
      </c>
    </row>
    <row r="43" spans="1:18">
      <c r="A43" t="s">
        <v>363</v>
      </c>
      <c r="B43" s="45">
        <v>31000000</v>
      </c>
      <c r="C43" s="45">
        <v>54000000</v>
      </c>
      <c r="D43" s="45">
        <v>98000000</v>
      </c>
      <c r="E43" s="45">
        <v>5000000</v>
      </c>
      <c r="F43" s="45">
        <v>28000000</v>
      </c>
      <c r="G43" s="45">
        <v>51000000</v>
      </c>
    </row>
    <row r="44" spans="1:18">
      <c r="A44" t="s">
        <v>364</v>
      </c>
      <c r="B44" s="45">
        <v>461000000</v>
      </c>
      <c r="C44" s="45">
        <v>108000000</v>
      </c>
      <c r="D44" s="45">
        <v>447000000</v>
      </c>
      <c r="E44" s="45">
        <v>-601000000</v>
      </c>
      <c r="F44" s="45">
        <v>-1000000</v>
      </c>
      <c r="G44" s="45">
        <v>-41000000</v>
      </c>
      <c r="H44" s="45">
        <v>347000000</v>
      </c>
      <c r="I44" s="45">
        <v>18000000</v>
      </c>
      <c r="J44" s="45">
        <v>-24000000</v>
      </c>
      <c r="K44" s="45">
        <v>-158000000</v>
      </c>
      <c r="L44" s="45">
        <v>98000000</v>
      </c>
      <c r="M44" s="45">
        <v>59000000</v>
      </c>
      <c r="N44" s="45">
        <v>-112000000</v>
      </c>
      <c r="O44" s="45">
        <v>-482000000</v>
      </c>
      <c r="P44" s="45">
        <v>-101000000</v>
      </c>
      <c r="Q44" s="45">
        <v>-132000000</v>
      </c>
      <c r="R44" s="45">
        <v>80000000</v>
      </c>
    </row>
    <row r="45" spans="1:18">
      <c r="A45" t="s">
        <v>365</v>
      </c>
      <c r="B45" s="45">
        <v>-520000000</v>
      </c>
      <c r="C45" s="45">
        <v>-952000000</v>
      </c>
      <c r="D45" s="45">
        <v>-793000000</v>
      </c>
      <c r="E45" s="45">
        <v>-1143000000</v>
      </c>
      <c r="F45" s="45">
        <v>-350000000</v>
      </c>
      <c r="G45" s="45">
        <v>-665000000</v>
      </c>
      <c r="H45" s="45">
        <v>-558000000</v>
      </c>
      <c r="I45" s="45">
        <v>-571000000</v>
      </c>
      <c r="J45" s="45">
        <v>-567000000</v>
      </c>
      <c r="K45" s="45">
        <v>-535000000</v>
      </c>
      <c r="L45" s="45">
        <v>-729000000</v>
      </c>
      <c r="M45" s="45">
        <v>-460000000</v>
      </c>
      <c r="N45" s="45">
        <v>-547000000</v>
      </c>
      <c r="O45" s="45">
        <v>-1825000000</v>
      </c>
      <c r="P45" s="45">
        <v>-139000000</v>
      </c>
      <c r="Q45" s="45">
        <v>-368000000</v>
      </c>
      <c r="R45" s="45">
        <v>-55000000</v>
      </c>
    </row>
    <row r="46" spans="1:18">
      <c r="A46" t="s">
        <v>366</v>
      </c>
      <c r="B46" s="45">
        <v>981000000</v>
      </c>
      <c r="C46" s="45">
        <v>1060000000</v>
      </c>
      <c r="D46" s="45">
        <v>1240000000</v>
      </c>
      <c r="E46" s="45">
        <v>542000000</v>
      </c>
      <c r="F46" s="45">
        <v>349000000</v>
      </c>
      <c r="G46" s="45">
        <v>624000000</v>
      </c>
      <c r="H46" s="45">
        <v>905000000</v>
      </c>
      <c r="I46" s="45">
        <v>589000000</v>
      </c>
      <c r="J46" s="45">
        <v>543000000</v>
      </c>
      <c r="K46" s="45">
        <v>377000000</v>
      </c>
      <c r="L46" s="45">
        <v>827000000</v>
      </c>
      <c r="M46" s="45">
        <v>519000000</v>
      </c>
      <c r="N46" s="45">
        <v>435000000</v>
      </c>
      <c r="O46" s="45">
        <v>1343000000</v>
      </c>
      <c r="P46" s="45">
        <v>38000000</v>
      </c>
      <c r="Q46" s="45">
        <v>236000000</v>
      </c>
      <c r="R46" s="45">
        <v>135000000</v>
      </c>
    </row>
    <row r="47" spans="1:18">
      <c r="A47" t="s">
        <v>367</v>
      </c>
      <c r="B47" s="45">
        <v>-24000000</v>
      </c>
      <c r="C47" s="45">
        <v>12000000</v>
      </c>
      <c r="D47" s="45">
        <v>-19000000</v>
      </c>
      <c r="E47" s="45">
        <v>-38000000</v>
      </c>
      <c r="F47" s="45">
        <v>32000000</v>
      </c>
      <c r="G47" s="45">
        <v>17000000</v>
      </c>
      <c r="H47" s="45">
        <v>-13000000</v>
      </c>
      <c r="I47" s="45">
        <v>-13000000</v>
      </c>
      <c r="J47" s="45">
        <v>18000000</v>
      </c>
      <c r="K47" s="45">
        <v>21000000</v>
      </c>
      <c r="L47" s="45">
        <v>232000000</v>
      </c>
      <c r="M47" s="45">
        <v>-57000000</v>
      </c>
      <c r="N47" s="45">
        <v>54000000</v>
      </c>
      <c r="O47" s="45">
        <v>-7000000</v>
      </c>
      <c r="P47" s="45">
        <v>-1000000</v>
      </c>
      <c r="Q47" s="45">
        <v>-5000000</v>
      </c>
      <c r="R47" s="45">
        <v>43000000</v>
      </c>
    </row>
    <row r="48" spans="1:18">
      <c r="A48" t="s">
        <v>368</v>
      </c>
      <c r="N48">
        <v>0</v>
      </c>
      <c r="O48" s="45">
        <v>27000000</v>
      </c>
      <c r="P48">
        <v>0</v>
      </c>
      <c r="Q48" s="45">
        <v>139000000</v>
      </c>
      <c r="R48" s="45">
        <v>7000000</v>
      </c>
    </row>
    <row r="49" spans="1:18">
      <c r="A49" t="s">
        <v>369</v>
      </c>
      <c r="B49" s="45">
        <v>-1227000000</v>
      </c>
      <c r="C49" s="45">
        <v>-1106000000</v>
      </c>
      <c r="D49" s="45">
        <v>1288000000</v>
      </c>
      <c r="E49" s="45">
        <v>1525000000</v>
      </c>
      <c r="F49" s="45">
        <v>-541000000</v>
      </c>
      <c r="G49" s="45">
        <v>-850000000</v>
      </c>
      <c r="H49" s="45">
        <v>-858000000</v>
      </c>
      <c r="I49" s="45">
        <v>-96000000</v>
      </c>
      <c r="J49" s="45">
        <v>-715000000</v>
      </c>
      <c r="K49" s="45">
        <v>-607000000</v>
      </c>
      <c r="L49" s="45">
        <v>-264000000</v>
      </c>
      <c r="M49" s="45">
        <v>-124000000</v>
      </c>
      <c r="N49" s="45">
        <v>56000000</v>
      </c>
      <c r="O49" s="45">
        <v>-39000000</v>
      </c>
      <c r="P49" s="45">
        <v>1056000000</v>
      </c>
      <c r="Q49" s="45">
        <v>-20000000</v>
      </c>
      <c r="R49" s="45">
        <v>-374000000</v>
      </c>
    </row>
    <row r="50" spans="1:18">
      <c r="A50" t="s">
        <v>370</v>
      </c>
      <c r="B50" s="45">
        <v>-1227000000</v>
      </c>
      <c r="C50" s="45">
        <v>-1106000000</v>
      </c>
      <c r="D50" s="45">
        <v>1288000000</v>
      </c>
      <c r="E50" s="45">
        <v>1525000000</v>
      </c>
      <c r="F50" s="45">
        <v>-541000000</v>
      </c>
      <c r="G50" s="45">
        <v>-850000000</v>
      </c>
      <c r="H50" s="45">
        <v>-858000000</v>
      </c>
      <c r="I50" s="45">
        <v>-96000000</v>
      </c>
      <c r="J50" s="45">
        <v>-715000000</v>
      </c>
      <c r="K50" s="45">
        <v>-607000000</v>
      </c>
      <c r="L50" s="45">
        <v>-264000000</v>
      </c>
      <c r="M50" s="45">
        <v>-124000000</v>
      </c>
      <c r="N50" s="45">
        <v>56000000</v>
      </c>
      <c r="O50" s="45">
        <v>-39000000</v>
      </c>
      <c r="P50" s="45">
        <v>1056000000</v>
      </c>
      <c r="Q50" s="45">
        <v>-20000000</v>
      </c>
      <c r="R50" s="45">
        <v>-374000000</v>
      </c>
    </row>
    <row r="51" spans="1:18">
      <c r="A51" t="s">
        <v>371</v>
      </c>
      <c r="B51" s="45">
        <v>-715000000</v>
      </c>
      <c r="C51" s="45">
        <v>-711000000</v>
      </c>
      <c r="D51" s="45">
        <v>731000000</v>
      </c>
      <c r="E51" s="45">
        <v>1629000000</v>
      </c>
      <c r="F51" s="45">
        <v>-9000000</v>
      </c>
      <c r="G51" s="45">
        <v>185000000</v>
      </c>
      <c r="H51" s="45">
        <v>-112000000</v>
      </c>
      <c r="I51" s="45">
        <v>182000000</v>
      </c>
      <c r="J51" s="45">
        <v>7000000</v>
      </c>
      <c r="K51" s="45">
        <v>-150000000</v>
      </c>
      <c r="L51" s="45">
        <v>17000000</v>
      </c>
      <c r="M51" s="45">
        <v>10000000</v>
      </c>
      <c r="N51" s="45">
        <v>465000000</v>
      </c>
      <c r="O51" s="45">
        <v>-39000000</v>
      </c>
      <c r="P51" s="45">
        <v>-413000000</v>
      </c>
      <c r="Q51" s="45">
        <v>-11000000</v>
      </c>
      <c r="R51" s="45">
        <v>228000000</v>
      </c>
    </row>
    <row r="52" spans="1:18">
      <c r="A52" t="s">
        <v>372</v>
      </c>
      <c r="B52" s="45">
        <v>-715000000</v>
      </c>
      <c r="C52" s="45">
        <v>-711000000</v>
      </c>
      <c r="D52" s="45">
        <v>731000000</v>
      </c>
      <c r="E52" s="45">
        <v>1629000000</v>
      </c>
      <c r="F52" s="45">
        <v>-9000000</v>
      </c>
      <c r="G52" s="45">
        <v>185000000</v>
      </c>
      <c r="H52" s="45">
        <v>-112000000</v>
      </c>
      <c r="I52" s="45">
        <v>182000000</v>
      </c>
      <c r="J52" s="45">
        <v>7000000</v>
      </c>
      <c r="K52" s="45">
        <v>-150000000</v>
      </c>
      <c r="L52" s="45">
        <v>17000000</v>
      </c>
      <c r="M52" s="45">
        <v>10000000</v>
      </c>
      <c r="N52" s="45">
        <v>465000000</v>
      </c>
      <c r="O52" s="45">
        <v>-39000000</v>
      </c>
      <c r="P52" s="45">
        <v>-383000000</v>
      </c>
      <c r="Q52" s="45">
        <v>-11000000</v>
      </c>
      <c r="R52" s="45">
        <v>228000000</v>
      </c>
    </row>
    <row r="53" spans="1:18">
      <c r="A53" t="s">
        <v>373</v>
      </c>
      <c r="C53">
        <v>0</v>
      </c>
      <c r="D53" s="45">
        <v>1949000000</v>
      </c>
      <c r="E53" s="45">
        <v>2035000000</v>
      </c>
      <c r="F53" s="45">
        <v>400000000</v>
      </c>
      <c r="G53" s="45">
        <v>416000000</v>
      </c>
      <c r="H53" s="45">
        <v>670000000</v>
      </c>
      <c r="I53" s="45">
        <v>620000000</v>
      </c>
      <c r="J53" s="45">
        <v>12000000</v>
      </c>
      <c r="K53" s="45">
        <v>249000000</v>
      </c>
      <c r="L53" s="45">
        <v>385000000</v>
      </c>
      <c r="M53" s="45">
        <v>10000000</v>
      </c>
      <c r="N53" s="45">
        <v>519000000</v>
      </c>
      <c r="O53">
        <v>0</v>
      </c>
      <c r="P53" s="45">
        <v>498000000</v>
      </c>
      <c r="Q53" s="45">
        <v>175000000</v>
      </c>
      <c r="R53" s="45">
        <v>1386000000</v>
      </c>
    </row>
    <row r="54" spans="1:18">
      <c r="A54" t="s">
        <v>374</v>
      </c>
      <c r="B54" s="45">
        <v>-715000000</v>
      </c>
      <c r="C54" s="45">
        <v>-711000000</v>
      </c>
      <c r="D54" s="45">
        <v>-1218000000</v>
      </c>
      <c r="E54" s="45">
        <v>-406000000</v>
      </c>
      <c r="F54" s="45">
        <v>-409000000</v>
      </c>
      <c r="G54" s="45">
        <v>-231000000</v>
      </c>
      <c r="H54" s="45">
        <v>-782000000</v>
      </c>
      <c r="I54" s="45">
        <v>-438000000</v>
      </c>
      <c r="J54" s="45">
        <v>-5000000</v>
      </c>
      <c r="K54" s="45">
        <v>-399000000</v>
      </c>
      <c r="L54" s="45">
        <v>-368000000</v>
      </c>
      <c r="M54">
        <v>0</v>
      </c>
      <c r="N54" s="45">
        <v>-54000000</v>
      </c>
      <c r="O54" s="45">
        <v>-39000000</v>
      </c>
      <c r="P54" s="45">
        <v>-881000000</v>
      </c>
      <c r="Q54" s="45">
        <v>-186000000</v>
      </c>
      <c r="R54" s="45">
        <v>-1158000000</v>
      </c>
    </row>
    <row r="55" spans="1:18">
      <c r="A55" t="s">
        <v>375</v>
      </c>
      <c r="N55">
        <v>0</v>
      </c>
      <c r="O55">
        <v>0</v>
      </c>
      <c r="P55" s="45">
        <v>-30000000</v>
      </c>
    </row>
    <row r="56" spans="1:18">
      <c r="A56" t="s">
        <v>376</v>
      </c>
      <c r="N56">
        <v>0</v>
      </c>
      <c r="O56">
        <v>0</v>
      </c>
      <c r="P56" s="45">
        <v>675000000</v>
      </c>
    </row>
    <row r="57" spans="1:18">
      <c r="A57" t="s">
        <v>377</v>
      </c>
      <c r="N57">
        <v>0</v>
      </c>
      <c r="O57">
        <v>0</v>
      </c>
      <c r="P57" s="45">
        <v>-705000000</v>
      </c>
    </row>
    <row r="58" spans="1:18">
      <c r="A58" t="s">
        <v>378</v>
      </c>
      <c r="B58" s="45">
        <v>-482000000</v>
      </c>
      <c r="C58" s="45">
        <v>-369000000</v>
      </c>
      <c r="D58" s="45">
        <v>575000000</v>
      </c>
      <c r="E58" s="45">
        <v>-69000000</v>
      </c>
      <c r="F58" s="45">
        <v>-421000000</v>
      </c>
      <c r="G58" s="45">
        <v>-946000000</v>
      </c>
      <c r="H58" s="45">
        <v>-743000000</v>
      </c>
      <c r="I58" s="45">
        <v>-272000000</v>
      </c>
      <c r="J58" s="45">
        <v>-715000000</v>
      </c>
      <c r="K58" s="45">
        <v>-443000000</v>
      </c>
      <c r="L58" s="45">
        <v>-275000000</v>
      </c>
      <c r="M58" s="45">
        <v>-136000000</v>
      </c>
      <c r="N58" s="45">
        <v>-396000000</v>
      </c>
      <c r="P58" s="45">
        <v>1482000000</v>
      </c>
      <c r="R58" s="45">
        <v>-1101000000</v>
      </c>
    </row>
    <row r="59" spans="1:18">
      <c r="A59" t="s">
        <v>379</v>
      </c>
      <c r="C59">
        <v>0</v>
      </c>
      <c r="D59" s="45">
        <v>575000000</v>
      </c>
      <c r="N59">
        <v>0</v>
      </c>
      <c r="O59">
        <v>0</v>
      </c>
      <c r="P59" s="45">
        <v>1482000000</v>
      </c>
    </row>
    <row r="60" spans="1:18">
      <c r="A60" t="s">
        <v>380</v>
      </c>
      <c r="B60" s="45">
        <v>-482000000</v>
      </c>
      <c r="C60" s="45">
        <v>-369000000</v>
      </c>
      <c r="D60">
        <v>0</v>
      </c>
      <c r="E60" s="45">
        <v>-69000000</v>
      </c>
      <c r="F60" s="45">
        <v>-421000000</v>
      </c>
      <c r="G60" s="45">
        <v>-946000000</v>
      </c>
      <c r="H60" s="45">
        <v>-743000000</v>
      </c>
      <c r="I60" s="45">
        <v>-272000000</v>
      </c>
      <c r="J60" s="45">
        <v>-715000000</v>
      </c>
      <c r="K60" s="45">
        <v>-443000000</v>
      </c>
      <c r="L60" s="45">
        <v>-275000000</v>
      </c>
      <c r="M60" s="45">
        <v>-136000000</v>
      </c>
      <c r="N60" s="45">
        <v>-396000000</v>
      </c>
      <c r="P60">
        <v>0</v>
      </c>
      <c r="Q60">
        <v>0</v>
      </c>
      <c r="R60" s="45">
        <v>-1101000000</v>
      </c>
    </row>
    <row r="61" spans="1:18">
      <c r="A61" t="s">
        <v>381</v>
      </c>
      <c r="P61">
        <v>0</v>
      </c>
      <c r="Q61">
        <v>0</v>
      </c>
      <c r="R61" s="45">
        <v>500000000</v>
      </c>
    </row>
    <row r="62" spans="1:18">
      <c r="A62" t="s">
        <v>382</v>
      </c>
      <c r="P62">
        <v>0</v>
      </c>
      <c r="Q62">
        <v>0</v>
      </c>
      <c r="R62" s="45">
        <v>500000000</v>
      </c>
    </row>
    <row r="63" spans="1:18">
      <c r="A63" t="s">
        <v>383</v>
      </c>
      <c r="B63" s="45">
        <v>-16000000</v>
      </c>
      <c r="C63">
        <v>0</v>
      </c>
      <c r="D63">
        <v>0</v>
      </c>
      <c r="E63" s="45">
        <v>-20000000</v>
      </c>
      <c r="F63" s="45">
        <v>-80000000</v>
      </c>
      <c r="G63" s="45">
        <v>-68000000</v>
      </c>
      <c r="P63" s="45">
        <v>-1000000</v>
      </c>
      <c r="Q63" s="45">
        <v>-2000000</v>
      </c>
      <c r="R63" s="45">
        <v>-1000000</v>
      </c>
    </row>
    <row r="64" spans="1:18">
      <c r="A64" t="s">
        <v>384</v>
      </c>
      <c r="B64" s="45">
        <v>-16000000</v>
      </c>
      <c r="C64">
        <v>0</v>
      </c>
      <c r="E64" s="45">
        <v>-20000000</v>
      </c>
      <c r="F64" s="45">
        <v>-80000000</v>
      </c>
      <c r="G64" s="45">
        <v>-68000000</v>
      </c>
    </row>
    <row r="65" spans="1:18">
      <c r="A65" t="s">
        <v>385</v>
      </c>
      <c r="B65" s="45">
        <v>-14000000</v>
      </c>
      <c r="C65" s="45">
        <v>-26000000</v>
      </c>
      <c r="D65" s="45">
        <v>-18000000</v>
      </c>
      <c r="E65" s="45">
        <v>-15000000</v>
      </c>
      <c r="F65" s="45">
        <v>-31000000</v>
      </c>
      <c r="G65" s="45">
        <v>-21000000</v>
      </c>
      <c r="H65" s="45">
        <v>-3000000</v>
      </c>
      <c r="I65" s="45">
        <v>-6000000</v>
      </c>
      <c r="J65" s="45">
        <v>-7000000</v>
      </c>
      <c r="K65" s="45">
        <v>-14000000</v>
      </c>
      <c r="L65" s="45">
        <v>-6000000</v>
      </c>
      <c r="M65" s="45">
        <v>2000000</v>
      </c>
      <c r="N65" s="45">
        <v>-13000000</v>
      </c>
      <c r="P65" s="45">
        <v>-12000000</v>
      </c>
      <c r="Q65" s="45">
        <v>-7000000</v>
      </c>
    </row>
    <row r="66" spans="1:18">
      <c r="A66" t="s">
        <v>386</v>
      </c>
      <c r="M66">
        <v>0</v>
      </c>
    </row>
    <row r="67" spans="1:18">
      <c r="A67" t="s">
        <v>387</v>
      </c>
      <c r="B67" s="45">
        <v>930000000</v>
      </c>
      <c r="C67" s="45">
        <v>1067000000</v>
      </c>
      <c r="D67" s="45">
        <v>1065000000</v>
      </c>
      <c r="E67" s="45">
        <v>1237000000</v>
      </c>
      <c r="F67" s="45">
        <v>1063000000</v>
      </c>
      <c r="G67" s="45">
        <v>622000000</v>
      </c>
      <c r="H67" s="45">
        <v>503000000</v>
      </c>
      <c r="I67" s="45">
        <v>482000000</v>
      </c>
      <c r="J67" s="45">
        <v>457000000</v>
      </c>
      <c r="K67" s="45">
        <v>685000000</v>
      </c>
      <c r="L67" s="45">
        <v>454000000</v>
      </c>
      <c r="M67" s="45">
        <v>413000000</v>
      </c>
      <c r="N67" s="45">
        <v>534000000</v>
      </c>
      <c r="O67" s="45">
        <v>1110000000</v>
      </c>
      <c r="P67" s="45">
        <v>1327000000</v>
      </c>
      <c r="Q67" s="45">
        <v>428000000</v>
      </c>
      <c r="R67" s="45">
        <v>416000000</v>
      </c>
    </row>
    <row r="68" spans="1:18">
      <c r="A68" t="s">
        <v>388</v>
      </c>
      <c r="B68" s="45">
        <v>-588000000</v>
      </c>
      <c r="C68" s="45">
        <v>-16000000</v>
      </c>
      <c r="D68" s="45">
        <v>-169000000</v>
      </c>
      <c r="E68" s="45">
        <v>178000000</v>
      </c>
      <c r="F68" s="45">
        <v>440000000</v>
      </c>
      <c r="G68" s="45">
        <v>-135000000</v>
      </c>
      <c r="H68" s="45">
        <v>28000000</v>
      </c>
      <c r="I68" s="45">
        <v>13000000</v>
      </c>
      <c r="J68" s="45">
        <v>-224000000</v>
      </c>
      <c r="K68" s="45">
        <v>239000000</v>
      </c>
      <c r="L68" s="45">
        <v>45000000</v>
      </c>
      <c r="M68" s="45">
        <v>-114000000</v>
      </c>
      <c r="N68" s="45">
        <v>-566000000</v>
      </c>
      <c r="O68" s="45">
        <v>-225000000</v>
      </c>
      <c r="P68" s="45">
        <v>905000000</v>
      </c>
      <c r="Q68" s="45">
        <v>-13000000</v>
      </c>
      <c r="R68" s="45">
        <v>-377000000</v>
      </c>
    </row>
    <row r="69" spans="1:18">
      <c r="A69" t="s">
        <v>389</v>
      </c>
      <c r="B69" s="45">
        <v>1000000</v>
      </c>
      <c r="C69" s="45">
        <v>18000000</v>
      </c>
      <c r="D69" s="45">
        <v>-3000000</v>
      </c>
      <c r="E69" s="45">
        <v>-4000000</v>
      </c>
      <c r="F69" s="45">
        <v>1000000</v>
      </c>
      <c r="G69" s="45">
        <v>5000000</v>
      </c>
      <c r="H69" s="45">
        <v>-7000000</v>
      </c>
      <c r="I69" s="45">
        <v>12000000</v>
      </c>
      <c r="J69" s="45">
        <v>-4000000</v>
      </c>
      <c r="K69" s="45">
        <v>-8000000</v>
      </c>
      <c r="L69" s="45">
        <v>-4000000</v>
      </c>
      <c r="M69" s="45">
        <v>-7000000</v>
      </c>
      <c r="N69" s="45">
        <v>-10000000</v>
      </c>
      <c r="O69" s="45">
        <v>8000000</v>
      </c>
      <c r="P69" s="45">
        <v>-6000000</v>
      </c>
      <c r="Q69" s="45">
        <v>25000000</v>
      </c>
      <c r="R69" s="45">
        <v>-14000000</v>
      </c>
    </row>
    <row r="70" spans="1:18">
      <c r="A70" t="s">
        <v>390</v>
      </c>
      <c r="B70" s="45">
        <v>1518000000</v>
      </c>
      <c r="C70" s="45">
        <v>1065000000</v>
      </c>
      <c r="D70" s="45">
        <v>1237000000</v>
      </c>
      <c r="E70" s="45">
        <v>1063000000</v>
      </c>
      <c r="F70" s="45">
        <v>622000000</v>
      </c>
      <c r="G70" s="45">
        <v>752000000</v>
      </c>
      <c r="H70" s="45">
        <v>482000000</v>
      </c>
      <c r="I70" s="45">
        <v>457000000</v>
      </c>
      <c r="J70" s="45">
        <v>685000000</v>
      </c>
      <c r="K70" s="45">
        <v>454000000</v>
      </c>
      <c r="L70" s="45">
        <v>413000000</v>
      </c>
      <c r="M70" s="45">
        <v>534000000</v>
      </c>
      <c r="N70" s="45">
        <v>1110000000</v>
      </c>
      <c r="O70" s="45">
        <v>1327000000</v>
      </c>
      <c r="P70" s="45">
        <v>428000000</v>
      </c>
      <c r="Q70" s="45">
        <v>416000000</v>
      </c>
      <c r="R70" s="45">
        <v>807000000</v>
      </c>
    </row>
    <row r="71" spans="1:18">
      <c r="A71" t="s">
        <v>391</v>
      </c>
      <c r="B71" s="45">
        <v>146000000</v>
      </c>
      <c r="C71" s="45">
        <v>101000000</v>
      </c>
      <c r="E71" s="45">
        <v>63000000</v>
      </c>
      <c r="F71" s="45">
        <v>175000000</v>
      </c>
      <c r="G71" s="45">
        <v>292000000</v>
      </c>
      <c r="H71" s="45">
        <v>175000000</v>
      </c>
      <c r="I71" s="45">
        <v>95000000</v>
      </c>
      <c r="J71" s="45">
        <v>145000000</v>
      </c>
      <c r="K71" s="45">
        <v>267000000</v>
      </c>
      <c r="L71" s="45">
        <v>119000000</v>
      </c>
      <c r="M71" s="45">
        <v>50000000</v>
      </c>
      <c r="N71" s="45">
        <v>60000000</v>
      </c>
      <c r="P71" s="45">
        <v>60000000</v>
      </c>
    </row>
    <row r="72" spans="1:18">
      <c r="A72" t="s">
        <v>392</v>
      </c>
      <c r="B72" s="45">
        <v>127000000</v>
      </c>
      <c r="C72" s="45">
        <v>138000000</v>
      </c>
      <c r="D72" s="45">
        <v>145000000</v>
      </c>
      <c r="E72" s="45">
        <v>105000000</v>
      </c>
      <c r="F72" s="45">
        <v>79000000</v>
      </c>
      <c r="G72" s="45">
        <v>73000000</v>
      </c>
      <c r="H72" s="45">
        <v>80000000</v>
      </c>
      <c r="I72" s="45">
        <v>75000000</v>
      </c>
      <c r="J72" s="45">
        <v>69000000</v>
      </c>
      <c r="K72" s="45">
        <v>71000000</v>
      </c>
      <c r="L72" s="45">
        <v>66000000</v>
      </c>
      <c r="M72" s="45">
        <v>68000000</v>
      </c>
      <c r="N72" s="45">
        <v>49000000</v>
      </c>
      <c r="P72" s="45">
        <v>50000000</v>
      </c>
    </row>
    <row r="73" spans="1:18">
      <c r="A73" t="s">
        <v>393</v>
      </c>
      <c r="B73" s="45">
        <v>-177000000</v>
      </c>
      <c r="C73" s="45">
        <v>-201000000</v>
      </c>
      <c r="D73" s="45">
        <v>-111000000</v>
      </c>
      <c r="E73" s="45">
        <v>-122000000</v>
      </c>
      <c r="F73" s="45">
        <v>-369000000</v>
      </c>
      <c r="G73" s="45">
        <v>-297000000</v>
      </c>
      <c r="H73" s="45">
        <v>-298000000</v>
      </c>
      <c r="I73" s="45">
        <v>-211000000</v>
      </c>
      <c r="J73" s="45">
        <v>-269000000</v>
      </c>
      <c r="K73" s="45">
        <v>-253000000</v>
      </c>
      <c r="L73" s="45">
        <v>-232000000</v>
      </c>
      <c r="M73" s="45">
        <v>-301000000</v>
      </c>
      <c r="N73" s="45">
        <v>-331000000</v>
      </c>
      <c r="O73" s="45">
        <v>-520000000</v>
      </c>
      <c r="P73" s="45">
        <v>-325000000</v>
      </c>
      <c r="Q73" s="45">
        <v>-286000000</v>
      </c>
      <c r="R73" s="45">
        <v>-617000000</v>
      </c>
    </row>
    <row r="74" spans="1:18">
      <c r="A74" t="s">
        <v>394</v>
      </c>
      <c r="C74">
        <v>0</v>
      </c>
      <c r="D74" s="45">
        <v>575000000</v>
      </c>
      <c r="N74">
        <v>0</v>
      </c>
      <c r="O74">
        <v>0</v>
      </c>
      <c r="P74" s="45">
        <v>1482000000</v>
      </c>
      <c r="Q74">
        <v>0</v>
      </c>
      <c r="R74" s="45">
        <v>500000000</v>
      </c>
    </row>
    <row r="75" spans="1:18">
      <c r="A75" t="s">
        <v>395</v>
      </c>
      <c r="C75">
        <v>0</v>
      </c>
      <c r="D75" s="45">
        <v>1949000000</v>
      </c>
      <c r="E75" s="45">
        <v>2035000000</v>
      </c>
      <c r="F75" s="45">
        <v>400000000</v>
      </c>
      <c r="G75" s="45">
        <v>416000000</v>
      </c>
      <c r="H75" s="45">
        <v>670000000</v>
      </c>
      <c r="I75" s="45">
        <v>620000000</v>
      </c>
      <c r="J75" s="45">
        <v>12000000</v>
      </c>
      <c r="K75" s="45">
        <v>249000000</v>
      </c>
      <c r="L75" s="45">
        <v>385000000</v>
      </c>
      <c r="M75" s="45">
        <v>10000000</v>
      </c>
      <c r="N75" s="45">
        <v>519000000</v>
      </c>
      <c r="O75">
        <v>0</v>
      </c>
      <c r="P75" s="45">
        <v>1173000000</v>
      </c>
      <c r="Q75" s="45">
        <v>175000000</v>
      </c>
      <c r="R75" s="45">
        <v>1386000000</v>
      </c>
    </row>
    <row r="76" spans="1:18">
      <c r="A76" t="s">
        <v>396</v>
      </c>
      <c r="B76" s="45">
        <v>-715000000</v>
      </c>
      <c r="C76" s="45">
        <v>-711000000</v>
      </c>
      <c r="D76" s="45">
        <v>-1218000000</v>
      </c>
      <c r="E76" s="45">
        <v>-406000000</v>
      </c>
      <c r="F76" s="45">
        <v>-409000000</v>
      </c>
      <c r="G76" s="45">
        <v>-231000000</v>
      </c>
      <c r="H76" s="45">
        <v>-782000000</v>
      </c>
      <c r="I76" s="45">
        <v>-438000000</v>
      </c>
      <c r="J76" s="45">
        <v>-5000000</v>
      </c>
      <c r="K76" s="45">
        <v>-399000000</v>
      </c>
      <c r="L76" s="45">
        <v>-368000000</v>
      </c>
      <c r="M76">
        <v>0</v>
      </c>
      <c r="N76" s="45">
        <v>-54000000</v>
      </c>
      <c r="O76" s="45">
        <v>-39000000</v>
      </c>
      <c r="P76" s="45">
        <v>-1586000000</v>
      </c>
      <c r="Q76" s="45">
        <v>-186000000</v>
      </c>
      <c r="R76" s="45">
        <v>-1158000000</v>
      </c>
    </row>
    <row r="77" spans="1:18">
      <c r="A77" t="s">
        <v>397</v>
      </c>
      <c r="B77" s="45">
        <v>-482000000</v>
      </c>
      <c r="C77" s="45">
        <v>-369000000</v>
      </c>
      <c r="D77">
        <v>0</v>
      </c>
      <c r="E77" s="45">
        <v>-69000000</v>
      </c>
      <c r="F77" s="45">
        <v>-421000000</v>
      </c>
      <c r="G77" s="45">
        <v>-946000000</v>
      </c>
      <c r="H77" s="45">
        <v>-743000000</v>
      </c>
      <c r="I77" s="45">
        <v>-272000000</v>
      </c>
      <c r="J77" s="45">
        <v>-715000000</v>
      </c>
      <c r="K77" s="45">
        <v>-443000000</v>
      </c>
      <c r="L77" s="45">
        <v>-275000000</v>
      </c>
      <c r="M77" s="45">
        <v>-136000000</v>
      </c>
      <c r="N77" s="45">
        <v>-396000000</v>
      </c>
      <c r="P77">
        <v>0</v>
      </c>
      <c r="Q77">
        <v>0</v>
      </c>
      <c r="R77" s="45">
        <v>-1101000000</v>
      </c>
    </row>
    <row r="78" spans="1:18">
      <c r="A78" t="s">
        <v>398</v>
      </c>
      <c r="B78" s="45">
        <v>485000000</v>
      </c>
      <c r="C78" s="45">
        <v>473000000</v>
      </c>
      <c r="D78" s="45">
        <v>204000000</v>
      </c>
      <c r="E78" s="45">
        <v>-733000000</v>
      </c>
      <c r="F78" s="45">
        <v>27000000</v>
      </c>
      <c r="G78" s="45">
        <v>44000000</v>
      </c>
      <c r="H78" s="45">
        <v>322000000</v>
      </c>
      <c r="I78" s="45">
        <v>278000000</v>
      </c>
      <c r="J78" s="45">
        <v>269000000</v>
      </c>
      <c r="K78" s="45">
        <v>220000000</v>
      </c>
      <c r="L78" s="45">
        <v>224000000</v>
      </c>
      <c r="M78" s="45">
        <v>198000000</v>
      </c>
      <c r="N78" s="45">
        <v>62000000</v>
      </c>
      <c r="O78" s="45">
        <v>-70000000</v>
      </c>
      <c r="P78" s="45">
        <v>-49000000</v>
      </c>
      <c r="Q78" s="45">
        <v>5000000</v>
      </c>
      <c r="R78" s="45">
        <v>-231000000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E2EB-C7B9-48E4-9B7E-BEFE1F600164}">
  <sheetPr>
    <tabColor rgb="FFFF0000"/>
  </sheetPr>
  <dimension ref="A1:G61"/>
  <sheetViews>
    <sheetView workbookViewId="0">
      <selection activeCell="J11" sqref="J11"/>
    </sheetView>
  </sheetViews>
  <sheetFormatPr defaultRowHeight="14.5"/>
  <sheetData>
    <row r="1" spans="1:7">
      <c r="A1" t="s">
        <v>170</v>
      </c>
      <c r="B1" t="s">
        <v>171</v>
      </c>
      <c r="C1" t="s">
        <v>172</v>
      </c>
      <c r="D1" t="s">
        <v>173</v>
      </c>
      <c r="E1" t="s">
        <v>174</v>
      </c>
      <c r="F1" t="s">
        <v>404</v>
      </c>
      <c r="G1" t="s">
        <v>408</v>
      </c>
    </row>
    <row r="2" spans="1:7">
      <c r="A2" s="63">
        <v>43405</v>
      </c>
      <c r="B2">
        <v>69.639999000000003</v>
      </c>
      <c r="C2">
        <v>72.870002999999997</v>
      </c>
      <c r="D2">
        <v>67.930000000000007</v>
      </c>
      <c r="E2">
        <v>71.309997999999993</v>
      </c>
      <c r="F2">
        <v>70.084548999999996</v>
      </c>
      <c r="G2">
        <v>16094000</v>
      </c>
    </row>
    <row r="3" spans="1:7">
      <c r="A3" s="63">
        <v>43435</v>
      </c>
      <c r="B3">
        <v>72.349997999999999</v>
      </c>
      <c r="C3">
        <v>73.349997999999999</v>
      </c>
      <c r="D3">
        <v>63.450001</v>
      </c>
      <c r="E3">
        <v>67.599997999999999</v>
      </c>
      <c r="F3">
        <v>66.579018000000005</v>
      </c>
      <c r="G3">
        <v>13819700</v>
      </c>
    </row>
    <row r="4" spans="1:7">
      <c r="A4" s="63">
        <v>43466</v>
      </c>
      <c r="B4">
        <v>66.510002</v>
      </c>
      <c r="C4">
        <v>70.120002999999997</v>
      </c>
      <c r="D4">
        <v>64.279999000000004</v>
      </c>
      <c r="E4">
        <v>69.910004000000001</v>
      </c>
      <c r="F4">
        <v>68.854134000000002</v>
      </c>
      <c r="G4">
        <v>12750300</v>
      </c>
    </row>
    <row r="5" spans="1:7">
      <c r="A5" s="63">
        <v>43497</v>
      </c>
      <c r="B5">
        <v>69.790001000000004</v>
      </c>
      <c r="C5">
        <v>75.690002000000007</v>
      </c>
      <c r="D5">
        <v>69.269997000000004</v>
      </c>
      <c r="E5">
        <v>72.769997000000004</v>
      </c>
      <c r="F5">
        <v>71.670936999999995</v>
      </c>
      <c r="G5">
        <v>14089100</v>
      </c>
    </row>
    <row r="6" spans="1:7">
      <c r="A6" s="63">
        <v>43525</v>
      </c>
      <c r="B6">
        <v>73.169998000000007</v>
      </c>
      <c r="C6">
        <v>75.569999999999993</v>
      </c>
      <c r="D6">
        <v>70.519997000000004</v>
      </c>
      <c r="E6">
        <v>72.569999999999993</v>
      </c>
      <c r="F6">
        <v>71.657844999999995</v>
      </c>
      <c r="G6">
        <v>17237900</v>
      </c>
    </row>
    <row r="7" spans="1:7">
      <c r="A7" s="63">
        <v>43556</v>
      </c>
      <c r="B7">
        <v>73.169998000000007</v>
      </c>
      <c r="C7">
        <v>77.5</v>
      </c>
      <c r="D7">
        <v>72.860000999999997</v>
      </c>
      <c r="E7">
        <v>76.730002999999996</v>
      </c>
      <c r="F7">
        <v>75.765572000000006</v>
      </c>
      <c r="G7">
        <v>8722800</v>
      </c>
    </row>
    <row r="8" spans="1:7">
      <c r="A8" s="63">
        <v>43586</v>
      </c>
      <c r="B8">
        <v>77.839995999999999</v>
      </c>
      <c r="C8">
        <v>79.650002000000001</v>
      </c>
      <c r="D8">
        <v>71.209998999999996</v>
      </c>
      <c r="E8">
        <v>72.239998</v>
      </c>
      <c r="F8">
        <v>71.331992999999997</v>
      </c>
      <c r="G8">
        <v>12196800</v>
      </c>
    </row>
    <row r="9" spans="1:7">
      <c r="A9" s="63">
        <v>43617</v>
      </c>
      <c r="B9">
        <v>72.25</v>
      </c>
      <c r="C9">
        <v>76.680000000000007</v>
      </c>
      <c r="D9">
        <v>71.010002</v>
      </c>
      <c r="E9">
        <v>76.129997000000003</v>
      </c>
      <c r="F9">
        <v>75.365395000000007</v>
      </c>
      <c r="G9">
        <v>8025800</v>
      </c>
    </row>
    <row r="10" spans="1:7">
      <c r="A10" s="63">
        <v>43647</v>
      </c>
      <c r="B10">
        <v>77.559997999999993</v>
      </c>
      <c r="C10">
        <v>81.569999999999993</v>
      </c>
      <c r="D10">
        <v>75.779999000000004</v>
      </c>
      <c r="E10">
        <v>77.349997999999999</v>
      </c>
      <c r="F10">
        <v>76.573134999999994</v>
      </c>
      <c r="G10">
        <v>11477100</v>
      </c>
    </row>
    <row r="11" spans="1:7">
      <c r="A11" s="63">
        <v>43678</v>
      </c>
      <c r="B11">
        <v>78</v>
      </c>
      <c r="C11">
        <v>78.190002000000007</v>
      </c>
      <c r="D11">
        <v>70.800003000000004</v>
      </c>
      <c r="E11">
        <v>72.150002000000001</v>
      </c>
      <c r="F11">
        <v>71.425362000000007</v>
      </c>
      <c r="G11">
        <v>13925600</v>
      </c>
    </row>
    <row r="12" spans="1:7">
      <c r="A12" s="63">
        <v>43709</v>
      </c>
      <c r="B12">
        <v>71.669998000000007</v>
      </c>
      <c r="C12">
        <v>77.860000999999997</v>
      </c>
      <c r="D12">
        <v>70.870002999999997</v>
      </c>
      <c r="E12">
        <v>73.669998000000007</v>
      </c>
      <c r="F12">
        <v>73.12236</v>
      </c>
      <c r="G12">
        <v>11529800</v>
      </c>
    </row>
    <row r="13" spans="1:7">
      <c r="A13" s="63">
        <v>43739</v>
      </c>
      <c r="B13">
        <v>73.720000999999996</v>
      </c>
      <c r="C13">
        <v>75.639999000000003</v>
      </c>
      <c r="D13">
        <v>69.029999000000004</v>
      </c>
      <c r="E13">
        <v>74.739998</v>
      </c>
      <c r="F13">
        <v>74.184402000000006</v>
      </c>
      <c r="G13">
        <v>14642400</v>
      </c>
    </row>
    <row r="14" spans="1:7">
      <c r="A14" s="63">
        <v>43770</v>
      </c>
      <c r="B14">
        <v>75.150002000000001</v>
      </c>
      <c r="C14">
        <v>81.550003000000004</v>
      </c>
      <c r="D14">
        <v>74.470000999999996</v>
      </c>
      <c r="E14">
        <v>80.800003000000004</v>
      </c>
      <c r="F14">
        <v>80.199364000000003</v>
      </c>
      <c r="G14">
        <v>9090900</v>
      </c>
    </row>
    <row r="15" spans="1:7">
      <c r="A15" s="63">
        <v>43800</v>
      </c>
      <c r="B15">
        <v>80.980002999999996</v>
      </c>
      <c r="C15">
        <v>91.129997000000003</v>
      </c>
      <c r="D15">
        <v>79.080001999999993</v>
      </c>
      <c r="E15">
        <v>89.709998999999996</v>
      </c>
      <c r="F15">
        <v>89.258826999999997</v>
      </c>
      <c r="G15">
        <v>10270600</v>
      </c>
    </row>
    <row r="16" spans="1:7">
      <c r="A16" s="63">
        <v>43831</v>
      </c>
      <c r="B16">
        <v>90.089995999999999</v>
      </c>
      <c r="C16">
        <v>90.57</v>
      </c>
      <c r="D16">
        <v>81.160004000000001</v>
      </c>
      <c r="E16">
        <v>84.540001000000004</v>
      </c>
      <c r="F16">
        <v>84.114838000000006</v>
      </c>
      <c r="G16">
        <v>13225100</v>
      </c>
    </row>
    <row r="17" spans="1:7">
      <c r="A17" s="63">
        <v>43862</v>
      </c>
      <c r="B17">
        <v>85.129997000000003</v>
      </c>
      <c r="C17">
        <v>94.980002999999996</v>
      </c>
      <c r="D17">
        <v>74.5</v>
      </c>
      <c r="E17">
        <v>76.599997999999999</v>
      </c>
      <c r="F17">
        <v>76.214766999999995</v>
      </c>
      <c r="G17">
        <v>18140100</v>
      </c>
    </row>
    <row r="18" spans="1:7">
      <c r="A18" s="63">
        <v>43891</v>
      </c>
      <c r="B18">
        <v>77.120002999999997</v>
      </c>
      <c r="C18">
        <v>77.660004000000001</v>
      </c>
      <c r="D18">
        <v>24.02</v>
      </c>
      <c r="E18">
        <v>47.900002000000001</v>
      </c>
      <c r="F18">
        <v>47.770470000000003</v>
      </c>
      <c r="G18">
        <v>51458000</v>
      </c>
    </row>
    <row r="19" spans="1:7">
      <c r="A19" s="63">
        <v>43922</v>
      </c>
      <c r="B19">
        <v>45</v>
      </c>
      <c r="C19">
        <v>60.029998999999997</v>
      </c>
      <c r="D19">
        <v>36.119999</v>
      </c>
      <c r="E19">
        <v>56.259998000000003</v>
      </c>
      <c r="F19">
        <v>56.107857000000003</v>
      </c>
      <c r="G19">
        <v>37069000</v>
      </c>
    </row>
    <row r="20" spans="1:7">
      <c r="A20" s="63">
        <v>43952</v>
      </c>
      <c r="B20">
        <v>54.060001</v>
      </c>
      <c r="C20">
        <v>59.110000999999997</v>
      </c>
      <c r="D20">
        <v>41.869999</v>
      </c>
      <c r="E20">
        <v>55.09</v>
      </c>
      <c r="F20">
        <v>54.941025000000003</v>
      </c>
      <c r="G20">
        <v>23801900</v>
      </c>
    </row>
    <row r="21" spans="1:7">
      <c r="A21" s="63">
        <v>43983</v>
      </c>
      <c r="B21">
        <v>55.09</v>
      </c>
      <c r="C21">
        <v>68.169998000000007</v>
      </c>
      <c r="D21">
        <v>46.810001</v>
      </c>
      <c r="E21">
        <v>50.290000999999997</v>
      </c>
      <c r="F21">
        <v>50.154003000000003</v>
      </c>
      <c r="G21">
        <v>27123100</v>
      </c>
    </row>
    <row r="22" spans="1:7">
      <c r="A22" s="63">
        <v>44013</v>
      </c>
      <c r="B22">
        <v>51.25</v>
      </c>
      <c r="C22">
        <v>54.279998999999997</v>
      </c>
      <c r="D22">
        <v>46.889999000000003</v>
      </c>
      <c r="E22">
        <v>48</v>
      </c>
      <c r="F22">
        <v>47.870196999999997</v>
      </c>
      <c r="G22">
        <v>16677700</v>
      </c>
    </row>
    <row r="23" spans="1:7">
      <c r="A23" s="63">
        <v>44044</v>
      </c>
      <c r="B23">
        <v>48</v>
      </c>
      <c r="C23">
        <v>59.98</v>
      </c>
      <c r="D23">
        <v>45.619999</v>
      </c>
      <c r="E23">
        <v>56.490001999999997</v>
      </c>
      <c r="F23">
        <v>56.337242000000003</v>
      </c>
      <c r="G23">
        <v>21484500</v>
      </c>
    </row>
    <row r="24" spans="1:7">
      <c r="A24" s="63">
        <v>44075</v>
      </c>
      <c r="B24">
        <v>55.610000999999997</v>
      </c>
      <c r="C24">
        <v>61.560001</v>
      </c>
      <c r="D24">
        <v>51.209999000000003</v>
      </c>
      <c r="E24">
        <v>53.369999</v>
      </c>
      <c r="F24">
        <v>53.225676999999997</v>
      </c>
      <c r="G24">
        <v>17010600</v>
      </c>
    </row>
    <row r="25" spans="1:7">
      <c r="A25" s="63">
        <v>44105</v>
      </c>
      <c r="B25">
        <v>54.060001</v>
      </c>
      <c r="C25">
        <v>60.259998000000003</v>
      </c>
      <c r="D25">
        <v>51.5</v>
      </c>
      <c r="E25">
        <v>55.139999000000003</v>
      </c>
      <c r="F25">
        <v>54.990890999999998</v>
      </c>
      <c r="G25">
        <v>14095700</v>
      </c>
    </row>
    <row r="26" spans="1:7">
      <c r="A26" s="63">
        <v>44136</v>
      </c>
      <c r="B26">
        <v>55.299999</v>
      </c>
      <c r="C26">
        <v>74.540001000000004</v>
      </c>
      <c r="D26">
        <v>54.490001999999997</v>
      </c>
      <c r="E26">
        <v>71.970000999999996</v>
      </c>
      <c r="F26">
        <v>71.775374999999997</v>
      </c>
      <c r="G26">
        <v>19371100</v>
      </c>
    </row>
    <row r="27" spans="1:7">
      <c r="A27" s="63">
        <v>44166</v>
      </c>
      <c r="B27">
        <v>73.089995999999999</v>
      </c>
      <c r="C27">
        <v>76.629997000000003</v>
      </c>
      <c r="D27">
        <v>70.019997000000004</v>
      </c>
      <c r="E27">
        <v>74.25</v>
      </c>
      <c r="F27">
        <v>74.049210000000002</v>
      </c>
      <c r="G27">
        <v>11793500</v>
      </c>
    </row>
    <row r="28" spans="1:7">
      <c r="A28" s="63">
        <v>44197</v>
      </c>
      <c r="B28">
        <v>74.319999999999993</v>
      </c>
      <c r="C28">
        <v>75.529999000000004</v>
      </c>
      <c r="D28">
        <v>65.440002000000007</v>
      </c>
      <c r="E28">
        <v>65.660004000000001</v>
      </c>
      <c r="F28">
        <v>65.482444999999998</v>
      </c>
      <c r="G28">
        <v>12862600</v>
      </c>
    </row>
    <row r="29" spans="1:7">
      <c r="A29" s="63">
        <v>44228</v>
      </c>
      <c r="B29">
        <v>66.800003000000004</v>
      </c>
      <c r="C29">
        <v>92.220000999999996</v>
      </c>
      <c r="D29">
        <v>66.110000999999997</v>
      </c>
      <c r="E29">
        <v>87.949996999999996</v>
      </c>
      <c r="F29">
        <v>87.712158000000002</v>
      </c>
      <c r="G29">
        <v>13942400</v>
      </c>
    </row>
    <row r="30" spans="1:7">
      <c r="A30" s="63">
        <v>44256</v>
      </c>
      <c r="B30">
        <v>90</v>
      </c>
      <c r="C30">
        <v>90.470000999999996</v>
      </c>
      <c r="D30">
        <v>78.180000000000007</v>
      </c>
      <c r="E30">
        <v>82.699996999999996</v>
      </c>
      <c r="F30">
        <v>82.476356999999993</v>
      </c>
      <c r="G30">
        <v>16045400</v>
      </c>
    </row>
    <row r="31" spans="1:7">
      <c r="A31" s="63">
        <v>44287</v>
      </c>
      <c r="B31">
        <v>83.25</v>
      </c>
      <c r="C31">
        <v>87.720000999999996</v>
      </c>
      <c r="D31">
        <v>78.589995999999999</v>
      </c>
      <c r="E31">
        <v>82.330001999999993</v>
      </c>
      <c r="F31">
        <v>82.107360999999997</v>
      </c>
      <c r="G31">
        <v>7973700</v>
      </c>
    </row>
    <row r="32" spans="1:7">
      <c r="A32" s="63">
        <v>44317</v>
      </c>
      <c r="B32">
        <v>82.989998</v>
      </c>
      <c r="C32">
        <v>83.650002000000001</v>
      </c>
      <c r="D32">
        <v>75</v>
      </c>
      <c r="E32">
        <v>78.080001999999993</v>
      </c>
      <c r="F32">
        <v>77.868851000000006</v>
      </c>
      <c r="G32">
        <v>9405300</v>
      </c>
    </row>
    <row r="33" spans="1:7">
      <c r="A33" s="63">
        <v>44348</v>
      </c>
      <c r="B33">
        <v>79.199996999999996</v>
      </c>
      <c r="C33">
        <v>84.620002999999997</v>
      </c>
      <c r="D33">
        <v>76.319999999999993</v>
      </c>
      <c r="E33">
        <v>77.639999000000003</v>
      </c>
      <c r="F33">
        <v>77.430037999999996</v>
      </c>
      <c r="G33">
        <v>13718100</v>
      </c>
    </row>
    <row r="34" spans="1:7">
      <c r="A34" s="63">
        <v>44378</v>
      </c>
      <c r="B34">
        <v>78</v>
      </c>
      <c r="C34">
        <v>81.959998999999996</v>
      </c>
      <c r="D34">
        <v>71.120002999999997</v>
      </c>
      <c r="E34">
        <v>79.870002999999997</v>
      </c>
      <c r="F34">
        <v>79.654015000000001</v>
      </c>
      <c r="G34">
        <v>9500700</v>
      </c>
    </row>
    <row r="35" spans="1:7">
      <c r="A35" s="63">
        <v>44409</v>
      </c>
      <c r="B35">
        <v>80.610000999999997</v>
      </c>
      <c r="C35">
        <v>81.209998999999996</v>
      </c>
      <c r="D35">
        <v>67.699996999999996</v>
      </c>
      <c r="E35">
        <v>73.589995999999999</v>
      </c>
      <c r="F35">
        <v>73.390998999999994</v>
      </c>
      <c r="G35">
        <v>12274100</v>
      </c>
    </row>
    <row r="36" spans="1:7">
      <c r="A36" s="63">
        <v>44440</v>
      </c>
      <c r="B36">
        <v>73.900002000000001</v>
      </c>
      <c r="C36">
        <v>81.360000999999997</v>
      </c>
      <c r="D36">
        <v>70.300003000000004</v>
      </c>
      <c r="E36">
        <v>77.099997999999999</v>
      </c>
      <c r="F36">
        <v>76.891502000000003</v>
      </c>
      <c r="G36">
        <v>20060900</v>
      </c>
    </row>
    <row r="37" spans="1:7">
      <c r="A37" s="63">
        <v>44470</v>
      </c>
      <c r="B37">
        <v>78.470000999999996</v>
      </c>
      <c r="C37">
        <v>87.75</v>
      </c>
      <c r="D37">
        <v>78</v>
      </c>
      <c r="E37">
        <v>85.199996999999996</v>
      </c>
      <c r="F37">
        <v>84.969596999999993</v>
      </c>
      <c r="G37">
        <v>13674300</v>
      </c>
    </row>
    <row r="38" spans="1:7">
      <c r="A38" s="63">
        <v>44501</v>
      </c>
      <c r="B38">
        <v>85.449996999999996</v>
      </c>
      <c r="C38">
        <v>94.919998000000007</v>
      </c>
      <c r="D38">
        <v>74.910004000000001</v>
      </c>
      <c r="E38">
        <v>78.769997000000004</v>
      </c>
      <c r="F38">
        <v>78.556984</v>
      </c>
      <c r="G38">
        <v>16758300</v>
      </c>
    </row>
    <row r="39" spans="1:7">
      <c r="A39" s="63">
        <v>44531</v>
      </c>
      <c r="B39">
        <v>80.389999000000003</v>
      </c>
      <c r="C39">
        <v>97.150002000000001</v>
      </c>
      <c r="D39">
        <v>77.699996999999996</v>
      </c>
      <c r="E39">
        <v>95.900002000000001</v>
      </c>
      <c r="F39">
        <v>95.640670999999998</v>
      </c>
      <c r="G39">
        <v>20032400</v>
      </c>
    </row>
    <row r="40" spans="1:7">
      <c r="A40" s="63">
        <v>44562</v>
      </c>
      <c r="B40">
        <v>96.550003000000004</v>
      </c>
      <c r="C40">
        <v>99</v>
      </c>
      <c r="D40">
        <v>83.309997999999993</v>
      </c>
      <c r="E40">
        <v>91.610000999999997</v>
      </c>
      <c r="F40">
        <v>91.362267000000003</v>
      </c>
      <c r="G40">
        <v>18722300</v>
      </c>
    </row>
    <row r="41" spans="1:7">
      <c r="A41" s="63">
        <v>44593</v>
      </c>
      <c r="B41">
        <v>92.190002000000007</v>
      </c>
      <c r="C41">
        <v>108.099998</v>
      </c>
      <c r="D41">
        <v>90.839995999999999</v>
      </c>
      <c r="E41">
        <v>97.110000999999997</v>
      </c>
      <c r="F41">
        <v>96.847397000000001</v>
      </c>
      <c r="G41">
        <v>23879700</v>
      </c>
    </row>
    <row r="42" spans="1:7">
      <c r="A42" s="63">
        <v>44621</v>
      </c>
      <c r="B42">
        <v>96.080001999999993</v>
      </c>
      <c r="C42">
        <v>98.900002000000001</v>
      </c>
      <c r="D42">
        <v>81.769997000000004</v>
      </c>
      <c r="E42">
        <v>95.449996999999996</v>
      </c>
      <c r="F42">
        <v>95.191879</v>
      </c>
      <c r="G42">
        <v>20771000</v>
      </c>
    </row>
    <row r="43" spans="1:7">
      <c r="A43" s="63">
        <v>44652</v>
      </c>
      <c r="B43">
        <v>96.580001999999993</v>
      </c>
      <c r="C43">
        <v>102.529999</v>
      </c>
      <c r="D43">
        <v>86.129997000000003</v>
      </c>
      <c r="E43">
        <v>94.959998999999996</v>
      </c>
      <c r="F43">
        <v>94.703201000000007</v>
      </c>
      <c r="G43">
        <v>18046800</v>
      </c>
    </row>
    <row r="44" spans="1:7">
      <c r="A44" s="63">
        <v>44682</v>
      </c>
      <c r="B44">
        <v>95.949996999999996</v>
      </c>
      <c r="C44">
        <v>96.389999000000003</v>
      </c>
      <c r="D44">
        <v>78.029999000000004</v>
      </c>
      <c r="E44">
        <v>88.389999000000003</v>
      </c>
      <c r="F44">
        <v>88.150970000000001</v>
      </c>
      <c r="G44">
        <v>24612700</v>
      </c>
    </row>
    <row r="45" spans="1:7">
      <c r="A45" s="63">
        <v>44713</v>
      </c>
      <c r="B45">
        <v>88.379997000000003</v>
      </c>
      <c r="C45">
        <v>95.589995999999999</v>
      </c>
      <c r="D45">
        <v>70.120002999999997</v>
      </c>
      <c r="E45">
        <v>73.910004000000001</v>
      </c>
      <c r="F45">
        <v>73.710128999999995</v>
      </c>
      <c r="G45">
        <v>16590000</v>
      </c>
    </row>
    <row r="46" spans="1:7">
      <c r="A46" s="63">
        <v>44743</v>
      </c>
      <c r="B46">
        <v>73.629997000000003</v>
      </c>
      <c r="C46">
        <v>84.190002000000007</v>
      </c>
      <c r="D46">
        <v>71.669998000000007</v>
      </c>
      <c r="E46">
        <v>82.75</v>
      </c>
      <c r="F46">
        <v>82.526229999999998</v>
      </c>
      <c r="G46">
        <v>10834500</v>
      </c>
    </row>
    <row r="47" spans="1:7">
      <c r="A47" s="63">
        <v>44774</v>
      </c>
      <c r="B47">
        <v>82.43</v>
      </c>
      <c r="C47">
        <v>96.809997999999993</v>
      </c>
      <c r="D47">
        <v>81.449996999999996</v>
      </c>
      <c r="E47">
        <v>89.620002999999997</v>
      </c>
      <c r="F47">
        <v>89.377646999999996</v>
      </c>
      <c r="G47">
        <v>15566200</v>
      </c>
    </row>
    <row r="48" spans="1:7">
      <c r="A48" s="63">
        <v>44805</v>
      </c>
      <c r="B48">
        <v>88.949996999999996</v>
      </c>
      <c r="C48">
        <v>96.709998999999996</v>
      </c>
      <c r="D48">
        <v>77.699996999999996</v>
      </c>
      <c r="E48">
        <v>80.959998999999996</v>
      </c>
      <c r="F48">
        <v>80.741066000000004</v>
      </c>
      <c r="G48">
        <v>21004800</v>
      </c>
    </row>
    <row r="49" spans="1:7">
      <c r="A49" s="63">
        <v>44835</v>
      </c>
      <c r="B49">
        <v>81.699996999999996</v>
      </c>
      <c r="C49">
        <v>94.870002999999997</v>
      </c>
      <c r="D49">
        <v>79.519997000000004</v>
      </c>
      <c r="E49">
        <v>94.209998999999996</v>
      </c>
      <c r="F49">
        <v>93.955237999999994</v>
      </c>
      <c r="G49">
        <v>13625700</v>
      </c>
    </row>
    <row r="50" spans="1:7">
      <c r="A50" s="63">
        <v>44866</v>
      </c>
      <c r="B50">
        <v>95.790001000000004</v>
      </c>
      <c r="C50">
        <v>100.550003</v>
      </c>
      <c r="D50">
        <v>87.589995999999999</v>
      </c>
      <c r="E50">
        <v>100.32</v>
      </c>
      <c r="F50">
        <v>100.048714</v>
      </c>
      <c r="G50">
        <v>15769500</v>
      </c>
    </row>
    <row r="51" spans="1:7">
      <c r="A51" s="63">
        <v>44896</v>
      </c>
      <c r="B51">
        <v>100.230003</v>
      </c>
      <c r="C51">
        <v>103.5</v>
      </c>
      <c r="D51">
        <v>88.010002</v>
      </c>
      <c r="E51">
        <v>90.449996999999996</v>
      </c>
      <c r="F51">
        <v>90.205399</v>
      </c>
      <c r="G51">
        <v>15400700</v>
      </c>
    </row>
    <row r="52" spans="1:7">
      <c r="A52" s="63">
        <v>44927</v>
      </c>
      <c r="B52">
        <v>91.370002999999997</v>
      </c>
      <c r="C52">
        <v>113.19000200000001</v>
      </c>
      <c r="D52">
        <v>88.800003000000004</v>
      </c>
      <c r="E52">
        <v>109.120003</v>
      </c>
      <c r="F52">
        <v>108.824921</v>
      </c>
      <c r="G52">
        <v>16743600</v>
      </c>
    </row>
    <row r="53" spans="1:7">
      <c r="A53" s="63">
        <v>44958</v>
      </c>
      <c r="B53">
        <v>108.699997</v>
      </c>
      <c r="C53">
        <v>119.370003</v>
      </c>
      <c r="D53">
        <v>107.120003</v>
      </c>
      <c r="E53">
        <v>116.239998</v>
      </c>
      <c r="F53">
        <v>115.925659</v>
      </c>
      <c r="G53">
        <v>19006700</v>
      </c>
    </row>
    <row r="54" spans="1:7">
      <c r="A54" s="63">
        <v>44986</v>
      </c>
      <c r="B54">
        <v>116.489998</v>
      </c>
      <c r="C54">
        <v>125.07</v>
      </c>
      <c r="D54">
        <v>101.230003</v>
      </c>
      <c r="E54">
        <v>111.790001</v>
      </c>
      <c r="F54">
        <v>111.487694</v>
      </c>
      <c r="G54">
        <v>22250400</v>
      </c>
    </row>
    <row r="55" spans="1:7">
      <c r="A55" s="63">
        <v>45017</v>
      </c>
      <c r="B55">
        <v>111.589996</v>
      </c>
      <c r="C55">
        <v>117.91999800000001</v>
      </c>
      <c r="D55">
        <v>106.230003</v>
      </c>
      <c r="E55">
        <v>114.300003</v>
      </c>
      <c r="F55">
        <v>113.99091300000001</v>
      </c>
      <c r="G55">
        <v>13204900</v>
      </c>
    </row>
    <row r="56" spans="1:7">
      <c r="A56" s="63">
        <v>45047</v>
      </c>
      <c r="B56">
        <v>113.870003</v>
      </c>
      <c r="C56">
        <v>122</v>
      </c>
      <c r="D56">
        <v>106.339996</v>
      </c>
      <c r="E56">
        <v>107.480003</v>
      </c>
      <c r="F56">
        <v>107.18935399999999</v>
      </c>
      <c r="G56">
        <v>21637200</v>
      </c>
    </row>
    <row r="57" spans="1:7">
      <c r="A57" s="63">
        <v>45078</v>
      </c>
      <c r="B57">
        <v>107.5</v>
      </c>
      <c r="C57">
        <v>119.16999800000001</v>
      </c>
      <c r="D57">
        <v>106.599998</v>
      </c>
      <c r="E57">
        <v>114.58000199999999</v>
      </c>
      <c r="F57">
        <v>114.42671199999999</v>
      </c>
      <c r="G57">
        <v>13205600</v>
      </c>
    </row>
    <row r="58" spans="1:7">
      <c r="A58" s="63">
        <v>45108</v>
      </c>
      <c r="B58">
        <v>113.629997</v>
      </c>
      <c r="C58">
        <v>127.800003</v>
      </c>
      <c r="D58">
        <v>110.389999</v>
      </c>
      <c r="E58">
        <v>126.349998</v>
      </c>
      <c r="F58">
        <v>126.18096199999999</v>
      </c>
      <c r="G58">
        <v>10423800</v>
      </c>
    </row>
    <row r="59" spans="1:7">
      <c r="A59" s="63">
        <v>45139</v>
      </c>
      <c r="B59">
        <v>125.75</v>
      </c>
      <c r="C59">
        <v>126.349998</v>
      </c>
      <c r="D59">
        <v>110.5</v>
      </c>
      <c r="E59">
        <v>112.410004</v>
      </c>
      <c r="F59">
        <v>112.259621</v>
      </c>
      <c r="G59">
        <v>17475400</v>
      </c>
    </row>
    <row r="60" spans="1:7">
      <c r="A60" s="63">
        <v>45170</v>
      </c>
      <c r="B60">
        <v>113.370003</v>
      </c>
      <c r="C60">
        <v>114.959999</v>
      </c>
      <c r="D60">
        <v>102.18</v>
      </c>
      <c r="E60">
        <v>106.08000199999999</v>
      </c>
      <c r="F60">
        <v>106.08000199999999</v>
      </c>
      <c r="G60">
        <v>13273700</v>
      </c>
    </row>
    <row r="61" spans="1:7">
      <c r="A61" s="63">
        <v>45200</v>
      </c>
      <c r="B61">
        <v>105.900002</v>
      </c>
      <c r="C61">
        <v>112.970001</v>
      </c>
      <c r="D61">
        <v>98.769997000000004</v>
      </c>
      <c r="E61">
        <v>101.470001</v>
      </c>
      <c r="F61">
        <v>101.470001</v>
      </c>
      <c r="G61">
        <v>27687000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DB3F-7620-4036-BD63-A563BBF43C34}">
  <dimension ref="A1:P55"/>
  <sheetViews>
    <sheetView workbookViewId="0">
      <selection activeCell="B24" sqref="B24"/>
    </sheetView>
  </sheetViews>
  <sheetFormatPr defaultRowHeight="14.5"/>
  <cols>
    <col min="1" max="1" width="49.36328125" bestFit="1" customWidth="1"/>
    <col min="2" max="13" width="12.1796875" bestFit="1" customWidth="1"/>
    <col min="14" max="14" width="12.81640625" bestFit="1" customWidth="1"/>
    <col min="15" max="16" width="12.1796875" bestFit="1" customWidth="1"/>
  </cols>
  <sheetData>
    <row r="1" spans="1:16">
      <c r="A1" t="s">
        <v>176</v>
      </c>
      <c r="B1" t="s">
        <v>177</v>
      </c>
      <c r="C1" s="63">
        <v>44196</v>
      </c>
      <c r="D1" s="63">
        <v>43830</v>
      </c>
      <c r="E1" s="63">
        <v>43465</v>
      </c>
      <c r="F1" s="63">
        <v>43100</v>
      </c>
      <c r="G1" s="63">
        <v>42735</v>
      </c>
      <c r="H1" s="63">
        <v>42369</v>
      </c>
      <c r="I1" s="63">
        <v>42004</v>
      </c>
      <c r="J1" s="63">
        <v>41639</v>
      </c>
      <c r="K1" s="63">
        <v>41274</v>
      </c>
      <c r="L1" s="63">
        <v>40908</v>
      </c>
      <c r="M1" s="63">
        <v>40543</v>
      </c>
      <c r="N1" s="63">
        <v>40178</v>
      </c>
      <c r="O1" s="63">
        <v>39813</v>
      </c>
      <c r="P1" s="63">
        <v>39447</v>
      </c>
    </row>
    <row r="2" spans="1:16">
      <c r="A2" t="s">
        <v>178</v>
      </c>
      <c r="B2" s="45">
        <v>2066000000</v>
      </c>
      <c r="C2" s="45">
        <v>2066000000</v>
      </c>
      <c r="D2" s="45">
        <v>5020000000</v>
      </c>
      <c r="E2" s="45">
        <v>4454000000</v>
      </c>
      <c r="F2" s="45">
        <v>4685000000</v>
      </c>
      <c r="G2" s="45">
        <v>4429000000</v>
      </c>
      <c r="H2" s="45">
        <v>4328000000</v>
      </c>
      <c r="I2" s="45">
        <v>4415000000</v>
      </c>
      <c r="J2" s="45">
        <v>4184000000</v>
      </c>
      <c r="K2" s="45">
        <v>3949000000</v>
      </c>
      <c r="L2" s="45">
        <v>3698000000</v>
      </c>
      <c r="M2" s="45">
        <v>3527000000</v>
      </c>
      <c r="N2" s="45">
        <v>3332000000</v>
      </c>
      <c r="O2" s="45">
        <v>3837000000</v>
      </c>
      <c r="P2" s="45">
        <v>3738000000</v>
      </c>
    </row>
    <row r="3" spans="1:16">
      <c r="A3" t="s">
        <v>179</v>
      </c>
      <c r="B3" s="45">
        <v>752000000</v>
      </c>
      <c r="C3" s="45">
        <v>752000000</v>
      </c>
      <c r="D3" s="45">
        <v>2456000000</v>
      </c>
      <c r="E3" s="45">
        <v>2470000000</v>
      </c>
      <c r="F3" s="45">
        <v>2697000000</v>
      </c>
      <c r="G3" s="45">
        <v>2556000000</v>
      </c>
      <c r="H3" s="45">
        <v>2506000000</v>
      </c>
      <c r="I3" s="45">
        <v>2633000000</v>
      </c>
      <c r="J3" s="45">
        <v>2484000000</v>
      </c>
      <c r="K3" s="45">
        <v>2328000000</v>
      </c>
      <c r="L3" s="45">
        <v>3698000000</v>
      </c>
      <c r="M3" s="45">
        <v>3527000000</v>
      </c>
      <c r="N3" s="45">
        <v>3332000000</v>
      </c>
      <c r="O3" s="45">
        <v>3837000000</v>
      </c>
      <c r="P3" s="45">
        <v>3738000000</v>
      </c>
    </row>
    <row r="4" spans="1:16">
      <c r="A4" t="s">
        <v>180</v>
      </c>
      <c r="B4" s="45">
        <v>2067000000</v>
      </c>
      <c r="C4" s="45">
        <v>2067000000</v>
      </c>
      <c r="D4" s="45">
        <v>4077000000</v>
      </c>
      <c r="E4" s="45">
        <v>3475000000</v>
      </c>
      <c r="F4" s="45">
        <v>3638000000</v>
      </c>
      <c r="G4" s="45">
        <v>3473000000</v>
      </c>
      <c r="H4" s="45">
        <v>3377000000</v>
      </c>
      <c r="I4" s="45">
        <v>3433000000</v>
      </c>
      <c r="J4" s="45">
        <v>3283000000</v>
      </c>
      <c r="K4" s="45">
        <v>3121000000</v>
      </c>
      <c r="L4" s="45">
        <v>2957000000</v>
      </c>
      <c r="M4" s="45">
        <v>2864000000</v>
      </c>
      <c r="N4" s="45">
        <v>2753000000</v>
      </c>
      <c r="O4" s="45">
        <v>2934000000</v>
      </c>
      <c r="P4" s="45">
        <v>2847000000</v>
      </c>
    </row>
    <row r="5" spans="1:16">
      <c r="A5" t="s">
        <v>181</v>
      </c>
      <c r="B5" s="45">
        <v>-1000000</v>
      </c>
      <c r="C5" s="45">
        <v>-1000000</v>
      </c>
      <c r="D5" s="45">
        <v>943000000</v>
      </c>
      <c r="E5" s="45">
        <v>979000000</v>
      </c>
      <c r="F5" s="45">
        <v>1047000000</v>
      </c>
      <c r="G5" s="45">
        <v>956000000</v>
      </c>
      <c r="H5" s="45">
        <v>951000000</v>
      </c>
      <c r="I5" s="45">
        <v>982000000</v>
      </c>
      <c r="J5" s="45">
        <v>901000000</v>
      </c>
      <c r="K5" s="45">
        <v>828000000</v>
      </c>
      <c r="L5" s="45">
        <v>741000000</v>
      </c>
      <c r="M5" s="45">
        <v>663000000</v>
      </c>
      <c r="N5" s="45">
        <v>579000000</v>
      </c>
      <c r="O5" s="45">
        <v>903000000</v>
      </c>
      <c r="P5" s="45">
        <v>891000000</v>
      </c>
    </row>
    <row r="6" spans="1:16">
      <c r="A6" t="s">
        <v>182</v>
      </c>
      <c r="B6" s="45">
        <v>631000000</v>
      </c>
      <c r="C6" s="45">
        <v>631000000</v>
      </c>
      <c r="D6" s="45">
        <v>746000000</v>
      </c>
      <c r="E6" s="45">
        <v>647000000</v>
      </c>
      <c r="F6" s="45">
        <v>745000000</v>
      </c>
      <c r="G6" s="45">
        <v>657000000</v>
      </c>
      <c r="H6" s="45">
        <v>628000000</v>
      </c>
      <c r="I6" s="45">
        <v>703000000</v>
      </c>
      <c r="J6" s="45">
        <v>668000000</v>
      </c>
      <c r="K6" s="45">
        <v>669000000</v>
      </c>
      <c r="L6" s="45">
        <v>588000000</v>
      </c>
      <c r="M6" s="45">
        <v>555000000</v>
      </c>
      <c r="N6" s="45">
        <v>531000000</v>
      </c>
      <c r="O6" s="45">
        <v>539000000</v>
      </c>
      <c r="P6" s="45">
        <v>506000000</v>
      </c>
    </row>
    <row r="7" spans="1:16">
      <c r="A7" t="s">
        <v>183</v>
      </c>
      <c r="B7" s="45">
        <v>321000000</v>
      </c>
      <c r="C7" s="45">
        <v>321000000</v>
      </c>
      <c r="D7" s="45">
        <v>417000000</v>
      </c>
      <c r="E7" s="45">
        <v>320000000</v>
      </c>
      <c r="F7" s="45">
        <v>379000000</v>
      </c>
      <c r="G7" s="45">
        <v>315000000</v>
      </c>
      <c r="H7" s="45">
        <v>308000000</v>
      </c>
      <c r="I7" s="45">
        <v>349000000</v>
      </c>
      <c r="J7" s="45">
        <v>323000000</v>
      </c>
      <c r="K7" s="45">
        <v>316000000</v>
      </c>
      <c r="L7" s="45">
        <v>283000000</v>
      </c>
      <c r="M7" s="45">
        <v>276000000</v>
      </c>
      <c r="N7" s="45">
        <v>261000000</v>
      </c>
      <c r="O7" s="45">
        <v>290000000</v>
      </c>
      <c r="P7" s="45">
        <v>292000000</v>
      </c>
    </row>
    <row r="8" spans="1:16">
      <c r="A8" t="s">
        <v>184</v>
      </c>
      <c r="B8" s="45">
        <v>310000000</v>
      </c>
      <c r="C8" s="45">
        <v>310000000</v>
      </c>
      <c r="D8" s="45">
        <v>329000000</v>
      </c>
      <c r="E8" s="45">
        <v>327000000</v>
      </c>
      <c r="F8" s="45">
        <v>366000000</v>
      </c>
      <c r="G8" s="45">
        <v>342000000</v>
      </c>
      <c r="H8" s="45">
        <v>320000000</v>
      </c>
      <c r="I8" s="45">
        <v>354000000</v>
      </c>
      <c r="J8" s="45">
        <v>345000000</v>
      </c>
      <c r="K8" s="45">
        <v>353000000</v>
      </c>
      <c r="L8" s="45">
        <v>305000000</v>
      </c>
      <c r="M8" s="45">
        <v>279000000</v>
      </c>
      <c r="N8" s="45">
        <v>270000000</v>
      </c>
      <c r="O8" s="45">
        <v>249000000</v>
      </c>
      <c r="P8" s="45">
        <v>214000000</v>
      </c>
    </row>
    <row r="9" spans="1:16">
      <c r="A9" t="s">
        <v>185</v>
      </c>
      <c r="B9" s="45">
        <v>310000000</v>
      </c>
      <c r="C9" s="45">
        <v>310000000</v>
      </c>
      <c r="D9" s="45">
        <v>329000000</v>
      </c>
      <c r="E9" s="45">
        <v>327000000</v>
      </c>
      <c r="F9" s="45">
        <v>366000000</v>
      </c>
      <c r="G9" s="45">
        <v>342000000</v>
      </c>
      <c r="H9" s="45">
        <v>320000000</v>
      </c>
      <c r="I9" s="45">
        <v>354000000</v>
      </c>
      <c r="J9" s="45">
        <v>345000000</v>
      </c>
      <c r="K9" s="45">
        <v>353000000</v>
      </c>
      <c r="L9" s="45">
        <v>305000000</v>
      </c>
      <c r="M9" s="45">
        <v>279000000</v>
      </c>
      <c r="N9" s="45">
        <v>270000000</v>
      </c>
      <c r="O9" s="45">
        <v>249000000</v>
      </c>
      <c r="P9" s="45">
        <v>214000000</v>
      </c>
    </row>
    <row r="10" spans="1:16">
      <c r="A10" t="s">
        <v>186</v>
      </c>
      <c r="B10" s="45">
        <v>-632000000</v>
      </c>
      <c r="C10" s="45">
        <v>-632000000</v>
      </c>
      <c r="D10" s="45">
        <v>197000000</v>
      </c>
      <c r="E10" s="45">
        <v>332000000</v>
      </c>
      <c r="F10" s="45">
        <v>302000000</v>
      </c>
      <c r="G10" s="45">
        <v>299000000</v>
      </c>
      <c r="H10" s="45">
        <v>323000000</v>
      </c>
      <c r="I10" s="45">
        <v>279000000</v>
      </c>
      <c r="J10" s="45">
        <v>233000000</v>
      </c>
      <c r="K10" s="45">
        <v>159000000</v>
      </c>
      <c r="L10" s="45">
        <v>153000000</v>
      </c>
      <c r="M10" s="45">
        <v>108000000</v>
      </c>
      <c r="N10" s="45">
        <v>48000000</v>
      </c>
      <c r="O10" s="45">
        <v>364000000</v>
      </c>
      <c r="P10" s="45">
        <v>385000000</v>
      </c>
    </row>
    <row r="11" spans="1:16">
      <c r="A11" t="s">
        <v>187</v>
      </c>
      <c r="B11" s="45">
        <v>-98000000</v>
      </c>
      <c r="C11" s="45">
        <v>-98000000</v>
      </c>
      <c r="D11" s="45">
        <v>-50000000</v>
      </c>
      <c r="E11" s="45">
        <v>-48000000</v>
      </c>
      <c r="F11" s="45">
        <v>21000000</v>
      </c>
      <c r="G11" s="45">
        <v>-57000000</v>
      </c>
      <c r="H11" s="45">
        <v>-60000000</v>
      </c>
      <c r="I11" s="45">
        <v>-60000000</v>
      </c>
      <c r="J11" s="45">
        <v>-48000000</v>
      </c>
      <c r="K11" s="45">
        <v>-47000000</v>
      </c>
      <c r="L11" s="45">
        <v>-57000000</v>
      </c>
      <c r="M11" s="45">
        <v>-54000000</v>
      </c>
      <c r="N11" s="45">
        <v>-56000000</v>
      </c>
      <c r="O11" s="45">
        <v>-75000000</v>
      </c>
      <c r="P11" s="45">
        <v>-43000000</v>
      </c>
    </row>
    <row r="12" spans="1:16">
      <c r="A12" t="s">
        <v>188</v>
      </c>
      <c r="B12" s="45">
        <v>30000000</v>
      </c>
      <c r="C12" s="45">
        <v>30000000</v>
      </c>
      <c r="D12" s="45">
        <v>25000000</v>
      </c>
      <c r="E12" s="45">
        <v>28000000</v>
      </c>
      <c r="F12" s="45">
        <v>101000000</v>
      </c>
      <c r="G12" s="45">
        <v>19000000</v>
      </c>
      <c r="H12" s="45">
        <v>8000000</v>
      </c>
      <c r="I12" s="45">
        <v>11000000</v>
      </c>
      <c r="J12" s="45">
        <v>17000000</v>
      </c>
      <c r="K12" s="45">
        <v>23000000</v>
      </c>
    </row>
    <row r="13" spans="1:16">
      <c r="A13" t="s">
        <v>189</v>
      </c>
      <c r="B13" s="45">
        <v>128000000</v>
      </c>
      <c r="C13" s="45">
        <v>128000000</v>
      </c>
      <c r="D13" s="45">
        <v>75000000</v>
      </c>
      <c r="E13" s="45">
        <v>76000000</v>
      </c>
      <c r="F13" s="45">
        <v>80000000</v>
      </c>
      <c r="G13" s="45">
        <v>76000000</v>
      </c>
      <c r="H13" s="45">
        <v>68000000</v>
      </c>
      <c r="I13" s="45">
        <v>71000000</v>
      </c>
      <c r="J13" s="45">
        <v>65000000</v>
      </c>
      <c r="K13" s="45">
        <v>70000000</v>
      </c>
      <c r="L13" s="45">
        <v>57000000</v>
      </c>
      <c r="M13" s="45">
        <v>54000000</v>
      </c>
      <c r="N13" s="45">
        <v>56000000</v>
      </c>
      <c r="O13" s="45">
        <v>75000000</v>
      </c>
      <c r="P13" s="45">
        <v>43000000</v>
      </c>
    </row>
    <row r="14" spans="1:16">
      <c r="A14" t="s">
        <v>190</v>
      </c>
      <c r="D14" s="45">
        <v>-18000000</v>
      </c>
      <c r="E14" s="45">
        <v>-11000000</v>
      </c>
      <c r="F14" s="45">
        <v>-10000000</v>
      </c>
    </row>
    <row r="15" spans="1:16">
      <c r="A15" t="s">
        <v>191</v>
      </c>
      <c r="B15" s="45">
        <v>-230000000</v>
      </c>
      <c r="C15" s="45">
        <v>-230000000</v>
      </c>
      <c r="D15" s="45">
        <v>859000000</v>
      </c>
      <c r="E15" s="45">
        <v>667000000</v>
      </c>
      <c r="F15" s="45">
        <v>250000000</v>
      </c>
      <c r="G15" s="45">
        <v>47000000</v>
      </c>
      <c r="H15" s="45">
        <v>-69000000</v>
      </c>
      <c r="I15" s="45">
        <v>306000000</v>
      </c>
      <c r="J15" s="45">
        <v>136000000</v>
      </c>
      <c r="K15" s="45">
        <v>-17000000</v>
      </c>
      <c r="L15" s="45">
        <v>-13000000</v>
      </c>
      <c r="M15" s="45">
        <v>34000000</v>
      </c>
      <c r="N15" s="45">
        <v>-47000000</v>
      </c>
      <c r="O15" s="45">
        <v>-85000000</v>
      </c>
      <c r="P15" s="45">
        <v>132000000</v>
      </c>
    </row>
    <row r="16" spans="1:16">
      <c r="A16" t="s">
        <v>192</v>
      </c>
      <c r="B16" s="45">
        <v>17000000</v>
      </c>
      <c r="C16" s="45">
        <v>17000000</v>
      </c>
      <c r="D16" s="45">
        <v>814000000</v>
      </c>
      <c r="E16" s="45">
        <v>715000000</v>
      </c>
      <c r="F16" s="45">
        <v>56000000</v>
      </c>
      <c r="G16" s="45">
        <v>-9000000</v>
      </c>
      <c r="H16" s="45">
        <v>-1000000</v>
      </c>
      <c r="I16" s="45">
        <v>324000000</v>
      </c>
      <c r="J16" s="45">
        <v>206000000</v>
      </c>
      <c r="K16" s="45">
        <v>35000000</v>
      </c>
      <c r="M16" s="45">
        <v>21000000</v>
      </c>
      <c r="N16" s="45">
        <v>29000000</v>
      </c>
      <c r="O16" s="45">
        <v>-36000000</v>
      </c>
      <c r="P16" s="45">
        <v>15000000</v>
      </c>
    </row>
    <row r="17" spans="1:16">
      <c r="A17" t="s">
        <v>193</v>
      </c>
      <c r="B17" s="45">
        <v>-70000000</v>
      </c>
      <c r="C17" s="45">
        <v>-70000000</v>
      </c>
      <c r="D17" s="45">
        <v>-10000000</v>
      </c>
      <c r="E17" s="45">
        <v>8000000</v>
      </c>
      <c r="F17" s="45">
        <v>220000000</v>
      </c>
      <c r="G17" s="45">
        <v>68000000</v>
      </c>
      <c r="H17" s="45">
        <v>-64000000</v>
      </c>
      <c r="I17" s="45">
        <v>25000000</v>
      </c>
      <c r="J17" s="45">
        <v>-1000000</v>
      </c>
      <c r="K17" s="45">
        <v>-22000000</v>
      </c>
      <c r="L17" s="45">
        <v>4000000</v>
      </c>
      <c r="M17" s="45">
        <v>-40000000</v>
      </c>
      <c r="N17" s="45">
        <v>-13000000</v>
      </c>
      <c r="O17" s="45">
        <v>14000000</v>
      </c>
      <c r="P17" s="45">
        <v>11000000</v>
      </c>
    </row>
    <row r="18" spans="1:16">
      <c r="A18" t="s">
        <v>194</v>
      </c>
      <c r="B18" s="45">
        <v>-140000000</v>
      </c>
      <c r="C18" s="45">
        <v>-140000000</v>
      </c>
      <c r="D18" s="45">
        <v>53000000</v>
      </c>
      <c r="E18" s="45">
        <v>-28000000</v>
      </c>
      <c r="F18" s="45">
        <v>24000000</v>
      </c>
      <c r="G18" s="45">
        <v>-4000000</v>
      </c>
      <c r="H18" s="45">
        <v>25000000</v>
      </c>
      <c r="I18" s="45">
        <v>-17000000</v>
      </c>
      <c r="J18" s="45">
        <v>-48000000</v>
      </c>
      <c r="K18" s="45">
        <v>-25000000</v>
      </c>
      <c r="L18" s="45">
        <v>-17000000</v>
      </c>
      <c r="M18" s="45">
        <v>53000000</v>
      </c>
      <c r="N18" s="45">
        <v>-63000000</v>
      </c>
      <c r="O18" s="45">
        <v>-63000000</v>
      </c>
      <c r="P18" s="45">
        <v>106000000</v>
      </c>
    </row>
    <row r="19" spans="1:16">
      <c r="A19" t="s">
        <v>195</v>
      </c>
      <c r="B19" s="45">
        <v>72000000</v>
      </c>
      <c r="C19" s="45">
        <v>72000000</v>
      </c>
      <c r="D19" s="45">
        <v>-30000000</v>
      </c>
      <c r="H19">
        <v>0</v>
      </c>
      <c r="I19" s="45">
        <v>7000000</v>
      </c>
      <c r="J19">
        <v>0</v>
      </c>
      <c r="K19" s="45">
        <v>21000000</v>
      </c>
    </row>
    <row r="20" spans="1:16">
      <c r="A20" t="s">
        <v>196</v>
      </c>
      <c r="B20" s="45">
        <v>62000000</v>
      </c>
      <c r="C20" s="45">
        <v>62000000</v>
      </c>
      <c r="D20" s="45">
        <v>18000000</v>
      </c>
      <c r="E20" s="45">
        <v>25000000</v>
      </c>
      <c r="F20">
        <v>0</v>
      </c>
      <c r="G20">
        <v>0</v>
      </c>
      <c r="H20" s="45">
        <v>5000000</v>
      </c>
      <c r="I20" s="45">
        <v>17000000</v>
      </c>
      <c r="J20" s="45">
        <v>22000000</v>
      </c>
      <c r="K20">
        <v>0</v>
      </c>
      <c r="L20" s="45">
        <v>6000000</v>
      </c>
      <c r="M20" s="45">
        <v>44000000</v>
      </c>
      <c r="N20" s="45">
        <v>15000000</v>
      </c>
      <c r="O20" s="45">
        <v>86000000</v>
      </c>
      <c r="P20" s="45">
        <v>61000000</v>
      </c>
    </row>
    <row r="21" spans="1:16">
      <c r="A21" t="s">
        <v>197</v>
      </c>
      <c r="B21" s="45">
        <v>29000000</v>
      </c>
      <c r="C21" s="45">
        <v>29000000</v>
      </c>
      <c r="D21">
        <v>0</v>
      </c>
      <c r="E21" s="45">
        <v>22000000</v>
      </c>
      <c r="I21">
        <v>0</v>
      </c>
      <c r="J21">
        <v>0</v>
      </c>
      <c r="K21" s="45">
        <v>4000000</v>
      </c>
    </row>
    <row r="22" spans="1:16">
      <c r="A22" t="s">
        <v>198</v>
      </c>
      <c r="B22" s="45">
        <v>-23000000</v>
      </c>
      <c r="C22" s="45">
        <v>-23000000</v>
      </c>
      <c r="D22" s="45">
        <v>-25000000</v>
      </c>
      <c r="E22" s="45">
        <v>-19000000</v>
      </c>
      <c r="F22" s="45">
        <v>-24000000</v>
      </c>
      <c r="G22" s="45">
        <v>4000000</v>
      </c>
      <c r="H22" s="45">
        <v>-30000000</v>
      </c>
      <c r="I22" s="45">
        <v>-7000000</v>
      </c>
      <c r="J22" s="45">
        <v>55000000</v>
      </c>
      <c r="L22" s="45">
        <v>9000000</v>
      </c>
      <c r="M22" s="45">
        <v>-71000000</v>
      </c>
      <c r="N22" s="45">
        <v>48000000</v>
      </c>
      <c r="O22" s="45">
        <v>-23000000</v>
      </c>
      <c r="P22" s="45">
        <v>-145000000</v>
      </c>
    </row>
    <row r="23" spans="1:16">
      <c r="A23" t="s">
        <v>199</v>
      </c>
      <c r="B23">
        <v>0</v>
      </c>
      <c r="C23">
        <v>0</v>
      </c>
      <c r="D23" s="45">
        <v>16000000</v>
      </c>
      <c r="E23" s="45">
        <v>772000000</v>
      </c>
      <c r="F23" s="45">
        <v>51000000</v>
      </c>
      <c r="G23" s="45">
        <v>-23000000</v>
      </c>
      <c r="H23">
        <v>0</v>
      </c>
      <c r="I23">
        <v>0</v>
      </c>
      <c r="J23" s="45">
        <v>29000000</v>
      </c>
      <c r="K23">
        <v>0</v>
      </c>
      <c r="L23" s="45">
        <v>-2000000</v>
      </c>
      <c r="M23" s="45">
        <v>26000000</v>
      </c>
      <c r="N23">
        <v>0</v>
      </c>
      <c r="O23">
        <v>0</v>
      </c>
      <c r="P23" s="45">
        <v>22000000</v>
      </c>
    </row>
    <row r="24" spans="1:16">
      <c r="A24" t="s">
        <v>200</v>
      </c>
      <c r="B24" s="45">
        <v>-37000000</v>
      </c>
      <c r="C24" s="45">
        <v>-37000000</v>
      </c>
      <c r="D24" s="45">
        <v>2000000</v>
      </c>
      <c r="E24" s="45">
        <v>-28000000</v>
      </c>
      <c r="F24" s="45">
        <v>-50000000</v>
      </c>
      <c r="G24" s="45">
        <v>-8000000</v>
      </c>
      <c r="H24" s="45">
        <v>-29000000</v>
      </c>
      <c r="I24" s="45">
        <v>-26000000</v>
      </c>
      <c r="J24" s="45">
        <v>-21000000</v>
      </c>
      <c r="K24" s="45">
        <v>-5000000</v>
      </c>
    </row>
    <row r="25" spans="1:16">
      <c r="A25" t="s">
        <v>201</v>
      </c>
      <c r="B25" s="45">
        <v>-960000000</v>
      </c>
      <c r="C25" s="45">
        <v>-960000000</v>
      </c>
      <c r="D25" s="45">
        <v>1006000000</v>
      </c>
      <c r="E25" s="45">
        <v>951000000</v>
      </c>
      <c r="F25" s="45">
        <v>573000000</v>
      </c>
      <c r="G25" s="45">
        <v>289000000</v>
      </c>
      <c r="H25" s="45">
        <v>194000000</v>
      </c>
      <c r="I25" s="45">
        <v>525000000</v>
      </c>
      <c r="J25" s="45">
        <v>321000000</v>
      </c>
      <c r="K25" s="45">
        <v>95000000</v>
      </c>
      <c r="L25" s="45">
        <v>83000000</v>
      </c>
      <c r="M25" s="45">
        <v>88000000</v>
      </c>
      <c r="N25" s="45">
        <v>-55000000</v>
      </c>
      <c r="O25" s="45">
        <v>204000000</v>
      </c>
      <c r="P25" s="45">
        <v>474000000</v>
      </c>
    </row>
    <row r="26" spans="1:16">
      <c r="A26" t="s">
        <v>202</v>
      </c>
      <c r="B26" s="45">
        <v>-257000000</v>
      </c>
      <c r="C26" s="45">
        <v>-257000000</v>
      </c>
      <c r="D26" s="45">
        <v>240000000</v>
      </c>
      <c r="E26" s="45">
        <v>182000000</v>
      </c>
      <c r="F26" s="45">
        <v>323000000</v>
      </c>
      <c r="G26" s="45">
        <v>85000000</v>
      </c>
      <c r="H26" s="45">
        <v>70000000</v>
      </c>
      <c r="I26" s="45">
        <v>179000000</v>
      </c>
      <c r="J26" s="45">
        <v>116000000</v>
      </c>
      <c r="K26" s="45">
        <v>8000000</v>
      </c>
      <c r="L26" s="45">
        <v>-28000000</v>
      </c>
      <c r="M26" s="45">
        <v>37000000</v>
      </c>
      <c r="N26" s="45">
        <v>-10000000</v>
      </c>
      <c r="O26" s="45">
        <v>90000000</v>
      </c>
      <c r="P26" s="45">
        <v>208000000</v>
      </c>
    </row>
    <row r="27" spans="1:16">
      <c r="A27" t="s">
        <v>203</v>
      </c>
      <c r="B27" s="45">
        <v>-703000000</v>
      </c>
      <c r="C27" s="45">
        <v>-703000000</v>
      </c>
      <c r="D27" s="45">
        <v>766000000</v>
      </c>
      <c r="E27" s="45">
        <v>769000000</v>
      </c>
      <c r="F27" s="45">
        <v>249000000</v>
      </c>
      <c r="G27" s="45">
        <v>204000000</v>
      </c>
      <c r="H27" s="45">
        <v>124000000</v>
      </c>
      <c r="I27" s="45">
        <v>344000000</v>
      </c>
      <c r="J27" s="45">
        <v>207000000</v>
      </c>
      <c r="K27" s="45">
        <v>88000000</v>
      </c>
      <c r="L27" s="45">
        <v>113000000</v>
      </c>
      <c r="M27" s="45">
        <v>66000000</v>
      </c>
      <c r="N27" s="45">
        <v>-43000000</v>
      </c>
      <c r="O27" s="45">
        <v>170000000</v>
      </c>
      <c r="P27" s="45">
        <v>271000000</v>
      </c>
    </row>
    <row r="28" spans="1:16">
      <c r="A28" t="s">
        <v>204</v>
      </c>
      <c r="B28" s="45">
        <v>-703000000</v>
      </c>
      <c r="C28" s="45">
        <v>-703000000</v>
      </c>
      <c r="D28" s="45">
        <v>766000000</v>
      </c>
      <c r="E28" s="45">
        <v>769000000</v>
      </c>
      <c r="F28" s="45">
        <v>249000000</v>
      </c>
      <c r="G28" s="45">
        <v>204000000</v>
      </c>
      <c r="H28" s="45">
        <v>124000000</v>
      </c>
      <c r="I28" s="45">
        <v>344000000</v>
      </c>
      <c r="J28" s="45">
        <v>207000000</v>
      </c>
      <c r="K28" s="45">
        <v>88000000</v>
      </c>
      <c r="L28" s="45">
        <v>113000000</v>
      </c>
      <c r="M28" s="45">
        <v>66000000</v>
      </c>
      <c r="N28" s="45">
        <v>-43000000</v>
      </c>
      <c r="O28" s="45">
        <v>170000000</v>
      </c>
      <c r="P28" s="45">
        <v>271000000</v>
      </c>
    </row>
    <row r="29" spans="1:16">
      <c r="A29" t="s">
        <v>205</v>
      </c>
      <c r="B29" s="45">
        <v>-703000000</v>
      </c>
      <c r="C29" s="45">
        <v>-703000000</v>
      </c>
      <c r="D29" s="45">
        <v>766000000</v>
      </c>
      <c r="E29" s="45">
        <v>769000000</v>
      </c>
      <c r="F29" s="45">
        <v>250000000</v>
      </c>
      <c r="G29" s="45">
        <v>204000000</v>
      </c>
      <c r="H29" s="45">
        <v>124000000</v>
      </c>
      <c r="I29" s="45">
        <v>346000000</v>
      </c>
      <c r="J29" s="45">
        <v>205000000</v>
      </c>
      <c r="K29" s="45">
        <v>87000000</v>
      </c>
      <c r="L29" s="45">
        <v>111000000</v>
      </c>
      <c r="M29" s="45">
        <v>55000000</v>
      </c>
      <c r="N29" s="45">
        <v>-46000000</v>
      </c>
      <c r="O29" s="45">
        <v>168000000</v>
      </c>
      <c r="P29" s="45">
        <v>270000000</v>
      </c>
    </row>
    <row r="30" spans="1:16">
      <c r="A30" t="s">
        <v>206</v>
      </c>
      <c r="B30" s="45">
        <v>-703000000</v>
      </c>
      <c r="C30" s="45">
        <v>-703000000</v>
      </c>
      <c r="D30" s="45">
        <v>766000000</v>
      </c>
      <c r="E30" s="45">
        <v>769000000</v>
      </c>
      <c r="F30" s="45">
        <v>250000000</v>
      </c>
      <c r="G30" s="45">
        <v>204000000</v>
      </c>
      <c r="H30" s="45">
        <v>124000000</v>
      </c>
      <c r="I30" s="45">
        <v>346000000</v>
      </c>
      <c r="J30" s="45">
        <v>205000000</v>
      </c>
      <c r="K30" s="45">
        <v>87000000</v>
      </c>
      <c r="L30" s="45">
        <v>111000000</v>
      </c>
      <c r="M30" s="45">
        <v>51000000</v>
      </c>
      <c r="N30" s="45">
        <v>-45000000</v>
      </c>
      <c r="O30" s="45">
        <v>114000000</v>
      </c>
      <c r="P30" s="45">
        <v>266000000</v>
      </c>
    </row>
    <row r="31" spans="1:16">
      <c r="A31" t="s">
        <v>207</v>
      </c>
      <c r="K31">
        <v>0</v>
      </c>
      <c r="L31">
        <v>0</v>
      </c>
      <c r="M31" s="45">
        <v>4000000</v>
      </c>
      <c r="N31" s="45">
        <v>-1000000</v>
      </c>
      <c r="O31" s="45">
        <v>56000000</v>
      </c>
      <c r="P31" s="45">
        <v>5000000</v>
      </c>
    </row>
    <row r="32" spans="1:16">
      <c r="A32" t="s">
        <v>208</v>
      </c>
      <c r="O32">
        <v>0</v>
      </c>
      <c r="P32">
        <v>0</v>
      </c>
    </row>
    <row r="33" spans="1:16">
      <c r="A33" t="s">
        <v>209</v>
      </c>
      <c r="O33" s="45">
        <v>-2000000</v>
      </c>
      <c r="P33" s="45">
        <v>-1000000</v>
      </c>
    </row>
    <row r="34" spans="1:16">
      <c r="A34" t="s">
        <v>210</v>
      </c>
      <c r="B34">
        <v>0</v>
      </c>
      <c r="C34">
        <v>0</v>
      </c>
      <c r="D34">
        <v>0</v>
      </c>
      <c r="E34">
        <v>0</v>
      </c>
      <c r="F34" s="45">
        <v>-1000000</v>
      </c>
      <c r="G34">
        <v>0</v>
      </c>
      <c r="I34" s="45">
        <v>-2000000</v>
      </c>
      <c r="J34" s="45">
        <v>2000000</v>
      </c>
      <c r="K34" s="45">
        <v>1000000</v>
      </c>
      <c r="L34" s="45">
        <v>2000000</v>
      </c>
      <c r="M34" s="45">
        <v>11000000</v>
      </c>
      <c r="N34" s="45">
        <v>3000000</v>
      </c>
      <c r="O34" s="45">
        <v>-2000000</v>
      </c>
      <c r="P34" s="45">
        <v>-1000000</v>
      </c>
    </row>
    <row r="35" spans="1:16">
      <c r="A35" t="s">
        <v>211</v>
      </c>
      <c r="B35" s="45">
        <v>-703000000</v>
      </c>
      <c r="C35" s="45">
        <v>-703000000</v>
      </c>
      <c r="D35" s="45">
        <v>766000000</v>
      </c>
      <c r="E35" s="45">
        <v>769000000</v>
      </c>
      <c r="F35" s="45">
        <v>249000000</v>
      </c>
      <c r="G35" s="45">
        <v>204000000</v>
      </c>
      <c r="H35" s="45">
        <v>124000000</v>
      </c>
      <c r="I35" s="45">
        <v>344000000</v>
      </c>
      <c r="J35" s="45">
        <v>207000000</v>
      </c>
      <c r="K35" s="45">
        <v>88000000</v>
      </c>
      <c r="L35" s="45">
        <v>113000000</v>
      </c>
      <c r="M35" s="45">
        <v>66000000</v>
      </c>
      <c r="N35" s="45">
        <v>-43000000</v>
      </c>
      <c r="O35" s="45">
        <v>170000000</v>
      </c>
      <c r="P35" s="45">
        <v>271000000</v>
      </c>
    </row>
    <row r="36" spans="1:16">
      <c r="A36" t="s">
        <v>212</v>
      </c>
      <c r="D36">
        <v>7.33</v>
      </c>
      <c r="E36">
        <v>6.79</v>
      </c>
      <c r="F36">
        <v>1.99</v>
      </c>
      <c r="G36">
        <v>1.53</v>
      </c>
      <c r="H36">
        <v>0.87</v>
      </c>
      <c r="I36">
        <v>2.25</v>
      </c>
      <c r="J36">
        <v>1.3</v>
      </c>
      <c r="K36">
        <v>0.53</v>
      </c>
      <c r="L36">
        <v>0.67</v>
      </c>
      <c r="M36">
        <v>0.38</v>
      </c>
      <c r="N36">
        <v>-0.28000000000000003</v>
      </c>
      <c r="O36">
        <v>1.31</v>
      </c>
      <c r="P36">
        <v>2.0099999999999998</v>
      </c>
    </row>
    <row r="37" spans="1:16">
      <c r="A37" t="s">
        <v>213</v>
      </c>
      <c r="D37">
        <v>7.21</v>
      </c>
      <c r="E37">
        <v>6.68</v>
      </c>
      <c r="F37">
        <v>1.97</v>
      </c>
      <c r="G37">
        <v>1.52</v>
      </c>
      <c r="H37">
        <v>0.86</v>
      </c>
      <c r="I37">
        <v>2.23</v>
      </c>
      <c r="J37">
        <v>1.3</v>
      </c>
      <c r="K37">
        <v>0.53</v>
      </c>
      <c r="L37">
        <v>0.67</v>
      </c>
      <c r="M37">
        <v>0.38</v>
      </c>
      <c r="N37">
        <v>-0.28000000000000003</v>
      </c>
      <c r="O37">
        <v>1.31</v>
      </c>
      <c r="P37">
        <v>2.0099999999999998</v>
      </c>
    </row>
    <row r="38" spans="1:16">
      <c r="A38" t="s">
        <v>214</v>
      </c>
      <c r="D38" s="45">
        <v>104600000</v>
      </c>
      <c r="E38" s="45">
        <v>113300000</v>
      </c>
      <c r="F38" s="45">
        <v>124800000</v>
      </c>
      <c r="G38" s="45">
        <v>132930578</v>
      </c>
      <c r="H38" s="45">
        <v>142800000</v>
      </c>
      <c r="I38" s="45">
        <v>153100000</v>
      </c>
      <c r="J38" s="45">
        <v>158500000</v>
      </c>
      <c r="K38" s="45">
        <v>165017485</v>
      </c>
      <c r="L38" s="45">
        <v>168800000</v>
      </c>
      <c r="M38" s="45">
        <v>174115200</v>
      </c>
      <c r="N38" s="45">
        <v>153571429</v>
      </c>
      <c r="O38" s="45">
        <v>128037000</v>
      </c>
      <c r="P38" s="45">
        <v>134585000</v>
      </c>
    </row>
    <row r="39" spans="1:16">
      <c r="A39" t="s">
        <v>215</v>
      </c>
      <c r="D39" s="45">
        <v>106300000</v>
      </c>
      <c r="E39" s="45">
        <v>115100000</v>
      </c>
      <c r="F39" s="45">
        <v>126300000</v>
      </c>
      <c r="G39" s="45">
        <v>133939331</v>
      </c>
      <c r="H39" s="45">
        <v>144000000</v>
      </c>
      <c r="I39" s="45">
        <v>154400000</v>
      </c>
      <c r="J39" s="45">
        <v>159200000</v>
      </c>
      <c r="K39" s="45">
        <v>165377328</v>
      </c>
      <c r="L39" s="45">
        <v>169200000</v>
      </c>
      <c r="M39" s="45">
        <v>174354202</v>
      </c>
      <c r="N39" s="45">
        <v>153571429</v>
      </c>
      <c r="O39" s="45">
        <v>128061000</v>
      </c>
      <c r="P39" s="45">
        <v>134634000</v>
      </c>
    </row>
    <row r="40" spans="1:16">
      <c r="A40" t="s">
        <v>216</v>
      </c>
      <c r="B40" s="45">
        <v>2698000000</v>
      </c>
      <c r="C40" s="45">
        <v>2698000000</v>
      </c>
      <c r="D40" s="45">
        <v>4823000000</v>
      </c>
      <c r="E40" s="45">
        <v>4122000000</v>
      </c>
      <c r="F40" s="45">
        <v>4383000000</v>
      </c>
      <c r="G40" s="45">
        <v>4130000000</v>
      </c>
      <c r="H40" s="45">
        <v>4005000000</v>
      </c>
      <c r="I40" s="45">
        <v>4136000000</v>
      </c>
      <c r="J40" s="45">
        <v>3951000000</v>
      </c>
      <c r="K40" s="45">
        <v>3790000000</v>
      </c>
      <c r="L40" s="45">
        <v>3545000000</v>
      </c>
      <c r="M40" s="45">
        <v>3419000000</v>
      </c>
      <c r="N40" s="45">
        <v>3284000000</v>
      </c>
      <c r="O40" s="45">
        <v>3473000000</v>
      </c>
      <c r="P40" s="45">
        <v>3353000000</v>
      </c>
    </row>
    <row r="41" spans="1:16">
      <c r="A41" t="s">
        <v>217</v>
      </c>
      <c r="B41" s="45">
        <v>-703000000</v>
      </c>
      <c r="C41" s="45">
        <v>-703000000</v>
      </c>
      <c r="D41" s="45">
        <v>766000000</v>
      </c>
      <c r="E41" s="45">
        <v>769000000</v>
      </c>
      <c r="F41" s="45">
        <v>249000000</v>
      </c>
      <c r="G41" s="45">
        <v>204000000</v>
      </c>
      <c r="H41" s="45">
        <v>124000000</v>
      </c>
      <c r="I41" s="45">
        <v>344000000</v>
      </c>
      <c r="J41" s="45">
        <v>207000000</v>
      </c>
      <c r="K41" s="45">
        <v>88000000</v>
      </c>
      <c r="L41" s="45">
        <v>113000000</v>
      </c>
      <c r="M41" s="45">
        <v>66000000</v>
      </c>
      <c r="N41" s="45">
        <v>-43000000</v>
      </c>
      <c r="O41" s="45">
        <v>172000000</v>
      </c>
      <c r="P41" s="45">
        <v>272000000</v>
      </c>
    </row>
    <row r="42" spans="1:16">
      <c r="A42" t="s">
        <v>218</v>
      </c>
      <c r="B42" s="45">
        <v>-612964000</v>
      </c>
      <c r="C42" s="45">
        <v>-612964000</v>
      </c>
      <c r="D42" s="45">
        <v>106213000</v>
      </c>
      <c r="E42" s="45">
        <v>213217000</v>
      </c>
      <c r="F42" s="45">
        <v>201000000</v>
      </c>
      <c r="G42" s="45">
        <v>213165000</v>
      </c>
      <c r="H42" s="45">
        <v>108688000</v>
      </c>
      <c r="I42" s="45">
        <v>141687000</v>
      </c>
      <c r="J42" s="45">
        <v>106196000</v>
      </c>
      <c r="K42" s="45">
        <v>78830000</v>
      </c>
      <c r="L42" s="45">
        <v>124050000</v>
      </c>
      <c r="M42" s="45">
        <v>13900000</v>
      </c>
      <c r="N42" s="76">
        <v>-14181818.182</v>
      </c>
      <c r="O42" s="45">
        <v>180350000</v>
      </c>
      <c r="P42" s="45">
        <v>188350000</v>
      </c>
    </row>
    <row r="43" spans="1:16">
      <c r="A43" t="s">
        <v>219</v>
      </c>
      <c r="B43" s="45">
        <v>30000000</v>
      </c>
      <c r="C43" s="45">
        <v>30000000</v>
      </c>
      <c r="D43" s="45">
        <v>25000000</v>
      </c>
      <c r="E43" s="45">
        <v>28000000</v>
      </c>
      <c r="F43" s="45">
        <v>101000000</v>
      </c>
      <c r="G43" s="45">
        <v>19000000</v>
      </c>
      <c r="H43" s="45">
        <v>8000000</v>
      </c>
      <c r="I43" s="45">
        <v>11000000</v>
      </c>
      <c r="J43" s="45">
        <v>17000000</v>
      </c>
      <c r="K43" s="45">
        <v>23000000</v>
      </c>
    </row>
    <row r="44" spans="1:16">
      <c r="A44" t="s">
        <v>220</v>
      </c>
      <c r="B44" s="45">
        <v>128000000</v>
      </c>
      <c r="C44" s="45">
        <v>128000000</v>
      </c>
      <c r="D44" s="45">
        <v>75000000</v>
      </c>
      <c r="E44" s="45">
        <v>76000000</v>
      </c>
      <c r="F44" s="45">
        <v>80000000</v>
      </c>
      <c r="G44" s="45">
        <v>76000000</v>
      </c>
      <c r="H44" s="45">
        <v>68000000</v>
      </c>
      <c r="I44" s="45">
        <v>71000000</v>
      </c>
      <c r="J44" s="45">
        <v>65000000</v>
      </c>
      <c r="K44" s="45">
        <v>70000000</v>
      </c>
      <c r="L44" s="45">
        <v>57000000</v>
      </c>
      <c r="M44" s="45">
        <v>54000000</v>
      </c>
      <c r="N44" s="45">
        <v>56000000</v>
      </c>
      <c r="O44" s="45">
        <v>75000000</v>
      </c>
      <c r="P44" s="45">
        <v>43000000</v>
      </c>
    </row>
    <row r="45" spans="1:16">
      <c r="A45" t="s">
        <v>221</v>
      </c>
      <c r="B45" s="45">
        <v>-98000000</v>
      </c>
      <c r="C45" s="45">
        <v>-98000000</v>
      </c>
      <c r="D45" s="45">
        <v>-50000000</v>
      </c>
      <c r="E45" s="45">
        <v>-48000000</v>
      </c>
      <c r="F45" s="45">
        <v>21000000</v>
      </c>
      <c r="G45" s="45">
        <v>-57000000</v>
      </c>
      <c r="H45" s="45">
        <v>-60000000</v>
      </c>
      <c r="I45" s="45">
        <v>-60000000</v>
      </c>
      <c r="J45" s="45">
        <v>-48000000</v>
      </c>
      <c r="K45" s="45">
        <v>-47000000</v>
      </c>
      <c r="L45" s="45">
        <v>-57000000</v>
      </c>
      <c r="M45" s="45">
        <v>-54000000</v>
      </c>
      <c r="N45" s="45">
        <v>-56000000</v>
      </c>
      <c r="O45" s="45">
        <v>-75000000</v>
      </c>
      <c r="P45" s="45">
        <v>-43000000</v>
      </c>
    </row>
    <row r="46" spans="1:16">
      <c r="A46" t="s">
        <v>222</v>
      </c>
      <c r="B46" s="45">
        <v>-832000000</v>
      </c>
      <c r="C46" s="45">
        <v>-832000000</v>
      </c>
      <c r="D46" s="45">
        <v>1081000000</v>
      </c>
      <c r="E46" s="45">
        <v>1027000000</v>
      </c>
      <c r="F46" s="45">
        <v>653000000</v>
      </c>
      <c r="G46" s="45">
        <v>365000000</v>
      </c>
      <c r="H46" s="45">
        <v>262000000</v>
      </c>
      <c r="I46" s="45">
        <v>596000000</v>
      </c>
      <c r="J46" s="45">
        <v>386000000</v>
      </c>
      <c r="K46" s="45">
        <v>165000000</v>
      </c>
      <c r="L46" s="45">
        <v>140000000</v>
      </c>
      <c r="M46" s="45">
        <v>142000000</v>
      </c>
      <c r="N46" s="45">
        <v>1000000</v>
      </c>
      <c r="O46" s="45">
        <v>279000000</v>
      </c>
      <c r="P46" s="45">
        <v>517000000</v>
      </c>
    </row>
    <row r="47" spans="1:16">
      <c r="A47" t="s">
        <v>100</v>
      </c>
      <c r="B47" s="45">
        <v>-491000000</v>
      </c>
    </row>
    <row r="48" spans="1:16">
      <c r="A48" t="s">
        <v>223</v>
      </c>
      <c r="B48" s="45">
        <v>2036000000</v>
      </c>
      <c r="C48" s="45">
        <v>2036000000</v>
      </c>
      <c r="D48" s="45">
        <v>4042000000</v>
      </c>
      <c r="E48" s="45">
        <v>3475000000</v>
      </c>
      <c r="F48" s="45">
        <v>3638000000</v>
      </c>
      <c r="G48" s="45">
        <v>3473000000</v>
      </c>
      <c r="H48" s="45">
        <v>3377000000</v>
      </c>
      <c r="I48" s="45">
        <v>3433000000</v>
      </c>
      <c r="J48" s="45">
        <v>3283000000</v>
      </c>
      <c r="K48" s="45">
        <v>3121000000</v>
      </c>
      <c r="L48" s="45">
        <v>2957000000</v>
      </c>
      <c r="M48" s="45">
        <v>2864000000</v>
      </c>
      <c r="N48" s="45">
        <v>2753000000</v>
      </c>
      <c r="O48" s="45">
        <v>2934000000</v>
      </c>
      <c r="P48" s="45">
        <v>2847000000</v>
      </c>
    </row>
    <row r="49" spans="1:16">
      <c r="A49" t="s">
        <v>224</v>
      </c>
      <c r="B49" s="45">
        <v>341000000</v>
      </c>
      <c r="C49" s="45">
        <v>341000000</v>
      </c>
      <c r="D49" s="45">
        <v>364000000</v>
      </c>
      <c r="E49" s="45">
        <v>327000000</v>
      </c>
      <c r="F49" s="45">
        <v>366000000</v>
      </c>
      <c r="G49" s="45">
        <v>342000000</v>
      </c>
      <c r="H49" s="45">
        <v>320000000</v>
      </c>
      <c r="I49" s="45">
        <v>354000000</v>
      </c>
      <c r="J49" s="45">
        <v>345000000</v>
      </c>
      <c r="K49" s="45">
        <v>353000000</v>
      </c>
      <c r="L49" s="45">
        <v>305000000</v>
      </c>
      <c r="M49" s="45">
        <v>279000000</v>
      </c>
      <c r="N49" s="45">
        <v>270000000</v>
      </c>
      <c r="O49" s="45">
        <v>249000000</v>
      </c>
      <c r="P49" s="45">
        <v>214000000</v>
      </c>
    </row>
    <row r="50" spans="1:16">
      <c r="A50" t="s">
        <v>225</v>
      </c>
      <c r="B50" s="45">
        <v>-703000000</v>
      </c>
      <c r="C50" s="45">
        <v>-703000000</v>
      </c>
      <c r="D50" s="45">
        <v>766000000</v>
      </c>
      <c r="E50" s="45">
        <v>769000000</v>
      </c>
      <c r="F50" s="45">
        <v>249000000</v>
      </c>
      <c r="G50" s="45">
        <v>204000000</v>
      </c>
      <c r="H50" s="45">
        <v>124000000</v>
      </c>
      <c r="I50" s="45">
        <v>344000000</v>
      </c>
      <c r="J50" s="45">
        <v>207000000</v>
      </c>
      <c r="K50" s="45">
        <v>88000000</v>
      </c>
      <c r="L50" s="45">
        <v>113000000</v>
      </c>
      <c r="M50" s="45">
        <v>62000000</v>
      </c>
      <c r="N50" s="45">
        <v>-42000000</v>
      </c>
      <c r="O50" s="45">
        <v>116000000</v>
      </c>
      <c r="P50" s="45">
        <v>267000000</v>
      </c>
    </row>
    <row r="51" spans="1:16">
      <c r="A51" t="s">
        <v>226</v>
      </c>
      <c r="B51" s="45">
        <v>-123000000</v>
      </c>
      <c r="C51" s="45">
        <v>-123000000</v>
      </c>
      <c r="D51" s="45">
        <v>867000000</v>
      </c>
      <c r="E51" s="45">
        <v>687000000</v>
      </c>
      <c r="F51" s="45">
        <v>80000000</v>
      </c>
      <c r="G51" s="45">
        <v>-13000000</v>
      </c>
      <c r="H51" s="45">
        <v>24000000</v>
      </c>
      <c r="I51" s="45">
        <v>307000000</v>
      </c>
      <c r="J51" s="45">
        <v>158000000</v>
      </c>
      <c r="K51" s="45">
        <v>10000000</v>
      </c>
      <c r="L51" s="45">
        <v>-17000000</v>
      </c>
      <c r="M51" s="45">
        <v>74000000</v>
      </c>
      <c r="N51" s="45">
        <v>-34000000</v>
      </c>
      <c r="O51" s="45">
        <v>-99000000</v>
      </c>
      <c r="P51" s="45">
        <v>121000000</v>
      </c>
    </row>
    <row r="52" spans="1:16">
      <c r="A52" t="s">
        <v>227</v>
      </c>
      <c r="B52" s="45">
        <v>-123000000</v>
      </c>
      <c r="C52" s="45">
        <v>-123000000</v>
      </c>
      <c r="D52" s="45">
        <v>867000000</v>
      </c>
      <c r="E52" s="45">
        <v>687000000</v>
      </c>
      <c r="F52" s="45">
        <v>80000000</v>
      </c>
      <c r="G52" s="45">
        <v>-13000000</v>
      </c>
      <c r="H52" s="45">
        <v>24000000</v>
      </c>
      <c r="I52" s="45">
        <v>307000000</v>
      </c>
      <c r="J52" s="45">
        <v>158000000</v>
      </c>
      <c r="K52" s="45">
        <v>10000000</v>
      </c>
      <c r="L52" s="45">
        <v>-17000000</v>
      </c>
      <c r="M52" s="45">
        <v>74000000</v>
      </c>
      <c r="N52" s="45">
        <v>-34000000</v>
      </c>
      <c r="O52" s="45">
        <v>-99000000</v>
      </c>
      <c r="P52" s="45">
        <v>121000000</v>
      </c>
    </row>
    <row r="53" spans="1:16">
      <c r="A53" t="s">
        <v>228</v>
      </c>
      <c r="B53" s="45">
        <v>-368000000</v>
      </c>
      <c r="C53" s="45">
        <v>-368000000</v>
      </c>
      <c r="D53" s="45">
        <v>578000000</v>
      </c>
      <c r="E53" s="45">
        <v>667000000</v>
      </c>
      <c r="F53" s="45">
        <v>939000000</v>
      </c>
      <c r="G53" s="45">
        <v>720000000</v>
      </c>
      <c r="H53" s="45">
        <v>558000000</v>
      </c>
      <c r="I53" s="45">
        <v>643000000</v>
      </c>
      <c r="J53" s="45">
        <v>573000000</v>
      </c>
      <c r="K53" s="45">
        <v>508000000</v>
      </c>
      <c r="L53" s="45">
        <v>462000000</v>
      </c>
      <c r="M53" s="45">
        <v>347000000</v>
      </c>
      <c r="N53" s="45">
        <v>305000000</v>
      </c>
      <c r="O53" s="45">
        <v>627000000</v>
      </c>
      <c r="P53" s="45">
        <v>610000000</v>
      </c>
    </row>
    <row r="54" spans="1:16">
      <c r="A54" t="s">
        <v>229</v>
      </c>
      <c r="B54">
        <v>0.26800000000000002</v>
      </c>
      <c r="C54">
        <v>0.26800000000000002</v>
      </c>
      <c r="D54">
        <v>0.23899999999999999</v>
      </c>
      <c r="E54">
        <v>0.191</v>
      </c>
      <c r="F54">
        <v>0.4</v>
      </c>
      <c r="G54">
        <v>0.29499999999999998</v>
      </c>
      <c r="H54">
        <v>0.36199999999999999</v>
      </c>
      <c r="I54">
        <v>0.34100000000000003</v>
      </c>
      <c r="J54">
        <v>0.36199999999999999</v>
      </c>
      <c r="K54">
        <v>8.3000000000000004E-2</v>
      </c>
      <c r="L54">
        <v>0.35</v>
      </c>
      <c r="M54">
        <v>0.35</v>
      </c>
      <c r="N54">
        <v>0.182</v>
      </c>
      <c r="O54">
        <v>0.35</v>
      </c>
      <c r="P54">
        <v>0.35</v>
      </c>
    </row>
    <row r="55" spans="1:16">
      <c r="A55" t="s">
        <v>230</v>
      </c>
      <c r="B55" s="45">
        <v>-32964000</v>
      </c>
      <c r="C55" s="45">
        <v>-32964000</v>
      </c>
      <c r="D55" s="45">
        <v>207213000</v>
      </c>
      <c r="E55" s="45">
        <v>131217000</v>
      </c>
      <c r="F55" s="45">
        <v>32000000</v>
      </c>
      <c r="G55" s="45">
        <v>-3835000</v>
      </c>
      <c r="H55" s="45">
        <v>8688000</v>
      </c>
      <c r="I55" s="45">
        <v>104687000</v>
      </c>
      <c r="J55" s="45">
        <v>57196000</v>
      </c>
      <c r="K55" s="45">
        <v>830000</v>
      </c>
      <c r="L55" s="45">
        <v>-5950000</v>
      </c>
      <c r="M55" s="45">
        <v>25900000</v>
      </c>
      <c r="N55" s="76">
        <v>-6181818.182</v>
      </c>
      <c r="O55" s="45">
        <v>-34650000</v>
      </c>
      <c r="P55" s="45">
        <v>42350000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Historical Analysis</vt:lpstr>
      <vt:lpstr>Valuation Analysis</vt:lpstr>
      <vt:lpstr>Income Stat Yahoo Input</vt:lpstr>
      <vt:lpstr>Balance Sheet Yahoo Input</vt:lpstr>
      <vt:lpstr>Cash Flow Yahoo Input</vt:lpstr>
      <vt:lpstr>Stock Historical Yahoo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2020-10-05T00:37:32Z</dcterms:created>
  <dcterms:modified xsi:type="dcterms:W3CDTF">2023-11-14T02:12:47Z</dcterms:modified>
</cp:coreProperties>
</file>