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020" activeTab="1"/>
  </bookViews>
  <sheets>
    <sheet name="Options" sheetId="1" r:id="rId1"/>
    <sheet name="Value of Options" sheetId="2" r:id="rId2"/>
    <sheet name="Sheet3" sheetId="3" r:id="rId3"/>
  </sheets>
  <definedNames>
    <definedName name="_xlnm.Print_Area" localSheetId="0">'Options'!$A$34:$K$68</definedName>
    <definedName name="_xlnm.Print_Area" localSheetId="1">'Value of Options'!$A$1:$L$220</definedName>
  </definedNames>
  <calcPr fullCalcOnLoad="1"/>
</workbook>
</file>

<file path=xl/sharedStrings.xml><?xml version="1.0" encoding="utf-8"?>
<sst xmlns="http://schemas.openxmlformats.org/spreadsheetml/2006/main" count="384" uniqueCount="226">
  <si>
    <t xml:space="preserve">Current Stock Price= </t>
  </si>
  <si>
    <t>6-month Call Option =</t>
  </si>
  <si>
    <t xml:space="preserve">Treasury Bill Rate = </t>
  </si>
  <si>
    <t>3 STRATEGIES</t>
  </si>
  <si>
    <t>Initial Investment =</t>
  </si>
  <si>
    <t>Stategies</t>
  </si>
  <si>
    <t>A</t>
  </si>
  <si>
    <t>B</t>
  </si>
  <si>
    <t>C</t>
  </si>
  <si>
    <t>A. Invest entirely in stock - Buy at $90 x 100 shares</t>
  </si>
  <si>
    <t>B. Call Options - Buy 900 calls x $10</t>
  </si>
  <si>
    <t>C Purchase 100 calls for $1000 and invest the differenjce in Tbills</t>
  </si>
  <si>
    <t>PRICE</t>
  </si>
  <si>
    <t>QUANT</t>
  </si>
  <si>
    <t>Calls</t>
  </si>
  <si>
    <t>Shares</t>
  </si>
  <si>
    <t>PROFIT</t>
  </si>
  <si>
    <t>HPR</t>
  </si>
  <si>
    <t>OPTIONS</t>
  </si>
  <si>
    <t>Stock Prices</t>
  </si>
  <si>
    <t>Beginning Market Price</t>
  </si>
  <si>
    <t>Ending Market Price</t>
  </si>
  <si>
    <t>BUYING OPTIONS</t>
  </si>
  <si>
    <t>Put Options Strike</t>
  </si>
  <si>
    <t>Call Options Strike</t>
  </si>
  <si>
    <t>Straddle</t>
  </si>
  <si>
    <t>Price</t>
  </si>
  <si>
    <t>Payoff</t>
  </si>
  <si>
    <t>Profit</t>
  </si>
  <si>
    <t>Return %</t>
  </si>
  <si>
    <t>STRADLE - Analysis</t>
  </si>
  <si>
    <t>D</t>
  </si>
  <si>
    <t>E</t>
  </si>
  <si>
    <t>F</t>
  </si>
  <si>
    <t>G</t>
  </si>
  <si>
    <t>H</t>
  </si>
  <si>
    <t>I</t>
  </si>
  <si>
    <t>J</t>
  </si>
  <si>
    <t>=+$C$18*E17</t>
  </si>
  <si>
    <t>=IF(+(E17-$D$12)*$C$19&lt;0,0,(E17-$D$12)*$C$19)</t>
  </si>
  <si>
    <t>=IF(+(E17-$D$12)*$C$20&lt;0,0,(E17-$D$12)*$C$20)+((1+$D$14)*(($D$11-($D$13*$C$20))))</t>
  </si>
  <si>
    <t>=+E18-$D$11</t>
  </si>
  <si>
    <t>=+E19-$D$11</t>
  </si>
  <si>
    <t>=+E20-$D$11</t>
  </si>
  <si>
    <t>=+E23/$D$11</t>
  </si>
  <si>
    <t>=+E24/$D$11</t>
  </si>
  <si>
    <t>=+E25/$D$11</t>
  </si>
  <si>
    <t>=IF($D$40-B45&gt;0,$D$40-B45,0)</t>
  </si>
  <si>
    <t>=IF(B57-$D$40&gt;0,B57-$D$40,0)</t>
  </si>
  <si>
    <t>=+D57+D45</t>
  </si>
  <si>
    <t>Range</t>
  </si>
  <si>
    <t>Exercise time =</t>
  </si>
  <si>
    <t>Call Option Payoff if Exercised</t>
  </si>
  <si>
    <t>Current Stock Price</t>
  </si>
  <si>
    <t>Interest Rate =</t>
  </si>
  <si>
    <t>Value  d x 100 =</t>
  </si>
  <si>
    <t>value u x 100</t>
  </si>
  <si>
    <t>Cu=</t>
  </si>
  <si>
    <t>Cd=</t>
  </si>
  <si>
    <t>Cu and Cd call option going up or down</t>
  </si>
  <si>
    <t>uSo, dSo are the stock prices in the two states</t>
  </si>
  <si>
    <t>uSo =</t>
  </si>
  <si>
    <t>dSo =</t>
  </si>
  <si>
    <t>Exercise Price =</t>
  </si>
  <si>
    <t>Cu =</t>
  </si>
  <si>
    <t>Cd =</t>
  </si>
  <si>
    <t>Option Price Range =</t>
  </si>
  <si>
    <t xml:space="preserve">Hedge Ratio (H) = </t>
  </si>
  <si>
    <t>Portfolio Hedging</t>
  </si>
  <si>
    <t>Share per option</t>
  </si>
  <si>
    <t>Written option would have an end-of-year value with certainty =</t>
  </si>
  <si>
    <t>PV=</t>
  </si>
  <si>
    <t xml:space="preserve">Set Value of the hedged position equal to the PV of certain payoff = </t>
  </si>
  <si>
    <t>Call's Value</t>
  </si>
  <si>
    <t>Write 3 Calls  at cost =</t>
  </si>
  <si>
    <t>FIRST</t>
  </si>
  <si>
    <t>SECOND</t>
  </si>
  <si>
    <t>Buy one share =</t>
  </si>
  <si>
    <t>THIRD</t>
  </si>
  <si>
    <t>Borrow the difference at 10% =</t>
  </si>
  <si>
    <t>Total</t>
  </si>
  <si>
    <t>At S1 =</t>
  </si>
  <si>
    <t>Initial</t>
  </si>
  <si>
    <t>CF</t>
  </si>
  <si>
    <t xml:space="preserve"> Present Value=</t>
  </si>
  <si>
    <t>Per option profit</t>
  </si>
  <si>
    <t xml:space="preserve">Assume Call option is mispriced at = </t>
  </si>
  <si>
    <t>Using the Hedge ratio you get to the following strategy=</t>
  </si>
  <si>
    <t>Strategy</t>
  </si>
  <si>
    <t>Sequence</t>
  </si>
  <si>
    <t>Parameters</t>
  </si>
  <si>
    <t>Probability of direction of the stock up or down 50/50</t>
  </si>
  <si>
    <t xml:space="preserve">Note : Exactly the amount that the option is mispriced $6.50 - $6.06 = </t>
  </si>
  <si>
    <t xml:space="preserve">One share = </t>
  </si>
  <si>
    <t>Stock Price Range =</t>
  </si>
  <si>
    <t>The Ratio (Range / Call payoff)</t>
  </si>
  <si>
    <t xml:space="preserve">(H) = (Cu - Cd) / (uSo - dSo) </t>
  </si>
  <si>
    <t>Hedge Ratio Formula:</t>
  </si>
  <si>
    <t>GENERALIZING THE TWO-STATE APPROACH</t>
  </si>
  <si>
    <t>u=</t>
  </si>
  <si>
    <t>d=</t>
  </si>
  <si>
    <t>Increase / Decrease by</t>
  </si>
  <si>
    <t>p</t>
  </si>
  <si>
    <t>3 posibilities</t>
  </si>
  <si>
    <t>Scenarios</t>
  </si>
  <si>
    <t xml:space="preserve">Cu = </t>
  </si>
  <si>
    <t>Cuu=</t>
  </si>
  <si>
    <t>Cuu =</t>
  </si>
  <si>
    <t>Cud =</t>
  </si>
  <si>
    <t>Cdd =</t>
  </si>
  <si>
    <t>H =</t>
  </si>
  <si>
    <t>H = (Cuu - Cud) / (uuSo - udSo)</t>
  </si>
  <si>
    <t>Example</t>
  </si>
  <si>
    <t>Rf =</t>
  </si>
  <si>
    <t>Exercise Price=</t>
  </si>
  <si>
    <t>Value of option=</t>
  </si>
  <si>
    <t>????</t>
  </si>
  <si>
    <t>Cud=</t>
  </si>
  <si>
    <t>Option
 Payoff</t>
  </si>
  <si>
    <t>S=</t>
  </si>
  <si>
    <t>dSo=</t>
  </si>
  <si>
    <t>uSo</t>
  </si>
  <si>
    <t>uuSo =</t>
  </si>
  <si>
    <t>ddSo=</t>
  </si>
  <si>
    <t>udSo =</t>
  </si>
  <si>
    <t xml:space="preserve">Thus the strategy is </t>
  </si>
  <si>
    <t>Buy 2 shares at Price uSo =</t>
  </si>
  <si>
    <t>Write 3 calls at price Cu</t>
  </si>
  <si>
    <t>uuSo=</t>
  </si>
  <si>
    <t xml:space="preserve">  Total</t>
  </si>
  <si>
    <t>The portfolio must have a current value equal to the present value of $209:</t>
  </si>
  <si>
    <t>out of the money</t>
  </si>
  <si>
    <t>We solve for :</t>
  </si>
  <si>
    <t>C=</t>
  </si>
  <si>
    <t>Cu = (209 - 220)/-3</t>
  </si>
  <si>
    <t>(Cu = (220 - 199.047) /3)</t>
  </si>
  <si>
    <t>2x $110 - 3Cu = PV of 209.00 = $199.047</t>
  </si>
  <si>
    <t>Cu - Cd =</t>
  </si>
  <si>
    <t>uSo - dSo =</t>
  </si>
  <si>
    <t>PV =</t>
  </si>
  <si>
    <t>H x 10 =</t>
  </si>
  <si>
    <t>Increase / Decrease Factors (f)
(u and d)</t>
  </si>
  <si>
    <t>Stock
 x 
f</t>
  </si>
  <si>
    <t>Up factor (u) =</t>
  </si>
  <si>
    <t>Down factor (d) =</t>
  </si>
  <si>
    <t>INPUT</t>
  </si>
  <si>
    <t>OUTPUT</t>
  </si>
  <si>
    <t>d1 =</t>
  </si>
  <si>
    <t>d2 =</t>
  </si>
  <si>
    <t>N(d1) =</t>
  </si>
  <si>
    <t>N(d2) =</t>
  </si>
  <si>
    <t>B/S =</t>
  </si>
  <si>
    <t>Standard Deviation  (σ) =</t>
  </si>
  <si>
    <t>Expiration (in years)  (T) =</t>
  </si>
  <si>
    <t>Risk-Free Rate (Annual) (i) =</t>
  </si>
  <si>
    <t>Stock Price (S ) =</t>
  </si>
  <si>
    <t>Exercise Price (X) =</t>
  </si>
  <si>
    <t>Dividend Yeild (annual) (δ) =</t>
  </si>
  <si>
    <t>Excel Formula</t>
  </si>
  <si>
    <t>BLACK-SCHOLES OPTION VALUATION METHOD B/S - PUT OPTION</t>
  </si>
  <si>
    <t>Dividend Yield (annual) (δ) =</t>
  </si>
  <si>
    <t>D1 =</t>
  </si>
  <si>
    <t>N (d1) =</t>
  </si>
  <si>
    <t>D2=</t>
  </si>
  <si>
    <t>N (d2) =</t>
  </si>
  <si>
    <t>B/S=</t>
  </si>
  <si>
    <t xml:space="preserve"> Ln ( S / X )</t>
  </si>
  <si>
    <t xml:space="preserve">  ( i-δ+σ^2 /2 )</t>
  </si>
  <si>
    <t>σ√t</t>
  </si>
  <si>
    <t>LONG CALCULATION</t>
  </si>
  <si>
    <t>P = X.e^-it - S + C</t>
  </si>
  <si>
    <t>C - P = S - X .e^ -it</t>
  </si>
  <si>
    <t xml:space="preserve">P = </t>
  </si>
  <si>
    <t>LONG CALCULATION (Break Down Approach)</t>
  </si>
  <si>
    <t>Mispriced Security: Arbritrage Opportunity</t>
  </si>
  <si>
    <t>1 . BINOMIAL OPTION PRICING</t>
  </si>
  <si>
    <t>2.  BLACK-SCHOLES OPTION VALUATION METHOD B/S - CALL OPTION</t>
  </si>
  <si>
    <t/>
  </si>
  <si>
    <t>3. PUT-CALL PARITY METHOD FOR CALCULATING THE PUT  OPTION KNOWING THE CALL PRICE (same data as above)</t>
  </si>
  <si>
    <t>Compound at e</t>
  </si>
  <si>
    <t>Face Value</t>
  </si>
  <si>
    <t>PV calculation using e</t>
  </si>
  <si>
    <t>Interest</t>
  </si>
  <si>
    <t>e = PV x (1+i)^t</t>
  </si>
  <si>
    <t>Years</t>
  </si>
  <si>
    <t>PV = e / (1+i)^t</t>
  </si>
  <si>
    <t>PV = e ^-it</t>
  </si>
  <si>
    <t>Description</t>
  </si>
  <si>
    <t>Compound</t>
  </si>
  <si>
    <t>FV</t>
  </si>
  <si>
    <t>Annual</t>
  </si>
  <si>
    <t>Semi</t>
  </si>
  <si>
    <t>Quarterly</t>
  </si>
  <si>
    <t>Monthly</t>
  </si>
  <si>
    <t>Daily</t>
  </si>
  <si>
    <t>Hourly</t>
  </si>
  <si>
    <t>By Minute</t>
  </si>
  <si>
    <t>By Second</t>
  </si>
  <si>
    <t>Infinite</t>
  </si>
  <si>
    <t>e</t>
  </si>
  <si>
    <t>+D180*EXP(-D178*D177)*(1-G179)-D179*EXP(-D181*D177)*(1-G178)</t>
  </si>
  <si>
    <t>year</t>
  </si>
  <si>
    <t>B. HEDGE RATIO METHOD - Method 2</t>
  </si>
  <si>
    <t>A. LEVERAGE (BORROWING) METHOD - Method 1 - CALL OPTION</t>
  </si>
  <si>
    <t>A. LEVERAGE (BORROWING) METHOD - Method 1 - PUT OPTION</t>
  </si>
  <si>
    <t>h</t>
  </si>
  <si>
    <t>Step 1 ( Su - Sd) =</t>
  </si>
  <si>
    <t>Step 2  (Cu - Cd) =</t>
  </si>
  <si>
    <t>Step 3 ( Cu - Cd) / (Su - Sd) =</t>
  </si>
  <si>
    <t>Step 4 (PV of Sd)</t>
  </si>
  <si>
    <t>Step 5 (So - PV(Sd))</t>
  </si>
  <si>
    <t>Step 6 ( [So - PV(Sd)] x h ) =</t>
  </si>
  <si>
    <t>Current Price (So)=</t>
  </si>
  <si>
    <t>Ranges (Su - Sd) and (Cu-Cd) =</t>
  </si>
  <si>
    <t>Premium =</t>
  </si>
  <si>
    <t xml:space="preserve">Exercise Option = </t>
  </si>
  <si>
    <t>Step 2  (Cd - Cu) =</t>
  </si>
  <si>
    <t>Step 4 (PV of Su)</t>
  </si>
  <si>
    <t>Step 5 (PV(Sd) - So)</t>
  </si>
  <si>
    <t>Ranges (Su - Sd) and (Cd-Cu) =</t>
  </si>
  <si>
    <t>Current
 Stock 
Price</t>
  </si>
  <si>
    <t>Step 6 ( [PV(Sd) - So] x 1/h ) =</t>
  </si>
  <si>
    <t>Break Even =</t>
  </si>
  <si>
    <t>Distance to BE ($) =</t>
  </si>
  <si>
    <t>Distance to BE (%) =</t>
  </si>
  <si>
    <t>2.  BLACK-SCHOLES OPTION VALUATION METHOD B/S - PUT OPTION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</si>
</sst>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00_);_(&quot;$&quot;* \(#,##0.000\);_(&quot;$&quot;* &quot;-&quot;??_);_(@_)"/>
    <numFmt numFmtId="168" formatCode="0.0\x"/>
    <numFmt numFmtId="169" formatCode="0.00\x"/>
    <numFmt numFmtId="170" formatCode="0.000\x"/>
    <numFmt numFmtId="171" formatCode="0.00000"/>
    <numFmt numFmtId="172" formatCode="0.0000"/>
    <numFmt numFmtId="173" formatCode="0.000"/>
    <numFmt numFmtId="174" formatCode="_(&quot;$&quot;* #,##0.0000_);_(&quot;$&quot;* \(#,##0.0000\);_(&quot;$&quot;* &quot;-&quot;??_);_(@_)"/>
    <numFmt numFmtId="175" formatCode="&quot;$&quot;0.00"/>
    <numFmt numFmtId="176" formatCode="0.00000000"/>
    <numFmt numFmtId="177" formatCode="0.0000000"/>
    <numFmt numFmtId="178" formatCode="0.000000"/>
    <numFmt numFmtId="179" formatCode="_(* #,##0.0000000_);_(* \(#,##0.00000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 quotePrefix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3" fontId="1" fillId="33" borderId="10" xfId="42" applyFont="1" applyFill="1" applyBorder="1" applyAlignment="1">
      <alignment horizontal="center"/>
    </xf>
    <xf numFmtId="165" fontId="0" fillId="0" borderId="0" xfId="42" applyNumberFormat="1" applyFont="1" applyAlignment="1" quotePrefix="1">
      <alignment/>
    </xf>
    <xf numFmtId="10" fontId="0" fillId="0" borderId="0" xfId="59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43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43" fontId="0" fillId="0" borderId="0" xfId="42" applyFont="1" applyAlignment="1">
      <alignment/>
    </xf>
    <xf numFmtId="0" fontId="1" fillId="33" borderId="10" xfId="0" applyFont="1" applyFill="1" applyBorder="1" applyAlignment="1">
      <alignment horizontal="center" wrapText="1"/>
    </xf>
    <xf numFmtId="43" fontId="0" fillId="0" borderId="0" xfId="42" applyFont="1" applyAlignment="1">
      <alignment horizontal="right"/>
    </xf>
    <xf numFmtId="43" fontId="1" fillId="33" borderId="10" xfId="42" applyFont="1" applyFill="1" applyBorder="1" applyAlignment="1">
      <alignment horizontal="right"/>
    </xf>
    <xf numFmtId="43" fontId="0" fillId="0" borderId="0" xfId="0" applyNumberFormat="1" applyAlignment="1">
      <alignment horizontal="right"/>
    </xf>
    <xf numFmtId="10" fontId="0" fillId="0" borderId="0" xfId="59" applyNumberFormat="1" applyFont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4" borderId="0" xfId="0" applyFont="1" applyFill="1" applyAlignment="1">
      <alignment horizontal="center"/>
    </xf>
    <xf numFmtId="165" fontId="0" fillId="0" borderId="0" xfId="0" applyNumberFormat="1" applyAlignment="1" quotePrefix="1">
      <alignment/>
    </xf>
    <xf numFmtId="6" fontId="0" fillId="0" borderId="0" xfId="0" applyNumberFormat="1" applyAlignment="1" quotePrefix="1">
      <alignment/>
    </xf>
    <xf numFmtId="0" fontId="0" fillId="0" borderId="0" xfId="59" applyNumberFormat="1" applyFont="1" applyAlignment="1" quotePrefix="1">
      <alignment/>
    </xf>
    <xf numFmtId="10" fontId="0" fillId="0" borderId="0" xfId="59" applyNumberFormat="1" applyFont="1" applyAlignment="1" quotePrefix="1">
      <alignment/>
    </xf>
    <xf numFmtId="6" fontId="7" fillId="0" borderId="0" xfId="0" applyNumberFormat="1" applyFont="1" applyAlignment="1">
      <alignment/>
    </xf>
    <xf numFmtId="44" fontId="7" fillId="0" borderId="0" xfId="44" applyFont="1" applyAlignment="1">
      <alignment/>
    </xf>
    <xf numFmtId="10" fontId="7" fillId="0" borderId="0" xfId="0" applyNumberFormat="1" applyFont="1" applyAlignment="1">
      <alignment/>
    </xf>
    <xf numFmtId="43" fontId="7" fillId="0" borderId="0" xfId="42" applyFont="1" applyAlignment="1">
      <alignment horizontal="center"/>
    </xf>
    <xf numFmtId="43" fontId="7" fillId="0" borderId="0" xfId="42" applyFont="1" applyAlignment="1">
      <alignment horizontal="right"/>
    </xf>
    <xf numFmtId="43" fontId="7" fillId="0" borderId="0" xfId="0" applyNumberFormat="1" applyFont="1" applyAlignment="1">
      <alignment horizontal="center"/>
    </xf>
    <xf numFmtId="43" fontId="0" fillId="0" borderId="0" xfId="0" applyNumberFormat="1" applyAlignment="1" quotePrefix="1">
      <alignment horizontal="right"/>
    </xf>
    <xf numFmtId="43" fontId="0" fillId="0" borderId="0" xfId="42" applyFont="1" applyAlignment="1" quotePrefix="1">
      <alignment/>
    </xf>
    <xf numFmtId="43" fontId="0" fillId="0" borderId="0" xfId="0" applyNumberFormat="1" applyAlignment="1" quotePrefix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43" fontId="7" fillId="0" borderId="0" xfId="0" applyNumberFormat="1" applyFont="1" applyFill="1" applyAlignment="1">
      <alignment horizontal="center"/>
    </xf>
    <xf numFmtId="43" fontId="7" fillId="0" borderId="0" xfId="42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44" fontId="0" fillId="0" borderId="10" xfId="44" applyFont="1" applyBorder="1" applyAlignment="1">
      <alignment/>
    </xf>
    <xf numFmtId="9" fontId="0" fillId="0" borderId="0" xfId="0" applyNumberFormat="1" applyAlignment="1">
      <alignment/>
    </xf>
    <xf numFmtId="167" fontId="0" fillId="0" borderId="0" xfId="44" applyNumberFormat="1" applyFont="1" applyAlignment="1">
      <alignment/>
    </xf>
    <xf numFmtId="44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2" fontId="0" fillId="0" borderId="11" xfId="0" applyNumberFormat="1" applyBorder="1" applyAlignment="1">
      <alignment/>
    </xf>
    <xf numFmtId="0" fontId="1" fillId="0" borderId="0" xfId="0" applyFont="1" applyAlignment="1">
      <alignment horizontal="right"/>
    </xf>
    <xf numFmtId="12" fontId="1" fillId="33" borderId="11" xfId="0" applyNumberFormat="1" applyFont="1" applyFill="1" applyBorder="1" applyAlignment="1">
      <alignment horizontal="center"/>
    </xf>
    <xf numFmtId="44" fontId="0" fillId="0" borderId="0" xfId="44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right"/>
    </xf>
    <xf numFmtId="0" fontId="1" fillId="0" borderId="15" xfId="0" applyFont="1" applyBorder="1" applyAlignment="1">
      <alignment horizontal="right"/>
    </xf>
    <xf numFmtId="12" fontId="0" fillId="0" borderId="0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44" fontId="0" fillId="0" borderId="16" xfId="44" applyFont="1" applyBorder="1" applyAlignment="1">
      <alignment/>
    </xf>
    <xf numFmtId="44" fontId="0" fillId="0" borderId="20" xfId="44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4" fontId="1" fillId="33" borderId="11" xfId="0" applyNumberFormat="1" applyFont="1" applyFill="1" applyBorder="1" applyAlignment="1">
      <alignment/>
    </xf>
    <xf numFmtId="44" fontId="1" fillId="33" borderId="22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168" fontId="0" fillId="0" borderId="0" xfId="0" applyNumberFormat="1" applyBorder="1" applyAlignment="1">
      <alignment/>
    </xf>
    <xf numFmtId="44" fontId="7" fillId="0" borderId="13" xfId="44" applyFont="1" applyBorder="1" applyAlignment="1">
      <alignment/>
    </xf>
    <xf numFmtId="44" fontId="1" fillId="33" borderId="10" xfId="0" applyNumberFormat="1" applyFont="1" applyFill="1" applyBorder="1" applyAlignment="1">
      <alignment horizontal="center"/>
    </xf>
    <xf numFmtId="44" fontId="1" fillId="33" borderId="20" xfId="0" applyNumberFormat="1" applyFont="1" applyFill="1" applyBorder="1" applyAlignment="1">
      <alignment horizontal="center"/>
    </xf>
    <xf numFmtId="44" fontId="0" fillId="0" borderId="16" xfId="0" applyNumberFormat="1" applyBorder="1" applyAlignment="1">
      <alignment/>
    </xf>
    <xf numFmtId="0" fontId="6" fillId="33" borderId="12" xfId="0" applyFont="1" applyFill="1" applyBorder="1" applyAlignment="1">
      <alignment horizontal="centerContinuous" vertical="center"/>
    </xf>
    <xf numFmtId="0" fontId="1" fillId="33" borderId="14" xfId="0" applyFont="1" applyFill="1" applyBorder="1" applyAlignment="1">
      <alignment horizontal="centerContinuous" vertical="center"/>
    </xf>
    <xf numFmtId="0" fontId="1" fillId="33" borderId="17" xfId="0" applyFont="1" applyFill="1" applyBorder="1" applyAlignment="1">
      <alignment horizontal="centerContinuous" vertical="center"/>
    </xf>
    <xf numFmtId="0" fontId="1" fillId="33" borderId="19" xfId="0" applyFont="1" applyFill="1" applyBorder="1" applyAlignment="1">
      <alignment horizontal="centerContinuous" vertical="center"/>
    </xf>
    <xf numFmtId="0" fontId="1" fillId="0" borderId="15" xfId="0" applyFont="1" applyBorder="1" applyAlignment="1">
      <alignment horizontal="left"/>
    </xf>
    <xf numFmtId="168" fontId="0" fillId="0" borderId="0" xfId="0" applyNumberFormat="1" applyAlignment="1">
      <alignment horizontal="center"/>
    </xf>
    <xf numFmtId="44" fontId="0" fillId="0" borderId="23" xfId="44" applyFont="1" applyBorder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 quotePrefix="1">
      <alignment horizontal="right"/>
    </xf>
    <xf numFmtId="166" fontId="1" fillId="0" borderId="0" xfId="0" applyNumberFormat="1" applyFont="1" applyAlignment="1">
      <alignment horizontal="center"/>
    </xf>
    <xf numFmtId="0" fontId="0" fillId="33" borderId="12" xfId="0" applyFill="1" applyBorder="1" applyAlignment="1">
      <alignment horizontal="centerContinuous" vertical="center"/>
    </xf>
    <xf numFmtId="0" fontId="0" fillId="33" borderId="13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Continuous" vertical="center"/>
    </xf>
    <xf numFmtId="0" fontId="1" fillId="33" borderId="15" xfId="0" applyFon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33" borderId="17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Continuous" vertical="center"/>
    </xf>
    <xf numFmtId="0" fontId="0" fillId="33" borderId="19" xfId="0" applyFill="1" applyBorder="1" applyAlignment="1">
      <alignment horizontal="centerContinuous" vertical="center"/>
    </xf>
    <xf numFmtId="44" fontId="0" fillId="0" borderId="0" xfId="44" applyFont="1" applyAlignment="1" quotePrefix="1">
      <alignment/>
    </xf>
    <xf numFmtId="0" fontId="1" fillId="33" borderId="24" xfId="0" applyFont="1" applyFill="1" applyBorder="1" applyAlignment="1">
      <alignment horizontal="right"/>
    </xf>
    <xf numFmtId="44" fontId="1" fillId="33" borderId="10" xfId="44" applyFont="1" applyFill="1" applyBorder="1" applyAlignment="1">
      <alignment horizontal="center" wrapText="1"/>
    </xf>
    <xf numFmtId="0" fontId="1" fillId="33" borderId="25" xfId="0" applyFont="1" applyFill="1" applyBorder="1" applyAlignment="1">
      <alignment/>
    </xf>
    <xf numFmtId="12" fontId="1" fillId="33" borderId="25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33" borderId="24" xfId="0" applyFill="1" applyBorder="1" applyAlignment="1">
      <alignment horizontal="right"/>
    </xf>
    <xf numFmtId="44" fontId="0" fillId="33" borderId="25" xfId="0" applyNumberFormat="1" applyFill="1" applyBorder="1" applyAlignment="1">
      <alignment/>
    </xf>
    <xf numFmtId="0" fontId="10" fillId="0" borderId="0" xfId="0" applyFont="1" applyAlignment="1">
      <alignment/>
    </xf>
    <xf numFmtId="0" fontId="1" fillId="33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44" fontId="0" fillId="0" borderId="27" xfId="0" applyNumberFormat="1" applyBorder="1" applyAlignment="1">
      <alignment/>
    </xf>
    <xf numFmtId="44" fontId="0" fillId="0" borderId="28" xfId="0" applyNumberFormat="1" applyBorder="1" applyAlignment="1">
      <alignment/>
    </xf>
    <xf numFmtId="175" fontId="1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1" fillId="33" borderId="29" xfId="0" applyFont="1" applyFill="1" applyBorder="1" applyAlignment="1">
      <alignment/>
    </xf>
    <xf numFmtId="173" fontId="0" fillId="0" borderId="27" xfId="0" applyNumberFormat="1" applyBorder="1" applyAlignment="1" quotePrefix="1">
      <alignment horizontal="left"/>
    </xf>
    <xf numFmtId="0" fontId="0" fillId="33" borderId="0" xfId="0" applyFill="1" applyBorder="1" applyAlignment="1">
      <alignment/>
    </xf>
    <xf numFmtId="173" fontId="0" fillId="0" borderId="0" xfId="0" applyNumberFormat="1" applyBorder="1" applyAlignment="1" quotePrefix="1">
      <alignment horizontal="left"/>
    </xf>
    <xf numFmtId="0" fontId="11" fillId="35" borderId="30" xfId="0" applyFont="1" applyFill="1" applyBorder="1" applyAlignment="1">
      <alignment horizontal="center"/>
    </xf>
    <xf numFmtId="0" fontId="11" fillId="35" borderId="31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0" borderId="32" xfId="0" applyBorder="1" applyAlignment="1">
      <alignment/>
    </xf>
    <xf numFmtId="0" fontId="7" fillId="0" borderId="27" xfId="0" applyFont="1" applyBorder="1" applyAlignment="1">
      <alignment/>
    </xf>
    <xf numFmtId="173" fontId="0" fillId="0" borderId="27" xfId="0" applyNumberFormat="1" applyBorder="1" applyAlignment="1" quotePrefix="1">
      <alignment horizontal="center"/>
    </xf>
    <xf numFmtId="0" fontId="11" fillId="35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/>
    </xf>
    <xf numFmtId="0" fontId="0" fillId="0" borderId="32" xfId="0" applyBorder="1" applyAlignment="1">
      <alignment horizontal="right"/>
    </xf>
    <xf numFmtId="0" fontId="0" fillId="33" borderId="0" xfId="0" applyFill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1" fillId="33" borderId="24" xfId="0" applyFont="1" applyFill="1" applyBorder="1" applyAlignment="1">
      <alignment/>
    </xf>
    <xf numFmtId="172" fontId="1" fillId="33" borderId="25" xfId="0" applyNumberFormat="1" applyFont="1" applyFill="1" applyBorder="1" applyAlignment="1">
      <alignment/>
    </xf>
    <xf numFmtId="0" fontId="0" fillId="0" borderId="27" xfId="0" applyBorder="1" applyAlignment="1" quotePrefix="1">
      <alignment/>
    </xf>
    <xf numFmtId="0" fontId="1" fillId="33" borderId="0" xfId="0" applyFont="1" applyFill="1" applyAlignment="1">
      <alignment/>
    </xf>
    <xf numFmtId="173" fontId="0" fillId="0" borderId="35" xfId="0" applyNumberFormat="1" applyBorder="1" applyAlignment="1" quotePrefix="1">
      <alignment horizontal="left"/>
    </xf>
    <xf numFmtId="44" fontId="1" fillId="33" borderId="25" xfId="44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44" fontId="0" fillId="36" borderId="16" xfId="44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0" fillId="36" borderId="25" xfId="0" applyFill="1" applyBorder="1" applyAlignment="1">
      <alignment/>
    </xf>
    <xf numFmtId="9" fontId="0" fillId="36" borderId="16" xfId="0" applyNumberFormat="1" applyFill="1" applyBorder="1" applyAlignment="1">
      <alignment/>
    </xf>
    <xf numFmtId="0" fontId="12" fillId="36" borderId="15" xfId="0" applyFont="1" applyFill="1" applyBorder="1" applyAlignment="1" quotePrefix="1">
      <alignment/>
    </xf>
    <xf numFmtId="0" fontId="12" fillId="36" borderId="15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165" fontId="0" fillId="36" borderId="0" xfId="42" applyNumberFormat="1" applyFont="1" applyFill="1" applyBorder="1" applyAlignment="1">
      <alignment/>
    </xf>
    <xf numFmtId="179" fontId="0" fillId="36" borderId="16" xfId="0" applyNumberFormat="1" applyFill="1" applyBorder="1" applyAlignment="1">
      <alignment/>
    </xf>
    <xf numFmtId="165" fontId="0" fillId="36" borderId="0" xfId="42" applyNumberFormat="1" applyFont="1" applyFill="1" applyBorder="1" applyAlignment="1">
      <alignment horizontal="right"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6" borderId="1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4" fontId="0" fillId="0" borderId="26" xfId="0" applyNumberFormat="1" applyBorder="1" applyAlignment="1">
      <alignment/>
    </xf>
    <xf numFmtId="12" fontId="0" fillId="0" borderId="0" xfId="0" applyNumberFormat="1" applyAlignment="1">
      <alignment/>
    </xf>
    <xf numFmtId="12" fontId="1" fillId="0" borderId="26" xfId="0" applyNumberFormat="1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1" fillId="37" borderId="24" xfId="0" applyFont="1" applyFill="1" applyBorder="1" applyAlignment="1">
      <alignment/>
    </xf>
    <xf numFmtId="44" fontId="1" fillId="37" borderId="25" xfId="0" applyNumberFormat="1" applyFont="1" applyFill="1" applyBorder="1" applyAlignment="1">
      <alignment/>
    </xf>
    <xf numFmtId="0" fontId="1" fillId="17" borderId="24" xfId="0" applyFont="1" applyFill="1" applyBorder="1" applyAlignment="1">
      <alignment/>
    </xf>
    <xf numFmtId="44" fontId="1" fillId="17" borderId="25" xfId="0" applyNumberFormat="1" applyFont="1" applyFill="1" applyBorder="1" applyAlignment="1">
      <alignment/>
    </xf>
    <xf numFmtId="168" fontId="0" fillId="0" borderId="13" xfId="0" applyNumberFormat="1" applyFont="1" applyBorder="1" applyAlignment="1">
      <alignment/>
    </xf>
    <xf numFmtId="0" fontId="1" fillId="17" borderId="36" xfId="0" applyFont="1" applyFill="1" applyBorder="1" applyAlignment="1">
      <alignment horizontal="center"/>
    </xf>
    <xf numFmtId="172" fontId="1" fillId="17" borderId="37" xfId="0" applyNumberFormat="1" applyFont="1" applyFill="1" applyBorder="1" applyAlignment="1" quotePrefix="1">
      <alignment horizontal="center"/>
    </xf>
    <xf numFmtId="0" fontId="1" fillId="17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6</xdr:row>
      <xdr:rowOff>95250</xdr:rowOff>
    </xdr:from>
    <xdr:to>
      <xdr:col>6</xdr:col>
      <xdr:colOff>666750</xdr:colOff>
      <xdr:row>17</xdr:row>
      <xdr:rowOff>57150</xdr:rowOff>
    </xdr:to>
    <xdr:sp>
      <xdr:nvSpPr>
        <xdr:cNvPr id="1" name="Line 1"/>
        <xdr:cNvSpPr>
          <a:spLocks/>
        </xdr:cNvSpPr>
      </xdr:nvSpPr>
      <xdr:spPr>
        <a:xfrm flipH="1">
          <a:off x="3076575" y="1200150"/>
          <a:ext cx="140017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7</xdr:col>
      <xdr:colOff>9525</xdr:colOff>
      <xdr:row>22</xdr:row>
      <xdr:rowOff>38100</xdr:rowOff>
    </xdr:to>
    <xdr:sp>
      <xdr:nvSpPr>
        <xdr:cNvPr id="2" name="Line 2"/>
        <xdr:cNvSpPr>
          <a:spLocks/>
        </xdr:cNvSpPr>
      </xdr:nvSpPr>
      <xdr:spPr>
        <a:xfrm flipH="1">
          <a:off x="3124200" y="1847850"/>
          <a:ext cx="13716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</xdr:row>
      <xdr:rowOff>76200</xdr:rowOff>
    </xdr:from>
    <xdr:to>
      <xdr:col>9</xdr:col>
      <xdr:colOff>19050</xdr:colOff>
      <xdr:row>27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3152775" y="1828800"/>
          <a:ext cx="27051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83</xdr:row>
      <xdr:rowOff>0</xdr:rowOff>
    </xdr:from>
    <xdr:to>
      <xdr:col>4</xdr:col>
      <xdr:colOff>28575</xdr:colOff>
      <xdr:row>85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3200400" y="15554325"/>
          <a:ext cx="9810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9525</xdr:rowOff>
    </xdr:from>
    <xdr:to>
      <xdr:col>4</xdr:col>
      <xdr:colOff>9525</xdr:colOff>
      <xdr:row>88</xdr:row>
      <xdr:rowOff>28575</xdr:rowOff>
    </xdr:to>
    <xdr:sp>
      <xdr:nvSpPr>
        <xdr:cNvPr id="2" name="Line 2"/>
        <xdr:cNvSpPr>
          <a:spLocks/>
        </xdr:cNvSpPr>
      </xdr:nvSpPr>
      <xdr:spPr>
        <a:xfrm>
          <a:off x="3200400" y="16068675"/>
          <a:ext cx="962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80</xdr:row>
      <xdr:rowOff>0</xdr:rowOff>
    </xdr:from>
    <xdr:to>
      <xdr:col>6</xdr:col>
      <xdr:colOff>0</xdr:colOff>
      <xdr:row>82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781550" y="15049500"/>
          <a:ext cx="914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9525</xdr:rowOff>
    </xdr:from>
    <xdr:to>
      <xdr:col>6</xdr:col>
      <xdr:colOff>0</xdr:colOff>
      <xdr:row>91</xdr:row>
      <xdr:rowOff>9525</xdr:rowOff>
    </xdr:to>
    <xdr:sp>
      <xdr:nvSpPr>
        <xdr:cNvPr id="4" name="Line 4"/>
        <xdr:cNvSpPr>
          <a:spLocks/>
        </xdr:cNvSpPr>
      </xdr:nvSpPr>
      <xdr:spPr>
        <a:xfrm>
          <a:off x="4762500" y="16573500"/>
          <a:ext cx="933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85</xdr:row>
      <xdr:rowOff>152400</xdr:rowOff>
    </xdr:from>
    <xdr:to>
      <xdr:col>6</xdr:col>
      <xdr:colOff>9525</xdr:colOff>
      <xdr:row>88</xdr:row>
      <xdr:rowOff>19050</xdr:rowOff>
    </xdr:to>
    <xdr:sp>
      <xdr:nvSpPr>
        <xdr:cNvPr id="5" name="Line 5"/>
        <xdr:cNvSpPr>
          <a:spLocks/>
        </xdr:cNvSpPr>
      </xdr:nvSpPr>
      <xdr:spPr>
        <a:xfrm flipV="1">
          <a:off x="4772025" y="16040100"/>
          <a:ext cx="9334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83</xdr:row>
      <xdr:rowOff>0</xdr:rowOff>
    </xdr:from>
    <xdr:to>
      <xdr:col>6</xdr:col>
      <xdr:colOff>0</xdr:colOff>
      <xdr:row>85</xdr:row>
      <xdr:rowOff>0</xdr:rowOff>
    </xdr:to>
    <xdr:sp>
      <xdr:nvSpPr>
        <xdr:cNvPr id="6" name="Line 6"/>
        <xdr:cNvSpPr>
          <a:spLocks/>
        </xdr:cNvSpPr>
      </xdr:nvSpPr>
      <xdr:spPr>
        <a:xfrm>
          <a:off x="4781550" y="15554325"/>
          <a:ext cx="9144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79</xdr:row>
      <xdr:rowOff>9525</xdr:rowOff>
    </xdr:from>
    <xdr:to>
      <xdr:col>7</xdr:col>
      <xdr:colOff>523875</xdr:colOff>
      <xdr:row>91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6724650" y="14887575"/>
          <a:ext cx="447675" cy="2171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108</xdr:row>
      <xdr:rowOff>152400</xdr:rowOff>
    </xdr:from>
    <xdr:to>
      <xdr:col>3</xdr:col>
      <xdr:colOff>561975</xdr:colOff>
      <xdr:row>111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3762375" y="200025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118</xdr:row>
      <xdr:rowOff>152400</xdr:rowOff>
    </xdr:from>
    <xdr:to>
      <xdr:col>6</xdr:col>
      <xdr:colOff>57150</xdr:colOff>
      <xdr:row>121</xdr:row>
      <xdr:rowOff>123825</xdr:rowOff>
    </xdr:to>
    <xdr:sp>
      <xdr:nvSpPr>
        <xdr:cNvPr id="9" name="Line 9"/>
        <xdr:cNvSpPr>
          <a:spLocks/>
        </xdr:cNvSpPr>
      </xdr:nvSpPr>
      <xdr:spPr>
        <a:xfrm>
          <a:off x="4914900" y="21631275"/>
          <a:ext cx="8382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47625</xdr:rowOff>
    </xdr:from>
    <xdr:to>
      <xdr:col>4</xdr:col>
      <xdr:colOff>533400</xdr:colOff>
      <xdr:row>130</xdr:row>
      <xdr:rowOff>57150</xdr:rowOff>
    </xdr:to>
    <xdr:sp>
      <xdr:nvSpPr>
        <xdr:cNvPr id="10" name="Line 10"/>
        <xdr:cNvSpPr>
          <a:spLocks/>
        </xdr:cNvSpPr>
      </xdr:nvSpPr>
      <xdr:spPr>
        <a:xfrm flipV="1">
          <a:off x="4152900" y="22698075"/>
          <a:ext cx="5334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9">
      <selection activeCell="M25" sqref="M25"/>
    </sheetView>
  </sheetViews>
  <sheetFormatPr defaultColWidth="9.140625" defaultRowHeight="12.75"/>
  <cols>
    <col min="1" max="1" width="6.140625" style="0" customWidth="1"/>
    <col min="2" max="2" width="14.421875" style="0" customWidth="1"/>
    <col min="3" max="3" width="8.140625" style="0" customWidth="1"/>
    <col min="4" max="4" width="9.28125" style="0" customWidth="1"/>
    <col min="5" max="5" width="8.8515625" style="0" customWidth="1"/>
    <col min="6" max="6" width="10.28125" style="0" customWidth="1"/>
    <col min="7" max="10" width="10.140625" style="0" customWidth="1"/>
  </cols>
  <sheetData>
    <row r="1" ht="23.25">
      <c r="B1" s="14" t="s">
        <v>18</v>
      </c>
    </row>
    <row r="3" spans="1:10" ht="12.75">
      <c r="A3" s="29" t="s">
        <v>6</v>
      </c>
      <c r="B3" s="29" t="s">
        <v>7</v>
      </c>
      <c r="C3" s="29" t="s">
        <v>8</v>
      </c>
      <c r="D3" s="29" t="s">
        <v>31</v>
      </c>
      <c r="E3" s="29" t="s">
        <v>32</v>
      </c>
      <c r="F3" s="29" t="s">
        <v>33</v>
      </c>
      <c r="G3" s="29" t="s">
        <v>34</v>
      </c>
      <c r="H3" s="29" t="s">
        <v>35</v>
      </c>
      <c r="I3" s="29" t="s">
        <v>36</v>
      </c>
      <c r="J3" s="29" t="s">
        <v>37</v>
      </c>
    </row>
    <row r="4" ht="12.75">
      <c r="A4" s="29"/>
    </row>
    <row r="5" spans="1:2" ht="12.75">
      <c r="A5" s="29"/>
      <c r="B5" s="2" t="s">
        <v>3</v>
      </c>
    </row>
    <row r="6" spans="1:2" ht="12.75">
      <c r="A6" s="29">
        <f>ROW()</f>
        <v>6</v>
      </c>
      <c r="B6" s="1" t="s">
        <v>9</v>
      </c>
    </row>
    <row r="7" spans="1:8" ht="12.75">
      <c r="A7" s="29">
        <f>ROW()</f>
        <v>7</v>
      </c>
      <c r="B7" s="1" t="s">
        <v>10</v>
      </c>
      <c r="H7" s="30" t="s">
        <v>38</v>
      </c>
    </row>
    <row r="8" spans="1:8" ht="12.75">
      <c r="A8" s="29">
        <f>ROW()</f>
        <v>8</v>
      </c>
      <c r="B8" s="1" t="s">
        <v>11</v>
      </c>
      <c r="H8" s="12" t="s">
        <v>39</v>
      </c>
    </row>
    <row r="9" spans="1:8" ht="12.75">
      <c r="A9" s="29">
        <f>ROW()</f>
        <v>9</v>
      </c>
      <c r="H9" s="12" t="s">
        <v>40</v>
      </c>
    </row>
    <row r="10" ht="12.75">
      <c r="A10" s="29">
        <f>ROW()</f>
        <v>10</v>
      </c>
    </row>
    <row r="11" spans="1:10" ht="12.75">
      <c r="A11" s="29">
        <f>ROW()</f>
        <v>11</v>
      </c>
      <c r="B11" t="s">
        <v>4</v>
      </c>
      <c r="D11" s="34">
        <v>9000</v>
      </c>
      <c r="H11" s="31" t="s">
        <v>41</v>
      </c>
      <c r="J11" s="32" t="s">
        <v>44</v>
      </c>
    </row>
    <row r="12" spans="1:10" ht="12.75">
      <c r="A12" s="29">
        <f>ROW()</f>
        <v>12</v>
      </c>
      <c r="B12" t="s">
        <v>0</v>
      </c>
      <c r="D12" s="35">
        <v>90</v>
      </c>
      <c r="H12" s="31" t="s">
        <v>42</v>
      </c>
      <c r="J12" s="32" t="s">
        <v>45</v>
      </c>
    </row>
    <row r="13" spans="1:10" ht="12.75">
      <c r="A13" s="29">
        <f>ROW()</f>
        <v>13</v>
      </c>
      <c r="B13" t="s">
        <v>1</v>
      </c>
      <c r="D13" s="35">
        <v>10</v>
      </c>
      <c r="H13" s="31" t="s">
        <v>43</v>
      </c>
      <c r="J13" s="33" t="s">
        <v>46</v>
      </c>
    </row>
    <row r="14" spans="1:4" ht="12.75">
      <c r="A14" s="29">
        <f>ROW()</f>
        <v>14</v>
      </c>
      <c r="B14" t="s">
        <v>2</v>
      </c>
      <c r="D14" s="36">
        <v>0.02</v>
      </c>
    </row>
    <row r="15" ht="12.75">
      <c r="A15" s="29"/>
    </row>
    <row r="16" spans="1:10" ht="12.75">
      <c r="A16" s="29"/>
      <c r="B16" s="7"/>
      <c r="C16" s="173" t="s">
        <v>13</v>
      </c>
      <c r="D16" s="173"/>
      <c r="E16" s="173" t="s">
        <v>12</v>
      </c>
      <c r="F16" s="173"/>
      <c r="G16" s="173"/>
      <c r="H16" s="173"/>
      <c r="I16" s="173"/>
      <c r="J16" s="173"/>
    </row>
    <row r="17" spans="1:10" ht="16.5" customHeight="1">
      <c r="A17" s="29"/>
      <c r="B17" s="9" t="s">
        <v>5</v>
      </c>
      <c r="C17" s="10"/>
      <c r="D17" s="10"/>
      <c r="E17" s="11">
        <v>85</v>
      </c>
      <c r="F17" s="11">
        <f>+E17+5</f>
        <v>90</v>
      </c>
      <c r="G17" s="11">
        <f>+F17+5</f>
        <v>95</v>
      </c>
      <c r="H17" s="11">
        <f>+G17+5</f>
        <v>100</v>
      </c>
      <c r="I17" s="11">
        <f>+H17+5</f>
        <v>105</v>
      </c>
      <c r="J17" s="11">
        <f>+I17+5</f>
        <v>110</v>
      </c>
    </row>
    <row r="18" spans="1:10" ht="12.75">
      <c r="A18" s="29">
        <f>ROW()</f>
        <v>18</v>
      </c>
      <c r="B18" s="4" t="s">
        <v>6</v>
      </c>
      <c r="C18">
        <v>100</v>
      </c>
      <c r="D18" t="s">
        <v>15</v>
      </c>
      <c r="E18" s="30">
        <f aca="true" t="shared" si="0" ref="E18:J18">+$C$18*E17</f>
        <v>8500</v>
      </c>
      <c r="F18" s="5">
        <f t="shared" si="0"/>
        <v>9000</v>
      </c>
      <c r="G18" s="5">
        <f t="shared" si="0"/>
        <v>9500</v>
      </c>
      <c r="H18" s="5">
        <f t="shared" si="0"/>
        <v>10000</v>
      </c>
      <c r="I18" s="5">
        <f t="shared" si="0"/>
        <v>10500</v>
      </c>
      <c r="J18" s="5">
        <f t="shared" si="0"/>
        <v>11000</v>
      </c>
    </row>
    <row r="19" spans="1:10" ht="12.75">
      <c r="A19" s="29">
        <f>ROW()</f>
        <v>19</v>
      </c>
      <c r="B19" s="4" t="s">
        <v>7</v>
      </c>
      <c r="C19">
        <v>900</v>
      </c>
      <c r="D19" t="s">
        <v>14</v>
      </c>
      <c r="E19" s="12">
        <f aca="true" t="shared" si="1" ref="E19:J19">IF(+(E17-$D$12)*$C$19&lt;0,0,(E17-$D$12)*$C$19)</f>
        <v>0</v>
      </c>
      <c r="F19" s="6">
        <f t="shared" si="1"/>
        <v>0</v>
      </c>
      <c r="G19" s="12">
        <f t="shared" si="1"/>
        <v>4500</v>
      </c>
      <c r="H19" s="6">
        <f t="shared" si="1"/>
        <v>9000</v>
      </c>
      <c r="I19" s="6">
        <f t="shared" si="1"/>
        <v>13500</v>
      </c>
      <c r="J19" s="6">
        <f t="shared" si="1"/>
        <v>18000</v>
      </c>
    </row>
    <row r="20" spans="1:10" ht="12.75">
      <c r="A20" s="29">
        <f>ROW()</f>
        <v>20</v>
      </c>
      <c r="B20" s="4" t="s">
        <v>8</v>
      </c>
      <c r="C20">
        <v>100</v>
      </c>
      <c r="D20" t="s">
        <v>14</v>
      </c>
      <c r="E20" s="12">
        <f aca="true" t="shared" si="2" ref="E20:J20">IF(+(E17-$D$12)*$C$20&lt;0,0,(E17-$D$12)*$C$20)+((1+$D$14)*(($D$11-($D$13*$C$20))))</f>
        <v>8160</v>
      </c>
      <c r="F20" s="12">
        <f t="shared" si="2"/>
        <v>8160</v>
      </c>
      <c r="G20" s="12">
        <f t="shared" si="2"/>
        <v>8660</v>
      </c>
      <c r="H20" s="12">
        <f t="shared" si="2"/>
        <v>9160</v>
      </c>
      <c r="I20" s="12">
        <f t="shared" si="2"/>
        <v>9660</v>
      </c>
      <c r="J20" s="12">
        <f t="shared" si="2"/>
        <v>10160</v>
      </c>
    </row>
    <row r="21" ht="12.75">
      <c r="A21" s="29">
        <f>ROW()</f>
        <v>21</v>
      </c>
    </row>
    <row r="22" spans="1:10" ht="15" customHeight="1">
      <c r="A22" s="29">
        <f>ROW()</f>
        <v>22</v>
      </c>
      <c r="B22" s="8" t="s">
        <v>16</v>
      </c>
      <c r="C22" s="7"/>
      <c r="D22" s="7"/>
      <c r="E22" s="7"/>
      <c r="F22" s="7"/>
      <c r="G22" s="7"/>
      <c r="H22" s="7"/>
      <c r="I22" s="7"/>
      <c r="J22" s="7"/>
    </row>
    <row r="23" spans="1:10" ht="12.75">
      <c r="A23" s="29">
        <f>ROW()</f>
        <v>23</v>
      </c>
      <c r="B23" s="4" t="s">
        <v>6</v>
      </c>
      <c r="C23">
        <v>100</v>
      </c>
      <c r="D23" t="s">
        <v>15</v>
      </c>
      <c r="E23" s="31">
        <f aca="true" t="shared" si="3" ref="E23:J25">+E18-$D$11</f>
        <v>-500</v>
      </c>
      <c r="F23" s="3">
        <f t="shared" si="3"/>
        <v>0</v>
      </c>
      <c r="G23" s="3">
        <f t="shared" si="3"/>
        <v>500</v>
      </c>
      <c r="H23" s="3">
        <f t="shared" si="3"/>
        <v>1000</v>
      </c>
      <c r="I23" s="3">
        <f t="shared" si="3"/>
        <v>1500</v>
      </c>
      <c r="J23" s="3">
        <f t="shared" si="3"/>
        <v>2000</v>
      </c>
    </row>
    <row r="24" spans="1:10" ht="12.75">
      <c r="A24" s="29">
        <f>ROW()</f>
        <v>24</v>
      </c>
      <c r="B24" s="4" t="s">
        <v>7</v>
      </c>
      <c r="C24">
        <v>900</v>
      </c>
      <c r="D24" t="s">
        <v>14</v>
      </c>
      <c r="E24" s="31">
        <f t="shared" si="3"/>
        <v>-9000</v>
      </c>
      <c r="F24" s="3">
        <f t="shared" si="3"/>
        <v>-9000</v>
      </c>
      <c r="G24" s="3">
        <f t="shared" si="3"/>
        <v>-4500</v>
      </c>
      <c r="H24" s="3">
        <f t="shared" si="3"/>
        <v>0</v>
      </c>
      <c r="I24" s="3">
        <f t="shared" si="3"/>
        <v>4500</v>
      </c>
      <c r="J24" s="3">
        <f t="shared" si="3"/>
        <v>9000</v>
      </c>
    </row>
    <row r="25" spans="1:10" ht="12.75">
      <c r="A25" s="29">
        <f>ROW()</f>
        <v>25</v>
      </c>
      <c r="B25" s="4" t="s">
        <v>8</v>
      </c>
      <c r="C25">
        <v>100</v>
      </c>
      <c r="D25" t="s">
        <v>14</v>
      </c>
      <c r="E25" s="31">
        <f t="shared" si="3"/>
        <v>-840</v>
      </c>
      <c r="F25" s="3">
        <f t="shared" si="3"/>
        <v>-840</v>
      </c>
      <c r="G25" s="3">
        <f t="shared" si="3"/>
        <v>-340</v>
      </c>
      <c r="H25" s="3">
        <f t="shared" si="3"/>
        <v>160</v>
      </c>
      <c r="I25" s="3">
        <f t="shared" si="3"/>
        <v>660</v>
      </c>
      <c r="J25" s="3">
        <f t="shared" si="3"/>
        <v>1160</v>
      </c>
    </row>
    <row r="26" ht="12.75">
      <c r="A26" s="29">
        <f>ROW()</f>
        <v>26</v>
      </c>
    </row>
    <row r="27" spans="1:10" ht="12.75">
      <c r="A27" s="29">
        <f>ROW()</f>
        <v>27</v>
      </c>
      <c r="B27" s="8" t="s">
        <v>17</v>
      </c>
      <c r="C27" s="7"/>
      <c r="D27" s="7"/>
      <c r="E27" s="7"/>
      <c r="F27" s="7"/>
      <c r="G27" s="7"/>
      <c r="H27" s="7"/>
      <c r="I27" s="7"/>
      <c r="J27" s="7"/>
    </row>
    <row r="28" spans="1:10" ht="12.75">
      <c r="A28" s="29">
        <f>ROW()</f>
        <v>28</v>
      </c>
      <c r="B28" s="4" t="s">
        <v>6</v>
      </c>
      <c r="C28">
        <v>100</v>
      </c>
      <c r="D28" t="s">
        <v>15</v>
      </c>
      <c r="E28" s="33">
        <f aca="true" t="shared" si="4" ref="E28:J30">+E23/$D$11</f>
        <v>-0.05555555555555555</v>
      </c>
      <c r="F28" s="13">
        <f t="shared" si="4"/>
        <v>0</v>
      </c>
      <c r="G28" s="13">
        <f t="shared" si="4"/>
        <v>0.05555555555555555</v>
      </c>
      <c r="H28" s="13">
        <f t="shared" si="4"/>
        <v>0.1111111111111111</v>
      </c>
      <c r="I28" s="13">
        <f t="shared" si="4"/>
        <v>0.16666666666666666</v>
      </c>
      <c r="J28" s="13">
        <f t="shared" si="4"/>
        <v>0.2222222222222222</v>
      </c>
    </row>
    <row r="29" spans="1:10" ht="12.75">
      <c r="A29" s="29">
        <f>ROW()</f>
        <v>29</v>
      </c>
      <c r="B29" s="4" t="s">
        <v>7</v>
      </c>
      <c r="C29">
        <v>900</v>
      </c>
      <c r="D29" t="s">
        <v>14</v>
      </c>
      <c r="E29" s="33">
        <f t="shared" si="4"/>
        <v>-1</v>
      </c>
      <c r="F29" s="13">
        <f t="shared" si="4"/>
        <v>-1</v>
      </c>
      <c r="G29" s="13">
        <f t="shared" si="4"/>
        <v>-0.5</v>
      </c>
      <c r="H29" s="13">
        <f t="shared" si="4"/>
        <v>0</v>
      </c>
      <c r="I29" s="13">
        <f t="shared" si="4"/>
        <v>0.5</v>
      </c>
      <c r="J29" s="13">
        <f t="shared" si="4"/>
        <v>1</v>
      </c>
    </row>
    <row r="30" spans="1:10" ht="12.75">
      <c r="A30" s="29">
        <f>ROW()</f>
        <v>30</v>
      </c>
      <c r="B30" s="4" t="s">
        <v>8</v>
      </c>
      <c r="C30">
        <v>100</v>
      </c>
      <c r="D30" t="s">
        <v>14</v>
      </c>
      <c r="E30" s="33">
        <f t="shared" si="4"/>
        <v>-0.09333333333333334</v>
      </c>
      <c r="F30" s="13">
        <f t="shared" si="4"/>
        <v>-0.09333333333333334</v>
      </c>
      <c r="G30" s="13">
        <f t="shared" si="4"/>
        <v>-0.03777777777777778</v>
      </c>
      <c r="H30" s="13">
        <f t="shared" si="4"/>
        <v>0.017777777777777778</v>
      </c>
      <c r="I30" s="13">
        <f t="shared" si="4"/>
        <v>0.07333333333333333</v>
      </c>
      <c r="J30" s="13">
        <f t="shared" si="4"/>
        <v>0.1288888888888889</v>
      </c>
    </row>
    <row r="31" spans="1:11" ht="12.75">
      <c r="A31" s="29">
        <f>ROW()</f>
        <v>31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12.75">
      <c r="A32" s="29">
        <f>ROW()</f>
        <v>32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3.5" customHeigh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27"/>
    </row>
    <row r="34" spans="1:10" ht="20.25">
      <c r="A34" s="44"/>
      <c r="B34" s="43" t="s">
        <v>30</v>
      </c>
      <c r="C34" s="44"/>
      <c r="D34" s="44"/>
      <c r="E34" s="44"/>
      <c r="F34" s="44"/>
      <c r="G34" s="44"/>
      <c r="H34" s="44"/>
      <c r="I34" s="44"/>
      <c r="J34" s="44"/>
    </row>
    <row r="35" spans="1:10" ht="12.75">
      <c r="A35" s="44"/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2.75">
      <c r="A36" s="29" t="s">
        <v>6</v>
      </c>
      <c r="B36" s="29" t="s">
        <v>7</v>
      </c>
      <c r="C36" s="29" t="s">
        <v>8</v>
      </c>
      <c r="D36" s="29" t="s">
        <v>31</v>
      </c>
      <c r="E36" s="29" t="s">
        <v>32</v>
      </c>
      <c r="F36" s="29" t="s">
        <v>33</v>
      </c>
      <c r="G36" s="29" t="s">
        <v>34</v>
      </c>
      <c r="H36" s="29" t="s">
        <v>35</v>
      </c>
      <c r="I36" s="29" t="s">
        <v>36</v>
      </c>
      <c r="J36" s="29" t="s">
        <v>37</v>
      </c>
    </row>
    <row r="37" spans="1:11" ht="13.5" customHeight="1">
      <c r="A37" s="29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ht="6.75" customHeight="1">
      <c r="A38" s="29"/>
    </row>
    <row r="39" spans="1:2" ht="12.75">
      <c r="A39" s="29"/>
      <c r="B39" s="20" t="s">
        <v>19</v>
      </c>
    </row>
    <row r="40" spans="1:4" ht="12.75">
      <c r="A40" s="29">
        <f aca="true" t="shared" si="5" ref="A40:A67">ROW()</f>
        <v>40</v>
      </c>
      <c r="B40" s="15" t="s">
        <v>20</v>
      </c>
      <c r="D40" s="21">
        <v>116.5</v>
      </c>
    </row>
    <row r="41" spans="1:4" ht="12.75">
      <c r="A41" s="29">
        <f t="shared" si="5"/>
        <v>41</v>
      </c>
      <c r="B41" s="15" t="s">
        <v>21</v>
      </c>
      <c r="D41" s="21">
        <v>130</v>
      </c>
    </row>
    <row r="42" spans="1:2" ht="12.75">
      <c r="A42" s="29">
        <f t="shared" si="5"/>
        <v>42</v>
      </c>
      <c r="B42" s="15"/>
    </row>
    <row r="43" spans="1:2" ht="12.75">
      <c r="A43" s="29">
        <f t="shared" si="5"/>
        <v>43</v>
      </c>
      <c r="B43" s="17" t="s">
        <v>22</v>
      </c>
    </row>
    <row r="44" spans="1:2" ht="7.5" customHeight="1">
      <c r="A44" s="29">
        <f t="shared" si="5"/>
        <v>44</v>
      </c>
      <c r="B44" s="17"/>
    </row>
    <row r="45" spans="1:8" ht="25.5">
      <c r="A45" s="29">
        <f t="shared" si="5"/>
        <v>45</v>
      </c>
      <c r="B45" s="22" t="s">
        <v>24</v>
      </c>
      <c r="C45" s="18" t="s">
        <v>26</v>
      </c>
      <c r="D45" s="18" t="s">
        <v>27</v>
      </c>
      <c r="E45" s="18" t="s">
        <v>28</v>
      </c>
      <c r="F45" s="18" t="s">
        <v>29</v>
      </c>
      <c r="H45" s="28" t="s">
        <v>27</v>
      </c>
    </row>
    <row r="46" spans="1:8" ht="12.75">
      <c r="A46" s="29">
        <f t="shared" si="5"/>
        <v>46</v>
      </c>
      <c r="B46" s="37">
        <v>110</v>
      </c>
      <c r="C46" s="38">
        <v>22.8</v>
      </c>
      <c r="D46" s="40">
        <f aca="true" t="shared" si="6" ref="D46:D51">IF($D$41-B46&gt;0,$D$41-B46,0)</f>
        <v>20</v>
      </c>
      <c r="E46" s="25">
        <f aca="true" t="shared" si="7" ref="E46:E51">+D46-C46</f>
        <v>-2.8000000000000007</v>
      </c>
      <c r="F46" s="26">
        <f aca="true" t="shared" si="8" ref="F46:F51">+E46/C46</f>
        <v>-0.12280701754385967</v>
      </c>
      <c r="H46" s="42" t="s">
        <v>47</v>
      </c>
    </row>
    <row r="47" spans="1:6" ht="12.75">
      <c r="A47" s="29">
        <f t="shared" si="5"/>
        <v>47</v>
      </c>
      <c r="B47" s="37">
        <f>+B46+10</f>
        <v>120</v>
      </c>
      <c r="C47" s="38">
        <v>16.8</v>
      </c>
      <c r="D47" s="25">
        <f t="shared" si="6"/>
        <v>10</v>
      </c>
      <c r="E47" s="25">
        <f t="shared" si="7"/>
        <v>-6.800000000000001</v>
      </c>
      <c r="F47" s="26">
        <f t="shared" si="8"/>
        <v>-0.40476190476190477</v>
      </c>
    </row>
    <row r="48" spans="1:6" ht="12.75">
      <c r="A48" s="29">
        <f t="shared" si="5"/>
        <v>48</v>
      </c>
      <c r="B48" s="37">
        <f>+B47+10</f>
        <v>130</v>
      </c>
      <c r="C48" s="38">
        <v>13.6</v>
      </c>
      <c r="D48" s="25">
        <f t="shared" si="6"/>
        <v>0</v>
      </c>
      <c r="E48" s="25">
        <f t="shared" si="7"/>
        <v>-13.6</v>
      </c>
      <c r="F48" s="26">
        <f t="shared" si="8"/>
        <v>-1</v>
      </c>
    </row>
    <row r="49" spans="1:6" ht="12.75">
      <c r="A49" s="29">
        <f t="shared" si="5"/>
        <v>49</v>
      </c>
      <c r="B49" s="37">
        <f>+B48+10</f>
        <v>140</v>
      </c>
      <c r="C49" s="38">
        <v>10.3</v>
      </c>
      <c r="D49" s="25">
        <f t="shared" si="6"/>
        <v>0</v>
      </c>
      <c r="E49" s="25">
        <f t="shared" si="7"/>
        <v>-10.3</v>
      </c>
      <c r="F49" s="26">
        <f t="shared" si="8"/>
        <v>-1</v>
      </c>
    </row>
    <row r="50" spans="1:6" ht="12.75">
      <c r="A50" s="29">
        <f t="shared" si="5"/>
        <v>50</v>
      </c>
      <c r="B50" s="37">
        <f>+B49+10</f>
        <v>150</v>
      </c>
      <c r="C50" s="38">
        <v>10.3</v>
      </c>
      <c r="D50" s="25">
        <f t="shared" si="6"/>
        <v>0</v>
      </c>
      <c r="E50" s="25">
        <f t="shared" si="7"/>
        <v>-10.3</v>
      </c>
      <c r="F50" s="26">
        <f t="shared" si="8"/>
        <v>-1</v>
      </c>
    </row>
    <row r="51" spans="1:6" ht="12.75">
      <c r="A51" s="29">
        <f t="shared" si="5"/>
        <v>51</v>
      </c>
      <c r="B51" s="37">
        <f>+B50+10</f>
        <v>160</v>
      </c>
      <c r="C51" s="38">
        <v>10.3</v>
      </c>
      <c r="D51" s="25">
        <f t="shared" si="6"/>
        <v>0</v>
      </c>
      <c r="E51" s="25">
        <f t="shared" si="7"/>
        <v>-10.3</v>
      </c>
      <c r="F51" s="26">
        <f t="shared" si="8"/>
        <v>-1</v>
      </c>
    </row>
    <row r="52" spans="1:6" ht="12.75">
      <c r="A52" s="29">
        <f t="shared" si="5"/>
        <v>52</v>
      </c>
      <c r="C52" s="23"/>
      <c r="D52" s="19"/>
      <c r="E52" s="19"/>
      <c r="F52" s="19"/>
    </row>
    <row r="53" spans="1:8" ht="25.5">
      <c r="A53" s="29">
        <f t="shared" si="5"/>
        <v>53</v>
      </c>
      <c r="B53" s="22" t="s">
        <v>23</v>
      </c>
      <c r="C53" s="24" t="s">
        <v>26</v>
      </c>
      <c r="D53" s="18" t="s">
        <v>27</v>
      </c>
      <c r="E53" s="18" t="s">
        <v>28</v>
      </c>
      <c r="F53" s="18" t="s">
        <v>29</v>
      </c>
      <c r="H53" s="28" t="s">
        <v>27</v>
      </c>
    </row>
    <row r="54" spans="1:8" ht="12.75">
      <c r="A54" s="29">
        <f t="shared" si="5"/>
        <v>54</v>
      </c>
      <c r="B54" s="39">
        <f aca="true" t="shared" si="9" ref="B54:B59">+B46</f>
        <v>110</v>
      </c>
      <c r="C54" s="38">
        <v>12.6</v>
      </c>
      <c r="D54" s="40">
        <f aca="true" t="shared" si="10" ref="D54:D59">IF(B54-$D$41&gt;0,B54-$D$41,0)</f>
        <v>0</v>
      </c>
      <c r="E54" s="25">
        <f aca="true" t="shared" si="11" ref="E54:E59">+D54-C54</f>
        <v>-12.6</v>
      </c>
      <c r="F54" s="26">
        <f aca="true" t="shared" si="12" ref="F54:F59">+E54/C54</f>
        <v>-1</v>
      </c>
      <c r="H54" s="42" t="s">
        <v>48</v>
      </c>
    </row>
    <row r="55" spans="1:6" ht="12.75">
      <c r="A55" s="29">
        <f t="shared" si="5"/>
        <v>55</v>
      </c>
      <c r="B55" s="39">
        <f t="shared" si="9"/>
        <v>120</v>
      </c>
      <c r="C55" s="38">
        <v>17.2</v>
      </c>
      <c r="D55" s="25">
        <f t="shared" si="10"/>
        <v>0</v>
      </c>
      <c r="E55" s="25">
        <f t="shared" si="11"/>
        <v>-17.2</v>
      </c>
      <c r="F55" s="26">
        <f t="shared" si="12"/>
        <v>-1</v>
      </c>
    </row>
    <row r="56" spans="1:6" ht="12.75">
      <c r="A56" s="29">
        <f t="shared" si="5"/>
        <v>56</v>
      </c>
      <c r="B56" s="39">
        <f t="shared" si="9"/>
        <v>130</v>
      </c>
      <c r="C56" s="38">
        <v>23.6</v>
      </c>
      <c r="D56" s="25">
        <f t="shared" si="10"/>
        <v>0</v>
      </c>
      <c r="E56" s="25">
        <f t="shared" si="11"/>
        <v>-23.6</v>
      </c>
      <c r="F56" s="26">
        <f t="shared" si="12"/>
        <v>-1</v>
      </c>
    </row>
    <row r="57" spans="1:6" ht="12.75">
      <c r="A57" s="29">
        <f t="shared" si="5"/>
        <v>57</v>
      </c>
      <c r="B57" s="39">
        <f t="shared" si="9"/>
        <v>140</v>
      </c>
      <c r="C57" s="38">
        <v>30.5</v>
      </c>
      <c r="D57" s="25">
        <f t="shared" si="10"/>
        <v>10</v>
      </c>
      <c r="E57" s="25">
        <f t="shared" si="11"/>
        <v>-20.5</v>
      </c>
      <c r="F57" s="26">
        <f t="shared" si="12"/>
        <v>-0.6721311475409836</v>
      </c>
    </row>
    <row r="58" spans="1:6" ht="12.75">
      <c r="A58" s="29">
        <f t="shared" si="5"/>
        <v>58</v>
      </c>
      <c r="B58" s="39">
        <f t="shared" si="9"/>
        <v>150</v>
      </c>
      <c r="C58" s="38">
        <v>30.5</v>
      </c>
      <c r="D58" s="25">
        <f t="shared" si="10"/>
        <v>20</v>
      </c>
      <c r="E58" s="25">
        <f t="shared" si="11"/>
        <v>-10.5</v>
      </c>
      <c r="F58" s="26">
        <f t="shared" si="12"/>
        <v>-0.3442622950819672</v>
      </c>
    </row>
    <row r="59" spans="1:6" ht="12.75">
      <c r="A59" s="29">
        <f t="shared" si="5"/>
        <v>59</v>
      </c>
      <c r="B59" s="39">
        <f t="shared" si="9"/>
        <v>160</v>
      </c>
      <c r="C59" s="38">
        <v>30.5</v>
      </c>
      <c r="D59" s="25">
        <f t="shared" si="10"/>
        <v>30</v>
      </c>
      <c r="E59" s="25">
        <f t="shared" si="11"/>
        <v>-0.5</v>
      </c>
      <c r="F59" s="26">
        <f t="shared" si="12"/>
        <v>-0.01639344262295082</v>
      </c>
    </row>
    <row r="60" spans="1:6" ht="12.75">
      <c r="A60" s="29">
        <f t="shared" si="5"/>
        <v>60</v>
      </c>
      <c r="B60" s="16"/>
      <c r="C60" s="23"/>
      <c r="D60" s="19"/>
      <c r="E60" s="19"/>
      <c r="F60" s="19"/>
    </row>
    <row r="61" spans="1:8" ht="12.75">
      <c r="A61" s="29">
        <f t="shared" si="5"/>
        <v>61</v>
      </c>
      <c r="B61" s="9" t="s">
        <v>25</v>
      </c>
      <c r="C61" s="24" t="s">
        <v>26</v>
      </c>
      <c r="D61" s="18" t="s">
        <v>27</v>
      </c>
      <c r="E61" s="18" t="s">
        <v>28</v>
      </c>
      <c r="F61" s="18" t="s">
        <v>29</v>
      </c>
      <c r="H61" s="28" t="s">
        <v>27</v>
      </c>
    </row>
    <row r="62" spans="1:8" ht="12.75">
      <c r="A62" s="29">
        <f t="shared" si="5"/>
        <v>62</v>
      </c>
      <c r="B62" s="46">
        <f aca="true" t="shared" si="13" ref="B62:B67">+B54</f>
        <v>110</v>
      </c>
      <c r="C62" s="47">
        <f aca="true" t="shared" si="14" ref="C62:D67">+C54+C46</f>
        <v>35.4</v>
      </c>
      <c r="D62" s="41">
        <f t="shared" si="14"/>
        <v>20</v>
      </c>
      <c r="E62" s="25">
        <f aca="true" t="shared" si="15" ref="E62:E67">+D62-C62</f>
        <v>-15.399999999999999</v>
      </c>
      <c r="F62" s="26">
        <f aca="true" t="shared" si="16" ref="F62:F67">+E62/C62</f>
        <v>-0.4350282485875706</v>
      </c>
      <c r="H62" s="41" t="s">
        <v>49</v>
      </c>
    </row>
    <row r="63" spans="1:6" ht="12.75">
      <c r="A63" s="29">
        <f t="shared" si="5"/>
        <v>63</v>
      </c>
      <c r="B63" s="46">
        <f t="shared" si="13"/>
        <v>120</v>
      </c>
      <c r="C63" s="47">
        <f t="shared" si="14"/>
        <v>34</v>
      </c>
      <c r="D63" s="21">
        <f t="shared" si="14"/>
        <v>10</v>
      </c>
      <c r="E63" s="25">
        <f t="shared" si="15"/>
        <v>-24</v>
      </c>
      <c r="F63" s="26">
        <f t="shared" si="16"/>
        <v>-0.7058823529411765</v>
      </c>
    </row>
    <row r="64" spans="1:6" ht="12.75">
      <c r="A64" s="29">
        <f t="shared" si="5"/>
        <v>64</v>
      </c>
      <c r="B64" s="46">
        <f t="shared" si="13"/>
        <v>130</v>
      </c>
      <c r="C64" s="47">
        <f t="shared" si="14"/>
        <v>37.2</v>
      </c>
      <c r="D64" s="21">
        <f t="shared" si="14"/>
        <v>0</v>
      </c>
      <c r="E64" s="25">
        <f t="shared" si="15"/>
        <v>-37.2</v>
      </c>
      <c r="F64" s="26">
        <f t="shared" si="16"/>
        <v>-1</v>
      </c>
    </row>
    <row r="65" spans="1:6" ht="12.75">
      <c r="A65" s="29">
        <f t="shared" si="5"/>
        <v>65</v>
      </c>
      <c r="B65" s="46">
        <f t="shared" si="13"/>
        <v>140</v>
      </c>
      <c r="C65" s="47">
        <f t="shared" si="14"/>
        <v>40.8</v>
      </c>
      <c r="D65" s="21">
        <f t="shared" si="14"/>
        <v>10</v>
      </c>
      <c r="E65" s="25">
        <f t="shared" si="15"/>
        <v>-30.799999999999997</v>
      </c>
      <c r="F65" s="26">
        <f t="shared" si="16"/>
        <v>-0.7549019607843137</v>
      </c>
    </row>
    <row r="66" spans="1:6" ht="12.75">
      <c r="A66" s="29">
        <f t="shared" si="5"/>
        <v>66</v>
      </c>
      <c r="B66" s="46">
        <f t="shared" si="13"/>
        <v>150</v>
      </c>
      <c r="C66" s="47">
        <f t="shared" si="14"/>
        <v>40.8</v>
      </c>
      <c r="D66" s="21">
        <f t="shared" si="14"/>
        <v>20</v>
      </c>
      <c r="E66" s="25">
        <f t="shared" si="15"/>
        <v>-20.799999999999997</v>
      </c>
      <c r="F66" s="26">
        <f t="shared" si="16"/>
        <v>-0.5098039215686274</v>
      </c>
    </row>
    <row r="67" spans="1:6" ht="12.75">
      <c r="A67" s="29">
        <f t="shared" si="5"/>
        <v>67</v>
      </c>
      <c r="B67" s="46">
        <f t="shared" si="13"/>
        <v>160</v>
      </c>
      <c r="C67" s="47">
        <f t="shared" si="14"/>
        <v>40.8</v>
      </c>
      <c r="D67" s="21">
        <f t="shared" si="14"/>
        <v>30</v>
      </c>
      <c r="E67" s="25">
        <f t="shared" si="15"/>
        <v>-10.799999999999997</v>
      </c>
      <c r="F67" s="26">
        <f t="shared" si="16"/>
        <v>-0.2647058823529411</v>
      </c>
    </row>
  </sheetData>
  <sheetProtection/>
  <mergeCells count="2">
    <mergeCell ref="C16:D16"/>
    <mergeCell ref="E16:J16"/>
  </mergeCells>
  <printOptions/>
  <pageMargins left="0.24" right="0.31" top="1" bottom="1" header="0.5" footer="0.5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9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6.57421875" style="0" customWidth="1"/>
    <col min="2" max="2" width="31.00390625" style="0" customWidth="1"/>
    <col min="3" max="3" width="10.421875" style="0" customWidth="1"/>
    <col min="4" max="4" width="14.28125" style="0" customWidth="1"/>
    <col min="6" max="6" width="14.00390625" style="0" customWidth="1"/>
    <col min="7" max="7" width="14.28125" style="0" customWidth="1"/>
    <col min="8" max="8" width="21.28125" style="0" customWidth="1"/>
    <col min="9" max="9" width="28.140625" style="0" customWidth="1"/>
    <col min="10" max="11" width="13.7109375" style="0" customWidth="1"/>
    <col min="13" max="13" width="10.8515625" style="0" customWidth="1"/>
    <col min="14" max="14" width="15.140625" style="0" customWidth="1"/>
    <col min="15" max="15" width="12.8515625" style="0" customWidth="1"/>
    <col min="16" max="16" width="13.140625" style="0" customWidth="1"/>
    <col min="17" max="17" width="13.28125" style="0" customWidth="1"/>
    <col min="20" max="20" width="13.140625" style="0" customWidth="1"/>
  </cols>
  <sheetData>
    <row r="1" ht="20.25">
      <c r="A1" s="49" t="s">
        <v>175</v>
      </c>
    </row>
    <row r="3" ht="12.75">
      <c r="A3" t="s">
        <v>91</v>
      </c>
    </row>
    <row r="5" spans="1:9" ht="18.75">
      <c r="A5" s="122" t="s">
        <v>203</v>
      </c>
      <c r="I5" s="122" t="s">
        <v>204</v>
      </c>
    </row>
    <row r="6" spans="2:14" ht="66.75" customHeight="1" thickBot="1">
      <c r="B6" s="87" t="s">
        <v>90</v>
      </c>
      <c r="C6" s="88" t="s">
        <v>53</v>
      </c>
      <c r="D6" s="88" t="s">
        <v>141</v>
      </c>
      <c r="E6" s="88" t="s">
        <v>142</v>
      </c>
      <c r="F6" s="123" t="s">
        <v>52</v>
      </c>
      <c r="G6" s="123" t="s">
        <v>205</v>
      </c>
      <c r="I6" s="87" t="s">
        <v>90</v>
      </c>
      <c r="J6" s="88" t="s">
        <v>220</v>
      </c>
      <c r="K6" s="88" t="s">
        <v>141</v>
      </c>
      <c r="L6" s="88" t="s">
        <v>142</v>
      </c>
      <c r="M6" s="123" t="s">
        <v>52</v>
      </c>
      <c r="N6" s="123" t="s">
        <v>205</v>
      </c>
    </row>
    <row r="7" spans="2:14" ht="13.5" thickTop="1">
      <c r="B7" s="174" t="s">
        <v>212</v>
      </c>
      <c r="C7" s="50">
        <v>100</v>
      </c>
      <c r="F7" s="124"/>
      <c r="G7" s="124"/>
      <c r="I7" s="174" t="s">
        <v>212</v>
      </c>
      <c r="J7" s="50">
        <v>100</v>
      </c>
      <c r="M7" s="124"/>
      <c r="N7" s="124"/>
    </row>
    <row r="8" spans="2:14" ht="12.75">
      <c r="B8" t="s">
        <v>143</v>
      </c>
      <c r="D8" s="99">
        <v>1.2</v>
      </c>
      <c r="E8" s="50">
        <f>+C7*D8</f>
        <v>120</v>
      </c>
      <c r="F8" s="125">
        <f>+E8-C12</f>
        <v>10</v>
      </c>
      <c r="G8" s="124"/>
      <c r="I8" t="s">
        <v>143</v>
      </c>
      <c r="K8" s="99">
        <v>1.2</v>
      </c>
      <c r="L8" s="50">
        <f>+J7*K8</f>
        <v>120</v>
      </c>
      <c r="M8" s="125">
        <v>0</v>
      </c>
      <c r="N8" s="124"/>
    </row>
    <row r="9" spans="2:14" ht="12.75">
      <c r="B9" t="s">
        <v>144</v>
      </c>
      <c r="D9" s="99">
        <v>0.9</v>
      </c>
      <c r="E9" s="52">
        <f>+C7*D9</f>
        <v>90</v>
      </c>
      <c r="F9" s="125">
        <v>0</v>
      </c>
      <c r="G9" s="124"/>
      <c r="I9" t="s">
        <v>144</v>
      </c>
      <c r="K9" s="99">
        <v>0.9</v>
      </c>
      <c r="L9" s="52">
        <f>+J7*K9</f>
        <v>90</v>
      </c>
      <c r="M9" s="125">
        <f>+J12-L9</f>
        <v>20</v>
      </c>
      <c r="N9" s="124"/>
    </row>
    <row r="10" spans="2:14" ht="13.5" thickBot="1">
      <c r="B10" s="174" t="s">
        <v>213</v>
      </c>
      <c r="D10" s="4"/>
      <c r="E10" s="126">
        <f>+E8-E9</f>
        <v>30</v>
      </c>
      <c r="F10" s="126">
        <f>+F8-F9</f>
        <v>10</v>
      </c>
      <c r="G10" s="177">
        <f>+F10/E10</f>
        <v>0.3333333333333333</v>
      </c>
      <c r="I10" s="174" t="s">
        <v>219</v>
      </c>
      <c r="K10" s="4"/>
      <c r="L10" s="126">
        <f>+L8-L9</f>
        <v>30</v>
      </c>
      <c r="M10" s="175">
        <f>+M9-M8</f>
        <v>20</v>
      </c>
      <c r="N10" s="177">
        <f>+M10/L10</f>
        <v>0.6666666666666666</v>
      </c>
    </row>
    <row r="11" ht="13.5" thickTop="1"/>
    <row r="12" spans="2:10" ht="12.75">
      <c r="B12" s="174" t="s">
        <v>215</v>
      </c>
      <c r="C12" s="50">
        <v>110</v>
      </c>
      <c r="I12" s="174" t="s">
        <v>215</v>
      </c>
      <c r="J12" s="50">
        <v>110</v>
      </c>
    </row>
    <row r="13" spans="2:11" ht="12.75">
      <c r="B13" t="s">
        <v>51</v>
      </c>
      <c r="C13">
        <v>1</v>
      </c>
      <c r="D13" t="s">
        <v>201</v>
      </c>
      <c r="I13" t="s">
        <v>51</v>
      </c>
      <c r="J13" s="19">
        <v>1</v>
      </c>
      <c r="K13" t="s">
        <v>201</v>
      </c>
    </row>
    <row r="14" spans="2:10" ht="12.75">
      <c r="B14" s="174" t="s">
        <v>54</v>
      </c>
      <c r="C14" s="178">
        <v>0.1</v>
      </c>
      <c r="I14" s="174" t="s">
        <v>54</v>
      </c>
      <c r="J14" s="178">
        <v>0.1</v>
      </c>
    </row>
    <row r="15" spans="2:9" ht="12.75">
      <c r="B15" s="56"/>
      <c r="I15" s="56"/>
    </row>
    <row r="16" spans="2:10" ht="12.75">
      <c r="B16" s="174" t="s">
        <v>206</v>
      </c>
      <c r="C16" s="51">
        <f>+E10</f>
        <v>30</v>
      </c>
      <c r="D16" s="1"/>
      <c r="I16" s="174" t="s">
        <v>206</v>
      </c>
      <c r="J16" s="51">
        <f>+L10</f>
        <v>30</v>
      </c>
    </row>
    <row r="17" spans="2:10" ht="12.75">
      <c r="B17" s="174" t="s">
        <v>207</v>
      </c>
      <c r="C17" s="51">
        <f>+F10</f>
        <v>10</v>
      </c>
      <c r="D17" s="1"/>
      <c r="I17" s="174" t="s">
        <v>216</v>
      </c>
      <c r="J17" s="51">
        <f>+M10</f>
        <v>20</v>
      </c>
    </row>
    <row r="18" spans="2:10" ht="12.75">
      <c r="B18" s="174" t="s">
        <v>208</v>
      </c>
      <c r="C18" s="176">
        <f>+G10</f>
        <v>0.3333333333333333</v>
      </c>
      <c r="D18" s="1"/>
      <c r="I18" s="174" t="s">
        <v>208</v>
      </c>
      <c r="J18" s="176">
        <f>+N10</f>
        <v>0.6666666666666666</v>
      </c>
    </row>
    <row r="19" spans="3:10" ht="12.75">
      <c r="C19" s="51"/>
      <c r="D19" s="1"/>
      <c r="J19" s="51"/>
    </row>
    <row r="20" spans="2:10" ht="12.75">
      <c r="B20" s="174" t="s">
        <v>209</v>
      </c>
      <c r="C20" s="51">
        <f>+E9/(1+C14)^C13</f>
        <v>81.81818181818181</v>
      </c>
      <c r="D20" s="1"/>
      <c r="I20" s="174" t="s">
        <v>217</v>
      </c>
      <c r="J20" s="51">
        <f>+L8/(1+J14)^J13</f>
        <v>109.09090909090908</v>
      </c>
    </row>
    <row r="21" spans="2:10" ht="12.75">
      <c r="B21" s="174" t="s">
        <v>210</v>
      </c>
      <c r="C21" s="51">
        <f>+C7-C20</f>
        <v>18.181818181818187</v>
      </c>
      <c r="D21" s="1"/>
      <c r="I21" s="174" t="s">
        <v>218</v>
      </c>
      <c r="J21" s="51">
        <f>+J20-J7</f>
        <v>9.09090909090908</v>
      </c>
    </row>
    <row r="22" spans="2:10" ht="12.75">
      <c r="B22" s="174" t="s">
        <v>211</v>
      </c>
      <c r="C22" s="51">
        <f>+C21*G10</f>
        <v>6.060606060606062</v>
      </c>
      <c r="D22" s="1"/>
      <c r="I22" s="174" t="s">
        <v>221</v>
      </c>
      <c r="J22" s="51">
        <f>+J21*(1/N10)</f>
        <v>13.636363636363619</v>
      </c>
    </row>
    <row r="23" spans="3:10" ht="13.5" thickBot="1">
      <c r="C23" s="51"/>
      <c r="D23" s="1"/>
      <c r="J23" s="51"/>
    </row>
    <row r="24" spans="2:10" ht="13.5" thickBot="1">
      <c r="B24" s="179" t="s">
        <v>214</v>
      </c>
      <c r="C24" s="180">
        <f>+C22</f>
        <v>6.060606060606062</v>
      </c>
      <c r="D24" s="1"/>
      <c r="I24" s="179" t="s">
        <v>214</v>
      </c>
      <c r="J24" s="180">
        <f>+J22</f>
        <v>13.636363636363619</v>
      </c>
    </row>
    <row r="25" ht="13.5" thickBot="1"/>
    <row r="26" spans="2:10" ht="13.5" thickBot="1">
      <c r="B26" s="181" t="s">
        <v>222</v>
      </c>
      <c r="C26" s="182">
        <f>+C12+C24</f>
        <v>116.06060606060606</v>
      </c>
      <c r="I26" s="181" t="s">
        <v>222</v>
      </c>
      <c r="J26" s="182">
        <f>+J12-J24</f>
        <v>96.36363636363637</v>
      </c>
    </row>
    <row r="27" spans="2:10" ht="12.75">
      <c r="B27" s="174" t="s">
        <v>223</v>
      </c>
      <c r="C27" s="51">
        <f>+C26-C7</f>
        <v>16.060606060606062</v>
      </c>
      <c r="I27" s="174" t="s">
        <v>223</v>
      </c>
      <c r="J27" s="51">
        <f>+J26-J7</f>
        <v>-3.636363636363626</v>
      </c>
    </row>
    <row r="28" spans="2:10" ht="12.75">
      <c r="B28" s="174" t="s">
        <v>224</v>
      </c>
      <c r="C28" s="13">
        <f>+C27/C7</f>
        <v>0.1606060606060606</v>
      </c>
      <c r="I28" s="174" t="s">
        <v>224</v>
      </c>
      <c r="J28" s="13">
        <f>+J27/J7</f>
        <v>-0.03636363636363626</v>
      </c>
    </row>
    <row r="29" ht="12.75">
      <c r="H29" s="127"/>
    </row>
    <row r="32" spans="1:14" ht="13.5" thickBo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ht="18.75">
      <c r="A33" s="122" t="s">
        <v>202</v>
      </c>
    </row>
    <row r="34" spans="1:6" ht="19.5" thickBot="1">
      <c r="A34" s="122"/>
      <c r="F34" s="48" t="s">
        <v>174</v>
      </c>
    </row>
    <row r="35" spans="2:11" ht="12.75">
      <c r="B35" s="62" t="s">
        <v>93</v>
      </c>
      <c r="C35" s="183">
        <f>1/C43</f>
        <v>3</v>
      </c>
      <c r="D35" s="64" t="s">
        <v>14</v>
      </c>
      <c r="F35" s="62"/>
      <c r="G35" s="63"/>
      <c r="H35" s="75" t="s">
        <v>86</v>
      </c>
      <c r="I35" s="90">
        <v>6.5</v>
      </c>
      <c r="J35" s="63"/>
      <c r="K35" s="64"/>
    </row>
    <row r="36" spans="2:11" ht="12.75">
      <c r="B36" s="65" t="str">
        <f>+B7</f>
        <v>Current Price (So)=</v>
      </c>
      <c r="C36" s="66">
        <f>+C7</f>
        <v>100</v>
      </c>
      <c r="D36" s="67"/>
      <c r="F36" s="65"/>
      <c r="G36" s="27"/>
      <c r="H36" s="76" t="s">
        <v>87</v>
      </c>
      <c r="I36" s="89">
        <f>+C56/C57</f>
        <v>3</v>
      </c>
      <c r="J36" s="27"/>
      <c r="K36" s="67"/>
    </row>
    <row r="37" spans="2:11" ht="12.75">
      <c r="B37" s="65" t="s">
        <v>55</v>
      </c>
      <c r="C37" s="66">
        <f>+E9</f>
        <v>90</v>
      </c>
      <c r="D37" s="67"/>
      <c r="F37" s="65"/>
      <c r="G37" s="27"/>
      <c r="H37" s="27"/>
      <c r="I37" s="27"/>
      <c r="J37" s="27"/>
      <c r="K37" s="67"/>
    </row>
    <row r="38" spans="2:11" ht="12.75">
      <c r="B38" s="65" t="s">
        <v>56</v>
      </c>
      <c r="C38" s="66">
        <f>+E8</f>
        <v>120</v>
      </c>
      <c r="D38" s="67"/>
      <c r="F38" s="82"/>
      <c r="G38" s="81"/>
      <c r="H38" s="81"/>
      <c r="I38" s="77" t="s">
        <v>82</v>
      </c>
      <c r="J38" s="77" t="s">
        <v>81</v>
      </c>
      <c r="K38" s="78" t="s">
        <v>81</v>
      </c>
    </row>
    <row r="39" spans="2:11" ht="12.75">
      <c r="B39" s="65" t="s">
        <v>50</v>
      </c>
      <c r="C39" s="61">
        <f>+C38-C37</f>
        <v>30</v>
      </c>
      <c r="D39" s="67"/>
      <c r="F39" s="83" t="s">
        <v>89</v>
      </c>
      <c r="G39" s="10" t="s">
        <v>88</v>
      </c>
      <c r="H39" s="10"/>
      <c r="I39" s="9" t="s">
        <v>83</v>
      </c>
      <c r="J39" s="91">
        <f>+E9</f>
        <v>90</v>
      </c>
      <c r="K39" s="92">
        <f>+E8</f>
        <v>120</v>
      </c>
    </row>
    <row r="40" spans="2:11" ht="12.75">
      <c r="B40" s="65"/>
      <c r="C40" s="27"/>
      <c r="D40" s="67"/>
      <c r="F40" s="84" t="s">
        <v>75</v>
      </c>
      <c r="G40" s="27" t="s">
        <v>74</v>
      </c>
      <c r="H40" s="27"/>
      <c r="I40" s="61">
        <f>+I35*I36</f>
        <v>19.5</v>
      </c>
      <c r="J40" s="61">
        <f>IF(J39&lt;C12,0,-(J39-$C$12)*$I$36)</f>
        <v>0</v>
      </c>
      <c r="K40" s="79">
        <f>IF(K39&lt;$C$12,0,-(K39-$C$12)*$I$36)</f>
        <v>-30</v>
      </c>
    </row>
    <row r="41" spans="2:11" ht="12.75">
      <c r="B41" s="65" t="s">
        <v>57</v>
      </c>
      <c r="C41" s="61">
        <f>IF(C38&lt;$C$12,0,(C38-$C$12))</f>
        <v>10</v>
      </c>
      <c r="D41" s="67"/>
      <c r="F41" s="84" t="s">
        <v>76</v>
      </c>
      <c r="G41" s="27" t="s">
        <v>77</v>
      </c>
      <c r="H41" s="27"/>
      <c r="I41" s="61">
        <f>-C7</f>
        <v>-100</v>
      </c>
      <c r="J41" s="61">
        <f>+J39</f>
        <v>90</v>
      </c>
      <c r="K41" s="79">
        <f>+K39</f>
        <v>120</v>
      </c>
    </row>
    <row r="42" spans="2:11" ht="12.75">
      <c r="B42" s="65" t="s">
        <v>65</v>
      </c>
      <c r="C42" s="61">
        <f>IF(C37&lt;$C$12,0,(C37-$C$12))</f>
        <v>0</v>
      </c>
      <c r="D42" s="67"/>
      <c r="F42" s="84" t="s">
        <v>78</v>
      </c>
      <c r="G42" s="27" t="s">
        <v>79</v>
      </c>
      <c r="H42" s="27"/>
      <c r="I42" s="55">
        <f>-I41-I40</f>
        <v>80.5</v>
      </c>
      <c r="J42" s="52">
        <f>-(+I42*(1+C14)^C13)</f>
        <v>-88.55000000000001</v>
      </c>
      <c r="K42" s="80">
        <f>+J42</f>
        <v>-88.55000000000001</v>
      </c>
    </row>
    <row r="43" spans="2:11" ht="13.5" thickBot="1">
      <c r="B43" s="65" t="s">
        <v>95</v>
      </c>
      <c r="C43" s="58">
        <f>+C41/C39</f>
        <v>0.3333333333333333</v>
      </c>
      <c r="D43" s="67"/>
      <c r="F43" s="65"/>
      <c r="G43" s="81" t="s">
        <v>80</v>
      </c>
      <c r="H43" s="81"/>
      <c r="I43" s="85">
        <f>+I40+I41+I42</f>
        <v>0</v>
      </c>
      <c r="J43" s="85">
        <f>SUM(J40:J42)</f>
        <v>1.4499999999999886</v>
      </c>
      <c r="K43" s="86">
        <f>SUM(K40:K42)</f>
        <v>1.4499999999999886</v>
      </c>
    </row>
    <row r="44" spans="2:11" ht="14.25" thickBot="1" thickTop="1">
      <c r="B44" s="65"/>
      <c r="C44" s="27"/>
      <c r="D44" s="67"/>
      <c r="F44" s="65"/>
      <c r="G44" s="27" t="s">
        <v>84</v>
      </c>
      <c r="H44" s="27"/>
      <c r="I44" s="61"/>
      <c r="J44" s="61">
        <f>+J43/(1+C14)^C13</f>
        <v>1.3181818181818077</v>
      </c>
      <c r="K44" s="79">
        <f>+J44</f>
        <v>1.3181818181818077</v>
      </c>
    </row>
    <row r="45" spans="2:11" ht="12.75">
      <c r="B45" s="94" t="s">
        <v>97</v>
      </c>
      <c r="C45" s="95"/>
      <c r="D45" s="67"/>
      <c r="F45" s="65"/>
      <c r="G45" s="27" t="s">
        <v>85</v>
      </c>
      <c r="H45" s="27"/>
      <c r="I45" s="27"/>
      <c r="J45" s="61">
        <f>+J44/I36</f>
        <v>0.4393939393939359</v>
      </c>
      <c r="K45" s="79">
        <f>+K44/I36</f>
        <v>0.4393939393939359</v>
      </c>
    </row>
    <row r="46" spans="2:11" ht="13.5" thickBot="1">
      <c r="B46" s="96" t="s">
        <v>96</v>
      </c>
      <c r="C46" s="97"/>
      <c r="D46" s="67"/>
      <c r="F46" s="65"/>
      <c r="G46" s="27"/>
      <c r="H46" s="27"/>
      <c r="I46" s="27"/>
      <c r="J46" s="27"/>
      <c r="K46" s="67"/>
    </row>
    <row r="47" spans="2:11" ht="12.75">
      <c r="B47" s="65"/>
      <c r="C47" s="27"/>
      <c r="D47" s="67"/>
      <c r="F47" s="65"/>
      <c r="G47" s="27"/>
      <c r="H47" s="27"/>
      <c r="I47" s="27"/>
      <c r="J47" s="76" t="s">
        <v>92</v>
      </c>
      <c r="K47" s="93">
        <f>+K45</f>
        <v>0.4393939393939359</v>
      </c>
    </row>
    <row r="48" spans="2:11" ht="13.5" thickBot="1">
      <c r="B48" s="65" t="s">
        <v>59</v>
      </c>
      <c r="C48" s="27"/>
      <c r="D48" s="67"/>
      <c r="F48" s="72"/>
      <c r="G48" s="73"/>
      <c r="H48" s="73"/>
      <c r="I48" s="73"/>
      <c r="J48" s="73"/>
      <c r="K48" s="74"/>
    </row>
    <row r="49" spans="2:4" ht="12.75">
      <c r="B49" s="65" t="s">
        <v>60</v>
      </c>
      <c r="C49" s="27"/>
      <c r="D49" s="67"/>
    </row>
    <row r="50" spans="2:4" ht="12.75">
      <c r="B50" s="65"/>
      <c r="C50" s="27"/>
      <c r="D50" s="67"/>
    </row>
    <row r="51" spans="2:4" ht="12.75">
      <c r="B51" s="68" t="s">
        <v>61</v>
      </c>
      <c r="C51" s="66">
        <f>+E8</f>
        <v>120</v>
      </c>
      <c r="D51" s="67"/>
    </row>
    <row r="52" spans="2:4" ht="12.75">
      <c r="B52" s="68" t="s">
        <v>62</v>
      </c>
      <c r="C52" s="66">
        <f>+E9</f>
        <v>90</v>
      </c>
      <c r="D52" s="67"/>
    </row>
    <row r="53" spans="2:4" ht="12.75">
      <c r="B53" s="68" t="s">
        <v>63</v>
      </c>
      <c r="C53" s="61">
        <v>110</v>
      </c>
      <c r="D53" s="67"/>
    </row>
    <row r="54" spans="2:4" ht="12.75">
      <c r="B54" s="68" t="s">
        <v>64</v>
      </c>
      <c r="C54" s="61">
        <v>10</v>
      </c>
      <c r="D54" s="67"/>
    </row>
    <row r="55" spans="2:4" ht="12.75">
      <c r="B55" s="68" t="s">
        <v>65</v>
      </c>
      <c r="C55" s="61">
        <v>0</v>
      </c>
      <c r="D55" s="67"/>
    </row>
    <row r="56" spans="2:4" ht="12.75">
      <c r="B56" s="68" t="s">
        <v>94</v>
      </c>
      <c r="C56" s="66">
        <f>+C51-C52</f>
        <v>30</v>
      </c>
      <c r="D56" s="67"/>
    </row>
    <row r="57" spans="2:4" ht="12.75">
      <c r="B57" s="68" t="s">
        <v>66</v>
      </c>
      <c r="C57" s="66">
        <f>+C54-C55</f>
        <v>10</v>
      </c>
      <c r="D57" s="67"/>
    </row>
    <row r="58" spans="2:4" ht="12.75">
      <c r="B58" s="68"/>
      <c r="C58" s="66"/>
      <c r="D58" s="67"/>
    </row>
    <row r="59" spans="2:4" ht="13.5" thickBot="1">
      <c r="B59" s="69" t="s">
        <v>67</v>
      </c>
      <c r="C59" s="60">
        <f>+C57/C56</f>
        <v>0.3333333333333333</v>
      </c>
      <c r="D59" s="67"/>
    </row>
    <row r="60" spans="2:4" ht="13.5" thickTop="1">
      <c r="B60" s="65"/>
      <c r="C60" s="27"/>
      <c r="D60" s="67"/>
    </row>
    <row r="61" spans="2:4" ht="12.75">
      <c r="B61" s="98" t="s">
        <v>68</v>
      </c>
      <c r="C61" s="27"/>
      <c r="D61" s="67"/>
    </row>
    <row r="62" spans="2:4" ht="12.75">
      <c r="B62" s="65" t="s">
        <v>69</v>
      </c>
      <c r="C62" s="70">
        <f>+C59</f>
        <v>0.3333333333333333</v>
      </c>
      <c r="D62" s="67"/>
    </row>
    <row r="63" spans="2:4" ht="25.5">
      <c r="B63" s="71" t="s">
        <v>70</v>
      </c>
      <c r="C63" s="66">
        <f>+C39</f>
        <v>30</v>
      </c>
      <c r="D63" s="67"/>
    </row>
    <row r="64" spans="2:4" ht="12.75">
      <c r="B64" s="68" t="s">
        <v>71</v>
      </c>
      <c r="C64" s="61">
        <f>+C63/(1+C14)^C13</f>
        <v>27.27272727272727</v>
      </c>
      <c r="D64" s="67"/>
    </row>
    <row r="65" spans="2:4" ht="25.5">
      <c r="B65" s="71" t="s">
        <v>72</v>
      </c>
      <c r="C65" s="61">
        <f>+C62*C36</f>
        <v>33.33333333333333</v>
      </c>
      <c r="D65" s="67"/>
    </row>
    <row r="66" spans="2:4" ht="12.75">
      <c r="B66" s="65"/>
      <c r="C66" s="27"/>
      <c r="D66" s="67"/>
    </row>
    <row r="67" spans="2:4" ht="13.5" thickBot="1">
      <c r="B67" s="65" t="s">
        <v>73</v>
      </c>
      <c r="C67" s="85">
        <f>+C65-C64</f>
        <v>6.060606060606059</v>
      </c>
      <c r="D67" s="67"/>
    </row>
    <row r="68" spans="2:4" ht="13.5" thickTop="1">
      <c r="B68" s="65"/>
      <c r="C68" s="27"/>
      <c r="D68" s="67"/>
    </row>
    <row r="69" spans="2:4" ht="13.5" thickBot="1">
      <c r="B69" s="72"/>
      <c r="C69" s="73"/>
      <c r="D69" s="74"/>
    </row>
    <row r="71" spans="1:14" ht="13.5" thickBot="1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</row>
    <row r="73" ht="18">
      <c r="A73" s="57" t="s">
        <v>98</v>
      </c>
    </row>
    <row r="75" spans="3:5" ht="51">
      <c r="C75" s="10" t="s">
        <v>104</v>
      </c>
      <c r="D75" s="9" t="s">
        <v>102</v>
      </c>
      <c r="E75" s="22" t="s">
        <v>101</v>
      </c>
    </row>
    <row r="76" spans="3:5" ht="12.75">
      <c r="C76" s="59" t="s">
        <v>99</v>
      </c>
      <c r="D76" s="102">
        <f>+(1+E76)</f>
        <v>1.1</v>
      </c>
      <c r="E76" s="104">
        <v>0.1</v>
      </c>
    </row>
    <row r="77" spans="3:5" ht="12.75">
      <c r="C77" s="103" t="s">
        <v>100</v>
      </c>
      <c r="D77" s="102">
        <f>+(1+E77)</f>
        <v>0.95</v>
      </c>
      <c r="E77" s="104">
        <v>-0.05</v>
      </c>
    </row>
    <row r="79" ht="13.5" thickBot="1">
      <c r="F79" s="59" t="s">
        <v>107</v>
      </c>
    </row>
    <row r="80" spans="6:7" ht="13.5" thickBot="1">
      <c r="F80" s="59" t="s">
        <v>122</v>
      </c>
      <c r="G80" s="100">
        <f>+E83*D76</f>
        <v>121.00000000000003</v>
      </c>
    </row>
    <row r="81" spans="6:7" ht="12.75">
      <c r="F81" s="59"/>
      <c r="G81" s="50"/>
    </row>
    <row r="82" spans="4:7" ht="13.5" thickBot="1">
      <c r="D82" s="59" t="s">
        <v>105</v>
      </c>
      <c r="E82" s="51">
        <f>+D127</f>
        <v>6.984333333333335</v>
      </c>
      <c r="F82" s="59"/>
      <c r="G82" s="50"/>
    </row>
    <row r="83" spans="4:7" ht="13.5" thickBot="1">
      <c r="D83" s="59" t="s">
        <v>61</v>
      </c>
      <c r="E83" s="100">
        <f>+C86*D76</f>
        <v>110.00000000000001</v>
      </c>
      <c r="F83" s="59"/>
      <c r="G83" s="50"/>
    </row>
    <row r="84" spans="6:7" ht="12.75">
      <c r="F84" s="59"/>
      <c r="G84" s="50"/>
    </row>
    <row r="85" spans="6:7" ht="13.5" thickBot="1">
      <c r="F85" s="59"/>
      <c r="G85" s="50"/>
    </row>
    <row r="86" spans="2:9" ht="13.5" thickBot="1">
      <c r="B86" s="59" t="s">
        <v>119</v>
      </c>
      <c r="C86" s="100">
        <v>100</v>
      </c>
      <c r="F86" s="59" t="s">
        <v>124</v>
      </c>
      <c r="G86" s="100">
        <f>+E83*D77</f>
        <v>104.50000000000001</v>
      </c>
      <c r="I86" s="2" t="s">
        <v>103</v>
      </c>
    </row>
    <row r="87" spans="6:7" ht="12.75">
      <c r="F87" s="59" t="s">
        <v>108</v>
      </c>
      <c r="G87" s="50">
        <f>IF(G86&lt;$E$83,0,G86-$E$83)</f>
        <v>0</v>
      </c>
    </row>
    <row r="88" spans="6:7" ht="13.5" thickBot="1">
      <c r="F88" s="59"/>
      <c r="G88" s="50"/>
    </row>
    <row r="89" spans="4:7" ht="13.5" thickBot="1">
      <c r="D89" s="59" t="s">
        <v>120</v>
      </c>
      <c r="E89" s="100">
        <f>+C86*D77</f>
        <v>95</v>
      </c>
      <c r="F89" s="59"/>
      <c r="G89" s="50"/>
    </row>
    <row r="90" spans="4:7" ht="12.75">
      <c r="D90" s="59" t="s">
        <v>65</v>
      </c>
      <c r="E90" s="50">
        <f>IF(E89&lt;$E$83,0,E89-$E$83)</f>
        <v>0</v>
      </c>
      <c r="F90" s="59"/>
      <c r="G90" s="50"/>
    </row>
    <row r="91" spans="6:7" ht="13.5" thickBot="1">
      <c r="F91" s="59"/>
      <c r="G91" s="50"/>
    </row>
    <row r="92" spans="6:7" ht="13.5" thickBot="1">
      <c r="F92" s="59" t="s">
        <v>123</v>
      </c>
      <c r="G92" s="100">
        <f>+E89*D77</f>
        <v>90.25</v>
      </c>
    </row>
    <row r="93" spans="6:7" ht="12.75">
      <c r="F93" s="59" t="s">
        <v>109</v>
      </c>
      <c r="G93" s="50">
        <f>IF(G92&lt;$E$83,0,G92-$E$83)</f>
        <v>0</v>
      </c>
    </row>
    <row r="94" ht="13.5" thickBot="1"/>
    <row r="95" spans="3:6" ht="12.75">
      <c r="C95" s="105"/>
      <c r="D95" s="106"/>
      <c r="E95" s="106"/>
      <c r="F95" s="107"/>
    </row>
    <row r="96" spans="3:6" ht="12.75">
      <c r="C96" s="108" t="s">
        <v>111</v>
      </c>
      <c r="D96" s="109"/>
      <c r="E96" s="109"/>
      <c r="F96" s="110"/>
    </row>
    <row r="97" spans="3:6" ht="13.5" thickBot="1">
      <c r="C97" s="111"/>
      <c r="D97" s="112"/>
      <c r="E97" s="112"/>
      <c r="F97" s="113"/>
    </row>
    <row r="100" ht="12.75">
      <c r="C100" s="56" t="s">
        <v>112</v>
      </c>
    </row>
    <row r="101" spans="3:4" ht="12.75">
      <c r="C101" s="19" t="s">
        <v>113</v>
      </c>
      <c r="D101" s="53">
        <v>0.05</v>
      </c>
    </row>
    <row r="102" spans="3:4" ht="12.75">
      <c r="C102" s="19" t="s">
        <v>114</v>
      </c>
      <c r="D102" s="50">
        <v>110</v>
      </c>
    </row>
    <row r="103" spans="3:4" ht="12.75">
      <c r="C103" s="19" t="s">
        <v>115</v>
      </c>
      <c r="D103" t="s">
        <v>116</v>
      </c>
    </row>
    <row r="104" spans="3:6" ht="25.5">
      <c r="C104" s="7"/>
      <c r="D104" s="7"/>
      <c r="E104" s="7"/>
      <c r="F104" s="116" t="s">
        <v>118</v>
      </c>
    </row>
    <row r="105" spans="3:6" ht="12.75">
      <c r="C105" s="19" t="s">
        <v>121</v>
      </c>
      <c r="D105" s="51">
        <f>+D102</f>
        <v>110</v>
      </c>
      <c r="E105" s="19" t="s">
        <v>57</v>
      </c>
      <c r="F105" s="50"/>
    </row>
    <row r="106" spans="3:6" ht="12.75">
      <c r="C106" s="19" t="str">
        <f>+F80</f>
        <v>uuSo =</v>
      </c>
      <c r="D106" s="51">
        <f>+G80</f>
        <v>121.00000000000003</v>
      </c>
      <c r="E106" s="19" t="s">
        <v>106</v>
      </c>
      <c r="F106" s="114">
        <f>+D106-D105</f>
        <v>11.000000000000028</v>
      </c>
    </row>
    <row r="107" spans="3:6" ht="12.75">
      <c r="C107" s="19" t="str">
        <f>+F86</f>
        <v>udSo =</v>
      </c>
      <c r="D107" s="51">
        <f>+G86</f>
        <v>104.50000000000001</v>
      </c>
      <c r="E107" s="19" t="s">
        <v>117</v>
      </c>
      <c r="F107" s="50">
        <v>0</v>
      </c>
    </row>
    <row r="108" ht="13.5" thickBot="1"/>
    <row r="109" spans="3:4" ht="13.5" thickBot="1">
      <c r="C109" s="115" t="s">
        <v>110</v>
      </c>
      <c r="D109" s="118">
        <f>+(F106-F107)/(D106-D107)</f>
        <v>0.6666666666666679</v>
      </c>
    </row>
    <row r="111" spans="3:9" ht="12.75">
      <c r="C111" s="48" t="s">
        <v>125</v>
      </c>
      <c r="H111" s="10" t="s">
        <v>124</v>
      </c>
      <c r="I111" s="10" t="s">
        <v>128</v>
      </c>
    </row>
    <row r="112" spans="8:9" ht="12.75">
      <c r="H112" s="51">
        <f>+G86</f>
        <v>104.50000000000001</v>
      </c>
      <c r="I112" s="51">
        <f>+G80</f>
        <v>121.00000000000003</v>
      </c>
    </row>
    <row r="113" spans="3:9" ht="12.75">
      <c r="C113" t="s">
        <v>75</v>
      </c>
      <c r="D113" t="s">
        <v>126</v>
      </c>
      <c r="G113" s="51">
        <f>+E83</f>
        <v>110.00000000000001</v>
      </c>
      <c r="H113" s="50">
        <f>+H112*2</f>
        <v>209.00000000000003</v>
      </c>
      <c r="I113" s="50">
        <f>+I112*2</f>
        <v>242.00000000000006</v>
      </c>
    </row>
    <row r="114" spans="3:9" ht="12.75">
      <c r="C114" t="s">
        <v>76</v>
      </c>
      <c r="D114" t="s">
        <v>127</v>
      </c>
      <c r="H114" s="52">
        <v>0</v>
      </c>
      <c r="I114" s="55">
        <f>-3*F106</f>
        <v>-33.000000000000085</v>
      </c>
    </row>
    <row r="115" spans="3:9" ht="12.75">
      <c r="C115" t="s">
        <v>129</v>
      </c>
      <c r="H115" s="51">
        <f>SUM(H113:H114)</f>
        <v>209.00000000000003</v>
      </c>
      <c r="I115" s="51">
        <f>SUM(I113:I114)</f>
        <v>208.99999999999997</v>
      </c>
    </row>
    <row r="117" ht="12.75">
      <c r="C117" t="s">
        <v>130</v>
      </c>
    </row>
    <row r="119" spans="3:7" ht="13.5" thickBot="1">
      <c r="C119" s="1" t="s">
        <v>136</v>
      </c>
      <c r="G119" s="1" t="s">
        <v>134</v>
      </c>
    </row>
    <row r="120" spans="3:4" ht="13.5" thickBot="1">
      <c r="C120" s="115" t="s">
        <v>71</v>
      </c>
      <c r="D120" s="117">
        <f>+H115/(1+D101)^1</f>
        <v>199.04761904761907</v>
      </c>
    </row>
    <row r="122" ht="12.75">
      <c r="C122" s="56" t="s">
        <v>132</v>
      </c>
    </row>
    <row r="123" spans="4:6" ht="12.75">
      <c r="D123" s="19" t="s">
        <v>64</v>
      </c>
      <c r="E123" s="119">
        <f>+(220-199.047)/3</f>
        <v>6.984333333333335</v>
      </c>
      <c r="F123" s="1" t="s">
        <v>135</v>
      </c>
    </row>
    <row r="124" spans="4:6" ht="13.5" thickBot="1">
      <c r="D124" s="19" t="s">
        <v>58</v>
      </c>
      <c r="E124" s="50">
        <v>0</v>
      </c>
      <c r="F124" t="s">
        <v>131</v>
      </c>
    </row>
    <row r="125" spans="4:5" ht="13.5" thickBot="1">
      <c r="D125" s="120" t="s">
        <v>133</v>
      </c>
      <c r="E125" s="121">
        <f>+D131</f>
        <v>4.434497354497351</v>
      </c>
    </row>
    <row r="127" spans="3:4" ht="12.75">
      <c r="C127" s="19" t="s">
        <v>137</v>
      </c>
      <c r="D127" s="51">
        <f>+E123-E124</f>
        <v>6.984333333333335</v>
      </c>
    </row>
    <row r="128" spans="3:4" ht="12.75">
      <c r="C128" s="19" t="s">
        <v>138</v>
      </c>
      <c r="D128" s="51">
        <f>+E83-E89</f>
        <v>15.000000000000014</v>
      </c>
    </row>
    <row r="129" spans="3:4" ht="12.75">
      <c r="C129" s="19" t="s">
        <v>110</v>
      </c>
      <c r="D129" s="101">
        <f>+D127/D128</f>
        <v>0.4656222222222219</v>
      </c>
    </row>
    <row r="130" spans="3:4" ht="13.5" thickBot="1">
      <c r="C130" s="19" t="s">
        <v>140</v>
      </c>
      <c r="D130" s="54">
        <f>+D129*10</f>
        <v>4.656222222222219</v>
      </c>
    </row>
    <row r="131" spans="3:4" ht="13.5" thickBot="1">
      <c r="C131" s="115" t="s">
        <v>139</v>
      </c>
      <c r="D131" s="151">
        <f>+D130/(1+D101)^1</f>
        <v>4.434497354497351</v>
      </c>
    </row>
    <row r="134" spans="1:15" ht="13.5" thickBot="1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</row>
    <row r="136" ht="18">
      <c r="A136" s="57" t="s">
        <v>176</v>
      </c>
    </row>
    <row r="137" ht="18.75" thickBot="1">
      <c r="B137" s="57"/>
    </row>
    <row r="138" spans="1:11" ht="15.75">
      <c r="A138" s="135" t="s">
        <v>6</v>
      </c>
      <c r="B138" s="133" t="s">
        <v>7</v>
      </c>
      <c r="C138" s="133" t="s">
        <v>8</v>
      </c>
      <c r="D138" s="134" t="s">
        <v>31</v>
      </c>
      <c r="E138" s="133" t="s">
        <v>32</v>
      </c>
      <c r="F138" s="140" t="s">
        <v>33</v>
      </c>
      <c r="G138" s="134" t="s">
        <v>34</v>
      </c>
      <c r="I138" s="152" t="s">
        <v>179</v>
      </c>
      <c r="J138" s="153"/>
      <c r="K138" s="154"/>
    </row>
    <row r="139" spans="1:11" ht="12.75">
      <c r="A139" s="136">
        <f>ROW()</f>
        <v>139</v>
      </c>
      <c r="D139" s="124"/>
      <c r="F139" s="137"/>
      <c r="G139" s="124"/>
      <c r="I139" s="155"/>
      <c r="J139" s="156"/>
      <c r="K139" s="157"/>
    </row>
    <row r="140" spans="1:11" ht="12.75">
      <c r="A140" s="136">
        <f>ROW()</f>
        <v>140</v>
      </c>
      <c r="B140" s="10" t="s">
        <v>145</v>
      </c>
      <c r="C140" s="10"/>
      <c r="D140" s="129"/>
      <c r="E140" s="128"/>
      <c r="F140" s="141" t="s">
        <v>146</v>
      </c>
      <c r="G140" s="129"/>
      <c r="I140" s="155" t="s">
        <v>180</v>
      </c>
      <c r="J140" s="156"/>
      <c r="K140" s="158">
        <v>1</v>
      </c>
    </row>
    <row r="141" spans="1:11" ht="12.75">
      <c r="A141" s="136">
        <f>ROW()</f>
        <v>141</v>
      </c>
      <c r="D141" s="124"/>
      <c r="F141" s="137"/>
      <c r="G141" s="124"/>
      <c r="I141" s="155" t="s">
        <v>182</v>
      </c>
      <c r="J141" s="156"/>
      <c r="K141" s="161">
        <v>0.1</v>
      </c>
    </row>
    <row r="142" spans="1:11" ht="12.75">
      <c r="A142" s="136">
        <f>ROW()</f>
        <v>142</v>
      </c>
      <c r="C142" s="19" t="s">
        <v>152</v>
      </c>
      <c r="D142" s="138">
        <v>0.5</v>
      </c>
      <c r="F142" s="142" t="s">
        <v>147</v>
      </c>
      <c r="G142" s="139">
        <f>(LN(D145/D146)+(D144-D147+(D142^2)/2)*D143)/(D142*SQRT(D143))</f>
        <v>0.4301731775502019</v>
      </c>
      <c r="I142" s="155" t="s">
        <v>184</v>
      </c>
      <c r="J142" s="156"/>
      <c r="K142" s="157">
        <v>10</v>
      </c>
    </row>
    <row r="143" spans="1:11" ht="12.75">
      <c r="A143" s="136">
        <f>ROW()</f>
        <v>143</v>
      </c>
      <c r="C143" s="19" t="s">
        <v>153</v>
      </c>
      <c r="D143" s="138">
        <v>0.25</v>
      </c>
      <c r="F143" s="142" t="s">
        <v>148</v>
      </c>
      <c r="G143" s="139">
        <f>+G142-D142*SQRT(D143)</f>
        <v>0.1801731775502019</v>
      </c>
      <c r="I143" s="155"/>
      <c r="J143" s="156"/>
      <c r="K143" s="157"/>
    </row>
    <row r="144" spans="1:11" ht="13.5" thickBot="1">
      <c r="A144" s="136">
        <f>ROW()</f>
        <v>144</v>
      </c>
      <c r="C144" s="19" t="s">
        <v>154</v>
      </c>
      <c r="D144" s="138">
        <v>0.1</v>
      </c>
      <c r="F144" s="142" t="s">
        <v>149</v>
      </c>
      <c r="G144" s="139">
        <f>NORMSDIST(G142)</f>
        <v>0.6664651640893666</v>
      </c>
      <c r="I144" s="170" t="s">
        <v>187</v>
      </c>
      <c r="J144" s="171" t="s">
        <v>188</v>
      </c>
      <c r="K144" s="172" t="s">
        <v>189</v>
      </c>
    </row>
    <row r="145" spans="1:11" ht="12.75">
      <c r="A145" s="136">
        <f>ROW()</f>
        <v>145</v>
      </c>
      <c r="C145" s="19" t="s">
        <v>155</v>
      </c>
      <c r="D145" s="138">
        <v>100</v>
      </c>
      <c r="F145" s="142" t="s">
        <v>150</v>
      </c>
      <c r="G145" s="139">
        <f>NORMSDIST(G143)</f>
        <v>0.5714916924816977</v>
      </c>
      <c r="I145" s="155" t="s">
        <v>190</v>
      </c>
      <c r="J145" s="167">
        <v>1</v>
      </c>
      <c r="K145" s="168">
        <f>+$K$140*((1+($K$141/J145))^($K$142*J145))</f>
        <v>2.593742460100002</v>
      </c>
    </row>
    <row r="146" spans="1:11" ht="13.5" thickBot="1">
      <c r="A146" s="136">
        <f>ROW()</f>
        <v>146</v>
      </c>
      <c r="C146" s="19" t="s">
        <v>156</v>
      </c>
      <c r="D146" s="138">
        <v>95</v>
      </c>
      <c r="F146" s="137"/>
      <c r="G146" s="148" t="s">
        <v>177</v>
      </c>
      <c r="I146" s="155" t="s">
        <v>191</v>
      </c>
      <c r="J146" s="167">
        <v>2</v>
      </c>
      <c r="K146" s="168">
        <f>+$K$140*((1+($K$141/J146))^($K$142*J146))</f>
        <v>2.653297705144421</v>
      </c>
    </row>
    <row r="147" spans="1:11" ht="13.5" thickBot="1">
      <c r="A147" s="136">
        <f>ROW()</f>
        <v>147</v>
      </c>
      <c r="C147" s="19" t="s">
        <v>160</v>
      </c>
      <c r="D147" s="138">
        <v>0</v>
      </c>
      <c r="F147" s="184" t="s">
        <v>151</v>
      </c>
      <c r="G147" s="185">
        <f>+D145*EXP(-D147*D143)*G144-D146*EXP(-D144*D143)*G145</f>
        <v>13.695272738608146</v>
      </c>
      <c r="I147" s="155" t="s">
        <v>192</v>
      </c>
      <c r="J147" s="167">
        <v>4</v>
      </c>
      <c r="K147" s="168">
        <f>+$K$140*((1+($K$141/J147))^($K$142*J147))</f>
        <v>2.685063838389967</v>
      </c>
    </row>
    <row r="148" spans="9:11" ht="12.75">
      <c r="I148" s="155" t="s">
        <v>193</v>
      </c>
      <c r="J148" s="167">
        <v>12</v>
      </c>
      <c r="K148" s="168">
        <f>+$K$140*((1+($K$141/J148))^($K$142*J148))</f>
        <v>2.707041490862241</v>
      </c>
    </row>
    <row r="149" spans="9:11" ht="12.75">
      <c r="I149" s="155" t="s">
        <v>194</v>
      </c>
      <c r="J149" s="167">
        <v>365</v>
      </c>
      <c r="K149" s="168">
        <f>+$K$140*((1+($K$141/J149))^($K$142*J149))</f>
        <v>2.717909554576833</v>
      </c>
    </row>
    <row r="150" spans="1:11" ht="12.75">
      <c r="A150" s="56" t="s">
        <v>173</v>
      </c>
      <c r="B150" s="48"/>
      <c r="I150" s="155" t="s">
        <v>195</v>
      </c>
      <c r="J150" s="167">
        <f>+J149*24</f>
        <v>8760</v>
      </c>
      <c r="K150" s="168">
        <f>+$K$140*((1+($K$141/J150))^($K$142*J150))</f>
        <v>2.718266313292156</v>
      </c>
    </row>
    <row r="151" spans="2:11" ht="12.75">
      <c r="B151" s="149" t="s">
        <v>161</v>
      </c>
      <c r="C151" s="9" t="s">
        <v>166</v>
      </c>
      <c r="D151" s="10" t="s">
        <v>167</v>
      </c>
      <c r="E151" s="9" t="s">
        <v>168</v>
      </c>
      <c r="I151" s="155" t="s">
        <v>196</v>
      </c>
      <c r="J151" s="167">
        <f>+J150*60</f>
        <v>525600</v>
      </c>
      <c r="K151" s="168">
        <f>+$K$140*((1+($K$141/J151))^($K$142*J151))</f>
        <v>2.7182815689664674</v>
      </c>
    </row>
    <row r="152" spans="2:11" ht="12.75">
      <c r="B152" s="48" t="s">
        <v>161</v>
      </c>
      <c r="C152">
        <f>+LN(D145/D146)</f>
        <v>0.05129329438755048</v>
      </c>
      <c r="D152" s="1">
        <f>+(D144-D147+(D142^2)/2)*D143</f>
        <v>0.05625</v>
      </c>
      <c r="E152">
        <f>+D142*SQRT(D143)</f>
        <v>0.25</v>
      </c>
      <c r="I152" s="155" t="s">
        <v>197</v>
      </c>
      <c r="J152" s="167">
        <f>+J151*60</f>
        <v>31536000</v>
      </c>
      <c r="K152" s="168">
        <f>+$K$140*((1+($K$141/J152))^($K$142*J152))</f>
        <v>2.718281869923614</v>
      </c>
    </row>
    <row r="153" spans="4:11" ht="13.5" thickBot="1">
      <c r="D153" s="1"/>
      <c r="I153" s="155" t="s">
        <v>198</v>
      </c>
      <c r="J153" s="169" t="s">
        <v>199</v>
      </c>
      <c r="K153" s="168">
        <f>EXP(K140)</f>
        <v>2.718281828459045</v>
      </c>
    </row>
    <row r="154" spans="2:11" ht="13.5" thickBot="1">
      <c r="B154" s="144" t="s">
        <v>161</v>
      </c>
      <c r="C154" s="145">
        <f>+(C152+D152)/E152</f>
        <v>0.4301731775502019</v>
      </c>
      <c r="D154" s="1"/>
      <c r="I154" s="164"/>
      <c r="J154" s="165"/>
      <c r="K154" s="166"/>
    </row>
    <row r="155" spans="2:3" ht="13.5" thickBot="1">
      <c r="B155" s="144" t="s">
        <v>162</v>
      </c>
      <c r="C155" s="145">
        <f>NORMSDIST(C154)</f>
        <v>0.6664651640893666</v>
      </c>
    </row>
    <row r="156" spans="9:10" ht="13.5" thickBot="1">
      <c r="I156" s="159" t="s">
        <v>181</v>
      </c>
      <c r="J156" s="160"/>
    </row>
    <row r="157" spans="2:10" ht="15.75" thickBot="1">
      <c r="B157" s="144" t="s">
        <v>163</v>
      </c>
      <c r="C157" s="145">
        <f>+C154-(D142*SQRT(D143))</f>
        <v>0.1801731775502019</v>
      </c>
      <c r="I157" s="162" t="s">
        <v>183</v>
      </c>
      <c r="J157" s="157"/>
    </row>
    <row r="158" spans="2:10" ht="15.75" thickBot="1">
      <c r="B158" s="144" t="s">
        <v>164</v>
      </c>
      <c r="C158" s="145">
        <f>NORMSDIST(C157)</f>
        <v>0.5714916924816977</v>
      </c>
      <c r="I158" s="163" t="s">
        <v>185</v>
      </c>
      <c r="J158" s="157"/>
    </row>
    <row r="159" spans="9:10" ht="15.75" thickBot="1">
      <c r="I159" s="163" t="s">
        <v>186</v>
      </c>
      <c r="J159" s="157"/>
    </row>
    <row r="160" spans="2:10" ht="13.5" thickBot="1">
      <c r="B160" s="144" t="s">
        <v>165</v>
      </c>
      <c r="C160" s="117">
        <f>+(D145*(EXP(-D147*D143))*C155)-(D146*(EXP(-D144*D143))*C158)</f>
        <v>13.695272738608146</v>
      </c>
      <c r="I160" s="164"/>
      <c r="J160" s="166"/>
    </row>
    <row r="161" spans="1:14" ht="13.5" thickBot="1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</row>
    <row r="163" ht="18">
      <c r="A163" s="57" t="s">
        <v>225</v>
      </c>
    </row>
    <row r="164" ht="18.75" thickBot="1">
      <c r="B164" s="57"/>
    </row>
    <row r="165" spans="1:11" ht="15.75">
      <c r="A165" s="135" t="s">
        <v>6</v>
      </c>
      <c r="B165" s="133" t="s">
        <v>7</v>
      </c>
      <c r="C165" s="133" t="s">
        <v>8</v>
      </c>
      <c r="D165" s="134" t="s">
        <v>31</v>
      </c>
      <c r="E165" s="133" t="s">
        <v>32</v>
      </c>
      <c r="F165" s="140" t="s">
        <v>33</v>
      </c>
      <c r="G165" s="134" t="s">
        <v>34</v>
      </c>
      <c r="I165" s="152" t="s">
        <v>179</v>
      </c>
      <c r="J165" s="153"/>
      <c r="K165" s="154"/>
    </row>
    <row r="166" spans="1:11" ht="12.75">
      <c r="A166" s="136">
        <f>ROW()</f>
        <v>166</v>
      </c>
      <c r="D166" s="124"/>
      <c r="F166" s="137"/>
      <c r="G166" s="124"/>
      <c r="I166" s="155"/>
      <c r="J166" s="156"/>
      <c r="K166" s="157"/>
    </row>
    <row r="167" spans="1:11" ht="12.75">
      <c r="A167" s="136">
        <f>ROW()</f>
        <v>167</v>
      </c>
      <c r="B167" s="10" t="s">
        <v>145</v>
      </c>
      <c r="C167" s="10"/>
      <c r="D167" s="129"/>
      <c r="E167" s="128"/>
      <c r="F167" s="141" t="s">
        <v>146</v>
      </c>
      <c r="G167" s="129"/>
      <c r="I167" s="155" t="s">
        <v>180</v>
      </c>
      <c r="J167" s="156"/>
      <c r="K167" s="158">
        <v>1</v>
      </c>
    </row>
    <row r="168" spans="1:11" ht="12.75">
      <c r="A168" s="136">
        <f>ROW()</f>
        <v>168</v>
      </c>
      <c r="D168" s="124"/>
      <c r="F168" s="137"/>
      <c r="G168" s="124"/>
      <c r="I168" s="155" t="s">
        <v>182</v>
      </c>
      <c r="J168" s="156"/>
      <c r="K168" s="161">
        <v>0.1</v>
      </c>
    </row>
    <row r="169" spans="1:11" ht="12.75">
      <c r="A169" s="136">
        <f>ROW()</f>
        <v>169</v>
      </c>
      <c r="C169" s="19" t="s">
        <v>152</v>
      </c>
      <c r="D169" s="138">
        <v>0.5</v>
      </c>
      <c r="F169" s="142" t="s">
        <v>147</v>
      </c>
      <c r="G169" s="139">
        <f>(LN(D172/D173)+(D171-D174+(D169^2)/2)*D170)/(D169*SQRT(D170))</f>
        <v>0.4301731775502019</v>
      </c>
      <c r="I169" s="155" t="s">
        <v>184</v>
      </c>
      <c r="J169" s="156"/>
      <c r="K169" s="157">
        <v>10</v>
      </c>
    </row>
    <row r="170" spans="1:11" ht="12.75">
      <c r="A170" s="136">
        <f>ROW()</f>
        <v>170</v>
      </c>
      <c r="C170" s="19" t="s">
        <v>153</v>
      </c>
      <c r="D170" s="138">
        <v>0.25</v>
      </c>
      <c r="F170" s="142" t="s">
        <v>148</v>
      </c>
      <c r="G170" s="139">
        <f>+G169-D169*SQRT(D170)</f>
        <v>0.1801731775502019</v>
      </c>
      <c r="I170" s="155"/>
      <c r="J170" s="156"/>
      <c r="K170" s="157"/>
    </row>
    <row r="171" spans="1:11" ht="13.5" thickBot="1">
      <c r="A171" s="136">
        <f>ROW()</f>
        <v>171</v>
      </c>
      <c r="C171" s="19" t="s">
        <v>154</v>
      </c>
      <c r="D171" s="138">
        <v>0.1</v>
      </c>
      <c r="F171" s="142" t="s">
        <v>149</v>
      </c>
      <c r="G171" s="139">
        <f>NORMSDIST(G169)</f>
        <v>0.6664651640893666</v>
      </c>
      <c r="I171" s="170" t="s">
        <v>187</v>
      </c>
      <c r="J171" s="171" t="s">
        <v>188</v>
      </c>
      <c r="K171" s="172" t="s">
        <v>189</v>
      </c>
    </row>
    <row r="172" spans="1:11" ht="12.75">
      <c r="A172" s="136">
        <f>ROW()</f>
        <v>172</v>
      </c>
      <c r="C172" s="19" t="s">
        <v>155</v>
      </c>
      <c r="D172" s="138">
        <v>100</v>
      </c>
      <c r="F172" s="142" t="s">
        <v>150</v>
      </c>
      <c r="G172" s="139">
        <f>NORMSDIST(G170)</f>
        <v>0.5714916924816977</v>
      </c>
      <c r="I172" s="155" t="s">
        <v>190</v>
      </c>
      <c r="J172" s="167">
        <v>1</v>
      </c>
      <c r="K172" s="168">
        <f>+$K$140*((1+($K$141/J172))^($K$142*J172))</f>
        <v>2.593742460100002</v>
      </c>
    </row>
    <row r="173" spans="1:11" ht="13.5" thickBot="1">
      <c r="A173" s="136">
        <f>ROW()</f>
        <v>173</v>
      </c>
      <c r="C173" s="19" t="s">
        <v>156</v>
      </c>
      <c r="D173" s="138">
        <v>95</v>
      </c>
      <c r="F173" s="137"/>
      <c r="G173" s="148" t="s">
        <v>177</v>
      </c>
      <c r="I173" s="155" t="s">
        <v>191</v>
      </c>
      <c r="J173" s="167">
        <v>2</v>
      </c>
      <c r="K173" s="168">
        <f>+$K$140*((1+($K$141/J173))^($K$142*J173))</f>
        <v>2.653297705144421</v>
      </c>
    </row>
    <row r="174" spans="1:11" ht="13.5" thickBot="1">
      <c r="A174" s="136">
        <f>ROW()</f>
        <v>174</v>
      </c>
      <c r="C174" s="19" t="s">
        <v>160</v>
      </c>
      <c r="D174" s="138">
        <v>0</v>
      </c>
      <c r="F174" s="184" t="s">
        <v>151</v>
      </c>
      <c r="G174" s="185">
        <f>D173*EXP(-D171*D170)*(1-G172)-D172*EXP(-D174*D170)*(1-G171)</f>
        <v>6.349714381299741</v>
      </c>
      <c r="I174" s="155" t="s">
        <v>192</v>
      </c>
      <c r="J174" s="167">
        <v>4</v>
      </c>
      <c r="K174" s="168">
        <f>+$K$140*((1+($K$141/J174))^($K$142*J174))</f>
        <v>2.685063838389967</v>
      </c>
    </row>
    <row r="175" spans="9:11" ht="12.75">
      <c r="I175" s="155" t="s">
        <v>193</v>
      </c>
      <c r="J175" s="167">
        <v>12</v>
      </c>
      <c r="K175" s="168">
        <f>+$K$140*((1+($K$141/J175))^($K$142*J175))</f>
        <v>2.707041490862241</v>
      </c>
    </row>
    <row r="176" spans="9:11" ht="12.75">
      <c r="I176" s="155" t="s">
        <v>194</v>
      </c>
      <c r="J176" s="167">
        <v>365</v>
      </c>
      <c r="K176" s="168">
        <f>+$K$140*((1+($K$141/J176))^($K$142*J176))</f>
        <v>2.717909554576833</v>
      </c>
    </row>
    <row r="177" spans="1:11" ht="12.75">
      <c r="A177" s="56" t="s">
        <v>173</v>
      </c>
      <c r="B177" s="48"/>
      <c r="I177" s="155" t="s">
        <v>195</v>
      </c>
      <c r="J177" s="167">
        <f>+J176*24</f>
        <v>8760</v>
      </c>
      <c r="K177" s="168">
        <f>+$K$140*((1+($K$141/J177))^($K$142*J177))</f>
        <v>2.718266313292156</v>
      </c>
    </row>
    <row r="178" spans="2:11" ht="12.75">
      <c r="B178" s="149" t="s">
        <v>161</v>
      </c>
      <c r="C178" s="9" t="s">
        <v>166</v>
      </c>
      <c r="D178" s="10" t="s">
        <v>167</v>
      </c>
      <c r="E178" s="9" t="s">
        <v>168</v>
      </c>
      <c r="I178" s="155" t="s">
        <v>196</v>
      </c>
      <c r="J178" s="167">
        <f>+J177*60</f>
        <v>525600</v>
      </c>
      <c r="K178" s="168">
        <f>+$K$140*((1+($K$141/J178))^($K$142*J178))</f>
        <v>2.7182815689664674</v>
      </c>
    </row>
    <row r="179" spans="2:11" ht="12.75">
      <c r="B179" s="48" t="s">
        <v>161</v>
      </c>
      <c r="C179">
        <f>+LN(D172/D173)</f>
        <v>0.05129329438755048</v>
      </c>
      <c r="D179" s="1">
        <f>+(D171-D174+(D169^2)/2)*D170</f>
        <v>0.05625</v>
      </c>
      <c r="E179">
        <f>+D169*SQRT(D170)</f>
        <v>0.25</v>
      </c>
      <c r="I179" s="155" t="s">
        <v>197</v>
      </c>
      <c r="J179" s="167">
        <f>+J178*60</f>
        <v>31536000</v>
      </c>
      <c r="K179" s="168">
        <f>+$K$140*((1+($K$141/J179))^($K$142*J179))</f>
        <v>2.718281869923614</v>
      </c>
    </row>
    <row r="180" spans="4:11" ht="13.5" thickBot="1">
      <c r="D180" s="1"/>
      <c r="I180" s="155" t="s">
        <v>198</v>
      </c>
      <c r="J180" s="169" t="s">
        <v>199</v>
      </c>
      <c r="K180" s="168">
        <f>EXP(K167)</f>
        <v>2.718281828459045</v>
      </c>
    </row>
    <row r="181" spans="2:11" ht="13.5" thickBot="1">
      <c r="B181" s="144" t="s">
        <v>161</v>
      </c>
      <c r="C181" s="145">
        <f>+(C179+D179)/E179</f>
        <v>0.4301731775502019</v>
      </c>
      <c r="D181" s="1"/>
      <c r="I181" s="164"/>
      <c r="J181" s="165"/>
      <c r="K181" s="166"/>
    </row>
    <row r="182" spans="2:3" ht="13.5" thickBot="1">
      <c r="B182" s="144" t="s">
        <v>162</v>
      </c>
      <c r="C182" s="145">
        <f>NORMSDIST(C181)</f>
        <v>0.6664651640893666</v>
      </c>
    </row>
    <row r="183" spans="9:10" ht="13.5" thickBot="1">
      <c r="I183" s="159" t="s">
        <v>181</v>
      </c>
      <c r="J183" s="160"/>
    </row>
    <row r="184" spans="2:10" ht="15.75" thickBot="1">
      <c r="B184" s="144" t="s">
        <v>163</v>
      </c>
      <c r="C184" s="145">
        <f>+C181-(D169*SQRT(D170))</f>
        <v>0.1801731775502019</v>
      </c>
      <c r="I184" s="162" t="s">
        <v>183</v>
      </c>
      <c r="J184" s="157"/>
    </row>
    <row r="185" spans="2:10" ht="15.75" thickBot="1">
      <c r="B185" s="144" t="s">
        <v>164</v>
      </c>
      <c r="C185" s="145">
        <f>NORMSDIST(C184)</f>
        <v>0.5714916924816977</v>
      </c>
      <c r="I185" s="163" t="s">
        <v>185</v>
      </c>
      <c r="J185" s="157"/>
    </row>
    <row r="186" spans="9:10" ht="15.75" thickBot="1">
      <c r="I186" s="163" t="s">
        <v>186</v>
      </c>
      <c r="J186" s="157"/>
    </row>
    <row r="187" spans="2:10" ht="13.5" thickBot="1">
      <c r="B187" s="144" t="s">
        <v>165</v>
      </c>
      <c r="C187" s="117">
        <f>+(D172*(EXP(-D174*D170))*C182)-(D173*(EXP(-D171*D170))*C185)</f>
        <v>13.695272738608146</v>
      </c>
      <c r="I187" s="164"/>
      <c r="J187" s="166"/>
    </row>
    <row r="188" spans="1:15" ht="13.5" thickBot="1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</row>
    <row r="189" ht="18">
      <c r="A189" s="57" t="s">
        <v>178</v>
      </c>
    </row>
    <row r="191" ht="12.75">
      <c r="B191" s="1" t="s">
        <v>171</v>
      </c>
    </row>
    <row r="192" ht="12.75">
      <c r="B192" s="1" t="s">
        <v>170</v>
      </c>
    </row>
    <row r="193" ht="13.5" thickBot="1"/>
    <row r="194" spans="2:3" ht="13.5" thickBot="1">
      <c r="B194" s="146" t="s">
        <v>172</v>
      </c>
      <c r="C194" s="147">
        <f>+(D146*EXP(-D144*D143))-D145+G147</f>
        <v>6.349714381299741</v>
      </c>
    </row>
    <row r="197" ht="18">
      <c r="A197" s="57" t="s">
        <v>159</v>
      </c>
    </row>
    <row r="198" ht="18">
      <c r="B198" s="57"/>
    </row>
    <row r="199" spans="1:7" ht="15.75">
      <c r="A199" s="135" t="s">
        <v>6</v>
      </c>
      <c r="B199" s="133" t="s">
        <v>7</v>
      </c>
      <c r="C199" s="133" t="s">
        <v>8</v>
      </c>
      <c r="D199" s="134" t="s">
        <v>31</v>
      </c>
      <c r="E199" s="133" t="s">
        <v>32</v>
      </c>
      <c r="F199" s="133" t="s">
        <v>33</v>
      </c>
      <c r="G199" s="134" t="s">
        <v>34</v>
      </c>
    </row>
    <row r="200" spans="1:7" ht="12.75">
      <c r="A200" s="136">
        <f>ROW()</f>
        <v>200</v>
      </c>
      <c r="D200" s="124"/>
      <c r="G200" s="124"/>
    </row>
    <row r="201" spans="1:12" ht="12.75">
      <c r="A201" s="136">
        <f>ROW()</f>
        <v>201</v>
      </c>
      <c r="B201" s="10" t="s">
        <v>145</v>
      </c>
      <c r="C201" s="10"/>
      <c r="D201" s="129"/>
      <c r="E201" s="128"/>
      <c r="F201" s="10" t="s">
        <v>146</v>
      </c>
      <c r="G201" s="129"/>
      <c r="H201" s="81" t="s">
        <v>158</v>
      </c>
      <c r="I201" s="131"/>
      <c r="J201" s="131"/>
      <c r="K201" s="131"/>
      <c r="L201" s="131"/>
    </row>
    <row r="202" spans="1:12" ht="12.75">
      <c r="A202" s="136">
        <f>ROW()</f>
        <v>202</v>
      </c>
      <c r="C202" s="19" t="s">
        <v>152</v>
      </c>
      <c r="D202" s="138">
        <v>0.5</v>
      </c>
      <c r="F202" s="19" t="s">
        <v>147</v>
      </c>
      <c r="G202" s="130">
        <f>(LN(D205/D206)+(D204-D207+(D202^2)/2)*D203)/(D202*SQRT(D203))</f>
        <v>0.4301731775502019</v>
      </c>
      <c r="H202" s="132"/>
      <c r="I202" s="27"/>
      <c r="J202" s="27"/>
      <c r="K202" s="27"/>
      <c r="L202" s="27"/>
    </row>
    <row r="203" spans="1:12" ht="12.75">
      <c r="A203" s="136">
        <f>ROW()</f>
        <v>203</v>
      </c>
      <c r="C203" s="19" t="s">
        <v>153</v>
      </c>
      <c r="D203" s="138">
        <v>0.25</v>
      </c>
      <c r="F203" s="19" t="s">
        <v>148</v>
      </c>
      <c r="G203" s="130">
        <f>+G202-D202*SQRT(D203)</f>
        <v>0.1801731775502019</v>
      </c>
      <c r="H203" s="132"/>
      <c r="I203" s="27"/>
      <c r="J203" s="27"/>
      <c r="K203" s="27"/>
      <c r="L203" s="27"/>
    </row>
    <row r="204" spans="1:12" ht="12.75">
      <c r="A204" s="136">
        <f>ROW()</f>
        <v>204</v>
      </c>
      <c r="C204" s="19" t="s">
        <v>154</v>
      </c>
      <c r="D204" s="138">
        <v>0.1</v>
      </c>
      <c r="F204" s="19" t="s">
        <v>149</v>
      </c>
      <c r="G204" s="130">
        <f>NORMSDIST(G202)</f>
        <v>0.6664651640893666</v>
      </c>
      <c r="H204" s="132"/>
      <c r="I204" s="27"/>
      <c r="J204" s="27"/>
      <c r="K204" s="27"/>
      <c r="L204" s="27"/>
    </row>
    <row r="205" spans="1:12" ht="12.75">
      <c r="A205" s="136">
        <f>ROW()</f>
        <v>205</v>
      </c>
      <c r="C205" s="19" t="s">
        <v>155</v>
      </c>
      <c r="D205" s="138">
        <v>100</v>
      </c>
      <c r="F205" s="19" t="s">
        <v>150</v>
      </c>
      <c r="G205" s="130">
        <f>NORMSDIST(G203)</f>
        <v>0.5714916924816977</v>
      </c>
      <c r="H205" s="132"/>
      <c r="I205" s="27"/>
      <c r="J205" s="27"/>
      <c r="K205" s="27"/>
      <c r="L205" s="27"/>
    </row>
    <row r="206" spans="1:12" ht="13.5" thickBot="1">
      <c r="A206" s="136">
        <f>ROW()</f>
        <v>206</v>
      </c>
      <c r="C206" s="19" t="s">
        <v>156</v>
      </c>
      <c r="D206" s="138">
        <v>95</v>
      </c>
      <c r="F206" s="19"/>
      <c r="G206" s="150"/>
      <c r="H206" s="132"/>
      <c r="I206" s="27"/>
      <c r="J206" s="27"/>
      <c r="K206" s="27"/>
      <c r="L206" s="27"/>
    </row>
    <row r="207" spans="1:8" ht="13.5" thickBot="1">
      <c r="A207" s="136">
        <f>ROW()</f>
        <v>207</v>
      </c>
      <c r="C207" s="19" t="s">
        <v>157</v>
      </c>
      <c r="D207" s="138">
        <v>0</v>
      </c>
      <c r="F207" s="186" t="s">
        <v>151</v>
      </c>
      <c r="G207" s="185">
        <f>+D206*EXP(-D204*D203)*(1-G205)-D205*EXP(-D207*D203)*(1-G204)</f>
        <v>6.349714381299741</v>
      </c>
      <c r="H207" s="132" t="s">
        <v>200</v>
      </c>
    </row>
    <row r="209" ht="12.75">
      <c r="B209" s="48" t="s">
        <v>169</v>
      </c>
    </row>
    <row r="210" spans="2:5" ht="12.75">
      <c r="B210" s="143" t="s">
        <v>161</v>
      </c>
      <c r="C210" s="9" t="s">
        <v>166</v>
      </c>
      <c r="D210" s="10" t="s">
        <v>167</v>
      </c>
      <c r="E210" s="9" t="s">
        <v>168</v>
      </c>
    </row>
    <row r="211" spans="2:5" ht="12.75">
      <c r="B211" t="s">
        <v>161</v>
      </c>
      <c r="C211">
        <f>+LN(D205/D206)</f>
        <v>0.05129329438755048</v>
      </c>
      <c r="D211" s="1">
        <f>+(D204-D207+(D202^2)/2)*D203</f>
        <v>0.05625</v>
      </c>
      <c r="E211">
        <f>+D202*SQRT(D203)</f>
        <v>0.25</v>
      </c>
    </row>
    <row r="212" ht="13.5" thickBot="1">
      <c r="D212" s="1"/>
    </row>
    <row r="213" spans="2:4" ht="13.5" thickBot="1">
      <c r="B213" s="144" t="s">
        <v>161</v>
      </c>
      <c r="C213" s="145">
        <f>+(C211+D211)/E211</f>
        <v>0.4301731775502019</v>
      </c>
      <c r="D213" s="1"/>
    </row>
    <row r="214" spans="2:3" ht="13.5" thickBot="1">
      <c r="B214" s="144" t="s">
        <v>162</v>
      </c>
      <c r="C214" s="145">
        <f>NORMSDIST(C213)</f>
        <v>0.6664651640893666</v>
      </c>
    </row>
    <row r="215" ht="13.5" thickBot="1"/>
    <row r="216" spans="2:3" ht="13.5" thickBot="1">
      <c r="B216" s="144" t="s">
        <v>163</v>
      </c>
      <c r="C216" s="145">
        <f>+C213-(D202*SQRT(D203))</f>
        <v>0.1801731775502019</v>
      </c>
    </row>
    <row r="217" spans="2:3" ht="13.5" thickBot="1">
      <c r="B217" s="144" t="s">
        <v>164</v>
      </c>
      <c r="C217" s="145">
        <f>NORMSDIST(C216)</f>
        <v>0.5714916924816977</v>
      </c>
    </row>
    <row r="218" ht="13.5" thickBot="1"/>
    <row r="219" spans="2:3" ht="13.5" thickBot="1">
      <c r="B219" s="144" t="s">
        <v>165</v>
      </c>
      <c r="C219" s="117">
        <f>+(D206*EXP(-D204*D203)*(1-C217))-(D205*EXP(-D207*D203)*(1-C214))</f>
        <v>6.349714381299741</v>
      </c>
    </row>
  </sheetData>
  <sheetProtection/>
  <printOptions/>
  <pageMargins left="0.25" right="0.25" top="0.5" bottom="0.5" header="0.5" footer="0.5"/>
  <pageSetup horizontalDpi="600" verticalDpi="600" orientation="landscape" scale="65" r:id="rId2"/>
  <rowBreaks count="3" manualBreakCount="3">
    <brk id="31" max="11" man="1"/>
    <brk id="71" max="255" man="1"/>
    <brk id="13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 Droussiotis</cp:lastModifiedBy>
  <cp:lastPrinted>2011-12-23T13:26:56Z</cp:lastPrinted>
  <dcterms:created xsi:type="dcterms:W3CDTF">2010-04-20T14:39:03Z</dcterms:created>
  <dcterms:modified xsi:type="dcterms:W3CDTF">2015-05-10T03:34:05Z</dcterms:modified>
  <cp:category/>
  <cp:version/>
  <cp:contentType/>
  <cp:contentStatus/>
</cp:coreProperties>
</file>