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921b89f68d3868/Documents/School Work/EXAM Material/Midterm Exams/Chapter 13/"/>
    </mc:Choice>
  </mc:AlternateContent>
  <xr:revisionPtr revIDLastSave="109" documentId="8_{A82ED302-B1BB-4622-A3CD-69FADE888ED6}" xr6:coauthVersionLast="47" xr6:coauthVersionMax="47" xr10:uidLastSave="{3C120F8A-38BD-4745-A037-716E74BE7178}"/>
  <bookViews>
    <workbookView xWindow="-110" yWindow="-110" windowWidth="19420" windowHeight="10420" xr2:uid="{18431228-C336-4298-A188-D44BAF81D0EF}"/>
  </bookViews>
  <sheets>
    <sheet name="ANSWERS" sheetId="2" r:id="rId1"/>
  </sheets>
  <calcPr calcId="191029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" i="2" l="1"/>
  <c r="G11" i="2"/>
  <c r="I10" i="2"/>
  <c r="G10" i="2"/>
  <c r="K117" i="2" l="1"/>
  <c r="K119" i="2"/>
  <c r="K115" i="2"/>
  <c r="F119" i="2"/>
  <c r="F115" i="2"/>
  <c r="F121" i="2"/>
  <c r="F122" i="2" s="1"/>
  <c r="J116" i="2" s="1"/>
  <c r="C120" i="2"/>
  <c r="C119" i="2"/>
  <c r="C117" i="2"/>
  <c r="D116" i="2"/>
  <c r="E116" i="2" s="1"/>
  <c r="C115" i="2"/>
  <c r="D118" i="2" s="1"/>
  <c r="E118" i="2" s="1"/>
  <c r="I119" i="2" s="1"/>
  <c r="C114" i="2"/>
  <c r="C113" i="2"/>
  <c r="F109" i="2"/>
  <c r="H109" i="2" s="1"/>
  <c r="F103" i="2"/>
  <c r="G106" i="2" s="1"/>
  <c r="F101" i="2"/>
  <c r="G102" i="2" s="1"/>
  <c r="C101" i="2" s="1"/>
  <c r="E88" i="2"/>
  <c r="E89" i="2" s="1"/>
  <c r="D88" i="2"/>
  <c r="H87" i="2"/>
  <c r="G87" i="2"/>
  <c r="E87" i="2"/>
  <c r="D87" i="2"/>
  <c r="G86" i="2"/>
  <c r="H86" i="2" s="1"/>
  <c r="E86" i="2"/>
  <c r="D86" i="2"/>
  <c r="D89" i="2" s="1"/>
  <c r="G88" i="2" s="1"/>
  <c r="D78" i="2"/>
  <c r="G77" i="2" s="1"/>
  <c r="D77" i="2"/>
  <c r="E77" i="2" s="1"/>
  <c r="E76" i="2"/>
  <c r="D76" i="2"/>
  <c r="G75" i="2"/>
  <c r="H75" i="2" s="1"/>
  <c r="D75" i="2"/>
  <c r="E75" i="2" s="1"/>
  <c r="E78" i="2" s="1"/>
  <c r="D63" i="2"/>
  <c r="E63" i="2" s="1"/>
  <c r="G62" i="2"/>
  <c r="H62" i="2" s="1"/>
  <c r="H64" i="2" s="1"/>
  <c r="D62" i="2"/>
  <c r="E62" i="2" s="1"/>
  <c r="E64" i="2" s="1"/>
  <c r="H63" i="2" s="1"/>
  <c r="J63" i="2" s="1"/>
  <c r="F43" i="2"/>
  <c r="F41" i="2"/>
  <c r="F39" i="2"/>
  <c r="F37" i="2"/>
  <c r="F35" i="2"/>
  <c r="I20" i="2"/>
  <c r="I19" i="2"/>
  <c r="G19" i="2"/>
  <c r="H19" i="2" s="1"/>
  <c r="J19" i="2" s="1"/>
  <c r="I18" i="2"/>
  <c r="I17" i="2"/>
  <c r="H17" i="2"/>
  <c r="G17" i="2"/>
  <c r="I16" i="2"/>
  <c r="G16" i="2"/>
  <c r="H16" i="2" s="1"/>
  <c r="I15" i="2"/>
  <c r="G15" i="2"/>
  <c r="H15" i="2" s="1"/>
  <c r="I14" i="2"/>
  <c r="G14" i="2"/>
  <c r="H14" i="2" s="1"/>
  <c r="I13" i="2"/>
  <c r="G13" i="2"/>
  <c r="H13" i="2" s="1"/>
  <c r="I12" i="2"/>
  <c r="H12" i="2"/>
  <c r="J12" i="2" s="1"/>
  <c r="G12" i="2"/>
  <c r="H11" i="2"/>
  <c r="J11" i="2" s="1"/>
  <c r="H10" i="2"/>
  <c r="J10" i="2" s="1"/>
  <c r="I9" i="2"/>
  <c r="G9" i="2"/>
  <c r="H9" i="2" s="1"/>
  <c r="J9" i="2" s="1"/>
  <c r="B112" i="2"/>
  <c r="B97" i="2"/>
  <c r="B83" i="2"/>
  <c r="B72" i="2"/>
  <c r="B70" i="2"/>
  <c r="B59" i="2"/>
  <c r="B55" i="2"/>
  <c r="G49" i="2"/>
  <c r="F49" i="2"/>
  <c r="D49" i="2"/>
  <c r="E49" i="2" s="1"/>
  <c r="H49" i="2" s="1"/>
  <c r="H26" i="2"/>
  <c r="G26" i="2"/>
  <c r="F26" i="2"/>
  <c r="Y19" i="2"/>
  <c r="Y17" i="2"/>
  <c r="N6" i="2"/>
  <c r="N5" i="2"/>
  <c r="N4" i="2"/>
  <c r="BF3" i="2"/>
  <c r="N2" i="2"/>
  <c r="K2" i="2"/>
  <c r="J118" i="2" l="1"/>
  <c r="K121" i="2" s="1"/>
  <c r="C122" i="2" s="1"/>
  <c r="F117" i="2"/>
  <c r="I117" i="2" s="1"/>
  <c r="H118" i="2" s="1"/>
  <c r="I115" i="2"/>
  <c r="H116" i="2" s="1"/>
  <c r="I106" i="2"/>
  <c r="C104" i="2"/>
  <c r="H103" i="2"/>
  <c r="H101" i="2"/>
  <c r="H88" i="2"/>
  <c r="H89" i="2" s="1"/>
  <c r="J87" i="2"/>
  <c r="G89" i="2"/>
  <c r="H77" i="2"/>
  <c r="J76" i="2"/>
  <c r="G76" i="2"/>
  <c r="H76" i="2" s="1"/>
  <c r="H78" i="2" s="1"/>
  <c r="G78" i="2"/>
  <c r="C66" i="2"/>
  <c r="G67" i="2" s="1"/>
  <c r="J62" i="2"/>
  <c r="J64" i="2" s="1"/>
  <c r="C67" i="2" s="1"/>
  <c r="D64" i="2"/>
  <c r="I121" i="2" l="1"/>
  <c r="C121" i="2" s="1"/>
  <c r="I102" i="2"/>
  <c r="K109" i="2"/>
  <c r="C109" i="2" s="1"/>
  <c r="C105" i="2"/>
  <c r="J86" i="2"/>
  <c r="J89" i="2" s="1"/>
  <c r="C93" i="2" s="1"/>
  <c r="C92" i="2"/>
  <c r="G93" i="2" s="1"/>
  <c r="J75" i="2"/>
  <c r="J78" i="2" s="1"/>
  <c r="C81" i="2" s="1"/>
  <c r="C80" i="2"/>
  <c r="G81" i="2" s="1"/>
  <c r="K102" i="2" l="1"/>
  <c r="C102" i="2"/>
  <c r="C103" i="2" l="1"/>
  <c r="K106" i="2"/>
  <c r="C106" i="2" s="1"/>
  <c r="I35" i="2" l="1"/>
  <c r="H35" i="2"/>
  <c r="G35" i="2"/>
  <c r="I41" i="2"/>
  <c r="H41" i="2"/>
  <c r="G41" i="2"/>
  <c r="I43" i="2"/>
  <c r="H43" i="2"/>
  <c r="G43" i="2"/>
  <c r="G39" i="2"/>
  <c r="H39" i="2"/>
  <c r="I39" i="2"/>
  <c r="G37" i="2"/>
  <c r="H37" i="2"/>
  <c r="I37" i="2"/>
</calcChain>
</file>

<file path=xl/sharedStrings.xml><?xml version="1.0" encoding="utf-8"?>
<sst xmlns="http://schemas.openxmlformats.org/spreadsheetml/2006/main" count="188" uniqueCount="127">
  <si>
    <t>DERIVATIVES MIDTERM EXAM</t>
  </si>
  <si>
    <t xml:space="preserve">First Name </t>
  </si>
  <si>
    <t>Last Name</t>
  </si>
  <si>
    <t xml:space="preserve">Question </t>
  </si>
  <si>
    <t>Question 1 (20 points)</t>
  </si>
  <si>
    <t>Action</t>
  </si>
  <si>
    <t>Option</t>
  </si>
  <si>
    <t>Exercise Price</t>
  </si>
  <si>
    <t>Premium</t>
  </si>
  <si>
    <t>Stock Price</t>
  </si>
  <si>
    <t xml:space="preserve">Payoff </t>
  </si>
  <si>
    <t>Profit /Loss</t>
  </si>
  <si>
    <t>BE Stock</t>
  </si>
  <si>
    <t>HPR %</t>
  </si>
  <si>
    <t>Question</t>
  </si>
  <si>
    <t>Buy</t>
  </si>
  <si>
    <t>Call</t>
  </si>
  <si>
    <t>S</t>
  </si>
  <si>
    <t>Put</t>
  </si>
  <si>
    <t>u=</t>
  </si>
  <si>
    <t xml:space="preserve">Buy </t>
  </si>
  <si>
    <t>d=</t>
  </si>
  <si>
    <t>Sell</t>
  </si>
  <si>
    <t>X=</t>
  </si>
  <si>
    <t>i=</t>
  </si>
  <si>
    <t>Straddle</t>
  </si>
  <si>
    <t>Div Yield =</t>
  </si>
  <si>
    <t>Question 2 (10 points)</t>
  </si>
  <si>
    <t>Calculate the Payoff and Profit/Loss given the information below (2 points each):</t>
  </si>
  <si>
    <t>CALL</t>
  </si>
  <si>
    <t>PUT</t>
  </si>
  <si>
    <t>Exercise
Price</t>
  </si>
  <si>
    <t>Exercise Prices</t>
  </si>
  <si>
    <t>Premiums
(Calc the 
net amount)</t>
  </si>
  <si>
    <t>Stock
Price</t>
  </si>
  <si>
    <t>Total 
Payoff</t>
  </si>
  <si>
    <t>Total 
Profit</t>
  </si>
  <si>
    <t>ABC Inc.</t>
  </si>
  <si>
    <t>CALLS</t>
  </si>
  <si>
    <t>PUTS</t>
  </si>
  <si>
    <t>What Strategy to you recommend?</t>
  </si>
  <si>
    <t>PROTECTIVE PUT</t>
  </si>
  <si>
    <t>Price /share</t>
  </si>
  <si>
    <t>Investment</t>
  </si>
  <si>
    <t>Proceeds</t>
  </si>
  <si>
    <t>Buy Stock</t>
  </si>
  <si>
    <t>Sell Stock</t>
  </si>
  <si>
    <t>Profit</t>
  </si>
  <si>
    <t xml:space="preserve"> Investment</t>
  </si>
  <si>
    <t>HPR</t>
  </si>
  <si>
    <t>Profit/Loss $</t>
  </si>
  <si>
    <t>HPR%</t>
  </si>
  <si>
    <t>Question 4 (20 points)</t>
  </si>
  <si>
    <t>Profit/Loss</t>
  </si>
  <si>
    <t>Buy Jan 130 Put</t>
  </si>
  <si>
    <t xml:space="preserve"> Option Payoff</t>
  </si>
  <si>
    <t xml:space="preserve">  Initial Invest.</t>
  </si>
  <si>
    <t>Sell Jan 140 Call</t>
  </si>
  <si>
    <t xml:space="preserve"> Less Invest</t>
  </si>
  <si>
    <t>Initial Investment</t>
  </si>
  <si>
    <t>METHOD 1</t>
  </si>
  <si>
    <t>STEP 1</t>
  </si>
  <si>
    <t>STEP 2</t>
  </si>
  <si>
    <t>STEP 3</t>
  </si>
  <si>
    <t>Step 1</t>
  </si>
  <si>
    <t>Su=</t>
  </si>
  <si>
    <t>Cu =</t>
  </si>
  <si>
    <t>Step 2</t>
  </si>
  <si>
    <t>Su - Sx =</t>
  </si>
  <si>
    <t>Cu - Cd=</t>
  </si>
  <si>
    <t>h=</t>
  </si>
  <si>
    <t>Step 3</t>
  </si>
  <si>
    <t>Sd=</t>
  </si>
  <si>
    <t xml:space="preserve"> Cd =</t>
  </si>
  <si>
    <t>Step 4</t>
  </si>
  <si>
    <t>Step 5</t>
  </si>
  <si>
    <t>STEP 4</t>
  </si>
  <si>
    <t>STEP 5</t>
  </si>
  <si>
    <t>STEP 6</t>
  </si>
  <si>
    <t>PV of (Sd)=</t>
  </si>
  <si>
    <t>S - PV (Sd)=</t>
  </si>
  <si>
    <t>C=</t>
  </si>
  <si>
    <t>METHOD 2</t>
  </si>
  <si>
    <t>P=</t>
  </si>
  <si>
    <t xml:space="preserve"> 1-P =</t>
  </si>
  <si>
    <t>CALL OPTION</t>
  </si>
  <si>
    <t>PUT OPTION</t>
  </si>
  <si>
    <t>Su^2=</t>
  </si>
  <si>
    <t xml:space="preserve"> Cu^2=</t>
  </si>
  <si>
    <t>S =</t>
  </si>
  <si>
    <t xml:space="preserve"> Cud =</t>
  </si>
  <si>
    <t>Sd^2</t>
  </si>
  <si>
    <t>Cd^2 =</t>
  </si>
  <si>
    <t>Call Premium</t>
  </si>
  <si>
    <t>Put Premium</t>
  </si>
  <si>
    <t>Long</t>
  </si>
  <si>
    <t>Short</t>
  </si>
  <si>
    <t>DO NOT INSERT ROWS OR COLUMNS - USE THE LIGHT YELLOW BOXES TO INPUT YOUR ANSWERS</t>
  </si>
  <si>
    <t>Exam #</t>
  </si>
  <si>
    <t>POINTS</t>
  </si>
  <si>
    <t>Calculate the Payoff, Profit/Loss, BE of the stock and HPR% given the information below (2 point per option answer - no partial credit</t>
  </si>
  <si>
    <t>SECTION I - BASIC AND ADVANCE OPTION STRATEGIES (30 POINTS)</t>
  </si>
  <si>
    <t>Div=</t>
  </si>
  <si>
    <t xml:space="preserve"> i=</t>
  </si>
  <si>
    <t>Section I</t>
  </si>
  <si>
    <t>Section II</t>
  </si>
  <si>
    <t>Section III</t>
  </si>
  <si>
    <t>SECTION II - ADVISING ON OPTION STRATEGIES (40 POINTS)</t>
  </si>
  <si>
    <t>Question 3 (20 points)</t>
  </si>
  <si>
    <t>SECTION III - OPTION VALUATION METHOD (30 POINTS)</t>
  </si>
  <si>
    <t>Question 5 (15 points)</t>
  </si>
  <si>
    <t>Question 6 (15 points)</t>
  </si>
  <si>
    <t>z</t>
  </si>
  <si>
    <t>247838</t>
  </si>
  <si>
    <t>Bull Call Mar Spread</t>
  </si>
  <si>
    <t>Bull Put Apr Spread</t>
  </si>
  <si>
    <t>Bear Put May Spread</t>
  </si>
  <si>
    <t>Butterfly Call May Spread</t>
  </si>
  <si>
    <t>Butterfly Call Mar Spread</t>
  </si>
  <si>
    <t>Mar 2020</t>
  </si>
  <si>
    <t xml:space="preserve"> Apr 2020</t>
  </si>
  <si>
    <t xml:space="preserve"> May 20</t>
  </si>
  <si>
    <t xml:space="preserve"> Pu^2=</t>
  </si>
  <si>
    <t xml:space="preserve"> Pud =</t>
  </si>
  <si>
    <t>Pd^2 =</t>
  </si>
  <si>
    <t>Buy The Stock and Buy Put option Jan 130 Put</t>
  </si>
  <si>
    <t>p = (1+I - d) / (u - 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</si>
</sst>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u/>
      <sz val="11"/>
      <color indexed="1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u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ill="0" applyBorder="0" applyProtection="0"/>
  </cellStyleXfs>
  <cellXfs count="173">
    <xf numFmtId="0" fontId="0" fillId="0" borderId="0" xfId="0"/>
    <xf numFmtId="0" fontId="3" fillId="0" borderId="0" xfId="0" applyFont="1" applyAlignment="1">
      <alignment vertical="top"/>
    </xf>
    <xf numFmtId="0" fontId="0" fillId="0" borderId="0" xfId="0" applyAlignment="1">
      <alignment shrinkToFit="1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/>
    <xf numFmtId="0" fontId="4" fillId="0" borderId="0" xfId="0" applyFont="1" applyAlignment="1">
      <alignment shrinkToFi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shrinkToFit="1"/>
    </xf>
    <xf numFmtId="0" fontId="5" fillId="5" borderId="4" xfId="0" applyFont="1" applyFill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shrinkToFit="1"/>
    </xf>
    <xf numFmtId="2" fontId="4" fillId="6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left" shrinkToFit="1"/>
    </xf>
    <xf numFmtId="2" fontId="4" fillId="7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shrinkToFit="1"/>
    </xf>
    <xf numFmtId="0" fontId="0" fillId="0" borderId="0" xfId="0" quotePrefix="1" applyAlignment="1">
      <alignment horizontal="right"/>
    </xf>
    <xf numFmtId="2" fontId="4" fillId="6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2" fontId="4" fillId="0" borderId="0" xfId="0" applyNumberFormat="1" applyFont="1" applyAlignment="1">
      <alignment horizontal="center" vertical="center"/>
    </xf>
    <xf numFmtId="0" fontId="5" fillId="0" borderId="0" xfId="0" applyFont="1"/>
    <xf numFmtId="0" fontId="5" fillId="4" borderId="7" xfId="0" applyFont="1" applyFill="1" applyBorder="1" applyAlignment="1">
      <alignment horizontal="centerContinuous" shrinkToFit="1"/>
    </xf>
    <xf numFmtId="0" fontId="5" fillId="4" borderId="8" xfId="0" applyFont="1" applyFill="1" applyBorder="1" applyAlignment="1">
      <alignment horizontal="centerContinuous"/>
    </xf>
    <xf numFmtId="0" fontId="5" fillId="4" borderId="9" xfId="0" applyFont="1" applyFill="1" applyBorder="1" applyAlignment="1">
      <alignment horizontal="centerContinuous"/>
    </xf>
    <xf numFmtId="0" fontId="5" fillId="4" borderId="7" xfId="0" applyFont="1" applyFill="1" applyBorder="1" applyAlignment="1">
      <alignment horizontal="centerContinuous"/>
    </xf>
    <xf numFmtId="0" fontId="8" fillId="7" borderId="10" xfId="0" applyFont="1" applyFill="1" applyBorder="1" applyAlignment="1">
      <alignment horizontal="center" vertical="center" wrapText="1"/>
    </xf>
    <xf numFmtId="16" fontId="9" fillId="7" borderId="11" xfId="0" quotePrefix="1" applyNumberFormat="1" applyFont="1" applyFill="1" applyBorder="1" applyAlignment="1">
      <alignment horizontal="center" vertical="center" shrinkToFit="1"/>
    </xf>
    <xf numFmtId="0" fontId="9" fillId="7" borderId="4" xfId="0" applyFont="1" applyFill="1" applyBorder="1" applyAlignment="1">
      <alignment horizontal="center" vertical="center"/>
    </xf>
    <xf numFmtId="16" fontId="9" fillId="7" borderId="12" xfId="0" quotePrefix="1" applyNumberFormat="1" applyFont="1" applyFill="1" applyBorder="1" applyAlignment="1">
      <alignment horizontal="center" vertical="center"/>
    </xf>
    <xf numFmtId="16" fontId="9" fillId="7" borderId="11" xfId="0" quotePrefix="1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left" vertical="center"/>
    </xf>
    <xf numFmtId="43" fontId="4" fillId="0" borderId="0" xfId="1" applyFont="1" applyFill="1" applyBorder="1"/>
    <xf numFmtId="1" fontId="4" fillId="0" borderId="0" xfId="1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8" fillId="7" borderId="7" xfId="0" applyFont="1" applyFill="1" applyBorder="1" applyAlignment="1">
      <alignment horizontal="centerContinuous" vertical="center" shrinkToFit="1"/>
    </xf>
    <xf numFmtId="0" fontId="8" fillId="7" borderId="8" xfId="0" applyFont="1" applyFill="1" applyBorder="1" applyAlignment="1">
      <alignment horizontal="centerContinuous" vertical="center"/>
    </xf>
    <xf numFmtId="0" fontId="8" fillId="7" borderId="9" xfId="0" applyFont="1" applyFill="1" applyBorder="1" applyAlignment="1">
      <alignment horizontal="centerContinuous" vertical="center"/>
    </xf>
    <xf numFmtId="0" fontId="8" fillId="7" borderId="7" xfId="0" applyFont="1" applyFill="1" applyBorder="1" applyAlignment="1">
      <alignment horizontal="centerContinuous" vertical="center"/>
    </xf>
    <xf numFmtId="0" fontId="5" fillId="4" borderId="10" xfId="0" applyFont="1" applyFill="1" applyBorder="1" applyAlignment="1">
      <alignment horizontal="center" wrapText="1"/>
    </xf>
    <xf numFmtId="17" fontId="5" fillId="4" borderId="11" xfId="0" applyNumberFormat="1" applyFont="1" applyFill="1" applyBorder="1" applyAlignment="1">
      <alignment horizontal="center" shrinkToFit="1"/>
    </xf>
    <xf numFmtId="17" fontId="5" fillId="4" borderId="4" xfId="0" applyNumberFormat="1" applyFont="1" applyFill="1" applyBorder="1" applyAlignment="1">
      <alignment horizontal="center"/>
    </xf>
    <xf numFmtId="17" fontId="5" fillId="4" borderId="1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 vertical="center"/>
    </xf>
    <xf numFmtId="44" fontId="4" fillId="0" borderId="0" xfId="2" applyFont="1" applyBorder="1"/>
    <xf numFmtId="0" fontId="4" fillId="0" borderId="0" xfId="0" quotePrefix="1" applyFont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 vertical="center"/>
    </xf>
    <xf numFmtId="44" fontId="8" fillId="7" borderId="4" xfId="2" applyFont="1" applyFill="1" applyBorder="1" applyAlignment="1">
      <alignment horizontal="center"/>
    </xf>
    <xf numFmtId="0" fontId="4" fillId="0" borderId="0" xfId="0" applyFont="1" applyAlignment="1">
      <alignment horizontal="right" shrinkToFit="1"/>
    </xf>
    <xf numFmtId="43" fontId="4" fillId="8" borderId="4" xfId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43" fontId="4" fillId="0" borderId="0" xfId="1" applyFont="1" applyBorder="1" applyAlignment="1">
      <alignment horizontal="right"/>
    </xf>
    <xf numFmtId="43" fontId="5" fillId="4" borderId="4" xfId="1" applyFont="1" applyFill="1" applyBorder="1" applyAlignment="1">
      <alignment horizontal="center"/>
    </xf>
    <xf numFmtId="10" fontId="5" fillId="4" borderId="4" xfId="3" applyNumberFormat="1" applyFont="1" applyFill="1" applyBorder="1" applyAlignment="1">
      <alignment horizontal="center"/>
    </xf>
    <xf numFmtId="44" fontId="5" fillId="2" borderId="16" xfId="2" applyFont="1" applyFill="1" applyBorder="1" applyAlignment="1">
      <alignment horizontal="right" shrinkToFit="1"/>
    </xf>
    <xf numFmtId="43" fontId="4" fillId="8" borderId="4" xfId="0" applyNumberFormat="1" applyFont="1" applyFill="1" applyBorder="1"/>
    <xf numFmtId="43" fontId="4" fillId="0" borderId="0" xfId="0" applyNumberFormat="1" applyFont="1" applyAlignment="1">
      <alignment horizontal="right"/>
    </xf>
    <xf numFmtId="2" fontId="4" fillId="8" borderId="4" xfId="0" applyNumberFormat="1" applyFont="1" applyFill="1" applyBorder="1"/>
    <xf numFmtId="2" fontId="4" fillId="0" borderId="4" xfId="0" applyNumberFormat="1" applyFont="1" applyBorder="1"/>
    <xf numFmtId="43" fontId="4" fillId="8" borderId="4" xfId="1" applyFont="1" applyFill="1" applyBorder="1"/>
    <xf numFmtId="2" fontId="4" fillId="0" borderId="0" xfId="0" applyNumberFormat="1" applyFont="1" applyAlignment="1">
      <alignment horizontal="right"/>
    </xf>
    <xf numFmtId="43" fontId="4" fillId="8" borderId="4" xfId="1" applyFont="1" applyFill="1" applyBorder="1" applyAlignment="1">
      <alignment horizontal="right"/>
    </xf>
    <xf numFmtId="43" fontId="4" fillId="4" borderId="4" xfId="0" applyNumberFormat="1" applyFont="1" applyFill="1" applyBorder="1"/>
    <xf numFmtId="10" fontId="4" fillId="4" borderId="4" xfId="3" applyNumberFormat="1" applyFont="1" applyFill="1" applyBorder="1"/>
    <xf numFmtId="43" fontId="4" fillId="0" borderId="0" xfId="0" applyNumberFormat="1" applyFont="1"/>
    <xf numFmtId="43" fontId="4" fillId="0" borderId="0" xfId="1" applyFont="1"/>
    <xf numFmtId="10" fontId="4" fillId="0" borderId="0" xfId="3" applyNumberFormat="1" applyFont="1"/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44" fontId="5" fillId="2" borderId="16" xfId="2" applyFont="1" applyFill="1" applyBorder="1" applyAlignment="1">
      <alignment horizontal="right" vertical="center" shrinkToFit="1"/>
    </xf>
    <xf numFmtId="0" fontId="0" fillId="0" borderId="0" xfId="0" applyAlignment="1">
      <alignment horizontal="right" shrinkToFi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shrinkToFit="1"/>
    </xf>
    <xf numFmtId="0" fontId="2" fillId="4" borderId="16" xfId="0" applyFont="1" applyFill="1" applyBorder="1" applyAlignment="1">
      <alignment horizontal="center"/>
    </xf>
    <xf numFmtId="165" fontId="2" fillId="4" borderId="16" xfId="0" applyNumberFormat="1" applyFont="1" applyFill="1" applyBorder="1" applyAlignment="1">
      <alignment horizontal="center"/>
    </xf>
    <xf numFmtId="43" fontId="5" fillId="2" borderId="16" xfId="1" applyFont="1" applyFill="1" applyBorder="1" applyAlignment="1">
      <alignment horizontal="right" vertical="center" shrinkToFit="1"/>
    </xf>
    <xf numFmtId="0" fontId="0" fillId="0" borderId="0" xfId="0" applyAlignment="1">
      <alignment horizontal="center" shrinkToFit="1"/>
    </xf>
    <xf numFmtId="2" fontId="2" fillId="4" borderId="16" xfId="0" applyNumberFormat="1" applyFont="1" applyFill="1" applyBorder="1" applyAlignment="1">
      <alignment horizontal="center"/>
    </xf>
    <xf numFmtId="2" fontId="0" fillId="4" borderId="16" xfId="0" applyNumberFormat="1" applyFill="1" applyBorder="1" applyAlignment="1">
      <alignment horizontal="center"/>
    </xf>
    <xf numFmtId="2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43" fontId="2" fillId="4" borderId="16" xfId="1" applyFont="1" applyFill="1" applyBorder="1" applyAlignment="1">
      <alignment horizontal="center"/>
    </xf>
    <xf numFmtId="0" fontId="11" fillId="0" borderId="0" xfId="0" applyFont="1"/>
    <xf numFmtId="164" fontId="4" fillId="2" borderId="4" xfId="3" applyNumberFormat="1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/>
    </xf>
    <xf numFmtId="2" fontId="4" fillId="9" borderId="13" xfId="0" applyNumberFormat="1" applyFont="1" applyFill="1" applyBorder="1" applyAlignment="1">
      <alignment horizontal="center" shrinkToFit="1"/>
    </xf>
    <xf numFmtId="2" fontId="4" fillId="9" borderId="14" xfId="0" applyNumberFormat="1" applyFont="1" applyFill="1" applyBorder="1" applyAlignment="1">
      <alignment horizontal="center"/>
    </xf>
    <xf numFmtId="2" fontId="4" fillId="9" borderId="15" xfId="0" applyNumberFormat="1" applyFont="1" applyFill="1" applyBorder="1" applyAlignment="1">
      <alignment horizontal="center"/>
    </xf>
    <xf numFmtId="2" fontId="4" fillId="9" borderId="13" xfId="0" applyNumberFormat="1" applyFont="1" applyFill="1" applyBorder="1" applyAlignment="1">
      <alignment horizontal="center"/>
    </xf>
    <xf numFmtId="2" fontId="4" fillId="9" borderId="11" xfId="0" applyNumberFormat="1" applyFont="1" applyFill="1" applyBorder="1" applyAlignment="1">
      <alignment horizontal="center" shrinkToFit="1"/>
    </xf>
    <xf numFmtId="2" fontId="4" fillId="9" borderId="4" xfId="0" applyNumberFormat="1" applyFont="1" applyFill="1" applyBorder="1" applyAlignment="1">
      <alignment horizontal="center"/>
    </xf>
    <xf numFmtId="2" fontId="4" fillId="9" borderId="12" xfId="0" applyNumberFormat="1" applyFont="1" applyFill="1" applyBorder="1" applyAlignment="1">
      <alignment horizontal="center"/>
    </xf>
    <xf numFmtId="2" fontId="4" fillId="9" borderId="11" xfId="0" applyNumberFormat="1" applyFont="1" applyFill="1" applyBorder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0" fillId="0" borderId="0" xfId="0" quotePrefix="1"/>
    <xf numFmtId="0" fontId="5" fillId="4" borderId="4" xfId="0" applyFont="1" applyFill="1" applyBorder="1" applyAlignment="1">
      <alignment horizontal="center" vertical="center"/>
    </xf>
    <xf numFmtId="1" fontId="5" fillId="4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44" fontId="5" fillId="2" borderId="16" xfId="2" applyNumberFormat="1" applyFont="1" applyFill="1" applyBorder="1" applyAlignment="1">
      <alignment horizontal="right" vertical="center" shrinkToFi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/>
    <xf numFmtId="10" fontId="5" fillId="5" borderId="16" xfId="0" applyNumberFormat="1" applyFont="1" applyFill="1" applyBorder="1" applyAlignment="1">
      <alignment horizontal="right" shrinkToFit="1"/>
    </xf>
    <xf numFmtId="165" fontId="0" fillId="0" borderId="16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2" fontId="2" fillId="6" borderId="16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64" fontId="0" fillId="0" borderId="0" xfId="3" applyNumberFormat="1" applyFont="1" applyAlignment="1">
      <alignment horizontal="left"/>
    </xf>
    <xf numFmtId="165" fontId="4" fillId="2" borderId="4" xfId="0" quotePrefix="1" applyNumberFormat="1" applyFont="1" applyFill="1" applyBorder="1" applyAlignment="1">
      <alignment horizontal="center" vertical="center"/>
    </xf>
    <xf numFmtId="44" fontId="5" fillId="2" borderId="16" xfId="2" applyFont="1" applyFill="1" applyBorder="1" applyAlignment="1">
      <alignment horizontal="center" shrinkToFi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4" xfId="0" applyFont="1" applyBorder="1" applyAlignment="1">
      <alignment horizontal="center" vertical="center"/>
    </xf>
    <xf numFmtId="165" fontId="4" fillId="2" borderId="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5" fillId="4" borderId="4" xfId="0" applyFont="1" applyFill="1" applyBorder="1" applyAlignment="1">
      <alignment horizontal="centerContinuous" vertical="center" shrinkToFit="1"/>
    </xf>
    <xf numFmtId="0" fontId="4" fillId="0" borderId="19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4" fillId="4" borderId="17" xfId="0" applyFont="1" applyFill="1" applyBorder="1" applyAlignment="1">
      <alignment horizontal="centerContinuous"/>
    </xf>
    <xf numFmtId="2" fontId="4" fillId="0" borderId="16" xfId="0" applyNumberFormat="1" applyFont="1" applyBorder="1"/>
    <xf numFmtId="9" fontId="4" fillId="2" borderId="4" xfId="3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2" fontId="4" fillId="2" borderId="4" xfId="0" applyNumberFormat="1" applyFont="1" applyFill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5" fontId="4" fillId="2" borderId="4" xfId="0" applyNumberFormat="1" applyFont="1" applyFill="1" applyBorder="1" applyAlignment="1">
      <alignment horizontal="center" vertical="center"/>
    </xf>
    <xf numFmtId="165" fontId="0" fillId="2" borderId="4" xfId="0" applyNumberForma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5" fontId="4" fillId="2" borderId="5" xfId="0" applyNumberFormat="1" applyFont="1" applyFill="1" applyBorder="1" applyAlignment="1">
      <alignment horizontal="center" vertical="center"/>
    </xf>
    <xf numFmtId="165" fontId="0" fillId="2" borderId="6" xfId="0" applyNumberForma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 vertical="center"/>
    </xf>
  </cellXfs>
  <cellStyles count="6">
    <cellStyle name="Comma" xfId="1" builtinId="3"/>
    <cellStyle name="Currency" xfId="2" builtinId="4"/>
    <cellStyle name="Normal" xfId="0" builtinId="0"/>
    <cellStyle name="Normal 2" xfId="5" xr:uid="{510362DC-9E4F-41D6-84F8-9CEEB276BCA8}"/>
    <cellStyle name="Percent" xfId="3" builtinId="5"/>
    <cellStyle name="Percent 2" xfId="4" xr:uid="{08785827-C832-449A-8AC4-CE946DB27F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15758-460A-4EBF-A313-4B197566892C}">
  <dimension ref="B1:BF141"/>
  <sheetViews>
    <sheetView tabSelected="1" topLeftCell="A52" zoomScale="80" zoomScaleNormal="80" workbookViewId="0">
      <selection activeCell="F52" sqref="F52"/>
    </sheetView>
  </sheetViews>
  <sheetFormatPr defaultColWidth="8.81640625" defaultRowHeight="14.5" x14ac:dyDescent="0.35"/>
  <cols>
    <col min="1" max="1" width="3.26953125" style="110" customWidth="1"/>
    <col min="2" max="2" width="14.36328125" style="110" customWidth="1"/>
    <col min="3" max="3" width="18.6328125" style="2" customWidth="1"/>
    <col min="4" max="5" width="13.1796875" style="110" customWidth="1"/>
    <col min="6" max="6" width="15.1796875" style="110" customWidth="1"/>
    <col min="7" max="8" width="13.1796875" style="109" customWidth="1"/>
    <col min="9" max="9" width="14.36328125" style="110" customWidth="1"/>
    <col min="10" max="10" width="15.36328125" style="110" customWidth="1"/>
    <col min="11" max="11" width="13.6328125" style="3" customWidth="1"/>
    <col min="12" max="13" width="13.453125" style="3" customWidth="1"/>
    <col min="14" max="15" width="13.453125" style="4" customWidth="1"/>
    <col min="16" max="16" width="13.453125" style="3" customWidth="1"/>
    <col min="17" max="17" width="13.36328125" style="3" customWidth="1"/>
    <col min="18" max="18" width="19.1796875" style="3" customWidth="1"/>
    <col min="19" max="26" width="13.36328125" style="3" customWidth="1"/>
    <col min="27" max="27" width="8.81640625" style="3"/>
    <col min="28" max="28" width="8.36328125" style="3" customWidth="1"/>
    <col min="29" max="52" width="8.81640625" style="3"/>
    <col min="53" max="257" width="8.81640625" style="110"/>
    <col min="258" max="258" width="9.36328125" style="110" customWidth="1"/>
    <col min="259" max="259" width="11" style="110" customWidth="1"/>
    <col min="260" max="271" width="9.36328125" style="110" customWidth="1"/>
    <col min="272" max="283" width="8.81640625" style="110"/>
    <col min="284" max="284" width="10.453125" style="110" customWidth="1"/>
    <col min="285" max="513" width="8.81640625" style="110"/>
    <col min="514" max="514" width="9.36328125" style="110" customWidth="1"/>
    <col min="515" max="515" width="11" style="110" customWidth="1"/>
    <col min="516" max="527" width="9.36328125" style="110" customWidth="1"/>
    <col min="528" max="539" width="8.81640625" style="110"/>
    <col min="540" max="540" width="10.453125" style="110" customWidth="1"/>
    <col min="541" max="769" width="8.81640625" style="110"/>
    <col min="770" max="770" width="9.36328125" style="110" customWidth="1"/>
    <col min="771" max="771" width="11" style="110" customWidth="1"/>
    <col min="772" max="783" width="9.36328125" style="110" customWidth="1"/>
    <col min="784" max="795" width="8.81640625" style="110"/>
    <col min="796" max="796" width="10.453125" style="110" customWidth="1"/>
    <col min="797" max="1025" width="8.81640625" style="110"/>
    <col min="1026" max="1026" width="9.36328125" style="110" customWidth="1"/>
    <col min="1027" max="1027" width="11" style="110" customWidth="1"/>
    <col min="1028" max="1039" width="9.36328125" style="110" customWidth="1"/>
    <col min="1040" max="1051" width="8.81640625" style="110"/>
    <col min="1052" max="1052" width="10.453125" style="110" customWidth="1"/>
    <col min="1053" max="1281" width="8.81640625" style="110"/>
    <col min="1282" max="1282" width="9.36328125" style="110" customWidth="1"/>
    <col min="1283" max="1283" width="11" style="110" customWidth="1"/>
    <col min="1284" max="1295" width="9.36328125" style="110" customWidth="1"/>
    <col min="1296" max="1307" width="8.81640625" style="110"/>
    <col min="1308" max="1308" width="10.453125" style="110" customWidth="1"/>
    <col min="1309" max="1537" width="8.81640625" style="110"/>
    <col min="1538" max="1538" width="9.36328125" style="110" customWidth="1"/>
    <col min="1539" max="1539" width="11" style="110" customWidth="1"/>
    <col min="1540" max="1551" width="9.36328125" style="110" customWidth="1"/>
    <col min="1552" max="1563" width="8.81640625" style="110"/>
    <col min="1564" max="1564" width="10.453125" style="110" customWidth="1"/>
    <col min="1565" max="1793" width="8.81640625" style="110"/>
    <col min="1794" max="1794" width="9.36328125" style="110" customWidth="1"/>
    <col min="1795" max="1795" width="11" style="110" customWidth="1"/>
    <col min="1796" max="1807" width="9.36328125" style="110" customWidth="1"/>
    <col min="1808" max="1819" width="8.81640625" style="110"/>
    <col min="1820" max="1820" width="10.453125" style="110" customWidth="1"/>
    <col min="1821" max="2049" width="8.81640625" style="110"/>
    <col min="2050" max="2050" width="9.36328125" style="110" customWidth="1"/>
    <col min="2051" max="2051" width="11" style="110" customWidth="1"/>
    <col min="2052" max="2063" width="9.36328125" style="110" customWidth="1"/>
    <col min="2064" max="2075" width="8.81640625" style="110"/>
    <col min="2076" max="2076" width="10.453125" style="110" customWidth="1"/>
    <col min="2077" max="2305" width="8.81640625" style="110"/>
    <col min="2306" max="2306" width="9.36328125" style="110" customWidth="1"/>
    <col min="2307" max="2307" width="11" style="110" customWidth="1"/>
    <col min="2308" max="2319" width="9.36328125" style="110" customWidth="1"/>
    <col min="2320" max="2331" width="8.81640625" style="110"/>
    <col min="2332" max="2332" width="10.453125" style="110" customWidth="1"/>
    <col min="2333" max="2561" width="8.81640625" style="110"/>
    <col min="2562" max="2562" width="9.36328125" style="110" customWidth="1"/>
    <col min="2563" max="2563" width="11" style="110" customWidth="1"/>
    <col min="2564" max="2575" width="9.36328125" style="110" customWidth="1"/>
    <col min="2576" max="2587" width="8.81640625" style="110"/>
    <col min="2588" max="2588" width="10.453125" style="110" customWidth="1"/>
    <col min="2589" max="2817" width="8.81640625" style="110"/>
    <col min="2818" max="2818" width="9.36328125" style="110" customWidth="1"/>
    <col min="2819" max="2819" width="11" style="110" customWidth="1"/>
    <col min="2820" max="2831" width="9.36328125" style="110" customWidth="1"/>
    <col min="2832" max="2843" width="8.81640625" style="110"/>
    <col min="2844" max="2844" width="10.453125" style="110" customWidth="1"/>
    <col min="2845" max="3073" width="8.81640625" style="110"/>
    <col min="3074" max="3074" width="9.36328125" style="110" customWidth="1"/>
    <col min="3075" max="3075" width="11" style="110" customWidth="1"/>
    <col min="3076" max="3087" width="9.36328125" style="110" customWidth="1"/>
    <col min="3088" max="3099" width="8.81640625" style="110"/>
    <col min="3100" max="3100" width="10.453125" style="110" customWidth="1"/>
    <col min="3101" max="3329" width="8.81640625" style="110"/>
    <col min="3330" max="3330" width="9.36328125" style="110" customWidth="1"/>
    <col min="3331" max="3331" width="11" style="110" customWidth="1"/>
    <col min="3332" max="3343" width="9.36328125" style="110" customWidth="1"/>
    <col min="3344" max="3355" width="8.81640625" style="110"/>
    <col min="3356" max="3356" width="10.453125" style="110" customWidth="1"/>
    <col min="3357" max="3585" width="8.81640625" style="110"/>
    <col min="3586" max="3586" width="9.36328125" style="110" customWidth="1"/>
    <col min="3587" max="3587" width="11" style="110" customWidth="1"/>
    <col min="3588" max="3599" width="9.36328125" style="110" customWidth="1"/>
    <col min="3600" max="3611" width="8.81640625" style="110"/>
    <col min="3612" max="3612" width="10.453125" style="110" customWidth="1"/>
    <col min="3613" max="3841" width="8.81640625" style="110"/>
    <col min="3842" max="3842" width="9.36328125" style="110" customWidth="1"/>
    <col min="3843" max="3843" width="11" style="110" customWidth="1"/>
    <col min="3844" max="3855" width="9.36328125" style="110" customWidth="1"/>
    <col min="3856" max="3867" width="8.81640625" style="110"/>
    <col min="3868" max="3868" width="10.453125" style="110" customWidth="1"/>
    <col min="3869" max="4097" width="8.81640625" style="110"/>
    <col min="4098" max="4098" width="9.36328125" style="110" customWidth="1"/>
    <col min="4099" max="4099" width="11" style="110" customWidth="1"/>
    <col min="4100" max="4111" width="9.36328125" style="110" customWidth="1"/>
    <col min="4112" max="4123" width="8.81640625" style="110"/>
    <col min="4124" max="4124" width="10.453125" style="110" customWidth="1"/>
    <col min="4125" max="4353" width="8.81640625" style="110"/>
    <col min="4354" max="4354" width="9.36328125" style="110" customWidth="1"/>
    <col min="4355" max="4355" width="11" style="110" customWidth="1"/>
    <col min="4356" max="4367" width="9.36328125" style="110" customWidth="1"/>
    <col min="4368" max="4379" width="8.81640625" style="110"/>
    <col min="4380" max="4380" width="10.453125" style="110" customWidth="1"/>
    <col min="4381" max="4609" width="8.81640625" style="110"/>
    <col min="4610" max="4610" width="9.36328125" style="110" customWidth="1"/>
    <col min="4611" max="4611" width="11" style="110" customWidth="1"/>
    <col min="4612" max="4623" width="9.36328125" style="110" customWidth="1"/>
    <col min="4624" max="4635" width="8.81640625" style="110"/>
    <col min="4636" max="4636" width="10.453125" style="110" customWidth="1"/>
    <col min="4637" max="4865" width="8.81640625" style="110"/>
    <col min="4866" max="4866" width="9.36328125" style="110" customWidth="1"/>
    <col min="4867" max="4867" width="11" style="110" customWidth="1"/>
    <col min="4868" max="4879" width="9.36328125" style="110" customWidth="1"/>
    <col min="4880" max="4891" width="8.81640625" style="110"/>
    <col min="4892" max="4892" width="10.453125" style="110" customWidth="1"/>
    <col min="4893" max="5121" width="8.81640625" style="110"/>
    <col min="5122" max="5122" width="9.36328125" style="110" customWidth="1"/>
    <col min="5123" max="5123" width="11" style="110" customWidth="1"/>
    <col min="5124" max="5135" width="9.36328125" style="110" customWidth="1"/>
    <col min="5136" max="5147" width="8.81640625" style="110"/>
    <col min="5148" max="5148" width="10.453125" style="110" customWidth="1"/>
    <col min="5149" max="5377" width="8.81640625" style="110"/>
    <col min="5378" max="5378" width="9.36328125" style="110" customWidth="1"/>
    <col min="5379" max="5379" width="11" style="110" customWidth="1"/>
    <col min="5380" max="5391" width="9.36328125" style="110" customWidth="1"/>
    <col min="5392" max="5403" width="8.81640625" style="110"/>
    <col min="5404" max="5404" width="10.453125" style="110" customWidth="1"/>
    <col min="5405" max="5633" width="8.81640625" style="110"/>
    <col min="5634" max="5634" width="9.36328125" style="110" customWidth="1"/>
    <col min="5635" max="5635" width="11" style="110" customWidth="1"/>
    <col min="5636" max="5647" width="9.36328125" style="110" customWidth="1"/>
    <col min="5648" max="5659" width="8.81640625" style="110"/>
    <col min="5660" max="5660" width="10.453125" style="110" customWidth="1"/>
    <col min="5661" max="5889" width="8.81640625" style="110"/>
    <col min="5890" max="5890" width="9.36328125" style="110" customWidth="1"/>
    <col min="5891" max="5891" width="11" style="110" customWidth="1"/>
    <col min="5892" max="5903" width="9.36328125" style="110" customWidth="1"/>
    <col min="5904" max="5915" width="8.81640625" style="110"/>
    <col min="5916" max="5916" width="10.453125" style="110" customWidth="1"/>
    <col min="5917" max="6145" width="8.81640625" style="110"/>
    <col min="6146" max="6146" width="9.36328125" style="110" customWidth="1"/>
    <col min="6147" max="6147" width="11" style="110" customWidth="1"/>
    <col min="6148" max="6159" width="9.36328125" style="110" customWidth="1"/>
    <col min="6160" max="6171" width="8.81640625" style="110"/>
    <col min="6172" max="6172" width="10.453125" style="110" customWidth="1"/>
    <col min="6173" max="6401" width="8.81640625" style="110"/>
    <col min="6402" max="6402" width="9.36328125" style="110" customWidth="1"/>
    <col min="6403" max="6403" width="11" style="110" customWidth="1"/>
    <col min="6404" max="6415" width="9.36328125" style="110" customWidth="1"/>
    <col min="6416" max="6427" width="8.81640625" style="110"/>
    <col min="6428" max="6428" width="10.453125" style="110" customWidth="1"/>
    <col min="6429" max="6657" width="8.81640625" style="110"/>
    <col min="6658" max="6658" width="9.36328125" style="110" customWidth="1"/>
    <col min="6659" max="6659" width="11" style="110" customWidth="1"/>
    <col min="6660" max="6671" width="9.36328125" style="110" customWidth="1"/>
    <col min="6672" max="6683" width="8.81640625" style="110"/>
    <col min="6684" max="6684" width="10.453125" style="110" customWidth="1"/>
    <col min="6685" max="6913" width="8.81640625" style="110"/>
    <col min="6914" max="6914" width="9.36328125" style="110" customWidth="1"/>
    <col min="6915" max="6915" width="11" style="110" customWidth="1"/>
    <col min="6916" max="6927" width="9.36328125" style="110" customWidth="1"/>
    <col min="6928" max="6939" width="8.81640625" style="110"/>
    <col min="6940" max="6940" width="10.453125" style="110" customWidth="1"/>
    <col min="6941" max="7169" width="8.81640625" style="110"/>
    <col min="7170" max="7170" width="9.36328125" style="110" customWidth="1"/>
    <col min="7171" max="7171" width="11" style="110" customWidth="1"/>
    <col min="7172" max="7183" width="9.36328125" style="110" customWidth="1"/>
    <col min="7184" max="7195" width="8.81640625" style="110"/>
    <col min="7196" max="7196" width="10.453125" style="110" customWidth="1"/>
    <col min="7197" max="7425" width="8.81640625" style="110"/>
    <col min="7426" max="7426" width="9.36328125" style="110" customWidth="1"/>
    <col min="7427" max="7427" width="11" style="110" customWidth="1"/>
    <col min="7428" max="7439" width="9.36328125" style="110" customWidth="1"/>
    <col min="7440" max="7451" width="8.81640625" style="110"/>
    <col min="7452" max="7452" width="10.453125" style="110" customWidth="1"/>
    <col min="7453" max="7681" width="8.81640625" style="110"/>
    <col min="7682" max="7682" width="9.36328125" style="110" customWidth="1"/>
    <col min="7683" max="7683" width="11" style="110" customWidth="1"/>
    <col min="7684" max="7695" width="9.36328125" style="110" customWidth="1"/>
    <col min="7696" max="7707" width="8.81640625" style="110"/>
    <col min="7708" max="7708" width="10.453125" style="110" customWidth="1"/>
    <col min="7709" max="7937" width="8.81640625" style="110"/>
    <col min="7938" max="7938" width="9.36328125" style="110" customWidth="1"/>
    <col min="7939" max="7939" width="11" style="110" customWidth="1"/>
    <col min="7940" max="7951" width="9.36328125" style="110" customWidth="1"/>
    <col min="7952" max="7963" width="8.81640625" style="110"/>
    <col min="7964" max="7964" width="10.453125" style="110" customWidth="1"/>
    <col min="7965" max="8193" width="8.81640625" style="110"/>
    <col min="8194" max="8194" width="9.36328125" style="110" customWidth="1"/>
    <col min="8195" max="8195" width="11" style="110" customWidth="1"/>
    <col min="8196" max="8207" width="9.36328125" style="110" customWidth="1"/>
    <col min="8208" max="8219" width="8.81640625" style="110"/>
    <col min="8220" max="8220" width="10.453125" style="110" customWidth="1"/>
    <col min="8221" max="8449" width="8.81640625" style="110"/>
    <col min="8450" max="8450" width="9.36328125" style="110" customWidth="1"/>
    <col min="8451" max="8451" width="11" style="110" customWidth="1"/>
    <col min="8452" max="8463" width="9.36328125" style="110" customWidth="1"/>
    <col min="8464" max="8475" width="8.81640625" style="110"/>
    <col min="8476" max="8476" width="10.453125" style="110" customWidth="1"/>
    <col min="8477" max="8705" width="8.81640625" style="110"/>
    <col min="8706" max="8706" width="9.36328125" style="110" customWidth="1"/>
    <col min="8707" max="8707" width="11" style="110" customWidth="1"/>
    <col min="8708" max="8719" width="9.36328125" style="110" customWidth="1"/>
    <col min="8720" max="8731" width="8.81640625" style="110"/>
    <col min="8732" max="8732" width="10.453125" style="110" customWidth="1"/>
    <col min="8733" max="8961" width="8.81640625" style="110"/>
    <col min="8962" max="8962" width="9.36328125" style="110" customWidth="1"/>
    <col min="8963" max="8963" width="11" style="110" customWidth="1"/>
    <col min="8964" max="8975" width="9.36328125" style="110" customWidth="1"/>
    <col min="8976" max="8987" width="8.81640625" style="110"/>
    <col min="8988" max="8988" width="10.453125" style="110" customWidth="1"/>
    <col min="8989" max="9217" width="8.81640625" style="110"/>
    <col min="9218" max="9218" width="9.36328125" style="110" customWidth="1"/>
    <col min="9219" max="9219" width="11" style="110" customWidth="1"/>
    <col min="9220" max="9231" width="9.36328125" style="110" customWidth="1"/>
    <col min="9232" max="9243" width="8.81640625" style="110"/>
    <col min="9244" max="9244" width="10.453125" style="110" customWidth="1"/>
    <col min="9245" max="9473" width="8.81640625" style="110"/>
    <col min="9474" max="9474" width="9.36328125" style="110" customWidth="1"/>
    <col min="9475" max="9475" width="11" style="110" customWidth="1"/>
    <col min="9476" max="9487" width="9.36328125" style="110" customWidth="1"/>
    <col min="9488" max="9499" width="8.81640625" style="110"/>
    <col min="9500" max="9500" width="10.453125" style="110" customWidth="1"/>
    <col min="9501" max="9729" width="8.81640625" style="110"/>
    <col min="9730" max="9730" width="9.36328125" style="110" customWidth="1"/>
    <col min="9731" max="9731" width="11" style="110" customWidth="1"/>
    <col min="9732" max="9743" width="9.36328125" style="110" customWidth="1"/>
    <col min="9744" max="9755" width="8.81640625" style="110"/>
    <col min="9756" max="9756" width="10.453125" style="110" customWidth="1"/>
    <col min="9757" max="9985" width="8.81640625" style="110"/>
    <col min="9986" max="9986" width="9.36328125" style="110" customWidth="1"/>
    <col min="9987" max="9987" width="11" style="110" customWidth="1"/>
    <col min="9988" max="9999" width="9.36328125" style="110" customWidth="1"/>
    <col min="10000" max="10011" width="8.81640625" style="110"/>
    <col min="10012" max="10012" width="10.453125" style="110" customWidth="1"/>
    <col min="10013" max="10241" width="8.81640625" style="110"/>
    <col min="10242" max="10242" width="9.36328125" style="110" customWidth="1"/>
    <col min="10243" max="10243" width="11" style="110" customWidth="1"/>
    <col min="10244" max="10255" width="9.36328125" style="110" customWidth="1"/>
    <col min="10256" max="10267" width="8.81640625" style="110"/>
    <col min="10268" max="10268" width="10.453125" style="110" customWidth="1"/>
    <col min="10269" max="10497" width="8.81640625" style="110"/>
    <col min="10498" max="10498" width="9.36328125" style="110" customWidth="1"/>
    <col min="10499" max="10499" width="11" style="110" customWidth="1"/>
    <col min="10500" max="10511" width="9.36328125" style="110" customWidth="1"/>
    <col min="10512" max="10523" width="8.81640625" style="110"/>
    <col min="10524" max="10524" width="10.453125" style="110" customWidth="1"/>
    <col min="10525" max="10753" width="8.81640625" style="110"/>
    <col min="10754" max="10754" width="9.36328125" style="110" customWidth="1"/>
    <col min="10755" max="10755" width="11" style="110" customWidth="1"/>
    <col min="10756" max="10767" width="9.36328125" style="110" customWidth="1"/>
    <col min="10768" max="10779" width="8.81640625" style="110"/>
    <col min="10780" max="10780" width="10.453125" style="110" customWidth="1"/>
    <col min="10781" max="11009" width="8.81640625" style="110"/>
    <col min="11010" max="11010" width="9.36328125" style="110" customWidth="1"/>
    <col min="11011" max="11011" width="11" style="110" customWidth="1"/>
    <col min="11012" max="11023" width="9.36328125" style="110" customWidth="1"/>
    <col min="11024" max="11035" width="8.81640625" style="110"/>
    <col min="11036" max="11036" width="10.453125" style="110" customWidth="1"/>
    <col min="11037" max="11265" width="8.81640625" style="110"/>
    <col min="11266" max="11266" width="9.36328125" style="110" customWidth="1"/>
    <col min="11267" max="11267" width="11" style="110" customWidth="1"/>
    <col min="11268" max="11279" width="9.36328125" style="110" customWidth="1"/>
    <col min="11280" max="11291" width="8.81640625" style="110"/>
    <col min="11292" max="11292" width="10.453125" style="110" customWidth="1"/>
    <col min="11293" max="11521" width="8.81640625" style="110"/>
    <col min="11522" max="11522" width="9.36328125" style="110" customWidth="1"/>
    <col min="11523" max="11523" width="11" style="110" customWidth="1"/>
    <col min="11524" max="11535" width="9.36328125" style="110" customWidth="1"/>
    <col min="11536" max="11547" width="8.81640625" style="110"/>
    <col min="11548" max="11548" width="10.453125" style="110" customWidth="1"/>
    <col min="11549" max="11777" width="8.81640625" style="110"/>
    <col min="11778" max="11778" width="9.36328125" style="110" customWidth="1"/>
    <col min="11779" max="11779" width="11" style="110" customWidth="1"/>
    <col min="11780" max="11791" width="9.36328125" style="110" customWidth="1"/>
    <col min="11792" max="11803" width="8.81640625" style="110"/>
    <col min="11804" max="11804" width="10.453125" style="110" customWidth="1"/>
    <col min="11805" max="12033" width="8.81640625" style="110"/>
    <col min="12034" max="12034" width="9.36328125" style="110" customWidth="1"/>
    <col min="12035" max="12035" width="11" style="110" customWidth="1"/>
    <col min="12036" max="12047" width="9.36328125" style="110" customWidth="1"/>
    <col min="12048" max="12059" width="8.81640625" style="110"/>
    <col min="12060" max="12060" width="10.453125" style="110" customWidth="1"/>
    <col min="12061" max="12289" width="8.81640625" style="110"/>
    <col min="12290" max="12290" width="9.36328125" style="110" customWidth="1"/>
    <col min="12291" max="12291" width="11" style="110" customWidth="1"/>
    <col min="12292" max="12303" width="9.36328125" style="110" customWidth="1"/>
    <col min="12304" max="12315" width="8.81640625" style="110"/>
    <col min="12316" max="12316" width="10.453125" style="110" customWidth="1"/>
    <col min="12317" max="12545" width="8.81640625" style="110"/>
    <col min="12546" max="12546" width="9.36328125" style="110" customWidth="1"/>
    <col min="12547" max="12547" width="11" style="110" customWidth="1"/>
    <col min="12548" max="12559" width="9.36328125" style="110" customWidth="1"/>
    <col min="12560" max="12571" width="8.81640625" style="110"/>
    <col min="12572" max="12572" width="10.453125" style="110" customWidth="1"/>
    <col min="12573" max="12801" width="8.81640625" style="110"/>
    <col min="12802" max="12802" width="9.36328125" style="110" customWidth="1"/>
    <col min="12803" max="12803" width="11" style="110" customWidth="1"/>
    <col min="12804" max="12815" width="9.36328125" style="110" customWidth="1"/>
    <col min="12816" max="12827" width="8.81640625" style="110"/>
    <col min="12828" max="12828" width="10.453125" style="110" customWidth="1"/>
    <col min="12829" max="13057" width="8.81640625" style="110"/>
    <col min="13058" max="13058" width="9.36328125" style="110" customWidth="1"/>
    <col min="13059" max="13059" width="11" style="110" customWidth="1"/>
    <col min="13060" max="13071" width="9.36328125" style="110" customWidth="1"/>
    <col min="13072" max="13083" width="8.81640625" style="110"/>
    <col min="13084" max="13084" width="10.453125" style="110" customWidth="1"/>
    <col min="13085" max="13313" width="8.81640625" style="110"/>
    <col min="13314" max="13314" width="9.36328125" style="110" customWidth="1"/>
    <col min="13315" max="13315" width="11" style="110" customWidth="1"/>
    <col min="13316" max="13327" width="9.36328125" style="110" customWidth="1"/>
    <col min="13328" max="13339" width="8.81640625" style="110"/>
    <col min="13340" max="13340" width="10.453125" style="110" customWidth="1"/>
    <col min="13341" max="13569" width="8.81640625" style="110"/>
    <col min="13570" max="13570" width="9.36328125" style="110" customWidth="1"/>
    <col min="13571" max="13571" width="11" style="110" customWidth="1"/>
    <col min="13572" max="13583" width="9.36328125" style="110" customWidth="1"/>
    <col min="13584" max="13595" width="8.81640625" style="110"/>
    <col min="13596" max="13596" width="10.453125" style="110" customWidth="1"/>
    <col min="13597" max="13825" width="8.81640625" style="110"/>
    <col min="13826" max="13826" width="9.36328125" style="110" customWidth="1"/>
    <col min="13827" max="13827" width="11" style="110" customWidth="1"/>
    <col min="13828" max="13839" width="9.36328125" style="110" customWidth="1"/>
    <col min="13840" max="13851" width="8.81640625" style="110"/>
    <col min="13852" max="13852" width="10.453125" style="110" customWidth="1"/>
    <col min="13853" max="14081" width="8.81640625" style="110"/>
    <col min="14082" max="14082" width="9.36328125" style="110" customWidth="1"/>
    <col min="14083" max="14083" width="11" style="110" customWidth="1"/>
    <col min="14084" max="14095" width="9.36328125" style="110" customWidth="1"/>
    <col min="14096" max="14107" width="8.81640625" style="110"/>
    <col min="14108" max="14108" width="10.453125" style="110" customWidth="1"/>
    <col min="14109" max="14337" width="8.81640625" style="110"/>
    <col min="14338" max="14338" width="9.36328125" style="110" customWidth="1"/>
    <col min="14339" max="14339" width="11" style="110" customWidth="1"/>
    <col min="14340" max="14351" width="9.36328125" style="110" customWidth="1"/>
    <col min="14352" max="14363" width="8.81640625" style="110"/>
    <col min="14364" max="14364" width="10.453125" style="110" customWidth="1"/>
    <col min="14365" max="14593" width="8.81640625" style="110"/>
    <col min="14594" max="14594" width="9.36328125" style="110" customWidth="1"/>
    <col min="14595" max="14595" width="11" style="110" customWidth="1"/>
    <col min="14596" max="14607" width="9.36328125" style="110" customWidth="1"/>
    <col min="14608" max="14619" width="8.81640625" style="110"/>
    <col min="14620" max="14620" width="10.453125" style="110" customWidth="1"/>
    <col min="14621" max="14849" width="8.81640625" style="110"/>
    <col min="14850" max="14850" width="9.36328125" style="110" customWidth="1"/>
    <col min="14851" max="14851" width="11" style="110" customWidth="1"/>
    <col min="14852" max="14863" width="9.36328125" style="110" customWidth="1"/>
    <col min="14864" max="14875" width="8.81640625" style="110"/>
    <col min="14876" max="14876" width="10.453125" style="110" customWidth="1"/>
    <col min="14877" max="15105" width="8.81640625" style="110"/>
    <col min="15106" max="15106" width="9.36328125" style="110" customWidth="1"/>
    <col min="15107" max="15107" width="11" style="110" customWidth="1"/>
    <col min="15108" max="15119" width="9.36328125" style="110" customWidth="1"/>
    <col min="15120" max="15131" width="8.81640625" style="110"/>
    <col min="15132" max="15132" width="10.453125" style="110" customWidth="1"/>
    <col min="15133" max="15361" width="8.81640625" style="110"/>
    <col min="15362" max="15362" width="9.36328125" style="110" customWidth="1"/>
    <col min="15363" max="15363" width="11" style="110" customWidth="1"/>
    <col min="15364" max="15375" width="9.36328125" style="110" customWidth="1"/>
    <col min="15376" max="15387" width="8.81640625" style="110"/>
    <col min="15388" max="15388" width="10.453125" style="110" customWidth="1"/>
    <col min="15389" max="15617" width="8.81640625" style="110"/>
    <col min="15618" max="15618" width="9.36328125" style="110" customWidth="1"/>
    <col min="15619" max="15619" width="11" style="110" customWidth="1"/>
    <col min="15620" max="15631" width="9.36328125" style="110" customWidth="1"/>
    <col min="15632" max="15643" width="8.81640625" style="110"/>
    <col min="15644" max="15644" width="10.453125" style="110" customWidth="1"/>
    <col min="15645" max="15873" width="8.81640625" style="110"/>
    <col min="15874" max="15874" width="9.36328125" style="110" customWidth="1"/>
    <col min="15875" max="15875" width="11" style="110" customWidth="1"/>
    <col min="15876" max="15887" width="9.36328125" style="110" customWidth="1"/>
    <col min="15888" max="15899" width="8.81640625" style="110"/>
    <col min="15900" max="15900" width="10.453125" style="110" customWidth="1"/>
    <col min="15901" max="16129" width="8.81640625" style="110"/>
    <col min="16130" max="16130" width="9.36328125" style="110" customWidth="1"/>
    <col min="16131" max="16131" width="11" style="110" customWidth="1"/>
    <col min="16132" max="16143" width="9.36328125" style="110" customWidth="1"/>
    <col min="16144" max="16155" width="8.81640625" style="110"/>
    <col min="16156" max="16156" width="10.453125" style="110" customWidth="1"/>
    <col min="16157" max="16384" width="8.81640625" style="110"/>
  </cols>
  <sheetData>
    <row r="1" spans="2:58" ht="33.75" customHeight="1" thickBot="1" x14ac:dyDescent="0.4">
      <c r="B1" s="1" t="s">
        <v>0</v>
      </c>
      <c r="N1" s="103" t="s">
        <v>99</v>
      </c>
      <c r="O1" s="103"/>
      <c r="BA1" s="102" t="s">
        <v>113</v>
      </c>
    </row>
    <row r="2" spans="2:58" s="121" customFormat="1" ht="22.75" customHeight="1" thickBot="1" x14ac:dyDescent="0.4">
      <c r="B2" s="127" t="s">
        <v>1</v>
      </c>
      <c r="C2" s="164"/>
      <c r="D2" s="165"/>
      <c r="E2" s="127" t="s">
        <v>2</v>
      </c>
      <c r="F2" s="164"/>
      <c r="G2" s="166"/>
      <c r="H2" s="167"/>
      <c r="J2" s="105" t="s">
        <v>98</v>
      </c>
      <c r="K2" s="104">
        <f ca="1">RAND()*100</f>
        <v>91.746518503412972</v>
      </c>
      <c r="L2" s="5"/>
      <c r="M2" s="5"/>
      <c r="N2" s="103">
        <f>SUM(N8:N125)</f>
        <v>92</v>
      </c>
      <c r="O2" s="103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121" t="s">
        <v>3</v>
      </c>
      <c r="BB2" s="121">
        <v>130</v>
      </c>
      <c r="BF2" s="108">
        <v>25</v>
      </c>
    </row>
    <row r="3" spans="2:58" ht="32" customHeight="1" x14ac:dyDescent="0.5">
      <c r="B3" s="90" t="s">
        <v>97</v>
      </c>
      <c r="N3" s="103"/>
      <c r="O3" s="103"/>
      <c r="BB3" s="110">
        <v>13</v>
      </c>
      <c r="BF3" s="110">
        <f>+BF8/12</f>
        <v>0.75</v>
      </c>
    </row>
    <row r="4" spans="2:58" ht="25.75" customHeight="1" x14ac:dyDescent="0.35">
      <c r="B4" s="144" t="s">
        <v>101</v>
      </c>
      <c r="C4" s="145"/>
      <c r="D4" s="145"/>
      <c r="E4" s="145"/>
      <c r="F4" s="145"/>
      <c r="G4" s="145"/>
      <c r="H4" s="145"/>
      <c r="I4" s="145"/>
      <c r="J4" s="145"/>
      <c r="L4" s="121"/>
      <c r="M4" s="128" t="s">
        <v>104</v>
      </c>
      <c r="N4" s="103">
        <f>SUM(N9:N44)</f>
        <v>30</v>
      </c>
      <c r="O4" s="103"/>
      <c r="U4" s="121"/>
      <c r="BB4" s="110">
        <v>148</v>
      </c>
      <c r="BF4" s="110">
        <v>5</v>
      </c>
    </row>
    <row r="5" spans="2:58" ht="16.5" customHeight="1" x14ac:dyDescent="0.35">
      <c r="M5" s="128" t="s">
        <v>105</v>
      </c>
      <c r="N5" s="103">
        <f>SUM(N46:N94)</f>
        <v>35</v>
      </c>
      <c r="O5" s="103"/>
      <c r="BF5" s="110">
        <v>65</v>
      </c>
    </row>
    <row r="6" spans="2:58" s="3" customFormat="1" ht="16" customHeight="1" x14ac:dyDescent="0.3">
      <c r="B6" s="6" t="s">
        <v>4</v>
      </c>
      <c r="C6" s="7"/>
      <c r="G6" s="107"/>
      <c r="H6" s="107"/>
      <c r="M6" s="128" t="s">
        <v>106</v>
      </c>
      <c r="N6" s="103">
        <f>SUM(N95:N125)</f>
        <v>27</v>
      </c>
      <c r="O6" s="103"/>
      <c r="BB6" s="3">
        <v>117</v>
      </c>
      <c r="BF6" s="3">
        <v>68</v>
      </c>
    </row>
    <row r="7" spans="2:58" s="3" customFormat="1" ht="20" customHeight="1" x14ac:dyDescent="0.3">
      <c r="B7" s="3" t="s">
        <v>100</v>
      </c>
      <c r="C7" s="7"/>
      <c r="G7" s="107"/>
      <c r="H7" s="107"/>
      <c r="N7" s="103"/>
      <c r="O7" s="103"/>
      <c r="BB7" s="3">
        <v>154</v>
      </c>
      <c r="BF7" s="3">
        <v>3</v>
      </c>
    </row>
    <row r="8" spans="2:58" s="3" customFormat="1" ht="34.5" customHeight="1" x14ac:dyDescent="0.3">
      <c r="B8" s="8" t="s">
        <v>5</v>
      </c>
      <c r="C8" s="9" t="s">
        <v>6</v>
      </c>
      <c r="D8" s="8" t="s">
        <v>7</v>
      </c>
      <c r="E8" s="8" t="s">
        <v>8</v>
      </c>
      <c r="F8" s="8" t="s">
        <v>9</v>
      </c>
      <c r="G8" s="10" t="s">
        <v>10</v>
      </c>
      <c r="H8" s="10" t="s">
        <v>11</v>
      </c>
      <c r="I8" s="10" t="s">
        <v>12</v>
      </c>
      <c r="J8" s="10" t="s">
        <v>13</v>
      </c>
      <c r="N8" s="103"/>
      <c r="O8" s="103"/>
      <c r="BA8" s="3" t="s">
        <v>14</v>
      </c>
      <c r="BB8" s="3">
        <v>15</v>
      </c>
      <c r="BF8" s="3">
        <v>9</v>
      </c>
    </row>
    <row r="9" spans="2:58" s="3" customFormat="1" ht="20" customHeight="1" x14ac:dyDescent="0.3">
      <c r="B9" s="122" t="s">
        <v>15</v>
      </c>
      <c r="C9" s="11" t="s">
        <v>16</v>
      </c>
      <c r="D9" s="122">
        <v>95</v>
      </c>
      <c r="E9" s="122">
        <v>8.6</v>
      </c>
      <c r="F9" s="122">
        <v>122</v>
      </c>
      <c r="G9" s="126">
        <f>MAX(0,F9-D9)</f>
        <v>27</v>
      </c>
      <c r="H9" s="126">
        <f>+G9-E9</f>
        <v>18.399999999999999</v>
      </c>
      <c r="I9" s="126">
        <f>+D9+E9</f>
        <v>103.6</v>
      </c>
      <c r="J9" s="91">
        <f>+H9/E9</f>
        <v>2.13953488372093</v>
      </c>
      <c r="N9" s="103">
        <v>2</v>
      </c>
      <c r="O9" s="103"/>
      <c r="BB9" s="3">
        <v>95</v>
      </c>
    </row>
    <row r="10" spans="2:58" s="3" customFormat="1" ht="20" customHeight="1" x14ac:dyDescent="0.35">
      <c r="B10" s="122" t="s">
        <v>15</v>
      </c>
      <c r="C10" s="11" t="s">
        <v>16</v>
      </c>
      <c r="D10" s="122">
        <v>107</v>
      </c>
      <c r="E10" s="122">
        <v>15.45</v>
      </c>
      <c r="F10" s="122">
        <v>104</v>
      </c>
      <c r="G10" s="126">
        <f>MAX(0,F10-D10)</f>
        <v>0</v>
      </c>
      <c r="H10" s="126">
        <f>+G10-E10</f>
        <v>-15.45</v>
      </c>
      <c r="I10" s="126">
        <f>+D10+E10</f>
        <v>122.45</v>
      </c>
      <c r="J10" s="91">
        <f>+H10/E10</f>
        <v>-1</v>
      </c>
      <c r="N10" s="103">
        <v>2</v>
      </c>
      <c r="O10" s="103"/>
      <c r="BA10" s="13" t="s">
        <v>17</v>
      </c>
      <c r="BB10" s="14">
        <v>65</v>
      </c>
    </row>
    <row r="11" spans="2:58" s="3" customFormat="1" ht="20" customHeight="1" x14ac:dyDescent="0.35">
      <c r="B11" s="122" t="s">
        <v>15</v>
      </c>
      <c r="C11" s="11" t="s">
        <v>18</v>
      </c>
      <c r="D11" s="122">
        <v>111</v>
      </c>
      <c r="E11" s="122">
        <v>13.25</v>
      </c>
      <c r="F11" s="122">
        <v>98</v>
      </c>
      <c r="G11" s="126">
        <f>MAX(0,D11-F11)</f>
        <v>13</v>
      </c>
      <c r="H11" s="126">
        <f>+G11-E11</f>
        <v>-0.25</v>
      </c>
      <c r="I11" s="126">
        <f>+D11-E11</f>
        <v>97.75</v>
      </c>
      <c r="J11" s="91">
        <f>+H11/E11</f>
        <v>-1.8867924528301886E-2</v>
      </c>
      <c r="N11" s="103">
        <v>2</v>
      </c>
      <c r="O11" s="103"/>
      <c r="BA11" s="13" t="s">
        <v>19</v>
      </c>
      <c r="BB11" s="14">
        <v>1.25</v>
      </c>
    </row>
    <row r="12" spans="2:58" s="3" customFormat="1" ht="20" customHeight="1" x14ac:dyDescent="0.35">
      <c r="B12" s="122" t="s">
        <v>20</v>
      </c>
      <c r="C12" s="11" t="s">
        <v>18</v>
      </c>
      <c r="D12" s="122">
        <v>106</v>
      </c>
      <c r="E12" s="122">
        <v>15.25</v>
      </c>
      <c r="F12" s="122">
        <v>102</v>
      </c>
      <c r="G12" s="126">
        <f>MAX(0,D12-F12)</f>
        <v>4</v>
      </c>
      <c r="H12" s="126">
        <f t="shared" ref="H12" si="0">+G12-E12</f>
        <v>-11.25</v>
      </c>
      <c r="I12" s="126">
        <f>+D12-E12</f>
        <v>90.75</v>
      </c>
      <c r="J12" s="91">
        <f t="shared" ref="J12" si="1">+H12/E12</f>
        <v>-0.73770491803278693</v>
      </c>
      <c r="N12" s="103">
        <v>2</v>
      </c>
      <c r="O12" s="103"/>
      <c r="BA12" s="13" t="s">
        <v>21</v>
      </c>
      <c r="BB12" s="14">
        <v>0.8</v>
      </c>
    </row>
    <row r="13" spans="2:58" s="3" customFormat="1" ht="20" customHeight="1" x14ac:dyDescent="0.35">
      <c r="B13" s="122" t="s">
        <v>22</v>
      </c>
      <c r="C13" s="11" t="s">
        <v>18</v>
      </c>
      <c r="D13" s="122">
        <v>116</v>
      </c>
      <c r="E13" s="122">
        <v>16.05</v>
      </c>
      <c r="F13" s="122">
        <v>125</v>
      </c>
      <c r="G13" s="126">
        <f>-MAX(0,D13-F13)</f>
        <v>0</v>
      </c>
      <c r="H13" s="126">
        <f>+G13+E13</f>
        <v>16.05</v>
      </c>
      <c r="I13" s="126">
        <f t="shared" ref="I13:I14" si="2">+D13-E13</f>
        <v>99.95</v>
      </c>
      <c r="J13" s="15"/>
      <c r="N13" s="103">
        <v>2</v>
      </c>
      <c r="O13" s="103"/>
      <c r="BA13" s="13" t="s">
        <v>23</v>
      </c>
      <c r="BB13" s="16">
        <v>60</v>
      </c>
    </row>
    <row r="14" spans="2:58" s="3" customFormat="1" ht="20" customHeight="1" x14ac:dyDescent="0.35">
      <c r="B14" s="122" t="s">
        <v>22</v>
      </c>
      <c r="C14" s="11" t="s">
        <v>18</v>
      </c>
      <c r="D14" s="122">
        <v>121</v>
      </c>
      <c r="E14" s="122">
        <v>12.5</v>
      </c>
      <c r="F14" s="122">
        <v>115</v>
      </c>
      <c r="G14" s="126">
        <f>-MAX(0,D14-F14)</f>
        <v>-6</v>
      </c>
      <c r="H14" s="126">
        <f>+G14+E14</f>
        <v>6.5</v>
      </c>
      <c r="I14" s="126">
        <f t="shared" si="2"/>
        <v>108.5</v>
      </c>
      <c r="J14" s="15"/>
      <c r="N14" s="103">
        <v>2</v>
      </c>
      <c r="O14" s="103"/>
      <c r="BA14" s="13" t="s">
        <v>24</v>
      </c>
      <c r="BB14" s="16">
        <v>0.05</v>
      </c>
    </row>
    <row r="15" spans="2:58" s="3" customFormat="1" ht="20" customHeight="1" x14ac:dyDescent="0.3">
      <c r="B15" s="122" t="s">
        <v>22</v>
      </c>
      <c r="C15" s="11" t="s">
        <v>16</v>
      </c>
      <c r="D15" s="122">
        <v>125</v>
      </c>
      <c r="E15" s="122">
        <v>4.0999999999999996</v>
      </c>
      <c r="F15" s="122">
        <v>115</v>
      </c>
      <c r="G15" s="126">
        <f>-MAX(0,F15-D15)</f>
        <v>0</v>
      </c>
      <c r="H15" s="126">
        <f t="shared" ref="H15:H16" si="3">+G15+E15</f>
        <v>4.0999999999999996</v>
      </c>
      <c r="I15" s="126">
        <f>+D15+E15</f>
        <v>129.1</v>
      </c>
      <c r="J15" s="15"/>
      <c r="N15" s="103">
        <v>2</v>
      </c>
      <c r="O15" s="103"/>
    </row>
    <row r="16" spans="2:58" s="3" customFormat="1" ht="20" customHeight="1" x14ac:dyDescent="0.3">
      <c r="B16" s="122" t="s">
        <v>22</v>
      </c>
      <c r="C16" s="11" t="s">
        <v>16</v>
      </c>
      <c r="D16" s="122">
        <v>105</v>
      </c>
      <c r="E16" s="122">
        <v>11.2</v>
      </c>
      <c r="F16" s="122">
        <v>128</v>
      </c>
      <c r="G16" s="126">
        <f>-MAX(0,F16-D16)</f>
        <v>-23</v>
      </c>
      <c r="H16" s="126">
        <f t="shared" si="3"/>
        <v>-11.8</v>
      </c>
      <c r="I16" s="126">
        <f>+D16+E16</f>
        <v>116.2</v>
      </c>
      <c r="J16" s="15"/>
      <c r="N16" s="103">
        <v>2</v>
      </c>
      <c r="O16" s="103"/>
    </row>
    <row r="17" spans="2:54" s="3" customFormat="1" ht="17" customHeight="1" x14ac:dyDescent="0.35">
      <c r="B17" s="168" t="s">
        <v>22</v>
      </c>
      <c r="C17" s="168" t="s">
        <v>25</v>
      </c>
      <c r="D17" s="168">
        <v>130</v>
      </c>
      <c r="E17" s="168">
        <v>18.7</v>
      </c>
      <c r="F17" s="168">
        <v>133</v>
      </c>
      <c r="G17" s="170">
        <f>-(F17-D17)</f>
        <v>-3</v>
      </c>
      <c r="H17" s="170">
        <f>+E17+G17</f>
        <v>15.7</v>
      </c>
      <c r="I17" s="117">
        <f>+D17+E17</f>
        <v>148.69999999999999</v>
      </c>
      <c r="J17" s="15"/>
      <c r="N17" s="103">
        <v>2</v>
      </c>
      <c r="O17" s="103"/>
      <c r="Y17" s="12">
        <f>+S17-T17</f>
        <v>0</v>
      </c>
      <c r="BA17" s="13" t="s">
        <v>26</v>
      </c>
      <c r="BB17" s="16">
        <v>4</v>
      </c>
    </row>
    <row r="18" spans="2:54" s="3" customFormat="1" ht="17" customHeight="1" x14ac:dyDescent="0.3">
      <c r="B18" s="169"/>
      <c r="C18" s="169"/>
      <c r="D18" s="169"/>
      <c r="E18" s="169"/>
      <c r="F18" s="169"/>
      <c r="G18" s="171"/>
      <c r="H18" s="171"/>
      <c r="I18" s="117">
        <f>+D17-E17</f>
        <v>111.3</v>
      </c>
      <c r="J18" s="15"/>
      <c r="N18" s="103"/>
      <c r="O18" s="103"/>
      <c r="Y18" s="12"/>
    </row>
    <row r="19" spans="2:54" s="3" customFormat="1" ht="17" customHeight="1" x14ac:dyDescent="0.3">
      <c r="B19" s="151" t="s">
        <v>15</v>
      </c>
      <c r="C19" s="151" t="s">
        <v>25</v>
      </c>
      <c r="D19" s="151">
        <v>110</v>
      </c>
      <c r="E19" s="151">
        <v>19.2</v>
      </c>
      <c r="F19" s="151">
        <v>142</v>
      </c>
      <c r="G19" s="162">
        <f>(F19-D19)</f>
        <v>32</v>
      </c>
      <c r="H19" s="162">
        <f>+G19-E19</f>
        <v>12.8</v>
      </c>
      <c r="I19" s="117">
        <f>+D19+E19</f>
        <v>129.19999999999999</v>
      </c>
      <c r="J19" s="142">
        <f>+H19/E19</f>
        <v>0.66666666666666674</v>
      </c>
      <c r="N19" s="103">
        <v>2</v>
      </c>
      <c r="O19" s="103"/>
      <c r="Y19" s="12">
        <f>+S19-T19</f>
        <v>0</v>
      </c>
    </row>
    <row r="20" spans="2:54" s="3" customFormat="1" ht="17" customHeight="1" x14ac:dyDescent="0.3">
      <c r="B20" s="152"/>
      <c r="C20" s="152"/>
      <c r="D20" s="152"/>
      <c r="E20" s="152"/>
      <c r="F20" s="152"/>
      <c r="G20" s="163"/>
      <c r="H20" s="163"/>
      <c r="I20" s="117">
        <f>+D19-E19</f>
        <v>90.8</v>
      </c>
      <c r="J20" s="143"/>
      <c r="N20" s="103"/>
      <c r="O20" s="103"/>
      <c r="Y20" s="18"/>
    </row>
    <row r="21" spans="2:54" s="3" customFormat="1" ht="20" customHeight="1" x14ac:dyDescent="0.3">
      <c r="B21" s="5"/>
      <c r="C21" s="19"/>
      <c r="D21" s="20"/>
      <c r="E21" s="20"/>
      <c r="F21" s="20"/>
      <c r="G21" s="20"/>
      <c r="H21" s="20"/>
      <c r="N21" s="103"/>
      <c r="O21" s="103"/>
    </row>
    <row r="22" spans="2:54" s="3" customFormat="1" ht="20" customHeight="1" x14ac:dyDescent="0.3">
      <c r="B22" s="6" t="s">
        <v>27</v>
      </c>
      <c r="C22" s="7"/>
      <c r="G22" s="107"/>
      <c r="H22" s="107"/>
      <c r="N22" s="103"/>
      <c r="O22" s="103"/>
    </row>
    <row r="23" spans="2:54" s="3" customFormat="1" ht="20" customHeight="1" x14ac:dyDescent="0.3">
      <c r="B23" s="21" t="s">
        <v>28</v>
      </c>
      <c r="C23" s="7"/>
      <c r="G23" s="107"/>
      <c r="H23" s="107"/>
      <c r="N23" s="103"/>
      <c r="O23" s="103"/>
    </row>
    <row r="24" spans="2:54" s="3" customFormat="1" ht="12.5" customHeight="1" thickBot="1" x14ac:dyDescent="0.35">
      <c r="B24" s="21"/>
      <c r="C24" s="7"/>
      <c r="G24" s="107"/>
      <c r="H24" s="107"/>
      <c r="N24" s="103"/>
      <c r="O24" s="103"/>
    </row>
    <row r="25" spans="2:54" s="3" customFormat="1" ht="20" customHeight="1" x14ac:dyDescent="0.3">
      <c r="B25" s="21"/>
      <c r="C25" s="22" t="s">
        <v>29</v>
      </c>
      <c r="D25" s="23"/>
      <c r="E25" s="24"/>
      <c r="F25" s="25" t="s">
        <v>30</v>
      </c>
      <c r="G25" s="23"/>
      <c r="H25" s="24"/>
      <c r="N25" s="103"/>
      <c r="O25" s="103"/>
    </row>
    <row r="26" spans="2:54" s="3" customFormat="1" ht="27.75" customHeight="1" x14ac:dyDescent="0.3">
      <c r="B26" s="26" t="s">
        <v>31</v>
      </c>
      <c r="C26" s="27" t="s">
        <v>119</v>
      </c>
      <c r="D26" s="28" t="s">
        <v>120</v>
      </c>
      <c r="E26" s="29" t="s">
        <v>121</v>
      </c>
      <c r="F26" s="30" t="str">
        <f>+C26</f>
        <v>Mar 2020</v>
      </c>
      <c r="G26" s="30" t="str">
        <f t="shared" ref="G26:H26" si="4">+D26</f>
        <v xml:space="preserve"> Apr 2020</v>
      </c>
      <c r="H26" s="30" t="str">
        <f t="shared" si="4"/>
        <v xml:space="preserve"> May 20</v>
      </c>
      <c r="N26" s="103"/>
      <c r="O26" s="103"/>
    </row>
    <row r="27" spans="2:54" s="3" customFormat="1" ht="20" customHeight="1" x14ac:dyDescent="0.3">
      <c r="B27" s="101">
        <v>100</v>
      </c>
      <c r="C27" s="97">
        <v>8.1</v>
      </c>
      <c r="D27" s="98">
        <v>10.95</v>
      </c>
      <c r="E27" s="99">
        <v>17.3</v>
      </c>
      <c r="F27" s="100">
        <v>2</v>
      </c>
      <c r="G27" s="98">
        <v>5.85</v>
      </c>
      <c r="H27" s="99">
        <v>10.7</v>
      </c>
      <c r="N27" s="103"/>
      <c r="O27" s="103"/>
    </row>
    <row r="28" spans="2:54" s="3" customFormat="1" ht="20" customHeight="1" x14ac:dyDescent="0.3">
      <c r="B28" s="101">
        <v>105</v>
      </c>
      <c r="C28" s="97">
        <v>5.6</v>
      </c>
      <c r="D28" s="98">
        <v>9.6</v>
      </c>
      <c r="E28" s="99">
        <v>14.95</v>
      </c>
      <c r="F28" s="100">
        <v>3.4</v>
      </c>
      <c r="G28" s="98">
        <v>8.6</v>
      </c>
      <c r="H28" s="99">
        <v>14.75</v>
      </c>
      <c r="N28" s="103"/>
      <c r="O28" s="103"/>
    </row>
    <row r="29" spans="2:54" s="3" customFormat="1" ht="20" customHeight="1" x14ac:dyDescent="0.3">
      <c r="B29" s="101">
        <v>110</v>
      </c>
      <c r="C29" s="97">
        <v>3.6500000000000004</v>
      </c>
      <c r="D29" s="98">
        <v>7.25</v>
      </c>
      <c r="E29" s="99">
        <v>10.7</v>
      </c>
      <c r="F29" s="100">
        <v>6.22</v>
      </c>
      <c r="G29" s="98">
        <v>12.75</v>
      </c>
      <c r="H29" s="99">
        <v>17.649999999999999</v>
      </c>
      <c r="N29" s="103"/>
      <c r="O29" s="103"/>
    </row>
    <row r="30" spans="2:54" s="3" customFormat="1" ht="20" customHeight="1" x14ac:dyDescent="0.3">
      <c r="B30" s="101">
        <v>115</v>
      </c>
      <c r="C30" s="97">
        <v>2.7</v>
      </c>
      <c r="D30" s="98">
        <v>5.35</v>
      </c>
      <c r="E30" s="99">
        <v>8.6</v>
      </c>
      <c r="F30" s="100">
        <v>8.4</v>
      </c>
      <c r="G30" s="98">
        <v>15.55</v>
      </c>
      <c r="H30" s="99">
        <v>22.6</v>
      </c>
      <c r="N30" s="103"/>
      <c r="O30" s="103"/>
    </row>
    <row r="31" spans="2:54" s="3" customFormat="1" ht="20" customHeight="1" x14ac:dyDescent="0.3">
      <c r="B31" s="101">
        <v>120</v>
      </c>
      <c r="C31" s="97">
        <v>2.25</v>
      </c>
      <c r="D31" s="98">
        <v>3.5999999999999996</v>
      </c>
      <c r="E31" s="99">
        <v>6.75</v>
      </c>
      <c r="F31" s="100">
        <v>12</v>
      </c>
      <c r="G31" s="98">
        <v>19.649999999999999</v>
      </c>
      <c r="H31" s="99">
        <v>28.25</v>
      </c>
      <c r="N31" s="103"/>
      <c r="O31" s="103"/>
    </row>
    <row r="32" spans="2:54" s="3" customFormat="1" ht="20" customHeight="1" thickBot="1" x14ac:dyDescent="0.35">
      <c r="B32" s="101">
        <v>125</v>
      </c>
      <c r="C32" s="93">
        <v>1.9500000000000002</v>
      </c>
      <c r="D32" s="94">
        <v>3.15</v>
      </c>
      <c r="E32" s="95">
        <v>4.95</v>
      </c>
      <c r="F32" s="96">
        <v>15.75</v>
      </c>
      <c r="G32" s="94">
        <v>24.55</v>
      </c>
      <c r="H32" s="95">
        <v>32.15</v>
      </c>
      <c r="N32" s="103"/>
      <c r="O32" s="103"/>
    </row>
    <row r="33" spans="2:15" s="3" customFormat="1" ht="20" customHeight="1" x14ac:dyDescent="0.3">
      <c r="B33" s="21"/>
      <c r="C33" s="7"/>
      <c r="G33" s="107"/>
      <c r="H33" s="107"/>
      <c r="N33" s="103"/>
      <c r="O33" s="103"/>
    </row>
    <row r="34" spans="2:15" s="3" customFormat="1" ht="45.5" customHeight="1" x14ac:dyDescent="0.3">
      <c r="B34" s="8" t="s">
        <v>5</v>
      </c>
      <c r="C34" s="132" t="s">
        <v>6</v>
      </c>
      <c r="D34" s="140"/>
      <c r="E34" s="8" t="s">
        <v>32</v>
      </c>
      <c r="F34" s="8" t="s">
        <v>33</v>
      </c>
      <c r="G34" s="8" t="s">
        <v>34</v>
      </c>
      <c r="H34" s="10" t="s">
        <v>35</v>
      </c>
      <c r="I34" s="10" t="s">
        <v>36</v>
      </c>
      <c r="N34" s="103"/>
      <c r="O34" s="103"/>
    </row>
    <row r="35" spans="2:15" s="3" customFormat="1" ht="18" customHeight="1" x14ac:dyDescent="0.3">
      <c r="B35" s="136" t="s">
        <v>15</v>
      </c>
      <c r="C35" s="129" t="s">
        <v>114</v>
      </c>
      <c r="D35" s="130"/>
      <c r="E35" s="135">
        <v>100</v>
      </c>
      <c r="F35" s="153">
        <f>-C27+C29</f>
        <v>-4.4499999999999993</v>
      </c>
      <c r="G35" s="154">
        <f ca="1">+ANSWERS!G35</f>
        <v>120</v>
      </c>
      <c r="H35" s="155">
        <f ca="1">+(G35-E35)-(G35-E36)</f>
        <v>10</v>
      </c>
      <c r="I35" s="172">
        <f ca="1">+H35+F35</f>
        <v>5.5500000000000007</v>
      </c>
      <c r="N35" s="103">
        <v>2</v>
      </c>
      <c r="O35" s="103"/>
    </row>
    <row r="36" spans="2:15" s="3" customFormat="1" ht="18" customHeight="1" x14ac:dyDescent="0.3">
      <c r="B36" s="137"/>
      <c r="C36" s="130"/>
      <c r="D36" s="130"/>
      <c r="E36" s="125">
        <v>110</v>
      </c>
      <c r="F36" s="152"/>
      <c r="G36" s="152"/>
      <c r="H36" s="143"/>
      <c r="I36" s="143"/>
      <c r="N36" s="103">
        <v>2</v>
      </c>
      <c r="O36" s="103"/>
    </row>
    <row r="37" spans="2:15" s="3" customFormat="1" ht="18" customHeight="1" x14ac:dyDescent="0.3">
      <c r="B37" s="138" t="s">
        <v>15</v>
      </c>
      <c r="C37" s="133" t="s">
        <v>115</v>
      </c>
      <c r="D37" s="134"/>
      <c r="E37" s="125">
        <v>115</v>
      </c>
      <c r="F37" s="151">
        <f>-G30+G32</f>
        <v>9</v>
      </c>
      <c r="G37" s="156">
        <f ca="1">+ANSWERS!G37</f>
        <v>90</v>
      </c>
      <c r="H37" s="150">
        <f ca="1">+(E37-G37)-(E38-G37)</f>
        <v>-10</v>
      </c>
      <c r="I37" s="150">
        <f t="shared" ref="I37" ca="1" si="5">+H37+F37</f>
        <v>-1</v>
      </c>
      <c r="N37" s="103">
        <v>2</v>
      </c>
      <c r="O37" s="103"/>
    </row>
    <row r="38" spans="2:15" s="3" customFormat="1" ht="18" customHeight="1" x14ac:dyDescent="0.3">
      <c r="B38" s="137"/>
      <c r="C38" s="130"/>
      <c r="D38" s="130"/>
      <c r="E38" s="125">
        <v>125</v>
      </c>
      <c r="F38" s="152"/>
      <c r="G38" s="152"/>
      <c r="H38" s="143"/>
      <c r="I38" s="143"/>
      <c r="N38" s="103">
        <v>2</v>
      </c>
      <c r="O38" s="103"/>
    </row>
    <row r="39" spans="2:15" s="3" customFormat="1" ht="18" customHeight="1" x14ac:dyDescent="0.3">
      <c r="B39" s="138" t="s">
        <v>15</v>
      </c>
      <c r="C39" s="133" t="s">
        <v>116</v>
      </c>
      <c r="D39" s="134"/>
      <c r="E39" s="125">
        <v>120</v>
      </c>
      <c r="F39" s="151">
        <f>-H32+H31</f>
        <v>-3.8999999999999986</v>
      </c>
      <c r="G39" s="156">
        <f ca="1">+ANSWERS!G39</f>
        <v>90</v>
      </c>
      <c r="H39" s="157">
        <f ca="1">+(E40-G39)-(E39-G39)</f>
        <v>5</v>
      </c>
      <c r="I39" s="150">
        <f t="shared" ref="I39" ca="1" si="6">+H39+F39</f>
        <v>1.1000000000000014</v>
      </c>
      <c r="N39" s="103">
        <v>2</v>
      </c>
      <c r="O39" s="103"/>
    </row>
    <row r="40" spans="2:15" s="3" customFormat="1" ht="18" customHeight="1" x14ac:dyDescent="0.3">
      <c r="B40" s="137"/>
      <c r="C40" s="130"/>
      <c r="D40" s="130"/>
      <c r="E40" s="125">
        <v>125</v>
      </c>
      <c r="F40" s="152"/>
      <c r="G40" s="152"/>
      <c r="H40" s="143"/>
      <c r="I40" s="143"/>
      <c r="N40" s="103"/>
      <c r="O40" s="103"/>
    </row>
    <row r="41" spans="2:15" s="3" customFormat="1" ht="18" customHeight="1" x14ac:dyDescent="0.3">
      <c r="B41" s="138" t="s">
        <v>95</v>
      </c>
      <c r="C41" s="133" t="s">
        <v>117</v>
      </c>
      <c r="D41" s="134"/>
      <c r="E41" s="125">
        <v>100</v>
      </c>
      <c r="F41" s="151">
        <f>-E27-E31+2*E29</f>
        <v>-2.6500000000000021</v>
      </c>
      <c r="G41" s="156">
        <f ca="1">+ANSWERS!G41</f>
        <v>112</v>
      </c>
      <c r="H41" s="157">
        <f ca="1">+(G41-E41)-(G41-110)*2</f>
        <v>8</v>
      </c>
      <c r="I41" s="150">
        <f t="shared" ref="I41" ca="1" si="7">+H41+F41</f>
        <v>5.3499999999999979</v>
      </c>
      <c r="N41" s="103"/>
      <c r="O41" s="103"/>
    </row>
    <row r="42" spans="2:15" s="3" customFormat="1" ht="18" customHeight="1" x14ac:dyDescent="0.3">
      <c r="B42" s="137"/>
      <c r="C42" s="130"/>
      <c r="D42" s="130"/>
      <c r="E42" s="125">
        <v>120</v>
      </c>
      <c r="F42" s="152"/>
      <c r="G42" s="152"/>
      <c r="H42" s="143"/>
      <c r="I42" s="143"/>
      <c r="N42" s="103"/>
      <c r="O42" s="103"/>
    </row>
    <row r="43" spans="2:15" s="3" customFormat="1" ht="18" customHeight="1" x14ac:dyDescent="0.3">
      <c r="B43" s="138" t="s">
        <v>96</v>
      </c>
      <c r="C43" s="133" t="s">
        <v>118</v>
      </c>
      <c r="D43" s="134"/>
      <c r="E43" s="125">
        <v>105</v>
      </c>
      <c r="F43" s="151">
        <f>+C28+C30-2*C29</f>
        <v>1</v>
      </c>
      <c r="G43" s="156">
        <f ca="1">+ANSWERS!G43</f>
        <v>130</v>
      </c>
      <c r="H43" s="157">
        <f ca="1">-(G43-E43)-(G43-E44)+2*(G43-110)</f>
        <v>0</v>
      </c>
      <c r="I43" s="150">
        <f t="shared" ref="I43" ca="1" si="8">+H43+F43</f>
        <v>1</v>
      </c>
      <c r="N43" s="103"/>
      <c r="O43" s="103"/>
    </row>
    <row r="44" spans="2:15" s="3" customFormat="1" ht="18" customHeight="1" x14ac:dyDescent="0.3">
      <c r="B44" s="139"/>
      <c r="C44" s="131"/>
      <c r="D44" s="131"/>
      <c r="E44" s="125">
        <v>115</v>
      </c>
      <c r="F44" s="152"/>
      <c r="G44" s="152"/>
      <c r="H44" s="143"/>
      <c r="I44" s="143"/>
      <c r="N44" s="103"/>
      <c r="O44" s="103"/>
    </row>
    <row r="45" spans="2:15" s="3" customFormat="1" ht="20" customHeight="1" x14ac:dyDescent="0.3">
      <c r="C45" s="31"/>
      <c r="D45" s="32"/>
      <c r="E45" s="33"/>
      <c r="F45" s="33"/>
      <c r="G45" s="34"/>
      <c r="H45" s="35"/>
      <c r="N45" s="103"/>
      <c r="O45" s="103"/>
    </row>
    <row r="46" spans="2:15" ht="20" customHeight="1" x14ac:dyDescent="0.35">
      <c r="B46" s="144" t="s">
        <v>107</v>
      </c>
      <c r="C46" s="145"/>
      <c r="D46" s="145"/>
      <c r="E46" s="145"/>
      <c r="F46" s="145"/>
      <c r="G46" s="145"/>
      <c r="H46" s="145"/>
      <c r="I46" s="145"/>
      <c r="J46" s="145"/>
      <c r="L46" s="121"/>
      <c r="M46" s="121"/>
      <c r="N46" s="103"/>
      <c r="O46" s="103"/>
    </row>
    <row r="47" spans="2:15" s="3" customFormat="1" ht="20" customHeight="1" thickBot="1" x14ac:dyDescent="0.35">
      <c r="C47" s="7"/>
      <c r="G47" s="107"/>
      <c r="H47" s="107"/>
      <c r="N47" s="103"/>
      <c r="O47" s="103"/>
    </row>
    <row r="48" spans="2:15" s="3" customFormat="1" ht="20" customHeight="1" x14ac:dyDescent="0.3">
      <c r="B48" s="36" t="s">
        <v>37</v>
      </c>
      <c r="C48" s="37" t="s">
        <v>38</v>
      </c>
      <c r="D48" s="38"/>
      <c r="E48" s="39"/>
      <c r="F48" s="40" t="s">
        <v>39</v>
      </c>
      <c r="G48" s="38"/>
      <c r="H48" s="39"/>
      <c r="N48" s="103"/>
      <c r="O48" s="103"/>
    </row>
    <row r="49" spans="2:15" s="3" customFormat="1" ht="30.75" customHeight="1" x14ac:dyDescent="0.3">
      <c r="B49" s="41" t="s">
        <v>31</v>
      </c>
      <c r="C49" s="42">
        <v>44136</v>
      </c>
      <c r="D49" s="43">
        <f>+C49+30</f>
        <v>44166</v>
      </c>
      <c r="E49" s="43">
        <f>+D49+31</f>
        <v>44197</v>
      </c>
      <c r="F49" s="44">
        <f>+C49</f>
        <v>44136</v>
      </c>
      <c r="G49" s="44">
        <f t="shared" ref="G49:H49" si="9">+D49</f>
        <v>44166</v>
      </c>
      <c r="H49" s="44">
        <f t="shared" si="9"/>
        <v>44197</v>
      </c>
      <c r="N49" s="103"/>
      <c r="O49" s="103"/>
    </row>
    <row r="50" spans="2:15" s="3" customFormat="1" ht="20" customHeight="1" thickBot="1" x14ac:dyDescent="0.35">
      <c r="B50" s="92">
        <v>130</v>
      </c>
      <c r="C50" s="93">
        <v>6.5</v>
      </c>
      <c r="D50" s="94">
        <v>5.75</v>
      </c>
      <c r="E50" s="95">
        <v>4.3499999999999996</v>
      </c>
      <c r="F50" s="96">
        <v>3</v>
      </c>
      <c r="G50" s="94">
        <v>3.75</v>
      </c>
      <c r="H50" s="95">
        <v>4.75</v>
      </c>
      <c r="N50" s="103"/>
      <c r="O50" s="103"/>
    </row>
    <row r="51" spans="2:15" s="3" customFormat="1" ht="20" customHeight="1" x14ac:dyDescent="0.3">
      <c r="B51" s="92">
        <v>135</v>
      </c>
      <c r="C51" s="97">
        <v>4</v>
      </c>
      <c r="D51" s="98">
        <v>3.5</v>
      </c>
      <c r="E51" s="99">
        <v>3</v>
      </c>
      <c r="F51" s="100">
        <v>4.25</v>
      </c>
      <c r="G51" s="98">
        <v>5.25</v>
      </c>
      <c r="H51" s="99">
        <v>6.5</v>
      </c>
      <c r="N51" s="103"/>
      <c r="O51" s="103"/>
    </row>
    <row r="52" spans="2:15" s="3" customFormat="1" ht="20" customHeight="1" x14ac:dyDescent="0.3">
      <c r="B52" s="92">
        <v>140</v>
      </c>
      <c r="C52" s="97">
        <v>2.25</v>
      </c>
      <c r="D52" s="98">
        <v>2</v>
      </c>
      <c r="E52" s="99">
        <v>1.75</v>
      </c>
      <c r="F52" s="100">
        <v>5.5</v>
      </c>
      <c r="G52" s="98">
        <v>6.75</v>
      </c>
      <c r="H52" s="99">
        <v>8</v>
      </c>
      <c r="N52" s="103"/>
      <c r="O52" s="103"/>
    </row>
    <row r="53" spans="2:15" s="3" customFormat="1" ht="20" customHeight="1" x14ac:dyDescent="0.3">
      <c r="B53" s="45"/>
      <c r="C53" s="7"/>
      <c r="G53" s="107"/>
      <c r="H53" s="107"/>
      <c r="N53" s="103"/>
      <c r="O53" s="103"/>
    </row>
    <row r="54" spans="2:15" s="3" customFormat="1" ht="20" customHeight="1" x14ac:dyDescent="0.3">
      <c r="B54" s="6" t="s">
        <v>108</v>
      </c>
      <c r="C54" s="7"/>
      <c r="G54" s="107"/>
      <c r="N54" s="103"/>
      <c r="O54" s="103"/>
    </row>
    <row r="55" spans="2:15" s="3" customFormat="1" ht="65" customHeight="1" x14ac:dyDescent="0.35">
      <c r="B55" s="158" t="str">
        <f>+"On October 6, 2020 John bought 100 shares of ABC Inc. at $"&amp;+BB2&amp;". He wants though to protect his investment so that by Jan 2021 his investment won’t go below $"&amp;+BB3&amp;",000. He is toying with the idea of requesting either a Stop Loss order to protect his downside at that level. Using the Options Market to protect this floor ($"&amp;+BB3&amp;",000), what will you recommend John do to protect his investment for the next 3 months.  He is willing to pay premium so his initial investment is fully protected."</f>
        <v>On October 6, 2020 John bought 100 shares of ABC Inc. at $130. He wants though to protect his investment so that by Jan 2021 his investment won’t go below $13,000. He is toying with the idea of requesting either a Stop Loss order to protect his downside at that level. Using the Options Market to protect this floor ($13,000), what will you recommend John do to protect his investment for the next 3 months.  He is willing to pay premium so his initial investment is fully protected.</v>
      </c>
      <c r="C55" s="159"/>
      <c r="D55" s="159"/>
      <c r="E55" s="159"/>
      <c r="F55" s="159"/>
      <c r="G55" s="159"/>
      <c r="H55" s="159"/>
      <c r="I55" s="159"/>
      <c r="J55" s="159"/>
      <c r="K55" s="120"/>
      <c r="L55" s="120"/>
      <c r="M55" s="120"/>
      <c r="N55" s="103"/>
      <c r="O55" s="103"/>
    </row>
    <row r="56" spans="2:15" s="3" customFormat="1" ht="20" customHeight="1" thickBot="1" x14ac:dyDescent="0.35">
      <c r="B56" s="3" t="s">
        <v>40</v>
      </c>
      <c r="C56" s="7"/>
      <c r="G56" s="107"/>
      <c r="H56" s="6"/>
      <c r="I56" s="46"/>
      <c r="J56" s="47"/>
      <c r="K56" s="47"/>
      <c r="L56" s="48"/>
      <c r="N56" s="103"/>
      <c r="O56" s="103"/>
    </row>
    <row r="57" spans="2:15" s="3" customFormat="1" ht="20" customHeight="1" thickBot="1" x14ac:dyDescent="0.35">
      <c r="B57" s="160" t="s">
        <v>41</v>
      </c>
      <c r="C57" s="161"/>
      <c r="E57" s="3" t="s">
        <v>125</v>
      </c>
      <c r="G57" s="107"/>
      <c r="H57" s="6"/>
      <c r="I57" s="46"/>
      <c r="J57" s="47"/>
      <c r="K57" s="47"/>
      <c r="L57" s="48"/>
      <c r="N57" s="103">
        <v>5</v>
      </c>
      <c r="O57" s="103"/>
    </row>
    <row r="58" spans="2:15" s="3" customFormat="1" ht="22" customHeight="1" x14ac:dyDescent="0.3">
      <c r="C58" s="7"/>
      <c r="G58" s="107"/>
      <c r="H58" s="6"/>
      <c r="I58" s="46"/>
      <c r="J58" s="47"/>
      <c r="K58" s="47"/>
      <c r="L58" s="48"/>
      <c r="N58" s="103"/>
      <c r="O58" s="103"/>
    </row>
    <row r="59" spans="2:15" s="3" customFormat="1" ht="40.75" customHeight="1" x14ac:dyDescent="0.35">
      <c r="B59" s="146" t="str">
        <f>+"If the stock goes up to $"&amp;+BB4&amp;", please calculate John's profit and holding period rate of return (HPR) since his purchase including the cost of the option contract he entered."</f>
        <v>If the stock goes up to $148, please calculate John's profit and holding period rate of return (HPR) since his purchase including the cost of the option contract he entered.</v>
      </c>
      <c r="C59" s="147"/>
      <c r="D59" s="147"/>
      <c r="E59" s="147"/>
      <c r="F59" s="147"/>
      <c r="G59" s="147"/>
      <c r="H59" s="147"/>
      <c r="I59" s="147"/>
      <c r="J59" s="147"/>
      <c r="K59" s="120"/>
      <c r="L59" s="120"/>
      <c r="M59" s="120"/>
      <c r="N59" s="103"/>
      <c r="O59" s="103"/>
    </row>
    <row r="60" spans="2:15" s="3" customFormat="1" ht="20" customHeight="1" x14ac:dyDescent="0.3">
      <c r="C60" s="7"/>
      <c r="G60" s="107"/>
      <c r="H60" s="6"/>
      <c r="I60" s="46"/>
      <c r="J60" s="47"/>
      <c r="K60" s="47"/>
      <c r="L60" s="48"/>
      <c r="N60" s="103"/>
      <c r="O60" s="103"/>
    </row>
    <row r="61" spans="2:15" s="3" customFormat="1" ht="20" customHeight="1" x14ac:dyDescent="0.3">
      <c r="C61" s="7"/>
      <c r="D61" s="49" t="s">
        <v>42</v>
      </c>
      <c r="E61" s="49" t="s">
        <v>43</v>
      </c>
      <c r="F61" s="50"/>
      <c r="G61" s="49" t="s">
        <v>42</v>
      </c>
      <c r="H61" s="49" t="s">
        <v>44</v>
      </c>
      <c r="I61" s="51"/>
      <c r="J61" s="52" t="s">
        <v>13</v>
      </c>
      <c r="K61" s="7"/>
      <c r="L61" s="48"/>
      <c r="N61" s="103"/>
      <c r="O61" s="103"/>
    </row>
    <row r="62" spans="2:15" s="3" customFormat="1" ht="20" customHeight="1" x14ac:dyDescent="0.3">
      <c r="C62" s="53" t="s">
        <v>45</v>
      </c>
      <c r="D62" s="54">
        <f>-ANSWERS!BB2</f>
        <v>-130</v>
      </c>
      <c r="E62" s="54">
        <f>+D62*100</f>
        <v>-13000</v>
      </c>
      <c r="F62" s="55" t="s">
        <v>46</v>
      </c>
      <c r="G62" s="54">
        <f>+ANSWERS!BB4</f>
        <v>148</v>
      </c>
      <c r="H62" s="54">
        <f>+G62*100</f>
        <v>14800</v>
      </c>
      <c r="I62" s="56" t="s">
        <v>47</v>
      </c>
      <c r="J62" s="54">
        <f>+H64</f>
        <v>1325</v>
      </c>
      <c r="N62" s="103"/>
      <c r="O62" s="103"/>
    </row>
    <row r="63" spans="2:15" s="3" customFormat="1" ht="20" customHeight="1" x14ac:dyDescent="0.3">
      <c r="C63" s="53" t="s">
        <v>18</v>
      </c>
      <c r="D63" s="54">
        <f>-H50</f>
        <v>-4.75</v>
      </c>
      <c r="E63" s="54">
        <f>+D63*100</f>
        <v>-475</v>
      </c>
      <c r="F63" s="55" t="s">
        <v>48</v>
      </c>
      <c r="H63" s="54">
        <f>+E64</f>
        <v>-13475</v>
      </c>
      <c r="I63" s="56" t="s">
        <v>43</v>
      </c>
      <c r="J63" s="54">
        <f>-H63</f>
        <v>13475</v>
      </c>
      <c r="N63" s="103"/>
      <c r="O63" s="103"/>
    </row>
    <row r="64" spans="2:15" s="3" customFormat="1" ht="20" customHeight="1" x14ac:dyDescent="0.3">
      <c r="C64" s="53" t="s">
        <v>43</v>
      </c>
      <c r="D64" s="54">
        <f>+D63+D62</f>
        <v>-134.75</v>
      </c>
      <c r="E64" s="54">
        <f>SUM(E62:E63)</f>
        <v>-13475</v>
      </c>
      <c r="F64" s="56" t="s">
        <v>47</v>
      </c>
      <c r="H64" s="57">
        <f t="shared" ref="H64" si="10">SUM(H62:H63)</f>
        <v>1325</v>
      </c>
      <c r="I64" s="56" t="s">
        <v>49</v>
      </c>
      <c r="J64" s="58">
        <f>+J62/J63</f>
        <v>9.8330241187384038E-2</v>
      </c>
      <c r="N64" s="103"/>
      <c r="O64" s="103"/>
    </row>
    <row r="65" spans="2:15" s="3" customFormat="1" ht="20" customHeight="1" thickBot="1" x14ac:dyDescent="0.35">
      <c r="C65" s="53"/>
      <c r="D65" s="53"/>
      <c r="E65" s="53"/>
      <c r="F65" s="53"/>
      <c r="G65" s="53"/>
      <c r="H65" s="53"/>
      <c r="I65" s="53"/>
      <c r="J65" s="53"/>
      <c r="K65" s="53"/>
      <c r="L65" s="48"/>
      <c r="N65" s="103"/>
      <c r="O65" s="103"/>
    </row>
    <row r="66" spans="2:15" s="3" customFormat="1" ht="20" customHeight="1" thickBot="1" x14ac:dyDescent="0.35">
      <c r="B66" s="3" t="s">
        <v>50</v>
      </c>
      <c r="C66" s="118">
        <f>+H64</f>
        <v>1325</v>
      </c>
      <c r="D66" s="53"/>
      <c r="E66" s="53"/>
      <c r="F66" s="53"/>
      <c r="G66" s="53"/>
      <c r="H66" s="53"/>
      <c r="I66" s="53"/>
      <c r="J66" s="53"/>
      <c r="K66" s="53"/>
      <c r="L66" s="48"/>
      <c r="N66" s="103">
        <v>5</v>
      </c>
      <c r="O66" s="103"/>
    </row>
    <row r="67" spans="2:15" s="3" customFormat="1" ht="20" customHeight="1" thickBot="1" x14ac:dyDescent="0.35">
      <c r="B67" s="3" t="s">
        <v>51</v>
      </c>
      <c r="C67" s="58">
        <f>+J64</f>
        <v>9.8330241187384038E-2</v>
      </c>
      <c r="E67" s="53"/>
      <c r="F67" s="53"/>
      <c r="G67" s="111">
        <f>+ANSWERS!C66/-E64</f>
        <v>9.8330241187384038E-2</v>
      </c>
      <c r="H67" s="53"/>
      <c r="I67" s="53"/>
      <c r="J67" s="53"/>
      <c r="K67" s="53"/>
      <c r="L67" s="48"/>
      <c r="N67" s="103">
        <v>5</v>
      </c>
      <c r="O67" s="103"/>
    </row>
    <row r="68" spans="2:15" s="3" customFormat="1" ht="20" customHeight="1" x14ac:dyDescent="0.3">
      <c r="C68" s="53"/>
      <c r="D68" s="53"/>
      <c r="E68" s="53"/>
      <c r="F68" s="53"/>
      <c r="G68" s="53"/>
      <c r="H68" s="53"/>
      <c r="I68" s="53"/>
      <c r="J68" s="53"/>
      <c r="K68" s="53"/>
      <c r="L68" s="48"/>
      <c r="N68" s="103"/>
      <c r="O68" s="103"/>
    </row>
    <row r="69" spans="2:15" s="3" customFormat="1" ht="20" customHeight="1" x14ac:dyDescent="0.3">
      <c r="B69" s="6" t="s">
        <v>52</v>
      </c>
      <c r="C69" s="7"/>
      <c r="G69" s="107"/>
      <c r="H69" s="6"/>
      <c r="I69" s="46"/>
      <c r="J69" s="47"/>
      <c r="K69" s="47"/>
      <c r="L69" s="48"/>
      <c r="N69" s="103"/>
      <c r="O69" s="103"/>
    </row>
    <row r="70" spans="2:15" s="3" customFormat="1" ht="47.5" customHeight="1" x14ac:dyDescent="0.35">
      <c r="B70" s="146" t="str">
        <f>+"Following up on the information from Question 3 above, John liked your recommendation but he wants to find out if he can minimize his premiums for the 3 months (by Jan 2021). You recomemended that John modify his strategy of protecting his investment at $"&amp;+BB3&amp;",000 to a Collar spread receiving some of the premium to cover his initial cost based on the $140 level with the same expiration"</f>
        <v>Following up on the information from Question 3 above, John liked your recommendation but he wants to find out if he can minimize his premiums for the 3 months (by Jan 2021). You recomemended that John modify his strategy of protecting his investment at $13,000 to a Collar spread receiving some of the premium to cover his initial cost based on the $140 level with the same expiration</v>
      </c>
      <c r="C70" s="147"/>
      <c r="D70" s="147"/>
      <c r="E70" s="147"/>
      <c r="F70" s="147"/>
      <c r="G70" s="147"/>
      <c r="H70" s="147"/>
      <c r="I70" s="147"/>
      <c r="J70" s="147"/>
      <c r="K70" s="120"/>
      <c r="L70" s="120"/>
      <c r="M70" s="120"/>
      <c r="N70" s="103"/>
      <c r="O70" s="103"/>
    </row>
    <row r="71" spans="2:15" s="3" customFormat="1" ht="20" customHeight="1" x14ac:dyDescent="0.35">
      <c r="B71" s="146"/>
      <c r="C71" s="147"/>
      <c r="D71" s="147"/>
      <c r="E71" s="120"/>
      <c r="F71" s="120"/>
      <c r="G71" s="120"/>
      <c r="H71" s="120"/>
      <c r="I71" s="120"/>
      <c r="J71" s="120"/>
      <c r="K71" s="120"/>
      <c r="L71" s="120"/>
      <c r="M71" s="120"/>
      <c r="N71" s="103"/>
      <c r="O71" s="103"/>
    </row>
    <row r="72" spans="2:15" s="3" customFormat="1" ht="32.75" customHeight="1" x14ac:dyDescent="0.35">
      <c r="B72" s="146" t="str">
        <f>+"Assuming that the stock drops to $"&amp;+BB6&amp;" what will John's total Profit/Loss and HPR% be if he agrees in taking the collar strategy – assuming he sells the stock at this level?"</f>
        <v>Assuming that the stock drops to $117 what will John's total Profit/Loss and HPR% be if he agrees in taking the collar strategy – assuming he sells the stock at this level?</v>
      </c>
      <c r="C72" s="147"/>
      <c r="D72" s="147"/>
      <c r="E72" s="147"/>
      <c r="F72" s="147"/>
      <c r="G72" s="147"/>
      <c r="H72" s="147"/>
      <c r="I72" s="147"/>
      <c r="J72" s="147"/>
      <c r="K72" s="120"/>
      <c r="L72" s="120"/>
      <c r="M72" s="120"/>
      <c r="N72" s="103"/>
      <c r="O72" s="103"/>
    </row>
    <row r="73" spans="2:15" s="3" customFormat="1" ht="20" customHeight="1" x14ac:dyDescent="0.3">
      <c r="C73" s="7"/>
      <c r="G73" s="107"/>
      <c r="H73" s="6"/>
      <c r="I73" s="46"/>
      <c r="J73" s="47"/>
      <c r="K73" s="47"/>
      <c r="L73" s="48"/>
      <c r="N73" s="103"/>
      <c r="O73" s="103"/>
    </row>
    <row r="74" spans="2:15" s="3" customFormat="1" ht="20" customHeight="1" x14ac:dyDescent="0.3">
      <c r="C74" s="7"/>
      <c r="D74" s="49" t="s">
        <v>42</v>
      </c>
      <c r="E74" s="49" t="s">
        <v>43</v>
      </c>
      <c r="F74" s="49"/>
      <c r="G74" s="49" t="s">
        <v>42</v>
      </c>
      <c r="H74" s="49" t="s">
        <v>44</v>
      </c>
      <c r="I74" s="51"/>
      <c r="J74" s="52" t="s">
        <v>13</v>
      </c>
      <c r="L74" s="48"/>
      <c r="N74" s="103"/>
      <c r="O74" s="103"/>
    </row>
    <row r="75" spans="2:15" s="3" customFormat="1" ht="20" customHeight="1" x14ac:dyDescent="0.3">
      <c r="C75" s="53" t="s">
        <v>45</v>
      </c>
      <c r="D75" s="54">
        <f>+D62</f>
        <v>-130</v>
      </c>
      <c r="E75" s="60">
        <f>+D75*100</f>
        <v>-13000</v>
      </c>
      <c r="F75" s="55" t="s">
        <v>46</v>
      </c>
      <c r="G75" s="60">
        <f>ANSWERS!BB6</f>
        <v>117</v>
      </c>
      <c r="H75" s="60">
        <f>+G75*100</f>
        <v>11700</v>
      </c>
      <c r="I75" s="61" t="s">
        <v>53</v>
      </c>
      <c r="J75" s="60">
        <f>+H78</f>
        <v>-300</v>
      </c>
      <c r="L75" s="48"/>
      <c r="N75" s="103"/>
      <c r="O75" s="103"/>
    </row>
    <row r="76" spans="2:15" s="3" customFormat="1" ht="20" customHeight="1" x14ac:dyDescent="0.3">
      <c r="C76" s="53" t="s">
        <v>54</v>
      </c>
      <c r="D76" s="54">
        <f>+D63</f>
        <v>-4.75</v>
      </c>
      <c r="E76" s="60">
        <f>+E63</f>
        <v>-475</v>
      </c>
      <c r="F76" s="55" t="s">
        <v>55</v>
      </c>
      <c r="G76" s="60">
        <f>130-G75</f>
        <v>13</v>
      </c>
      <c r="H76" s="60">
        <f>+G76*100</f>
        <v>1300</v>
      </c>
      <c r="I76" s="61" t="s">
        <v>56</v>
      </c>
      <c r="J76" s="60">
        <f>-E78</f>
        <v>13300</v>
      </c>
      <c r="L76" s="48"/>
      <c r="N76" s="103"/>
      <c r="O76" s="103"/>
    </row>
    <row r="77" spans="2:15" s="3" customFormat="1" ht="20" customHeight="1" x14ac:dyDescent="0.3">
      <c r="C77" s="53" t="s">
        <v>57</v>
      </c>
      <c r="D77" s="54">
        <f>+E52</f>
        <v>1.75</v>
      </c>
      <c r="E77" s="62">
        <f>+D77*100</f>
        <v>175</v>
      </c>
      <c r="F77" s="55" t="s">
        <v>58</v>
      </c>
      <c r="G77" s="63">
        <f>+D78</f>
        <v>-133</v>
      </c>
      <c r="H77" s="64">
        <f>+E78</f>
        <v>-13300</v>
      </c>
      <c r="I77" s="65"/>
      <c r="J77" s="63"/>
      <c r="L77" s="48"/>
      <c r="N77" s="103"/>
      <c r="O77" s="103"/>
    </row>
    <row r="78" spans="2:15" s="3" customFormat="1" ht="20" customHeight="1" x14ac:dyDescent="0.3">
      <c r="C78" s="53" t="s">
        <v>59</v>
      </c>
      <c r="D78" s="66">
        <f>SUM(D75:D77)</f>
        <v>-133</v>
      </c>
      <c r="E78" s="60">
        <f>SUM(E75:E77)</f>
        <v>-13300</v>
      </c>
      <c r="F78" s="55"/>
      <c r="G78" s="67">
        <f>SUM(G75:G77)</f>
        <v>-3</v>
      </c>
      <c r="H78" s="67">
        <f>SUM(H75:H77)</f>
        <v>-300</v>
      </c>
      <c r="I78" s="61"/>
      <c r="J78" s="68">
        <f>+J75/J76</f>
        <v>-2.2556390977443608E-2</v>
      </c>
      <c r="L78" s="48"/>
      <c r="N78" s="103"/>
      <c r="O78" s="103"/>
    </row>
    <row r="79" spans="2:15" s="3" customFormat="1" ht="20" customHeight="1" thickBot="1" x14ac:dyDescent="0.35">
      <c r="C79" s="7"/>
      <c r="E79" s="69"/>
      <c r="G79" s="70"/>
      <c r="H79" s="70"/>
      <c r="I79" s="71"/>
      <c r="J79" s="47"/>
      <c r="K79" s="47"/>
      <c r="L79" s="48"/>
      <c r="N79" s="103"/>
      <c r="O79" s="103"/>
    </row>
    <row r="80" spans="2:15" s="3" customFormat="1" ht="20" customHeight="1" thickBot="1" x14ac:dyDescent="0.35">
      <c r="B80" s="21" t="s">
        <v>50</v>
      </c>
      <c r="C80" s="59">
        <f>+H78</f>
        <v>-300</v>
      </c>
      <c r="D80" s="53"/>
      <c r="E80" s="53"/>
      <c r="F80" s="53"/>
      <c r="G80" s="53"/>
      <c r="H80" s="53"/>
      <c r="I80" s="53"/>
      <c r="J80" s="53"/>
      <c r="K80" s="53"/>
      <c r="L80" s="48"/>
      <c r="N80" s="103">
        <v>5</v>
      </c>
      <c r="O80" s="103"/>
    </row>
    <row r="81" spans="2:21" s="3" customFormat="1" ht="20" customHeight="1" thickBot="1" x14ac:dyDescent="0.35">
      <c r="B81" s="21" t="s">
        <v>51</v>
      </c>
      <c r="C81" s="58">
        <f>+J78</f>
        <v>-2.2556390977443608E-2</v>
      </c>
      <c r="E81" s="53"/>
      <c r="F81" s="53"/>
      <c r="G81" s="111" t="e">
        <f>+ANSWERS!C80/-#REF!</f>
        <v>#REF!</v>
      </c>
      <c r="H81" s="53"/>
      <c r="I81" s="53"/>
      <c r="J81" s="53"/>
      <c r="K81" s="53"/>
      <c r="L81" s="48"/>
      <c r="N81" s="103">
        <v>5</v>
      </c>
      <c r="O81" s="103"/>
    </row>
    <row r="82" spans="2:21" s="3" customFormat="1" ht="20" customHeight="1" x14ac:dyDescent="0.3">
      <c r="C82" s="7"/>
      <c r="E82" s="69"/>
      <c r="G82" s="70"/>
      <c r="H82" s="70"/>
      <c r="I82" s="71"/>
      <c r="J82" s="47"/>
      <c r="K82" s="47"/>
      <c r="L82" s="48"/>
      <c r="N82" s="103"/>
      <c r="O82" s="103"/>
    </row>
    <row r="83" spans="2:21" s="3" customFormat="1" ht="36.75" customHeight="1" x14ac:dyDescent="0.35">
      <c r="B83" s="146" t="str">
        <f>+"Assuming that the stock is $"&amp;+BB7&amp;" what will John's total Profit/Loss and HPR% be if he agrees in taking the collar strategy – assuming he sells the stock at this level?"</f>
        <v>Assuming that the stock is $154 what will John's total Profit/Loss and HPR% be if he agrees in taking the collar strategy – assuming he sells the stock at this level?</v>
      </c>
      <c r="C83" s="147"/>
      <c r="D83" s="147"/>
      <c r="E83" s="147"/>
      <c r="F83" s="147"/>
      <c r="G83" s="147"/>
      <c r="H83" s="147"/>
      <c r="I83" s="147"/>
      <c r="J83" s="147"/>
      <c r="K83" s="120"/>
      <c r="L83" s="120"/>
      <c r="M83" s="120"/>
      <c r="N83" s="103"/>
      <c r="O83" s="103"/>
    </row>
    <row r="84" spans="2:21" s="3" customFormat="1" ht="20" customHeight="1" x14ac:dyDescent="0.3">
      <c r="C84" s="7"/>
      <c r="E84" s="69"/>
      <c r="G84" s="70"/>
      <c r="H84" s="70"/>
      <c r="I84" s="71"/>
      <c r="J84" s="47"/>
      <c r="K84" s="47"/>
      <c r="L84" s="48"/>
      <c r="N84" s="103"/>
      <c r="O84" s="103"/>
    </row>
    <row r="85" spans="2:21" s="3" customFormat="1" ht="20" customHeight="1" x14ac:dyDescent="0.3">
      <c r="C85" s="7"/>
      <c r="D85" s="49" t="s">
        <v>42</v>
      </c>
      <c r="E85" s="49" t="s">
        <v>43</v>
      </c>
      <c r="F85" s="49"/>
      <c r="G85" s="49" t="s">
        <v>42</v>
      </c>
      <c r="H85" s="49" t="s">
        <v>53</v>
      </c>
      <c r="I85" s="51"/>
      <c r="J85" s="52" t="s">
        <v>13</v>
      </c>
      <c r="L85" s="48"/>
      <c r="N85" s="103"/>
      <c r="O85" s="103"/>
    </row>
    <row r="86" spans="2:21" s="3" customFormat="1" ht="20" customHeight="1" x14ac:dyDescent="0.3">
      <c r="C86" s="53" t="s">
        <v>45</v>
      </c>
      <c r="D86" s="54">
        <f t="shared" ref="D86:E88" si="11">+D75</f>
        <v>-130</v>
      </c>
      <c r="E86" s="54">
        <f t="shared" si="11"/>
        <v>-13000</v>
      </c>
      <c r="F86" s="55" t="s">
        <v>46</v>
      </c>
      <c r="G86" s="60">
        <f>+ANSWERS!BB7</f>
        <v>154</v>
      </c>
      <c r="H86" s="60">
        <f>+G86*100</f>
        <v>15400</v>
      </c>
      <c r="I86" s="61" t="s">
        <v>53</v>
      </c>
      <c r="J86" s="60">
        <f>+H89</f>
        <v>700</v>
      </c>
      <c r="L86" s="48"/>
      <c r="N86" s="103"/>
      <c r="O86" s="103"/>
    </row>
    <row r="87" spans="2:21" s="3" customFormat="1" ht="20" customHeight="1" x14ac:dyDescent="0.3">
      <c r="C87" s="53" t="s">
        <v>54</v>
      </c>
      <c r="D87" s="54">
        <f t="shared" si="11"/>
        <v>-4.75</v>
      </c>
      <c r="E87" s="54">
        <f t="shared" si="11"/>
        <v>-475</v>
      </c>
      <c r="F87" s="55" t="s">
        <v>55</v>
      </c>
      <c r="G87" s="60">
        <f>-(ANSWERS!BB7-140)</f>
        <v>-14</v>
      </c>
      <c r="H87" s="60">
        <f>G87*100</f>
        <v>-1400</v>
      </c>
      <c r="I87" s="61" t="s">
        <v>56</v>
      </c>
      <c r="J87" s="60">
        <f>-E89</f>
        <v>13300</v>
      </c>
      <c r="L87" s="48"/>
      <c r="N87" s="103"/>
      <c r="O87" s="103"/>
    </row>
    <row r="88" spans="2:21" s="3" customFormat="1" ht="20" customHeight="1" x14ac:dyDescent="0.3">
      <c r="C88" s="53" t="s">
        <v>57</v>
      </c>
      <c r="D88" s="54">
        <f t="shared" si="11"/>
        <v>1.75</v>
      </c>
      <c r="E88" s="54">
        <f t="shared" si="11"/>
        <v>175</v>
      </c>
      <c r="F88" s="55" t="s">
        <v>58</v>
      </c>
      <c r="G88" s="60">
        <f>+D89</f>
        <v>-133</v>
      </c>
      <c r="H88" s="64">
        <f>+E89</f>
        <v>-13300</v>
      </c>
      <c r="I88" s="65"/>
      <c r="J88" s="63"/>
      <c r="L88" s="48"/>
      <c r="N88" s="103"/>
      <c r="O88" s="103"/>
    </row>
    <row r="89" spans="2:21" s="3" customFormat="1" ht="20" customHeight="1" x14ac:dyDescent="0.3">
      <c r="C89" s="53" t="s">
        <v>59</v>
      </c>
      <c r="D89" s="54">
        <f>+D86+D87+D88</f>
        <v>-133</v>
      </c>
      <c r="E89" s="54">
        <f>+E88+E87+E86</f>
        <v>-13300</v>
      </c>
      <c r="F89" s="55"/>
      <c r="G89" s="67">
        <f>SUM(G86:G88)</f>
        <v>7</v>
      </c>
      <c r="H89" s="67">
        <f>SUM(H86:H88)</f>
        <v>700</v>
      </c>
      <c r="I89" s="61"/>
      <c r="J89" s="68">
        <f>+J86/J87</f>
        <v>5.2631578947368418E-2</v>
      </c>
      <c r="L89" s="48"/>
      <c r="N89" s="103"/>
      <c r="O89" s="103"/>
    </row>
    <row r="90" spans="2:21" s="3" customFormat="1" ht="20" customHeight="1" x14ac:dyDescent="0.3">
      <c r="L90" s="48"/>
      <c r="N90" s="103"/>
      <c r="O90" s="103"/>
    </row>
    <row r="91" spans="2:21" s="3" customFormat="1" ht="20" customHeight="1" thickBot="1" x14ac:dyDescent="0.35">
      <c r="C91" s="7"/>
      <c r="E91" s="69"/>
      <c r="G91" s="70"/>
      <c r="H91" s="70"/>
      <c r="I91" s="71"/>
      <c r="J91" s="47"/>
      <c r="K91" s="47"/>
      <c r="L91" s="48"/>
      <c r="N91" s="103"/>
      <c r="O91" s="103"/>
    </row>
    <row r="92" spans="2:21" s="3" customFormat="1" ht="20" customHeight="1" thickBot="1" x14ac:dyDescent="0.35">
      <c r="B92" s="3" t="s">
        <v>50</v>
      </c>
      <c r="C92" s="59">
        <f>+H89</f>
        <v>700</v>
      </c>
      <c r="E92" s="53"/>
      <c r="F92" s="53"/>
      <c r="G92" s="53"/>
      <c r="H92" s="53"/>
      <c r="I92" s="53"/>
      <c r="J92" s="53"/>
      <c r="K92" s="53"/>
      <c r="L92" s="48"/>
      <c r="N92" s="103">
        <v>5</v>
      </c>
      <c r="O92" s="103"/>
    </row>
    <row r="93" spans="2:21" s="3" customFormat="1" ht="20" customHeight="1" thickBot="1" x14ac:dyDescent="0.35">
      <c r="B93" s="3" t="s">
        <v>51</v>
      </c>
      <c r="C93" s="58">
        <f>+J89</f>
        <v>5.2631578947368418E-2</v>
      </c>
      <c r="E93" s="53"/>
      <c r="F93" s="53"/>
      <c r="G93" s="111" t="e">
        <f>+ANSWERS!C92/-#REF!</f>
        <v>#REF!</v>
      </c>
      <c r="H93" s="53"/>
      <c r="I93" s="53"/>
      <c r="J93" s="53"/>
      <c r="K93" s="53"/>
      <c r="L93" s="48"/>
      <c r="N93" s="103">
        <v>5</v>
      </c>
      <c r="O93" s="103"/>
    </row>
    <row r="94" spans="2:21" s="3" customFormat="1" ht="20" customHeight="1" x14ac:dyDescent="0.3">
      <c r="C94" s="7"/>
      <c r="G94" s="107"/>
      <c r="H94" s="6"/>
      <c r="I94" s="46"/>
      <c r="J94" s="47"/>
      <c r="K94" s="47"/>
      <c r="L94" s="48"/>
      <c r="N94" s="103"/>
      <c r="O94" s="103"/>
    </row>
    <row r="95" spans="2:21" ht="20" customHeight="1" x14ac:dyDescent="0.35">
      <c r="B95" s="144" t="s">
        <v>109</v>
      </c>
      <c r="C95" s="145"/>
      <c r="D95" s="145"/>
      <c r="E95" s="145"/>
      <c r="F95" s="145"/>
      <c r="G95" s="145"/>
      <c r="H95" s="145"/>
      <c r="I95" s="145"/>
      <c r="J95" s="145"/>
      <c r="K95" s="47"/>
      <c r="L95" s="121"/>
      <c r="M95" s="121"/>
      <c r="N95" s="103"/>
      <c r="O95" s="103"/>
      <c r="T95" s="121"/>
      <c r="U95" s="121"/>
    </row>
    <row r="96" spans="2:21" ht="20" customHeight="1" x14ac:dyDescent="0.35">
      <c r="B96" s="6" t="s">
        <v>110</v>
      </c>
      <c r="N96" s="103"/>
      <c r="O96" s="103"/>
    </row>
    <row r="97" spans="2:21" ht="33.75" customHeight="1" x14ac:dyDescent="0.35">
      <c r="B97" s="146" t="str">
        <f>+"Consider a stock worth $100 that can go up or down by "&amp;+BB8&amp;"% per period.  The risk free rate is 5%. And exercise price is $"&amp;+BB9&amp;". Use one Binomial Option Pricing Methods (both methods - Method 1 (6 steps) and Method 2 (the probability concept) to calculate the call premium"</f>
        <v>Consider a stock worth $100 that can go up or down by 15% per period.  The risk free rate is 5%. And exercise price is $95. Use one Binomial Option Pricing Methods (both methods - Method 1 (6 steps) and Method 2 (the probability concept) to calculate the call premium</v>
      </c>
      <c r="C97" s="147"/>
      <c r="D97" s="147"/>
      <c r="E97" s="147"/>
      <c r="F97" s="147"/>
      <c r="G97" s="147"/>
      <c r="H97" s="147"/>
      <c r="I97" s="147"/>
      <c r="J97" s="147"/>
      <c r="K97" s="120"/>
      <c r="L97" s="120"/>
      <c r="M97" s="120"/>
      <c r="N97" s="103"/>
      <c r="O97" s="103"/>
      <c r="T97" s="120"/>
      <c r="U97" s="120"/>
    </row>
    <row r="98" spans="2:21" ht="14.75" customHeight="1" x14ac:dyDescent="0.35">
      <c r="B98" s="119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03"/>
      <c r="O98" s="103"/>
      <c r="T98" s="120"/>
      <c r="U98" s="120"/>
    </row>
    <row r="99" spans="2:21" ht="20" customHeight="1" x14ac:dyDescent="0.35">
      <c r="C99" s="72" t="s">
        <v>60</v>
      </c>
      <c r="E99" s="3"/>
      <c r="F99" s="3"/>
      <c r="G99" s="3"/>
      <c r="H99" s="3"/>
      <c r="I99" s="3"/>
      <c r="J99" s="3"/>
      <c r="N99" s="103"/>
      <c r="O99" s="103"/>
    </row>
    <row r="100" spans="2:21" ht="20" customHeight="1" thickBot="1" x14ac:dyDescent="0.4">
      <c r="B100" s="123"/>
      <c r="C100" s="73"/>
      <c r="E100" s="2"/>
      <c r="F100" s="124"/>
      <c r="G100" s="74" t="s">
        <v>61</v>
      </c>
      <c r="H100" s="75"/>
      <c r="I100" s="74" t="s">
        <v>62</v>
      </c>
      <c r="J100" s="75"/>
      <c r="K100" s="74" t="s">
        <v>63</v>
      </c>
      <c r="N100" s="103"/>
      <c r="O100" s="103"/>
    </row>
    <row r="101" spans="2:21" ht="20" customHeight="1" thickBot="1" x14ac:dyDescent="0.4">
      <c r="B101" s="21" t="s">
        <v>64</v>
      </c>
      <c r="C101" s="76">
        <f>+G102</f>
        <v>29.999999999999986</v>
      </c>
      <c r="E101" s="77" t="s">
        <v>65</v>
      </c>
      <c r="F101" s="78">
        <f>+E102*(1+ANSWERS!BB8/100)</f>
        <v>114.99999999999999</v>
      </c>
      <c r="G101" s="13" t="s">
        <v>66</v>
      </c>
      <c r="H101" s="78">
        <f>MAX(0,F101-ANSWERS!$BB$9)</f>
        <v>19.999999999999986</v>
      </c>
      <c r="I101" s="109"/>
      <c r="J101" s="109"/>
      <c r="K101" s="109"/>
      <c r="N101" s="103">
        <v>2</v>
      </c>
      <c r="O101" s="103"/>
    </row>
    <row r="102" spans="2:21" ht="20" customHeight="1" thickBot="1" x14ac:dyDescent="0.4">
      <c r="B102" s="21" t="s">
        <v>67</v>
      </c>
      <c r="C102" s="76">
        <f>+I102</f>
        <v>19.999999999999986</v>
      </c>
      <c r="E102" s="79">
        <v>100</v>
      </c>
      <c r="F102" s="17" t="s">
        <v>68</v>
      </c>
      <c r="G102" s="80">
        <f>+F101-F103</f>
        <v>29.999999999999986</v>
      </c>
      <c r="H102" s="13" t="s">
        <v>69</v>
      </c>
      <c r="I102" s="80">
        <f t="shared" ref="I102" si="12">+H101-H103</f>
        <v>19.999999999999986</v>
      </c>
      <c r="J102" s="13" t="s">
        <v>70</v>
      </c>
      <c r="K102" s="81">
        <f>+I102/G102</f>
        <v>0.66666666666666652</v>
      </c>
      <c r="N102" s="103">
        <v>2</v>
      </c>
      <c r="O102" s="103"/>
    </row>
    <row r="103" spans="2:21" ht="20" customHeight="1" thickBot="1" x14ac:dyDescent="0.4">
      <c r="B103" s="21" t="s">
        <v>71</v>
      </c>
      <c r="C103" s="82">
        <f>+K102</f>
        <v>0.66666666666666652</v>
      </c>
      <c r="E103" s="77" t="s">
        <v>72</v>
      </c>
      <c r="F103" s="78">
        <f>+E102*(1-ANSWERS!BB8/100)</f>
        <v>85</v>
      </c>
      <c r="G103" s="13" t="s">
        <v>73</v>
      </c>
      <c r="H103" s="78">
        <f>MAX(0,F103-ANSWERS!$BB$9)</f>
        <v>0</v>
      </c>
      <c r="I103" s="109"/>
      <c r="J103" s="109"/>
      <c r="K103" s="109"/>
      <c r="N103" s="103">
        <v>2</v>
      </c>
      <c r="O103" s="103"/>
    </row>
    <row r="104" spans="2:21" ht="20" customHeight="1" thickBot="1" x14ac:dyDescent="0.4">
      <c r="B104" s="21" t="s">
        <v>74</v>
      </c>
      <c r="C104" s="76">
        <f>+G106</f>
        <v>80.952380952380949</v>
      </c>
      <c r="E104" s="83"/>
      <c r="F104" s="109"/>
      <c r="I104" s="109"/>
      <c r="J104" s="109"/>
      <c r="K104" s="109"/>
      <c r="N104" s="103">
        <v>2</v>
      </c>
      <c r="O104" s="103"/>
    </row>
    <row r="105" spans="2:21" ht="20" customHeight="1" thickBot="1" x14ac:dyDescent="0.4">
      <c r="B105" s="21" t="s">
        <v>75</v>
      </c>
      <c r="C105" s="76">
        <f>+I106</f>
        <v>19.047619047619051</v>
      </c>
      <c r="E105" s="83"/>
      <c r="F105" s="109"/>
      <c r="G105" s="74" t="s">
        <v>76</v>
      </c>
      <c r="H105" s="75"/>
      <c r="I105" s="74" t="s">
        <v>77</v>
      </c>
      <c r="J105" s="75"/>
      <c r="K105" s="74" t="s">
        <v>78</v>
      </c>
      <c r="N105" s="103">
        <v>2</v>
      </c>
      <c r="O105" s="103"/>
    </row>
    <row r="106" spans="2:21" ht="20" customHeight="1" thickBot="1" x14ac:dyDescent="0.4">
      <c r="B106" s="21" t="s">
        <v>8</v>
      </c>
      <c r="C106" s="76">
        <f>+K106</f>
        <v>12.698412698412698</v>
      </c>
      <c r="E106" s="83"/>
      <c r="F106" s="13" t="s">
        <v>79</v>
      </c>
      <c r="G106" s="84">
        <f>F103/1.05</f>
        <v>80.952380952380949</v>
      </c>
      <c r="H106" s="13" t="s">
        <v>80</v>
      </c>
      <c r="I106" s="85">
        <f>+E102-G106</f>
        <v>19.047619047619051</v>
      </c>
      <c r="J106" s="13" t="s">
        <v>81</v>
      </c>
      <c r="K106" s="85">
        <f>+I106*K102</f>
        <v>12.698412698412698</v>
      </c>
      <c r="N106" s="103">
        <v>2</v>
      </c>
      <c r="O106" s="103"/>
    </row>
    <row r="107" spans="2:21" ht="20" customHeight="1" x14ac:dyDescent="0.35">
      <c r="C107" s="73"/>
      <c r="E107" s="2"/>
      <c r="G107" s="110"/>
      <c r="H107" s="110"/>
      <c r="I107" s="109"/>
      <c r="J107" s="109"/>
      <c r="K107" s="110"/>
      <c r="N107" s="103"/>
      <c r="O107" s="103"/>
    </row>
    <row r="108" spans="2:21" ht="20" customHeight="1" thickBot="1" x14ac:dyDescent="0.4">
      <c r="C108" s="72" t="s">
        <v>82</v>
      </c>
      <c r="F108" s="110" t="s">
        <v>126</v>
      </c>
      <c r="N108" s="103"/>
      <c r="O108" s="103"/>
    </row>
    <row r="109" spans="2:21" ht="20" customHeight="1" thickBot="1" x14ac:dyDescent="0.4">
      <c r="B109" s="21" t="s">
        <v>8</v>
      </c>
      <c r="C109" s="76">
        <f>+K109</f>
        <v>12.698412698412696</v>
      </c>
      <c r="E109" s="77" t="s">
        <v>83</v>
      </c>
      <c r="F109" s="86">
        <f>+(1.05-(1-ANSWERS!BB8/100))/((1+ANSWERS!BB8/100)-(1-ANSWERS!BB8/100))</f>
        <v>0.66666666666666707</v>
      </c>
      <c r="G109" s="13" t="s">
        <v>84</v>
      </c>
      <c r="H109" s="86">
        <f>1-F109</f>
        <v>0.33333333333333293</v>
      </c>
      <c r="I109" s="109"/>
      <c r="J109" s="13" t="s">
        <v>81</v>
      </c>
      <c r="K109" s="85">
        <f>+((H101*F109)+(H103*H109))/1.05</f>
        <v>12.698412698412696</v>
      </c>
      <c r="N109" s="103">
        <v>5</v>
      </c>
      <c r="O109" s="103"/>
    </row>
    <row r="110" spans="2:21" ht="20" customHeight="1" x14ac:dyDescent="0.35">
      <c r="N110" s="103"/>
      <c r="O110" s="103"/>
    </row>
    <row r="111" spans="2:21" ht="20" customHeight="1" x14ac:dyDescent="0.35">
      <c r="B111" s="6" t="s">
        <v>111</v>
      </c>
      <c r="N111" s="103"/>
      <c r="O111" s="103"/>
    </row>
    <row r="112" spans="2:21" ht="53.5" customHeight="1" thickBot="1" x14ac:dyDescent="0.4">
      <c r="B112" s="148" t="str">
        <f>+"Consider the following binomial option pricing problem.  This option has two periods to go before expiring.  Its stock price is $"&amp;+BB10&amp;" and its exercise price is $"&amp;+BB13&amp;".  The risk-free rate is "&amp;+BB14&amp;", the value of u is "&amp;+BB11&amp;" and the value of the d is "&amp;+BB12&amp;". The stock pays dividend at the end of the first period at the rate of "&amp;+BB17&amp;"%. Construct the 2-period Binomial Tree model and find the value of both the call and put premiums"</f>
        <v>Consider the following binomial option pricing problem.  This option has two periods to go before expiring.  Its stock price is $65 and its exercise price is $60.  The risk-free rate is 0.05, the value of u is 1.25 and the value of the d is 0.8. The stock pays dividend at the end of the first period at the rate of 4%. Construct the 2-period Binomial Tree model and find the value of both the call and put premiums</v>
      </c>
      <c r="C112" s="149"/>
      <c r="D112" s="149"/>
      <c r="E112" s="149"/>
      <c r="F112" s="149"/>
      <c r="G112" s="149"/>
      <c r="H112" s="149"/>
      <c r="I112" s="149"/>
      <c r="J112" s="149"/>
      <c r="K112" s="120"/>
      <c r="L112" s="120"/>
      <c r="M112" s="120"/>
      <c r="N112" s="103"/>
      <c r="O112" s="103"/>
      <c r="P112" s="120"/>
      <c r="Q112" s="120"/>
      <c r="R112" s="120"/>
      <c r="S112" s="120"/>
      <c r="T112" s="120"/>
      <c r="U112" s="120"/>
    </row>
    <row r="113" spans="2:16" ht="20" customHeight="1" thickBot="1" x14ac:dyDescent="0.4">
      <c r="B113" s="13" t="s">
        <v>23</v>
      </c>
      <c r="C113" s="86">
        <f>+ANSWERS!BB13</f>
        <v>60</v>
      </c>
      <c r="E113" s="109"/>
      <c r="H113" s="110"/>
      <c r="I113" s="80" t="s">
        <v>85</v>
      </c>
      <c r="K113" s="80" t="s">
        <v>86</v>
      </c>
      <c r="L113" s="110"/>
      <c r="M113" s="110"/>
      <c r="N113" s="103"/>
      <c r="O113" s="103"/>
      <c r="P113" s="110"/>
    </row>
    <row r="114" spans="2:16" ht="20" customHeight="1" thickBot="1" x14ac:dyDescent="0.4">
      <c r="B114" s="13" t="s">
        <v>19</v>
      </c>
      <c r="C114" s="86">
        <f>+ANSWERS!BB11</f>
        <v>1.25</v>
      </c>
      <c r="F114" s="109"/>
      <c r="I114" s="109"/>
      <c r="J114" s="3"/>
      <c r="N114" s="103"/>
      <c r="O114" s="103"/>
    </row>
    <row r="115" spans="2:16" ht="20" customHeight="1" thickBot="1" x14ac:dyDescent="0.4">
      <c r="B115" s="13" t="s">
        <v>21</v>
      </c>
      <c r="C115" s="86">
        <f>+ANSWERS!BB12</f>
        <v>0.8</v>
      </c>
      <c r="E115" s="13" t="s">
        <v>87</v>
      </c>
      <c r="F115" s="87">
        <f>+E116*C114</f>
        <v>97.5</v>
      </c>
      <c r="H115" s="13" t="s">
        <v>88</v>
      </c>
      <c r="I115" s="112">
        <f>MAX(0,F115-C113)</f>
        <v>37.5</v>
      </c>
      <c r="J115" s="13" t="s">
        <v>122</v>
      </c>
      <c r="K115" s="141">
        <f>MAX(0,$C$113-F115)</f>
        <v>0</v>
      </c>
      <c r="N115" s="103"/>
      <c r="O115" s="103"/>
    </row>
    <row r="116" spans="2:16" ht="20" customHeight="1" thickBot="1" x14ac:dyDescent="0.4">
      <c r="C116" s="13" t="s">
        <v>65</v>
      </c>
      <c r="D116" s="87">
        <f>+C117*C114</f>
        <v>81.25</v>
      </c>
      <c r="E116" s="78">
        <f>+D116*(1-$C$119)</f>
        <v>78</v>
      </c>
      <c r="F116" s="88"/>
      <c r="H116" s="89">
        <f>+((I115*$F$121)+($F$122*I117))/(1+$C$120)</f>
        <v>20.857142857142861</v>
      </c>
      <c r="I116" s="113"/>
      <c r="J116" s="89">
        <f>+((K115*$F$121)+($F$122*K117))/(1+$C$120)</f>
        <v>0</v>
      </c>
      <c r="N116" s="103"/>
      <c r="O116" s="103"/>
    </row>
    <row r="117" spans="2:16" ht="20" customHeight="1" thickBot="1" x14ac:dyDescent="0.4">
      <c r="B117" s="13" t="s">
        <v>89</v>
      </c>
      <c r="C117" s="87">
        <f>+ANSWERS!BB10</f>
        <v>65</v>
      </c>
      <c r="D117" s="114"/>
      <c r="F117" s="87">
        <f>+E116*C115</f>
        <v>62.400000000000006</v>
      </c>
      <c r="H117" s="13" t="s">
        <v>90</v>
      </c>
      <c r="I117" s="112">
        <f>MAX(0,F117-C113)</f>
        <v>2.4000000000000057</v>
      </c>
      <c r="J117" s="13" t="s">
        <v>123</v>
      </c>
      <c r="K117" s="141">
        <f>MAX(0,$C$113-F117)</f>
        <v>0</v>
      </c>
      <c r="N117" s="103"/>
      <c r="O117" s="103"/>
    </row>
    <row r="118" spans="2:16" ht="20" customHeight="1" thickBot="1" x14ac:dyDescent="0.4">
      <c r="C118" s="13" t="s">
        <v>72</v>
      </c>
      <c r="D118" s="87">
        <f>+C117*C115</f>
        <v>52</v>
      </c>
      <c r="E118" s="78">
        <f>+D118*(1-$C$119)</f>
        <v>49.92</v>
      </c>
      <c r="F118" s="88"/>
      <c r="H118" s="89">
        <f>+((I117*$F$121)+($F$122*I119))/(1+$C$120)</f>
        <v>1.2698412698412729</v>
      </c>
      <c r="I118" s="113"/>
      <c r="J118" s="89">
        <f>+((K117*$F$121)+($F$122*K119))/(1+$C$120)</f>
        <v>8.4926984126984095</v>
      </c>
      <c r="N118" s="103"/>
      <c r="O118" s="103"/>
    </row>
    <row r="119" spans="2:16" ht="20" customHeight="1" thickBot="1" x14ac:dyDescent="0.4">
      <c r="B119" s="115" t="s">
        <v>102</v>
      </c>
      <c r="C119" s="116">
        <f>+ANSWERS!BB17/100</f>
        <v>0.04</v>
      </c>
      <c r="E119" s="13" t="s">
        <v>91</v>
      </c>
      <c r="F119" s="87">
        <f>+E118*C115</f>
        <v>39.936000000000007</v>
      </c>
      <c r="H119" s="13" t="s">
        <v>92</v>
      </c>
      <c r="I119" s="112">
        <f>MAX(0,F119-$C$113)</f>
        <v>0</v>
      </c>
      <c r="J119" s="13" t="s">
        <v>124</v>
      </c>
      <c r="K119" s="141">
        <f>MAX(0,$C$113-F119)</f>
        <v>20.063999999999993</v>
      </c>
      <c r="N119" s="103"/>
      <c r="O119" s="103"/>
    </row>
    <row r="120" spans="2:16" ht="19.75" customHeight="1" thickBot="1" x14ac:dyDescent="0.4">
      <c r="B120" s="13" t="s">
        <v>103</v>
      </c>
      <c r="C120" s="86">
        <f>+ANSWERS!BB14</f>
        <v>0.05</v>
      </c>
      <c r="H120" s="110"/>
      <c r="J120" s="3"/>
      <c r="N120" s="103"/>
      <c r="O120" s="103"/>
    </row>
    <row r="121" spans="2:16" ht="20" customHeight="1" thickBot="1" x14ac:dyDescent="0.4">
      <c r="B121" s="21" t="s">
        <v>93</v>
      </c>
      <c r="C121" s="106">
        <f>+I121</f>
        <v>11.573024271436974</v>
      </c>
      <c r="E121" s="77" t="s">
        <v>83</v>
      </c>
      <c r="F121" s="86">
        <f>+(1+C120-C115)/(C114-C115)</f>
        <v>0.55555555555555558</v>
      </c>
      <c r="H121" s="110"/>
      <c r="I121" s="89">
        <f>((H116*$F$121)+(H118*$F$122))/(1+$C$120)</f>
        <v>11.573024271436974</v>
      </c>
      <c r="K121" s="89">
        <f>((J116*$F$121)+(J118*$F$122))/(1+$C$120)</f>
        <v>3.5947929789199611</v>
      </c>
      <c r="L121" s="110"/>
      <c r="M121" s="110"/>
      <c r="N121" s="103">
        <v>5</v>
      </c>
      <c r="O121" s="103"/>
    </row>
    <row r="122" spans="2:16" ht="25.25" customHeight="1" thickBot="1" x14ac:dyDescent="0.4">
      <c r="B122" s="21" t="s">
        <v>94</v>
      </c>
      <c r="C122" s="76">
        <f>+K121</f>
        <v>3.5947929789199611</v>
      </c>
      <c r="E122" s="13" t="s">
        <v>84</v>
      </c>
      <c r="F122" s="86">
        <f>1-F121</f>
        <v>0.44444444444444442</v>
      </c>
      <c r="K122" s="110"/>
      <c r="L122" s="110"/>
      <c r="M122" s="110"/>
      <c r="N122" s="103">
        <v>5</v>
      </c>
      <c r="O122" s="103"/>
    </row>
    <row r="123" spans="2:16" ht="25.25" customHeight="1" x14ac:dyDescent="0.35">
      <c r="G123" s="110"/>
      <c r="H123" s="110"/>
      <c r="K123" s="110"/>
      <c r="L123" s="110"/>
      <c r="M123" s="110"/>
      <c r="N123" s="103"/>
      <c r="O123" s="103"/>
    </row>
    <row r="124" spans="2:16" ht="25.25" customHeight="1" x14ac:dyDescent="0.35">
      <c r="G124" s="110"/>
      <c r="H124" s="110"/>
      <c r="K124" s="110"/>
      <c r="L124" s="110"/>
      <c r="M124" s="110"/>
      <c r="N124" s="103"/>
      <c r="O124" s="103"/>
    </row>
    <row r="125" spans="2:16" x14ac:dyDescent="0.35">
      <c r="N125" s="3"/>
    </row>
    <row r="141" spans="14:14" x14ac:dyDescent="0.35">
      <c r="N141" s="4" t="s">
        <v>112</v>
      </c>
    </row>
  </sheetData>
  <mergeCells count="49">
    <mergeCell ref="I41:I42"/>
    <mergeCell ref="B83:J83"/>
    <mergeCell ref="B72:J72"/>
    <mergeCell ref="C2:D2"/>
    <mergeCell ref="F2:H2"/>
    <mergeCell ref="B4:J4"/>
    <mergeCell ref="B17:B18"/>
    <mergeCell ref="C17:C18"/>
    <mergeCell ref="D17:D18"/>
    <mergeCell ref="E17:E18"/>
    <mergeCell ref="F17:F18"/>
    <mergeCell ref="G17:G18"/>
    <mergeCell ref="H17:H18"/>
    <mergeCell ref="I35:I36"/>
    <mergeCell ref="B19:B20"/>
    <mergeCell ref="I37:I38"/>
    <mergeCell ref="I39:I40"/>
    <mergeCell ref="B70:J70"/>
    <mergeCell ref="B57:C57"/>
    <mergeCell ref="H19:H20"/>
    <mergeCell ref="G41:G42"/>
    <mergeCell ref="H41:H42"/>
    <mergeCell ref="F37:F38"/>
    <mergeCell ref="G37:G38"/>
    <mergeCell ref="H37:H38"/>
    <mergeCell ref="F39:F40"/>
    <mergeCell ref="G39:G40"/>
    <mergeCell ref="H39:H40"/>
    <mergeCell ref="C19:C20"/>
    <mergeCell ref="D19:D20"/>
    <mergeCell ref="E19:E20"/>
    <mergeCell ref="F19:F20"/>
    <mergeCell ref="G19:G20"/>
    <mergeCell ref="J19:J20"/>
    <mergeCell ref="B95:J95"/>
    <mergeCell ref="B97:J97"/>
    <mergeCell ref="B112:J112"/>
    <mergeCell ref="I43:I44"/>
    <mergeCell ref="F41:F42"/>
    <mergeCell ref="F35:F36"/>
    <mergeCell ref="G35:G36"/>
    <mergeCell ref="H35:H36"/>
    <mergeCell ref="F43:F44"/>
    <mergeCell ref="G43:G44"/>
    <mergeCell ref="B46:J46"/>
    <mergeCell ref="H43:H44"/>
    <mergeCell ref="B71:D71"/>
    <mergeCell ref="B55:J55"/>
    <mergeCell ref="B59:J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ANSWERS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2020-10-07T12:33:56Z</dcterms:created>
  <dcterms:modified xsi:type="dcterms:W3CDTF">2022-03-15T23:48:40Z</dcterms:modified>
</cp:coreProperties>
</file>