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Baruch CAPS/Capital Markets/"/>
    </mc:Choice>
  </mc:AlternateContent>
  <xr:revisionPtr revIDLastSave="0" documentId="8_{63DFBB10-5BD3-4CFA-993B-1DAE2367ACC5}" xr6:coauthVersionLast="45" xr6:coauthVersionMax="45" xr10:uidLastSave="{00000000-0000-0000-0000-000000000000}"/>
  <bookViews>
    <workbookView xWindow="47880" yWindow="7200" windowWidth="25440" windowHeight="15390" xr2:uid="{CA3C744E-2AF4-4513-8744-88F9AE9B320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6" i="1" l="1"/>
  <c r="D155" i="1"/>
  <c r="D156" i="1" s="1"/>
  <c r="D157" i="1" s="1"/>
  <c r="D154" i="1"/>
  <c r="D153" i="1"/>
  <c r="D151" i="1"/>
  <c r="C151" i="1"/>
  <c r="C156" i="1" s="1"/>
  <c r="C157" i="1" s="1"/>
  <c r="B151" i="1"/>
  <c r="D149" i="1"/>
  <c r="B147" i="1"/>
  <c r="C146" i="1"/>
  <c r="B157" i="1" s="1"/>
  <c r="B146" i="1"/>
  <c r="B145" i="1"/>
  <c r="B144" i="1"/>
  <c r="B139" i="1"/>
  <c r="B132" i="1"/>
  <c r="F125" i="1"/>
  <c r="F137" i="1" s="1"/>
  <c r="F138" i="1" s="1"/>
  <c r="F141" i="1" s="1"/>
  <c r="F123" i="1"/>
  <c r="F140" i="1" s="1"/>
  <c r="F122" i="1"/>
  <c r="F139" i="1" s="1"/>
  <c r="F121" i="1"/>
  <c r="F124" i="1" s="1"/>
  <c r="F126" i="1" s="1"/>
  <c r="G111" i="1"/>
  <c r="B111" i="1"/>
  <c r="C111" i="1" s="1"/>
  <c r="G110" i="1"/>
  <c r="B110" i="1"/>
  <c r="C110" i="1" s="1"/>
  <c r="G109" i="1"/>
  <c r="B109" i="1"/>
  <c r="C109" i="1" s="1"/>
  <c r="G108" i="1"/>
  <c r="C108" i="1"/>
  <c r="B108" i="1"/>
  <c r="G107" i="1"/>
  <c r="B107" i="1"/>
  <c r="C107" i="1" s="1"/>
  <c r="G106" i="1"/>
  <c r="B106" i="1"/>
  <c r="C106" i="1" s="1"/>
  <c r="G105" i="1"/>
  <c r="B105" i="1"/>
  <c r="C105" i="1" s="1"/>
  <c r="G104" i="1"/>
  <c r="C104" i="1"/>
  <c r="B104" i="1"/>
  <c r="G103" i="1"/>
  <c r="B103" i="1"/>
  <c r="C103" i="1" s="1"/>
  <c r="G102" i="1"/>
  <c r="B102" i="1"/>
  <c r="C102" i="1" s="1"/>
  <c r="G101" i="1"/>
  <c r="G112" i="1" s="1"/>
  <c r="B101" i="1"/>
  <c r="C101" i="1" s="1"/>
  <c r="G100" i="1"/>
  <c r="C100" i="1"/>
  <c r="B100" i="1"/>
  <c r="B85" i="1"/>
  <c r="C78" i="1"/>
  <c r="C79" i="1" s="1"/>
  <c r="B74" i="1"/>
  <c r="B59" i="1"/>
  <c r="I58" i="1"/>
  <c r="I59" i="1" s="1"/>
  <c r="G58" i="1"/>
  <c r="G59" i="1" s="1"/>
  <c r="G60" i="1" s="1"/>
  <c r="E58" i="1"/>
  <c r="E59" i="1" s="1"/>
  <c r="E60" i="1" s="1"/>
  <c r="B60" i="1" s="1"/>
  <c r="I52" i="1"/>
  <c r="G52" i="1"/>
  <c r="E52" i="1"/>
  <c r="C40" i="1"/>
  <c r="B40" i="1"/>
  <c r="C39" i="1"/>
  <c r="B39" i="1"/>
  <c r="C38" i="1"/>
  <c r="B38" i="1"/>
  <c r="B43" i="1" s="1"/>
  <c r="B44" i="1" s="1"/>
  <c r="B31" i="1"/>
  <c r="B29" i="1"/>
  <c r="B30" i="1" s="1"/>
  <c r="B18" i="1"/>
  <c r="B19" i="1" s="1"/>
  <c r="A7" i="1"/>
  <c r="A6" i="1"/>
  <c r="H1" i="1"/>
  <c r="I47" i="1" s="1"/>
  <c r="F1" i="1"/>
  <c r="I60" i="1" l="1"/>
  <c r="G113" i="1"/>
  <c r="C80" i="1"/>
  <c r="D79" i="1"/>
  <c r="D103" i="1"/>
  <c r="E103" i="1" s="1"/>
  <c r="D108" i="1"/>
  <c r="E108" i="1" s="1"/>
  <c r="C113" i="1"/>
  <c r="D101" i="1" s="1"/>
  <c r="E101" i="1" s="1"/>
  <c r="D102" i="1"/>
  <c r="E102" i="1" s="1"/>
  <c r="D109" i="1"/>
  <c r="E109" i="1" s="1"/>
  <c r="B160" i="1"/>
  <c r="D100" i="1"/>
  <c r="D78" i="1"/>
  <c r="E100" i="1" l="1"/>
  <c r="C81" i="1"/>
  <c r="D81" i="1" s="1"/>
  <c r="D80" i="1"/>
  <c r="B84" i="1" s="1"/>
  <c r="D106" i="1"/>
  <c r="E106" i="1" s="1"/>
  <c r="D107" i="1"/>
  <c r="E107" i="1" s="1"/>
  <c r="D110" i="1"/>
  <c r="E110" i="1" s="1"/>
  <c r="D111" i="1"/>
  <c r="E111" i="1" s="1"/>
  <c r="D104" i="1"/>
  <c r="E104" i="1" s="1"/>
  <c r="D105" i="1"/>
  <c r="E105" i="1" s="1"/>
  <c r="E113" i="1" l="1"/>
  <c r="D112" i="1"/>
</calcChain>
</file>

<file path=xl/sharedStrings.xml><?xml version="1.0" encoding="utf-8"?>
<sst xmlns="http://schemas.openxmlformats.org/spreadsheetml/2006/main" count="172" uniqueCount="144">
  <si>
    <t>CAPITAL MARKETS - BARUCH CAPS</t>
  </si>
  <si>
    <t>Exam #</t>
  </si>
  <si>
    <t>Name:</t>
  </si>
  <si>
    <t>IMPORTANT: DO NOT INSERT ANY ROWS OR COLUMNS. USE THE WHITE ARE TO CALCULATE AND PUT THE ANSWER IN THE BOXES PROVIDED</t>
  </si>
  <si>
    <t>SECTION I - RETURN ANALYSIS (30 POINTS)</t>
  </si>
  <si>
    <t>Question 1 (10 points)</t>
  </si>
  <si>
    <t>Purchase Price Per Share =</t>
  </si>
  <si>
    <t>Number of Shares Purchased =</t>
  </si>
  <si>
    <t>Selling Price 1  =</t>
  </si>
  <si>
    <t>Number of Shares Sold 1 =</t>
  </si>
  <si>
    <t>Selling Price 2  =</t>
  </si>
  <si>
    <t>ANSWERS</t>
  </si>
  <si>
    <t>Number of Shares Sold 2 =</t>
  </si>
  <si>
    <t>Profit $ =</t>
  </si>
  <si>
    <t>Dividends Paid=</t>
  </si>
  <si>
    <t>HPR% =</t>
  </si>
  <si>
    <t>Question  2 (10 points)</t>
  </si>
  <si>
    <t>Calculate the Profit, HPR% and IRR% for the following 5 year investment</t>
  </si>
  <si>
    <t>YEARS</t>
  </si>
  <si>
    <t>Investment Cash Flow =</t>
  </si>
  <si>
    <t>Total Profit $ =</t>
  </si>
  <si>
    <t>IRR % =</t>
  </si>
  <si>
    <t>Question 3 (10 points)</t>
  </si>
  <si>
    <t>Calculate the Expected Return and Standard Deviation for the following investment scenario analysis</t>
  </si>
  <si>
    <t>State of the Economy</t>
  </si>
  <si>
    <t>Probability</t>
  </si>
  <si>
    <t>HPR %</t>
  </si>
  <si>
    <t>Boom</t>
  </si>
  <si>
    <t>Normal Growth</t>
  </si>
  <si>
    <t>Recession</t>
  </si>
  <si>
    <t>Expected Return =</t>
  </si>
  <si>
    <t>Standard Deviation=</t>
  </si>
  <si>
    <t>SECTION II - BOND ANALYSIS (35 POINTS)</t>
  </si>
  <si>
    <t>Question 4 (10 points)</t>
  </si>
  <si>
    <t>Calculate the Invoice Price of the Corporate Bond given the following information (Based on 360 days per year)</t>
  </si>
  <si>
    <t>Face Value per Bond =</t>
  </si>
  <si>
    <t>A1</t>
  </si>
  <si>
    <t>A2</t>
  </si>
  <si>
    <t>A3</t>
  </si>
  <si>
    <t>Trading Price =</t>
  </si>
  <si>
    <t>Price =</t>
  </si>
  <si>
    <t>Traded</t>
  </si>
  <si>
    <t>Aug</t>
  </si>
  <si>
    <t>Sep</t>
  </si>
  <si>
    <t>Oct</t>
  </si>
  <si>
    <t>Coupon Rate =</t>
  </si>
  <si>
    <t>Nov</t>
  </si>
  <si>
    <t>Coupon Payment Days =</t>
  </si>
  <si>
    <t>Jan 31, Juy 31</t>
  </si>
  <si>
    <t>Dec</t>
  </si>
  <si>
    <t>T + 3 =</t>
  </si>
  <si>
    <t xml:space="preserve"> Sat and Sun</t>
  </si>
  <si>
    <t xml:space="preserve"> Total Days</t>
  </si>
  <si>
    <t>Market Value $ per bond</t>
  </si>
  <si>
    <t>Accrued Interest=</t>
  </si>
  <si>
    <t>Invoice Price $</t>
  </si>
  <si>
    <t xml:space="preserve"> Invoice Price=</t>
  </si>
  <si>
    <t>Given the following data, calculate the YTM, all 4 years of YTC, YTW and Current Yield:</t>
  </si>
  <si>
    <t>Issuance Date =</t>
  </si>
  <si>
    <t>Settlement Date =</t>
  </si>
  <si>
    <t>Maturity Date =</t>
  </si>
  <si>
    <t>Current Market Price =</t>
  </si>
  <si>
    <t>Redemption value =</t>
  </si>
  <si>
    <t>Coupon Pmts per year =</t>
  </si>
  <si>
    <t>ANSWER</t>
  </si>
  <si>
    <t>YTM =</t>
  </si>
  <si>
    <t>Call Provision</t>
  </si>
  <si>
    <t>Year</t>
  </si>
  <si>
    <t>Call Price</t>
  </si>
  <si>
    <t>Dates</t>
  </si>
  <si>
    <t>YTC</t>
  </si>
  <si>
    <t>Year 1 exact from Issuance Date=</t>
  </si>
  <si>
    <t>Year 2 exact from Issuance Date=</t>
  </si>
  <si>
    <t>Year 3 exact from Issuance Date=</t>
  </si>
  <si>
    <t>Year 4 exact from Issuance Date=</t>
  </si>
  <si>
    <t>YTW =</t>
  </si>
  <si>
    <t>Current Yield =</t>
  </si>
  <si>
    <t>Question 5 (15 points)</t>
  </si>
  <si>
    <t>Given the following data, calculate the Price, Duration and Convexity of the Bond:</t>
  </si>
  <si>
    <t>Face Value =</t>
  </si>
  <si>
    <t>Coupon Rate=</t>
  </si>
  <si>
    <t>Yield=</t>
  </si>
  <si>
    <t>Remaining Years to Maturity=</t>
  </si>
  <si>
    <t>Redemption Price =</t>
  </si>
  <si>
    <t>Frequency (Pmts per year)</t>
  </si>
  <si>
    <t>CALCULATIONS</t>
  </si>
  <si>
    <t>Time  until</t>
  </si>
  <si>
    <t>PV of Pmt</t>
  </si>
  <si>
    <t>%</t>
  </si>
  <si>
    <t>Duration</t>
  </si>
  <si>
    <t>Factor years</t>
  </si>
  <si>
    <t>Convexity</t>
  </si>
  <si>
    <t>Payments</t>
  </si>
  <si>
    <t>Weight</t>
  </si>
  <si>
    <t>(Years)</t>
  </si>
  <si>
    <t>Calc</t>
  </si>
  <si>
    <t>Total=</t>
  </si>
  <si>
    <t>Price=</t>
  </si>
  <si>
    <t>Duration=</t>
  </si>
  <si>
    <t>Convexity=</t>
  </si>
  <si>
    <t>SECTION III- EQUITY ANALYSIS (35 POINTS)</t>
  </si>
  <si>
    <t>Question 6a (10 points)</t>
  </si>
  <si>
    <t>Calculate the Stock Price given the following information</t>
  </si>
  <si>
    <t xml:space="preserve">Trading EBITDA Multiple = </t>
  </si>
  <si>
    <t>Book Equity =</t>
  </si>
  <si>
    <t>Enterprise Value</t>
  </si>
  <si>
    <t xml:space="preserve">Stock Outstanding= </t>
  </si>
  <si>
    <t>Less Total Debt=</t>
  </si>
  <si>
    <t xml:space="preserve">Short Term Bank Debt = </t>
  </si>
  <si>
    <t>Plus Cash=</t>
  </si>
  <si>
    <t>Long Term Bank Debt=</t>
  </si>
  <si>
    <t>Equity Value =</t>
  </si>
  <si>
    <t xml:space="preserve">Corporate Bonds = </t>
  </si>
  <si>
    <t>Divided by Stock Outstanding=</t>
  </si>
  <si>
    <t xml:space="preserve">Total Liabilities = </t>
  </si>
  <si>
    <t>Stock Price=</t>
  </si>
  <si>
    <t xml:space="preserve">Total Assets = </t>
  </si>
  <si>
    <t xml:space="preserve">Cash= </t>
  </si>
  <si>
    <t xml:space="preserve">EBITDA = </t>
  </si>
  <si>
    <t>Trading Stock Price $ =</t>
  </si>
  <si>
    <t>Question 6b (10 points)</t>
  </si>
  <si>
    <t>Calculate the EV using the information above (question 6a) if the stock price at</t>
  </si>
  <si>
    <t>Stock Outstanding=</t>
  </si>
  <si>
    <t xml:space="preserve"> Equity Value =</t>
  </si>
  <si>
    <t>Enterpise Value $ =</t>
  </si>
  <si>
    <t>Plus Total Debt=</t>
  </si>
  <si>
    <t>Less Cash=</t>
  </si>
  <si>
    <t>Question 7 (15 points)</t>
  </si>
  <si>
    <t>EV=</t>
  </si>
  <si>
    <t>Calculate the Stock Price given the information below</t>
  </si>
  <si>
    <t>Risk Free Rate =</t>
  </si>
  <si>
    <t xml:space="preserve">Premium Rate = </t>
  </si>
  <si>
    <t xml:space="preserve">Beta = </t>
  </si>
  <si>
    <t xml:space="preserve">Shares Outstanding = </t>
  </si>
  <si>
    <t>( millions $)</t>
  </si>
  <si>
    <t>Year 1</t>
  </si>
  <si>
    <t>Year 2</t>
  </si>
  <si>
    <t>Year 3</t>
  </si>
  <si>
    <t>Equity FCF</t>
  </si>
  <si>
    <t>Firm Terminal Value</t>
  </si>
  <si>
    <t>Debt</t>
  </si>
  <si>
    <t>Equity Terminal Value</t>
  </si>
  <si>
    <t xml:space="preserve">  Equity Value</t>
  </si>
  <si>
    <t>Stock Price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</si>
</sst>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00"/>
    <numFmt numFmtId="166" formatCode="0.000"/>
    <numFmt numFmtId="167" formatCode="[$-F800]dddd\,\ mmmm\ dd\,\ yyyy"/>
    <numFmt numFmtId="168" formatCode="0.000%"/>
    <numFmt numFmtId="169" formatCode="&quot;$&quot;#,#00.00"/>
    <numFmt numFmtId="170" formatCode="_(* #,##0.0000_);_(* \(#,##0.0000\);_(* &quot;-&quot;??_);_(@_)"/>
    <numFmt numFmtId="171" formatCode="0.00\x"/>
    <numFmt numFmtId="172" formatCode="#,#00"/>
    <numFmt numFmtId="173" formatCode="0.0%"/>
    <numFmt numFmtId="174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rgb="FFFF0000"/>
      <name val="Calibri"/>
      <family val="2"/>
      <scheme val="minor"/>
    </font>
    <font>
      <b/>
      <sz val="16"/>
      <color indexed="9"/>
      <name val="Arial"/>
      <family val="2"/>
    </font>
    <font>
      <b/>
      <u/>
      <sz val="14"/>
      <color indexed="12"/>
      <name val="Arial"/>
      <family val="2"/>
    </font>
    <font>
      <b/>
      <sz val="14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  <font>
      <sz val="14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/>
  </cellStyleXfs>
  <cellXfs count="118">
    <xf numFmtId="0" fontId="0" fillId="0" borderId="0" xfId="0"/>
    <xf numFmtId="0" fontId="3" fillId="0" borderId="0" xfId="0" applyFont="1"/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64" fontId="14" fillId="0" borderId="0" xfId="1" applyNumberFormat="1" applyFont="1"/>
    <xf numFmtId="0" fontId="6" fillId="0" borderId="0" xfId="0" applyFont="1" applyAlignment="1">
      <alignment horizontal="right"/>
    </xf>
    <xf numFmtId="165" fontId="6" fillId="3" borderId="4" xfId="0" applyNumberFormat="1" applyFont="1" applyFill="1" applyBorder="1" applyAlignment="1">
      <alignment horizontal="center"/>
    </xf>
    <xf numFmtId="10" fontId="6" fillId="3" borderId="4" xfId="3" applyNumberFormat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0" fontId="6" fillId="4" borderId="4" xfId="0" applyFont="1" applyFill="1" applyBorder="1" applyAlignment="1">
      <alignment horizontal="center"/>
    </xf>
    <xf numFmtId="165" fontId="6" fillId="0" borderId="4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2" fontId="6" fillId="0" borderId="0" xfId="4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" fontId="6" fillId="0" borderId="0" xfId="4" applyNumberFormat="1" applyFont="1" applyAlignment="1">
      <alignment horizontal="center"/>
    </xf>
    <xf numFmtId="164" fontId="0" fillId="0" borderId="0" xfId="4" applyNumberFormat="1" applyFont="1"/>
    <xf numFmtId="0" fontId="14" fillId="0" borderId="5" xfId="0" applyFont="1" applyBorder="1" applyAlignment="1">
      <alignment horizontal="right"/>
    </xf>
    <xf numFmtId="166" fontId="14" fillId="0" borderId="6" xfId="0" applyNumberFormat="1" applyFont="1" applyBorder="1" applyAlignment="1">
      <alignment horizontal="right"/>
    </xf>
    <xf numFmtId="167" fontId="6" fillId="0" borderId="0" xfId="4" applyNumberFormat="1" applyFont="1" applyAlignment="1">
      <alignment horizontal="center" shrinkToFit="1"/>
    </xf>
    <xf numFmtId="0" fontId="14" fillId="0" borderId="0" xfId="0" applyFont="1" applyAlignment="1">
      <alignment horizontal="right"/>
    </xf>
    <xf numFmtId="168" fontId="6" fillId="0" borderId="0" xfId="3" applyNumberFormat="1" applyFont="1" applyAlignment="1">
      <alignment horizontal="center"/>
    </xf>
    <xf numFmtId="2" fontId="6" fillId="0" borderId="0" xfId="4" quotePrefix="1" applyNumberFormat="1" applyFont="1" applyAlignment="1">
      <alignment horizontal="center"/>
    </xf>
    <xf numFmtId="0" fontId="2" fillId="0" borderId="6" xfId="0" applyFont="1" applyBorder="1"/>
    <xf numFmtId="169" fontId="6" fillId="3" borderId="4" xfId="0" applyNumberFormat="1" applyFont="1" applyFill="1" applyBorder="1" applyAlignment="1">
      <alignment horizontal="center"/>
    </xf>
    <xf numFmtId="166" fontId="14" fillId="0" borderId="0" xfId="0" applyNumberFormat="1" applyFont="1" applyAlignment="1">
      <alignment horizontal="right"/>
    </xf>
    <xf numFmtId="166" fontId="14" fillId="0" borderId="7" xfId="0" applyNumberFormat="1" applyFont="1" applyBorder="1" applyAlignment="1">
      <alignment horizontal="right"/>
    </xf>
    <xf numFmtId="0" fontId="11" fillId="0" borderId="0" xfId="0" applyFont="1"/>
    <xf numFmtId="14" fontId="6" fillId="0" borderId="0" xfId="0" applyNumberFormat="1" applyFont="1"/>
    <xf numFmtId="10" fontId="6" fillId="0" borderId="0" xfId="0" applyNumberFormat="1" applyFont="1"/>
    <xf numFmtId="2" fontId="6" fillId="0" borderId="0" xfId="0" applyNumberFormat="1" applyFont="1"/>
    <xf numFmtId="0" fontId="16" fillId="0" borderId="0" xfId="0" applyFont="1"/>
    <xf numFmtId="10" fontId="6" fillId="3" borderId="4" xfId="3" applyNumberFormat="1" applyFont="1" applyFill="1" applyBorder="1" applyAlignment="1">
      <alignment horizontal="center" vertical="center"/>
    </xf>
    <xf numFmtId="0" fontId="17" fillId="0" borderId="0" xfId="0" applyFont="1"/>
    <xf numFmtId="0" fontId="13" fillId="5" borderId="8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14" fontId="18" fillId="3" borderId="4" xfId="3" applyNumberFormat="1" applyFont="1" applyFill="1" applyBorder="1" applyAlignment="1">
      <alignment horizontal="center"/>
    </xf>
    <xf numFmtId="166" fontId="0" fillId="0" borderId="0" xfId="0" quotePrefix="1" applyNumberFormat="1"/>
    <xf numFmtId="0" fontId="15" fillId="0" borderId="0" xfId="0" applyFont="1"/>
    <xf numFmtId="0" fontId="14" fillId="6" borderId="9" xfId="0" applyFont="1" applyFill="1" applyBorder="1"/>
    <xf numFmtId="0" fontId="14" fillId="6" borderId="10" xfId="0" applyFont="1" applyFill="1" applyBorder="1"/>
    <xf numFmtId="164" fontId="14" fillId="6" borderId="4" xfId="4" applyNumberFormat="1" applyFont="1" applyFill="1" applyBorder="1"/>
    <xf numFmtId="168" fontId="14" fillId="6" borderId="4" xfId="5" applyNumberFormat="1" applyFont="1" applyFill="1" applyBorder="1"/>
    <xf numFmtId="0" fontId="14" fillId="6" borderId="11" xfId="0" applyFont="1" applyFill="1" applyBorder="1"/>
    <xf numFmtId="0" fontId="14" fillId="6" borderId="5" xfId="0" applyFont="1" applyFill="1" applyBorder="1"/>
    <xf numFmtId="0" fontId="14" fillId="6" borderId="9" xfId="0" applyFont="1" applyFill="1" applyBorder="1"/>
    <xf numFmtId="0" fontId="14" fillId="6" borderId="12" xfId="0" applyFont="1" applyFill="1" applyBorder="1"/>
    <xf numFmtId="0" fontId="14" fillId="6" borderId="4" xfId="0" applyFont="1" applyFill="1" applyBorder="1" applyAlignment="1">
      <alignment horizontal="right"/>
    </xf>
    <xf numFmtId="0" fontId="14" fillId="6" borderId="4" xfId="0" applyFont="1" applyFill="1" applyBorder="1"/>
    <xf numFmtId="0" fontId="6" fillId="7" borderId="13" xfId="0" applyFont="1" applyFill="1" applyBorder="1" applyAlignment="1">
      <alignment horizontal="center" vertical="center"/>
    </xf>
    <xf numFmtId="0" fontId="11" fillId="8" borderId="0" xfId="0" applyFont="1" applyFill="1"/>
    <xf numFmtId="0" fontId="11" fillId="8" borderId="0" xfId="0" applyFont="1" applyFill="1" applyAlignment="1">
      <alignment horizontal="center"/>
    </xf>
    <xf numFmtId="14" fontId="11" fillId="8" borderId="0" xfId="0" applyNumberFormat="1" applyFont="1" applyFill="1" applyAlignment="1">
      <alignment horizontal="center"/>
    </xf>
    <xf numFmtId="0" fontId="11" fillId="8" borderId="0" xfId="0" applyFont="1" applyFill="1" applyAlignment="1">
      <alignment horizontal="center" wrapText="1"/>
    </xf>
    <xf numFmtId="0" fontId="20" fillId="8" borderId="0" xfId="6" applyFont="1" applyFill="1" applyAlignment="1">
      <alignment horizontal="center" wrapText="1"/>
    </xf>
    <xf numFmtId="0" fontId="11" fillId="6" borderId="4" xfId="0" applyFont="1" applyFill="1" applyBorder="1" applyAlignment="1">
      <alignment horizontal="center"/>
    </xf>
    <xf numFmtId="43" fontId="11" fillId="0" borderId="4" xfId="1" applyFont="1" applyBorder="1"/>
    <xf numFmtId="43" fontId="11" fillId="0" borderId="4" xfId="1" applyFont="1" applyBorder="1" applyAlignment="1">
      <alignment horizontal="right"/>
    </xf>
    <xf numFmtId="10" fontId="11" fillId="0" borderId="4" xfId="0" applyNumberFormat="1" applyFont="1" applyBorder="1"/>
    <xf numFmtId="166" fontId="11" fillId="0" borderId="9" xfId="0" applyNumberFormat="1" applyFont="1" applyBorder="1"/>
    <xf numFmtId="164" fontId="14" fillId="0" borderId="4" xfId="1" applyNumberFormat="1" applyFont="1" applyBorder="1"/>
    <xf numFmtId="43" fontId="14" fillId="0" borderId="4" xfId="1" applyFont="1" applyBorder="1"/>
    <xf numFmtId="43" fontId="13" fillId="0" borderId="0" xfId="1" applyFont="1"/>
    <xf numFmtId="43" fontId="11" fillId="0" borderId="0" xfId="1" applyFont="1"/>
    <xf numFmtId="43" fontId="11" fillId="0" borderId="0" xfId="1" applyFont="1" applyAlignment="1">
      <alignment horizontal="right"/>
    </xf>
    <xf numFmtId="10" fontId="11" fillId="0" borderId="0" xfId="0" applyNumberFormat="1" applyFont="1" applyAlignment="1">
      <alignment horizontal="right"/>
    </xf>
    <xf numFmtId="170" fontId="14" fillId="0" borderId="0" xfId="1" applyNumberFormat="1" applyFont="1" applyAlignment="1">
      <alignment horizontal="right"/>
    </xf>
    <xf numFmtId="43" fontId="14" fillId="0" borderId="8" xfId="1" applyFont="1" applyBorder="1"/>
    <xf numFmtId="43" fontId="11" fillId="9" borderId="7" xfId="1" applyFont="1" applyFill="1" applyBorder="1" applyAlignment="1">
      <alignment horizontal="right"/>
    </xf>
    <xf numFmtId="2" fontId="11" fillId="9" borderId="7" xfId="0" applyNumberFormat="1" applyFont="1" applyFill="1" applyBorder="1"/>
    <xf numFmtId="44" fontId="14" fillId="0" borderId="0" xfId="2" applyFont="1"/>
    <xf numFmtId="0" fontId="14" fillId="0" borderId="0" xfId="0" quotePrefix="1" applyFont="1" applyAlignment="1">
      <alignment horizontal="center"/>
    </xf>
    <xf numFmtId="0" fontId="11" fillId="0" borderId="0" xfId="0" applyFont="1"/>
    <xf numFmtId="168" fontId="15" fillId="0" borderId="0" xfId="3" applyNumberFormat="1" applyFont="1"/>
    <xf numFmtId="0" fontId="6" fillId="0" borderId="0" xfId="0" applyFont="1" applyAlignment="1">
      <alignment horizontal="left" wrapText="1"/>
    </xf>
    <xf numFmtId="171" fontId="6" fillId="0" borderId="0" xfId="4" applyNumberFormat="1" applyFont="1" applyAlignment="1">
      <alignment horizontal="right"/>
    </xf>
    <xf numFmtId="165" fontId="6" fillId="0" borderId="0" xfId="4" applyNumberFormat="1" applyFont="1" applyAlignment="1">
      <alignment horizontal="right"/>
    </xf>
    <xf numFmtId="172" fontId="6" fillId="0" borderId="0" xfId="4" applyNumberFormat="1" applyFont="1" applyAlignment="1">
      <alignment horizontal="right"/>
    </xf>
    <xf numFmtId="165" fontId="21" fillId="0" borderId="0" xfId="4" applyNumberFormat="1" applyFont="1" applyAlignment="1">
      <alignment horizontal="right"/>
    </xf>
    <xf numFmtId="164" fontId="14" fillId="0" borderId="5" xfId="1" applyNumberFormat="1" applyFont="1" applyBorder="1"/>
    <xf numFmtId="44" fontId="14" fillId="0" borderId="7" xfId="2" applyFont="1" applyBorder="1"/>
    <xf numFmtId="0" fontId="14" fillId="0" borderId="0" xfId="0" applyFont="1"/>
    <xf numFmtId="169" fontId="6" fillId="0" borderId="0" xfId="4" applyNumberFormat="1" applyFont="1" applyAlignment="1">
      <alignment horizontal="left"/>
    </xf>
    <xf numFmtId="165" fontId="6" fillId="3" borderId="4" xfId="4" applyNumberFormat="1" applyFont="1" applyFill="1" applyBorder="1" applyAlignment="1">
      <alignment horizontal="center" vertical="center"/>
    </xf>
    <xf numFmtId="164" fontId="14" fillId="0" borderId="7" xfId="0" applyNumberFormat="1" applyFont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8" fillId="0" borderId="0" xfId="0" applyFont="1" applyAlignment="1">
      <alignment wrapText="1"/>
    </xf>
    <xf numFmtId="171" fontId="6" fillId="0" borderId="0" xfId="4" applyNumberFormat="1" applyFont="1" applyAlignment="1">
      <alignment horizontal="center"/>
    </xf>
    <xf numFmtId="173" fontId="18" fillId="0" borderId="7" xfId="3" applyNumberFormat="1" applyFont="1" applyBorder="1" applyAlignment="1">
      <alignment horizontal="center" wrapText="1"/>
    </xf>
    <xf numFmtId="172" fontId="6" fillId="0" borderId="0" xfId="4" applyNumberFormat="1" applyFont="1" applyAlignment="1">
      <alignment horizontal="center"/>
    </xf>
    <xf numFmtId="0" fontId="18" fillId="0" borderId="0" xfId="0" applyFont="1" applyAlignment="1">
      <alignment horizontal="center" wrapText="1"/>
    </xf>
    <xf numFmtId="0" fontId="6" fillId="4" borderId="0" xfId="0" quotePrefix="1" applyFont="1" applyFill="1" applyAlignment="1">
      <alignment wrapText="1"/>
    </xf>
    <xf numFmtId="0" fontId="6" fillId="4" borderId="0" xfId="0" applyFont="1" applyFill="1" applyAlignment="1">
      <alignment horizontal="center" wrapText="1"/>
    </xf>
    <xf numFmtId="164" fontId="6" fillId="0" borderId="0" xfId="1" applyNumberFormat="1" applyFont="1" applyAlignment="1">
      <alignment wrapText="1"/>
    </xf>
    <xf numFmtId="164" fontId="18" fillId="0" borderId="0" xfId="1" applyNumberFormat="1" applyFont="1" applyAlignment="1">
      <alignment wrapText="1"/>
    </xf>
    <xf numFmtId="174" fontId="6" fillId="0" borderId="0" xfId="1" applyNumberFormat="1" applyFont="1" applyAlignment="1">
      <alignment wrapText="1"/>
    </xf>
    <xf numFmtId="174" fontId="18" fillId="0" borderId="0" xfId="1" applyNumberFormat="1" applyFont="1" applyAlignment="1">
      <alignment wrapText="1"/>
    </xf>
    <xf numFmtId="174" fontId="18" fillId="0" borderId="6" xfId="1" applyNumberFormat="1" applyFont="1" applyBorder="1" applyAlignment="1">
      <alignment wrapText="1"/>
    </xf>
    <xf numFmtId="169" fontId="6" fillId="3" borderId="4" xfId="4" applyNumberFormat="1" applyFont="1" applyFill="1" applyBorder="1" applyAlignment="1">
      <alignment horizontal="center" vertical="center"/>
    </xf>
  </cellXfs>
  <cellStyles count="7">
    <cellStyle name="Comma" xfId="1" builtinId="3"/>
    <cellStyle name="Comma 2" xfId="4" xr:uid="{D8980EA8-12B1-4695-B201-E82E602288D0}"/>
    <cellStyle name="Currency" xfId="2" builtinId="4"/>
    <cellStyle name="Normal" xfId="0" builtinId="0"/>
    <cellStyle name="Normal_Sheet1" xfId="6" xr:uid="{4EE3EF6B-D059-4971-B1C7-83BEDC63C168}"/>
    <cellStyle name="Percent" xfId="3" builtinId="5"/>
    <cellStyle name="Percent 2" xfId="5" xr:uid="{A70231B4-4C03-4F7C-92B7-64FBD5CFF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ket_Cap_Midterm_Exam_Summer_2020_with_answ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wnsers"/>
      <sheetName val="Sheet3"/>
      <sheetName val="Input"/>
      <sheetName val="Grades"/>
    </sheetNames>
    <sheetDataSet>
      <sheetData sheetId="0"/>
      <sheetData sheetId="1"/>
      <sheetData sheetId="2">
        <row r="1">
          <cell r="AO1" t="str">
            <v>A1</v>
          </cell>
        </row>
        <row r="38">
          <cell r="B38">
            <v>0.3</v>
          </cell>
          <cell r="C38">
            <v>0.2</v>
          </cell>
        </row>
        <row r="39">
          <cell r="B39">
            <v>0.5</v>
          </cell>
          <cell r="C39">
            <v>0.08</v>
          </cell>
        </row>
        <row r="40">
          <cell r="B40">
            <v>0.2</v>
          </cell>
          <cell r="C40">
            <v>-0.16</v>
          </cell>
        </row>
        <row r="100">
          <cell r="C100">
            <v>73.226544622425621</v>
          </cell>
        </row>
        <row r="101">
          <cell r="C101">
            <v>67.026585466751143</v>
          </cell>
        </row>
        <row r="102">
          <cell r="C102">
            <v>61.35156564462347</v>
          </cell>
        </row>
        <row r="103">
          <cell r="C103">
            <v>56.157039491646195</v>
          </cell>
        </row>
        <row r="104">
          <cell r="C104">
            <v>51.402324477479354</v>
          </cell>
        </row>
        <row r="105">
          <cell r="C105">
            <v>47.050182588081789</v>
          </cell>
        </row>
        <row r="106">
          <cell r="C106">
            <v>43.066528684743055</v>
          </cell>
        </row>
        <row r="107">
          <cell r="C107">
            <v>532.17220800368978</v>
          </cell>
        </row>
        <row r="144">
          <cell r="B144">
            <v>2.5000000000000001E-2</v>
          </cell>
        </row>
        <row r="145">
          <cell r="B145">
            <v>0.08</v>
          </cell>
        </row>
        <row r="146">
          <cell r="B146">
            <v>2</v>
          </cell>
        </row>
        <row r="147">
          <cell r="B147">
            <v>55000000</v>
          </cell>
        </row>
        <row r="151">
          <cell r="B151">
            <v>250000000</v>
          </cell>
          <cell r="C151">
            <v>275000000</v>
          </cell>
          <cell r="D151">
            <v>302500000</v>
          </cell>
        </row>
        <row r="153">
          <cell r="D153">
            <v>3500000000</v>
          </cell>
        </row>
        <row r="154">
          <cell r="D154">
            <v>700000000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E6C0-DF4E-466C-85CB-2DBE8D6C47AF}">
  <dimension ref="A1:J163"/>
  <sheetViews>
    <sheetView tabSelected="1" workbookViewId="0">
      <selection activeCell="G17" sqref="G16:G17"/>
    </sheetView>
  </sheetViews>
  <sheetFormatPr defaultRowHeight="14.35" x14ac:dyDescent="0.5"/>
  <cols>
    <col min="1" max="1" width="33.234375" customWidth="1"/>
    <col min="2" max="3" width="20.8203125" customWidth="1"/>
    <col min="4" max="4" width="23.05859375" customWidth="1"/>
    <col min="5" max="8" width="20.8203125" customWidth="1"/>
    <col min="9" max="9" width="14" customWidth="1"/>
    <col min="11" max="11" width="12.17578125" customWidth="1"/>
    <col min="12" max="12" width="12.29296875" customWidth="1"/>
    <col min="18" max="18" width="10.52734375" customWidth="1"/>
    <col min="257" max="257" width="33.234375" customWidth="1"/>
    <col min="258" max="264" width="20.8203125" customWidth="1"/>
    <col min="265" max="265" width="3.41015625" customWidth="1"/>
    <col min="267" max="267" width="12.17578125" customWidth="1"/>
    <col min="268" max="268" width="12.29296875" customWidth="1"/>
    <col min="274" max="274" width="10.52734375" customWidth="1"/>
    <col min="513" max="513" width="33.234375" customWidth="1"/>
    <col min="514" max="520" width="20.8203125" customWidth="1"/>
    <col min="521" max="521" width="3.41015625" customWidth="1"/>
    <col min="523" max="523" width="12.17578125" customWidth="1"/>
    <col min="524" max="524" width="12.29296875" customWidth="1"/>
    <col min="530" max="530" width="10.52734375" customWidth="1"/>
    <col min="769" max="769" width="33.234375" customWidth="1"/>
    <col min="770" max="776" width="20.8203125" customWidth="1"/>
    <col min="777" max="777" width="3.41015625" customWidth="1"/>
    <col min="779" max="779" width="12.17578125" customWidth="1"/>
    <col min="780" max="780" width="12.29296875" customWidth="1"/>
    <col min="786" max="786" width="10.52734375" customWidth="1"/>
    <col min="1025" max="1025" width="33.234375" customWidth="1"/>
    <col min="1026" max="1032" width="20.8203125" customWidth="1"/>
    <col min="1033" max="1033" width="3.41015625" customWidth="1"/>
    <col min="1035" max="1035" width="12.17578125" customWidth="1"/>
    <col min="1036" max="1036" width="12.29296875" customWidth="1"/>
    <col min="1042" max="1042" width="10.52734375" customWidth="1"/>
    <col min="1281" max="1281" width="33.234375" customWidth="1"/>
    <col min="1282" max="1288" width="20.8203125" customWidth="1"/>
    <col min="1289" max="1289" width="3.41015625" customWidth="1"/>
    <col min="1291" max="1291" width="12.17578125" customWidth="1"/>
    <col min="1292" max="1292" width="12.29296875" customWidth="1"/>
    <col min="1298" max="1298" width="10.52734375" customWidth="1"/>
    <col min="1537" max="1537" width="33.234375" customWidth="1"/>
    <col min="1538" max="1544" width="20.8203125" customWidth="1"/>
    <col min="1545" max="1545" width="3.41015625" customWidth="1"/>
    <col min="1547" max="1547" width="12.17578125" customWidth="1"/>
    <col min="1548" max="1548" width="12.29296875" customWidth="1"/>
    <col min="1554" max="1554" width="10.52734375" customWidth="1"/>
    <col min="1793" max="1793" width="33.234375" customWidth="1"/>
    <col min="1794" max="1800" width="20.8203125" customWidth="1"/>
    <col min="1801" max="1801" width="3.41015625" customWidth="1"/>
    <col min="1803" max="1803" width="12.17578125" customWidth="1"/>
    <col min="1804" max="1804" width="12.29296875" customWidth="1"/>
    <col min="1810" max="1810" width="10.52734375" customWidth="1"/>
    <col min="2049" max="2049" width="33.234375" customWidth="1"/>
    <col min="2050" max="2056" width="20.8203125" customWidth="1"/>
    <col min="2057" max="2057" width="3.41015625" customWidth="1"/>
    <col min="2059" max="2059" width="12.17578125" customWidth="1"/>
    <col min="2060" max="2060" width="12.29296875" customWidth="1"/>
    <col min="2066" max="2066" width="10.52734375" customWidth="1"/>
    <col min="2305" max="2305" width="33.234375" customWidth="1"/>
    <col min="2306" max="2312" width="20.8203125" customWidth="1"/>
    <col min="2313" max="2313" width="3.41015625" customWidth="1"/>
    <col min="2315" max="2315" width="12.17578125" customWidth="1"/>
    <col min="2316" max="2316" width="12.29296875" customWidth="1"/>
    <col min="2322" max="2322" width="10.52734375" customWidth="1"/>
    <col min="2561" max="2561" width="33.234375" customWidth="1"/>
    <col min="2562" max="2568" width="20.8203125" customWidth="1"/>
    <col min="2569" max="2569" width="3.41015625" customWidth="1"/>
    <col min="2571" max="2571" width="12.17578125" customWidth="1"/>
    <col min="2572" max="2572" width="12.29296875" customWidth="1"/>
    <col min="2578" max="2578" width="10.52734375" customWidth="1"/>
    <col min="2817" max="2817" width="33.234375" customWidth="1"/>
    <col min="2818" max="2824" width="20.8203125" customWidth="1"/>
    <col min="2825" max="2825" width="3.41015625" customWidth="1"/>
    <col min="2827" max="2827" width="12.17578125" customWidth="1"/>
    <col min="2828" max="2828" width="12.29296875" customWidth="1"/>
    <col min="2834" max="2834" width="10.52734375" customWidth="1"/>
    <col min="3073" max="3073" width="33.234375" customWidth="1"/>
    <col min="3074" max="3080" width="20.8203125" customWidth="1"/>
    <col min="3081" max="3081" width="3.41015625" customWidth="1"/>
    <col min="3083" max="3083" width="12.17578125" customWidth="1"/>
    <col min="3084" max="3084" width="12.29296875" customWidth="1"/>
    <col min="3090" max="3090" width="10.52734375" customWidth="1"/>
    <col min="3329" max="3329" width="33.234375" customWidth="1"/>
    <col min="3330" max="3336" width="20.8203125" customWidth="1"/>
    <col min="3337" max="3337" width="3.41015625" customWidth="1"/>
    <col min="3339" max="3339" width="12.17578125" customWidth="1"/>
    <col min="3340" max="3340" width="12.29296875" customWidth="1"/>
    <col min="3346" max="3346" width="10.52734375" customWidth="1"/>
    <col min="3585" max="3585" width="33.234375" customWidth="1"/>
    <col min="3586" max="3592" width="20.8203125" customWidth="1"/>
    <col min="3593" max="3593" width="3.41015625" customWidth="1"/>
    <col min="3595" max="3595" width="12.17578125" customWidth="1"/>
    <col min="3596" max="3596" width="12.29296875" customWidth="1"/>
    <col min="3602" max="3602" width="10.52734375" customWidth="1"/>
    <col min="3841" max="3841" width="33.234375" customWidth="1"/>
    <col min="3842" max="3848" width="20.8203125" customWidth="1"/>
    <col min="3849" max="3849" width="3.41015625" customWidth="1"/>
    <col min="3851" max="3851" width="12.17578125" customWidth="1"/>
    <col min="3852" max="3852" width="12.29296875" customWidth="1"/>
    <col min="3858" max="3858" width="10.52734375" customWidth="1"/>
    <col min="4097" max="4097" width="33.234375" customWidth="1"/>
    <col min="4098" max="4104" width="20.8203125" customWidth="1"/>
    <col min="4105" max="4105" width="3.41015625" customWidth="1"/>
    <col min="4107" max="4107" width="12.17578125" customWidth="1"/>
    <col min="4108" max="4108" width="12.29296875" customWidth="1"/>
    <col min="4114" max="4114" width="10.52734375" customWidth="1"/>
    <col min="4353" max="4353" width="33.234375" customWidth="1"/>
    <col min="4354" max="4360" width="20.8203125" customWidth="1"/>
    <col min="4361" max="4361" width="3.41015625" customWidth="1"/>
    <col min="4363" max="4363" width="12.17578125" customWidth="1"/>
    <col min="4364" max="4364" width="12.29296875" customWidth="1"/>
    <col min="4370" max="4370" width="10.52734375" customWidth="1"/>
    <col min="4609" max="4609" width="33.234375" customWidth="1"/>
    <col min="4610" max="4616" width="20.8203125" customWidth="1"/>
    <col min="4617" max="4617" width="3.41015625" customWidth="1"/>
    <col min="4619" max="4619" width="12.17578125" customWidth="1"/>
    <col min="4620" max="4620" width="12.29296875" customWidth="1"/>
    <col min="4626" max="4626" width="10.52734375" customWidth="1"/>
    <col min="4865" max="4865" width="33.234375" customWidth="1"/>
    <col min="4866" max="4872" width="20.8203125" customWidth="1"/>
    <col min="4873" max="4873" width="3.41015625" customWidth="1"/>
    <col min="4875" max="4875" width="12.17578125" customWidth="1"/>
    <col min="4876" max="4876" width="12.29296875" customWidth="1"/>
    <col min="4882" max="4882" width="10.52734375" customWidth="1"/>
    <col min="5121" max="5121" width="33.234375" customWidth="1"/>
    <col min="5122" max="5128" width="20.8203125" customWidth="1"/>
    <col min="5129" max="5129" width="3.41015625" customWidth="1"/>
    <col min="5131" max="5131" width="12.17578125" customWidth="1"/>
    <col min="5132" max="5132" width="12.29296875" customWidth="1"/>
    <col min="5138" max="5138" width="10.52734375" customWidth="1"/>
    <col min="5377" max="5377" width="33.234375" customWidth="1"/>
    <col min="5378" max="5384" width="20.8203125" customWidth="1"/>
    <col min="5385" max="5385" width="3.41015625" customWidth="1"/>
    <col min="5387" max="5387" width="12.17578125" customWidth="1"/>
    <col min="5388" max="5388" width="12.29296875" customWidth="1"/>
    <col min="5394" max="5394" width="10.52734375" customWidth="1"/>
    <col min="5633" max="5633" width="33.234375" customWidth="1"/>
    <col min="5634" max="5640" width="20.8203125" customWidth="1"/>
    <col min="5641" max="5641" width="3.41015625" customWidth="1"/>
    <col min="5643" max="5643" width="12.17578125" customWidth="1"/>
    <col min="5644" max="5644" width="12.29296875" customWidth="1"/>
    <col min="5650" max="5650" width="10.52734375" customWidth="1"/>
    <col min="5889" max="5889" width="33.234375" customWidth="1"/>
    <col min="5890" max="5896" width="20.8203125" customWidth="1"/>
    <col min="5897" max="5897" width="3.41015625" customWidth="1"/>
    <col min="5899" max="5899" width="12.17578125" customWidth="1"/>
    <col min="5900" max="5900" width="12.29296875" customWidth="1"/>
    <col min="5906" max="5906" width="10.52734375" customWidth="1"/>
    <col min="6145" max="6145" width="33.234375" customWidth="1"/>
    <col min="6146" max="6152" width="20.8203125" customWidth="1"/>
    <col min="6153" max="6153" width="3.41015625" customWidth="1"/>
    <col min="6155" max="6155" width="12.17578125" customWidth="1"/>
    <col min="6156" max="6156" width="12.29296875" customWidth="1"/>
    <col min="6162" max="6162" width="10.52734375" customWidth="1"/>
    <col min="6401" max="6401" width="33.234375" customWidth="1"/>
    <col min="6402" max="6408" width="20.8203125" customWidth="1"/>
    <col min="6409" max="6409" width="3.41015625" customWidth="1"/>
    <col min="6411" max="6411" width="12.17578125" customWidth="1"/>
    <col min="6412" max="6412" width="12.29296875" customWidth="1"/>
    <col min="6418" max="6418" width="10.52734375" customWidth="1"/>
    <col min="6657" max="6657" width="33.234375" customWidth="1"/>
    <col min="6658" max="6664" width="20.8203125" customWidth="1"/>
    <col min="6665" max="6665" width="3.41015625" customWidth="1"/>
    <col min="6667" max="6667" width="12.17578125" customWidth="1"/>
    <col min="6668" max="6668" width="12.29296875" customWidth="1"/>
    <col min="6674" max="6674" width="10.52734375" customWidth="1"/>
    <col min="6913" max="6913" width="33.234375" customWidth="1"/>
    <col min="6914" max="6920" width="20.8203125" customWidth="1"/>
    <col min="6921" max="6921" width="3.41015625" customWidth="1"/>
    <col min="6923" max="6923" width="12.17578125" customWidth="1"/>
    <col min="6924" max="6924" width="12.29296875" customWidth="1"/>
    <col min="6930" max="6930" width="10.52734375" customWidth="1"/>
    <col min="7169" max="7169" width="33.234375" customWidth="1"/>
    <col min="7170" max="7176" width="20.8203125" customWidth="1"/>
    <col min="7177" max="7177" width="3.41015625" customWidth="1"/>
    <col min="7179" max="7179" width="12.17578125" customWidth="1"/>
    <col min="7180" max="7180" width="12.29296875" customWidth="1"/>
    <col min="7186" max="7186" width="10.52734375" customWidth="1"/>
    <col min="7425" max="7425" width="33.234375" customWidth="1"/>
    <col min="7426" max="7432" width="20.8203125" customWidth="1"/>
    <col min="7433" max="7433" width="3.41015625" customWidth="1"/>
    <col min="7435" max="7435" width="12.17578125" customWidth="1"/>
    <col min="7436" max="7436" width="12.29296875" customWidth="1"/>
    <col min="7442" max="7442" width="10.52734375" customWidth="1"/>
    <col min="7681" max="7681" width="33.234375" customWidth="1"/>
    <col min="7682" max="7688" width="20.8203125" customWidth="1"/>
    <col min="7689" max="7689" width="3.41015625" customWidth="1"/>
    <col min="7691" max="7691" width="12.17578125" customWidth="1"/>
    <col min="7692" max="7692" width="12.29296875" customWidth="1"/>
    <col min="7698" max="7698" width="10.52734375" customWidth="1"/>
    <col min="7937" max="7937" width="33.234375" customWidth="1"/>
    <col min="7938" max="7944" width="20.8203125" customWidth="1"/>
    <col min="7945" max="7945" width="3.41015625" customWidth="1"/>
    <col min="7947" max="7947" width="12.17578125" customWidth="1"/>
    <col min="7948" max="7948" width="12.29296875" customWidth="1"/>
    <col min="7954" max="7954" width="10.52734375" customWidth="1"/>
    <col min="8193" max="8193" width="33.234375" customWidth="1"/>
    <col min="8194" max="8200" width="20.8203125" customWidth="1"/>
    <col min="8201" max="8201" width="3.41015625" customWidth="1"/>
    <col min="8203" max="8203" width="12.17578125" customWidth="1"/>
    <col min="8204" max="8204" width="12.29296875" customWidth="1"/>
    <col min="8210" max="8210" width="10.52734375" customWidth="1"/>
    <col min="8449" max="8449" width="33.234375" customWidth="1"/>
    <col min="8450" max="8456" width="20.8203125" customWidth="1"/>
    <col min="8457" max="8457" width="3.41015625" customWidth="1"/>
    <col min="8459" max="8459" width="12.17578125" customWidth="1"/>
    <col min="8460" max="8460" width="12.29296875" customWidth="1"/>
    <col min="8466" max="8466" width="10.52734375" customWidth="1"/>
    <col min="8705" max="8705" width="33.234375" customWidth="1"/>
    <col min="8706" max="8712" width="20.8203125" customWidth="1"/>
    <col min="8713" max="8713" width="3.41015625" customWidth="1"/>
    <col min="8715" max="8715" width="12.17578125" customWidth="1"/>
    <col min="8716" max="8716" width="12.29296875" customWidth="1"/>
    <col min="8722" max="8722" width="10.52734375" customWidth="1"/>
    <col min="8961" max="8961" width="33.234375" customWidth="1"/>
    <col min="8962" max="8968" width="20.8203125" customWidth="1"/>
    <col min="8969" max="8969" width="3.41015625" customWidth="1"/>
    <col min="8971" max="8971" width="12.17578125" customWidth="1"/>
    <col min="8972" max="8972" width="12.29296875" customWidth="1"/>
    <col min="8978" max="8978" width="10.52734375" customWidth="1"/>
    <col min="9217" max="9217" width="33.234375" customWidth="1"/>
    <col min="9218" max="9224" width="20.8203125" customWidth="1"/>
    <col min="9225" max="9225" width="3.41015625" customWidth="1"/>
    <col min="9227" max="9227" width="12.17578125" customWidth="1"/>
    <col min="9228" max="9228" width="12.29296875" customWidth="1"/>
    <col min="9234" max="9234" width="10.52734375" customWidth="1"/>
    <col min="9473" max="9473" width="33.234375" customWidth="1"/>
    <col min="9474" max="9480" width="20.8203125" customWidth="1"/>
    <col min="9481" max="9481" width="3.41015625" customWidth="1"/>
    <col min="9483" max="9483" width="12.17578125" customWidth="1"/>
    <col min="9484" max="9484" width="12.29296875" customWidth="1"/>
    <col min="9490" max="9490" width="10.52734375" customWidth="1"/>
    <col min="9729" max="9729" width="33.234375" customWidth="1"/>
    <col min="9730" max="9736" width="20.8203125" customWidth="1"/>
    <col min="9737" max="9737" width="3.41015625" customWidth="1"/>
    <col min="9739" max="9739" width="12.17578125" customWidth="1"/>
    <col min="9740" max="9740" width="12.29296875" customWidth="1"/>
    <col min="9746" max="9746" width="10.52734375" customWidth="1"/>
    <col min="9985" max="9985" width="33.234375" customWidth="1"/>
    <col min="9986" max="9992" width="20.8203125" customWidth="1"/>
    <col min="9993" max="9993" width="3.41015625" customWidth="1"/>
    <col min="9995" max="9995" width="12.17578125" customWidth="1"/>
    <col min="9996" max="9996" width="12.29296875" customWidth="1"/>
    <col min="10002" max="10002" width="10.52734375" customWidth="1"/>
    <col min="10241" max="10241" width="33.234375" customWidth="1"/>
    <col min="10242" max="10248" width="20.8203125" customWidth="1"/>
    <col min="10249" max="10249" width="3.41015625" customWidth="1"/>
    <col min="10251" max="10251" width="12.17578125" customWidth="1"/>
    <col min="10252" max="10252" width="12.29296875" customWidth="1"/>
    <col min="10258" max="10258" width="10.52734375" customWidth="1"/>
    <col min="10497" max="10497" width="33.234375" customWidth="1"/>
    <col min="10498" max="10504" width="20.8203125" customWidth="1"/>
    <col min="10505" max="10505" width="3.41015625" customWidth="1"/>
    <col min="10507" max="10507" width="12.17578125" customWidth="1"/>
    <col min="10508" max="10508" width="12.29296875" customWidth="1"/>
    <col min="10514" max="10514" width="10.52734375" customWidth="1"/>
    <col min="10753" max="10753" width="33.234375" customWidth="1"/>
    <col min="10754" max="10760" width="20.8203125" customWidth="1"/>
    <col min="10761" max="10761" width="3.41015625" customWidth="1"/>
    <col min="10763" max="10763" width="12.17578125" customWidth="1"/>
    <col min="10764" max="10764" width="12.29296875" customWidth="1"/>
    <col min="10770" max="10770" width="10.52734375" customWidth="1"/>
    <col min="11009" max="11009" width="33.234375" customWidth="1"/>
    <col min="11010" max="11016" width="20.8203125" customWidth="1"/>
    <col min="11017" max="11017" width="3.41015625" customWidth="1"/>
    <col min="11019" max="11019" width="12.17578125" customWidth="1"/>
    <col min="11020" max="11020" width="12.29296875" customWidth="1"/>
    <col min="11026" max="11026" width="10.52734375" customWidth="1"/>
    <col min="11265" max="11265" width="33.234375" customWidth="1"/>
    <col min="11266" max="11272" width="20.8203125" customWidth="1"/>
    <col min="11273" max="11273" width="3.41015625" customWidth="1"/>
    <col min="11275" max="11275" width="12.17578125" customWidth="1"/>
    <col min="11276" max="11276" width="12.29296875" customWidth="1"/>
    <col min="11282" max="11282" width="10.52734375" customWidth="1"/>
    <col min="11521" max="11521" width="33.234375" customWidth="1"/>
    <col min="11522" max="11528" width="20.8203125" customWidth="1"/>
    <col min="11529" max="11529" width="3.41015625" customWidth="1"/>
    <col min="11531" max="11531" width="12.17578125" customWidth="1"/>
    <col min="11532" max="11532" width="12.29296875" customWidth="1"/>
    <col min="11538" max="11538" width="10.52734375" customWidth="1"/>
    <col min="11777" max="11777" width="33.234375" customWidth="1"/>
    <col min="11778" max="11784" width="20.8203125" customWidth="1"/>
    <col min="11785" max="11785" width="3.41015625" customWidth="1"/>
    <col min="11787" max="11787" width="12.17578125" customWidth="1"/>
    <col min="11788" max="11788" width="12.29296875" customWidth="1"/>
    <col min="11794" max="11794" width="10.52734375" customWidth="1"/>
    <col min="12033" max="12033" width="33.234375" customWidth="1"/>
    <col min="12034" max="12040" width="20.8203125" customWidth="1"/>
    <col min="12041" max="12041" width="3.41015625" customWidth="1"/>
    <col min="12043" max="12043" width="12.17578125" customWidth="1"/>
    <col min="12044" max="12044" width="12.29296875" customWidth="1"/>
    <col min="12050" max="12050" width="10.52734375" customWidth="1"/>
    <col min="12289" max="12289" width="33.234375" customWidth="1"/>
    <col min="12290" max="12296" width="20.8203125" customWidth="1"/>
    <col min="12297" max="12297" width="3.41015625" customWidth="1"/>
    <col min="12299" max="12299" width="12.17578125" customWidth="1"/>
    <col min="12300" max="12300" width="12.29296875" customWidth="1"/>
    <col min="12306" max="12306" width="10.52734375" customWidth="1"/>
    <col min="12545" max="12545" width="33.234375" customWidth="1"/>
    <col min="12546" max="12552" width="20.8203125" customWidth="1"/>
    <col min="12553" max="12553" width="3.41015625" customWidth="1"/>
    <col min="12555" max="12555" width="12.17578125" customWidth="1"/>
    <col min="12556" max="12556" width="12.29296875" customWidth="1"/>
    <col min="12562" max="12562" width="10.52734375" customWidth="1"/>
    <col min="12801" max="12801" width="33.234375" customWidth="1"/>
    <col min="12802" max="12808" width="20.8203125" customWidth="1"/>
    <col min="12809" max="12809" width="3.41015625" customWidth="1"/>
    <col min="12811" max="12811" width="12.17578125" customWidth="1"/>
    <col min="12812" max="12812" width="12.29296875" customWidth="1"/>
    <col min="12818" max="12818" width="10.52734375" customWidth="1"/>
    <col min="13057" max="13057" width="33.234375" customWidth="1"/>
    <col min="13058" max="13064" width="20.8203125" customWidth="1"/>
    <col min="13065" max="13065" width="3.41015625" customWidth="1"/>
    <col min="13067" max="13067" width="12.17578125" customWidth="1"/>
    <col min="13068" max="13068" width="12.29296875" customWidth="1"/>
    <col min="13074" max="13074" width="10.52734375" customWidth="1"/>
    <col min="13313" max="13313" width="33.234375" customWidth="1"/>
    <col min="13314" max="13320" width="20.8203125" customWidth="1"/>
    <col min="13321" max="13321" width="3.41015625" customWidth="1"/>
    <col min="13323" max="13323" width="12.17578125" customWidth="1"/>
    <col min="13324" max="13324" width="12.29296875" customWidth="1"/>
    <col min="13330" max="13330" width="10.52734375" customWidth="1"/>
    <col min="13569" max="13569" width="33.234375" customWidth="1"/>
    <col min="13570" max="13576" width="20.8203125" customWidth="1"/>
    <col min="13577" max="13577" width="3.41015625" customWidth="1"/>
    <col min="13579" max="13579" width="12.17578125" customWidth="1"/>
    <col min="13580" max="13580" width="12.29296875" customWidth="1"/>
    <col min="13586" max="13586" width="10.52734375" customWidth="1"/>
    <col min="13825" max="13825" width="33.234375" customWidth="1"/>
    <col min="13826" max="13832" width="20.8203125" customWidth="1"/>
    <col min="13833" max="13833" width="3.41015625" customWidth="1"/>
    <col min="13835" max="13835" width="12.17578125" customWidth="1"/>
    <col min="13836" max="13836" width="12.29296875" customWidth="1"/>
    <col min="13842" max="13842" width="10.52734375" customWidth="1"/>
    <col min="14081" max="14081" width="33.234375" customWidth="1"/>
    <col min="14082" max="14088" width="20.8203125" customWidth="1"/>
    <col min="14089" max="14089" width="3.41015625" customWidth="1"/>
    <col min="14091" max="14091" width="12.17578125" customWidth="1"/>
    <col min="14092" max="14092" width="12.29296875" customWidth="1"/>
    <col min="14098" max="14098" width="10.52734375" customWidth="1"/>
    <col min="14337" max="14337" width="33.234375" customWidth="1"/>
    <col min="14338" max="14344" width="20.8203125" customWidth="1"/>
    <col min="14345" max="14345" width="3.41015625" customWidth="1"/>
    <col min="14347" max="14347" width="12.17578125" customWidth="1"/>
    <col min="14348" max="14348" width="12.29296875" customWidth="1"/>
    <col min="14354" max="14354" width="10.52734375" customWidth="1"/>
    <col min="14593" max="14593" width="33.234375" customWidth="1"/>
    <col min="14594" max="14600" width="20.8203125" customWidth="1"/>
    <col min="14601" max="14601" width="3.41015625" customWidth="1"/>
    <col min="14603" max="14603" width="12.17578125" customWidth="1"/>
    <col min="14604" max="14604" width="12.29296875" customWidth="1"/>
    <col min="14610" max="14610" width="10.52734375" customWidth="1"/>
    <col min="14849" max="14849" width="33.234375" customWidth="1"/>
    <col min="14850" max="14856" width="20.8203125" customWidth="1"/>
    <col min="14857" max="14857" width="3.41015625" customWidth="1"/>
    <col min="14859" max="14859" width="12.17578125" customWidth="1"/>
    <col min="14860" max="14860" width="12.29296875" customWidth="1"/>
    <col min="14866" max="14866" width="10.52734375" customWidth="1"/>
    <col min="15105" max="15105" width="33.234375" customWidth="1"/>
    <col min="15106" max="15112" width="20.8203125" customWidth="1"/>
    <col min="15113" max="15113" width="3.41015625" customWidth="1"/>
    <col min="15115" max="15115" width="12.17578125" customWidth="1"/>
    <col min="15116" max="15116" width="12.29296875" customWidth="1"/>
    <col min="15122" max="15122" width="10.52734375" customWidth="1"/>
    <col min="15361" max="15361" width="33.234375" customWidth="1"/>
    <col min="15362" max="15368" width="20.8203125" customWidth="1"/>
    <col min="15369" max="15369" width="3.41015625" customWidth="1"/>
    <col min="15371" max="15371" width="12.17578125" customWidth="1"/>
    <col min="15372" max="15372" width="12.29296875" customWidth="1"/>
    <col min="15378" max="15378" width="10.52734375" customWidth="1"/>
    <col min="15617" max="15617" width="33.234375" customWidth="1"/>
    <col min="15618" max="15624" width="20.8203125" customWidth="1"/>
    <col min="15625" max="15625" width="3.41015625" customWidth="1"/>
    <col min="15627" max="15627" width="12.17578125" customWidth="1"/>
    <col min="15628" max="15628" width="12.29296875" customWidth="1"/>
    <col min="15634" max="15634" width="10.52734375" customWidth="1"/>
    <col min="15873" max="15873" width="33.234375" customWidth="1"/>
    <col min="15874" max="15880" width="20.8203125" customWidth="1"/>
    <col min="15881" max="15881" width="3.41015625" customWidth="1"/>
    <col min="15883" max="15883" width="12.17578125" customWidth="1"/>
    <col min="15884" max="15884" width="12.29296875" customWidth="1"/>
    <col min="15890" max="15890" width="10.52734375" customWidth="1"/>
    <col min="16129" max="16129" width="33.234375" customWidth="1"/>
    <col min="16130" max="16136" width="20.8203125" customWidth="1"/>
    <col min="16137" max="16137" width="3.41015625" customWidth="1"/>
    <col min="16139" max="16139" width="12.17578125" customWidth="1"/>
    <col min="16140" max="16140" width="12.29296875" customWidth="1"/>
    <col min="16146" max="16146" width="10.52734375" customWidth="1"/>
  </cols>
  <sheetData>
    <row r="1" spans="1:9" ht="38.450000000000003" customHeight="1" thickBot="1" x14ac:dyDescent="0.95">
      <c r="A1" s="1" t="s">
        <v>0</v>
      </c>
      <c r="E1" s="2" t="s">
        <v>1</v>
      </c>
      <c r="F1" s="3">
        <f ca="1">RAND()*100</f>
        <v>77.093915889454721</v>
      </c>
      <c r="H1" s="4" t="str">
        <f>+[1]Input!AO1</f>
        <v>A1</v>
      </c>
    </row>
    <row r="2" spans="1:9" ht="20.350000000000001" thickBot="1" x14ac:dyDescent="0.65">
      <c r="A2" s="5" t="s">
        <v>2</v>
      </c>
      <c r="B2" s="6"/>
      <c r="C2" s="7"/>
      <c r="D2" s="7"/>
      <c r="E2" s="7"/>
      <c r="F2" s="7"/>
      <c r="G2" s="8"/>
    </row>
    <row r="3" spans="1:9" s="10" customFormat="1" ht="26.7" customHeight="1" x14ac:dyDescent="0.5">
      <c r="A3" s="9" t="s">
        <v>3</v>
      </c>
    </row>
    <row r="4" spans="1:9" ht="20" x14ac:dyDescent="0.5">
      <c r="A4" s="11" t="s">
        <v>4</v>
      </c>
      <c r="B4" s="11"/>
      <c r="C4" s="11"/>
      <c r="D4" s="11"/>
      <c r="E4" s="11"/>
      <c r="F4" s="11"/>
      <c r="G4" s="11"/>
      <c r="H4" s="11"/>
      <c r="I4" s="11"/>
    </row>
    <row r="5" spans="1:9" ht="17.7" x14ac:dyDescent="0.55000000000000004">
      <c r="A5" s="12" t="s">
        <v>5</v>
      </c>
    </row>
    <row r="6" spans="1:9" ht="18" x14ac:dyDescent="0.6">
      <c r="A6" s="13" t="str">
        <f>"You bought 100 shares of IBM for $"&amp;+E12&amp;" per share and sold "&amp;+E15&amp;" shares for $"&amp;+E14&amp;" per share and the other "&amp;+E17&amp;" shares for $"&amp;+E16&amp;" per share"</f>
        <v>You bought 100 shares of IBM for $200 per share and sold 40 shares for $175 per share and the other 60 shares for $230 per share</v>
      </c>
    </row>
    <row r="7" spans="1:9" ht="18" x14ac:dyDescent="0.6">
      <c r="A7" s="13" t="str">
        <f>"During the hold period you received a total dividend of $"&amp;+E18&amp;" What is your  a)  $ profit  and b) HPR%"</f>
        <v>During the hold period you received a total dividend of $600 What is your  a)  $ profit  and b) HPR%</v>
      </c>
    </row>
    <row r="9" spans="1:9" ht="18" x14ac:dyDescent="0.6">
      <c r="A9" s="13"/>
    </row>
    <row r="10" spans="1:9" ht="13.35" customHeight="1" x14ac:dyDescent="0.5"/>
    <row r="12" spans="1:9" ht="15.7" x14ac:dyDescent="0.55000000000000004">
      <c r="D12" s="14" t="s">
        <v>6</v>
      </c>
      <c r="E12" s="15">
        <v>200</v>
      </c>
    </row>
    <row r="13" spans="1:9" ht="15.7" x14ac:dyDescent="0.55000000000000004">
      <c r="D13" s="16" t="s">
        <v>7</v>
      </c>
      <c r="E13" s="15">
        <v>100</v>
      </c>
    </row>
    <row r="14" spans="1:9" ht="15.7" x14ac:dyDescent="0.55000000000000004">
      <c r="D14" s="14" t="s">
        <v>8</v>
      </c>
      <c r="E14" s="15">
        <v>175</v>
      </c>
    </row>
    <row r="15" spans="1:9" ht="15.7" x14ac:dyDescent="0.55000000000000004">
      <c r="D15" s="14" t="s">
        <v>9</v>
      </c>
      <c r="E15" s="15">
        <v>40</v>
      </c>
    </row>
    <row r="16" spans="1:9" ht="15.7" x14ac:dyDescent="0.55000000000000004">
      <c r="D16" s="14" t="s">
        <v>10</v>
      </c>
      <c r="E16" s="15">
        <v>230</v>
      </c>
    </row>
    <row r="17" spans="1:8" ht="15.7" x14ac:dyDescent="0.55000000000000004">
      <c r="B17" s="17" t="s">
        <v>11</v>
      </c>
      <c r="C17" s="18"/>
      <c r="D17" s="14" t="s">
        <v>12</v>
      </c>
      <c r="E17" s="15">
        <v>60</v>
      </c>
    </row>
    <row r="18" spans="1:8" ht="21" customHeight="1" x14ac:dyDescent="0.55000000000000004">
      <c r="A18" s="19" t="s">
        <v>13</v>
      </c>
      <c r="B18" s="20">
        <f>+(E17*E16)+(E15*E14)+E18-(E13*E12)</f>
        <v>1400</v>
      </c>
      <c r="C18" s="18"/>
      <c r="D18" s="14" t="s">
        <v>14</v>
      </c>
      <c r="E18" s="15">
        <v>600</v>
      </c>
      <c r="H18" s="18"/>
    </row>
    <row r="19" spans="1:8" ht="21" customHeight="1" x14ac:dyDescent="0.55000000000000004">
      <c r="A19" s="19" t="s">
        <v>15</v>
      </c>
      <c r="B19" s="21">
        <f>+B18/(E12*E13)</f>
        <v>7.0000000000000007E-2</v>
      </c>
      <c r="C19" s="18"/>
      <c r="H19" s="18"/>
    </row>
    <row r="21" spans="1:8" ht="17.7" x14ac:dyDescent="0.55000000000000004">
      <c r="A21" s="12" t="s">
        <v>16</v>
      </c>
    </row>
    <row r="22" spans="1:8" ht="18" x14ac:dyDescent="0.6">
      <c r="A22" s="13" t="s">
        <v>17</v>
      </c>
    </row>
    <row r="25" spans="1:8" ht="19.7" customHeight="1" x14ac:dyDescent="0.55000000000000004">
      <c r="A25" s="22" t="s">
        <v>18</v>
      </c>
      <c r="B25" s="23">
        <v>0</v>
      </c>
      <c r="C25" s="23">
        <v>1</v>
      </c>
      <c r="D25" s="23">
        <v>2</v>
      </c>
      <c r="E25" s="23">
        <v>3</v>
      </c>
      <c r="F25" s="23">
        <v>4</v>
      </c>
      <c r="G25" s="23">
        <v>5</v>
      </c>
    </row>
    <row r="26" spans="1:8" ht="24" customHeight="1" x14ac:dyDescent="0.55000000000000004">
      <c r="A26" s="19" t="s">
        <v>19</v>
      </c>
      <c r="B26" s="24">
        <v>-45000</v>
      </c>
      <c r="C26" s="24">
        <v>-2300</v>
      </c>
      <c r="D26" s="24">
        <v>10000</v>
      </c>
      <c r="E26" s="24">
        <v>6000</v>
      </c>
      <c r="F26" s="24">
        <v>5500</v>
      </c>
      <c r="G26" s="24">
        <v>30000</v>
      </c>
    </row>
    <row r="27" spans="1:8" x14ac:dyDescent="0.5">
      <c r="A27" s="25"/>
      <c r="B27" s="25"/>
      <c r="C27" s="25"/>
      <c r="D27" s="25"/>
      <c r="E27" s="25"/>
      <c r="F27" s="25"/>
      <c r="G27" s="25"/>
    </row>
    <row r="28" spans="1:8" ht="20.7" customHeight="1" x14ac:dyDescent="0.5">
      <c r="B28" s="17" t="s">
        <v>11</v>
      </c>
    </row>
    <row r="29" spans="1:8" ht="24" customHeight="1" x14ac:dyDescent="0.55000000000000004">
      <c r="A29" s="19" t="s">
        <v>20</v>
      </c>
      <c r="B29" s="20">
        <f>SUM(B26:G26)</f>
        <v>4200</v>
      </c>
      <c r="C29" s="18"/>
      <c r="D29" s="18"/>
      <c r="E29" s="18"/>
      <c r="F29" s="18"/>
      <c r="G29" s="18"/>
      <c r="H29" s="18"/>
    </row>
    <row r="30" spans="1:8" ht="24" customHeight="1" x14ac:dyDescent="0.55000000000000004">
      <c r="A30" s="19" t="s">
        <v>15</v>
      </c>
      <c r="B30" s="21">
        <f>+B29/-B26</f>
        <v>9.3333333333333338E-2</v>
      </c>
      <c r="C30" s="18"/>
      <c r="D30" s="18"/>
      <c r="E30" s="18"/>
      <c r="F30" s="18"/>
      <c r="G30" s="18"/>
      <c r="H30" s="18"/>
    </row>
    <row r="31" spans="1:8" ht="24" customHeight="1" x14ac:dyDescent="0.55000000000000004">
      <c r="A31" s="19" t="s">
        <v>21</v>
      </c>
      <c r="B31" s="21">
        <f>IRR(B26:G26)</f>
        <v>2.1420688643533525E-2</v>
      </c>
      <c r="C31" s="18"/>
      <c r="D31" s="18"/>
      <c r="E31" s="18"/>
      <c r="F31" s="18"/>
      <c r="G31" s="18"/>
      <c r="H31" s="18"/>
    </row>
    <row r="33" spans="1:9" ht="17.7" x14ac:dyDescent="0.55000000000000004">
      <c r="A33" s="12" t="s">
        <v>22</v>
      </c>
    </row>
    <row r="34" spans="1:9" ht="17.7" x14ac:dyDescent="0.55000000000000004">
      <c r="A34" s="26" t="s">
        <v>23</v>
      </c>
      <c r="B34" s="26"/>
      <c r="C34" s="26"/>
      <c r="D34" s="26"/>
      <c r="E34" s="26"/>
      <c r="F34" s="26"/>
      <c r="G34" s="26"/>
      <c r="H34" s="26"/>
    </row>
    <row r="35" spans="1:9" ht="17.7" x14ac:dyDescent="0.55000000000000004">
      <c r="A35" s="26"/>
      <c r="B35" s="26"/>
      <c r="C35" s="26"/>
      <c r="D35" s="26"/>
      <c r="E35" s="26"/>
      <c r="F35" s="26"/>
      <c r="G35" s="26"/>
      <c r="H35" s="26"/>
    </row>
    <row r="37" spans="1:9" ht="17.7" x14ac:dyDescent="0.55000000000000004">
      <c r="A37" s="27" t="s">
        <v>24</v>
      </c>
      <c r="B37" s="28" t="s">
        <v>25</v>
      </c>
      <c r="C37" s="28" t="s">
        <v>26</v>
      </c>
    </row>
    <row r="38" spans="1:9" ht="17.7" x14ac:dyDescent="0.55000000000000004">
      <c r="A38" s="29" t="s">
        <v>27</v>
      </c>
      <c r="B38" s="30">
        <f>+[1]Input!B38</f>
        <v>0.3</v>
      </c>
      <c r="C38" s="31">
        <f>+[1]Input!C38</f>
        <v>0.2</v>
      </c>
    </row>
    <row r="39" spans="1:9" ht="17.7" x14ac:dyDescent="0.55000000000000004">
      <c r="A39" s="29" t="s">
        <v>28</v>
      </c>
      <c r="B39" s="30">
        <f>+[1]Input!B39</f>
        <v>0.5</v>
      </c>
      <c r="C39" s="31">
        <f>+[1]Input!C39</f>
        <v>0.08</v>
      </c>
    </row>
    <row r="40" spans="1:9" ht="17.7" x14ac:dyDescent="0.55000000000000004">
      <c r="A40" s="29" t="s">
        <v>29</v>
      </c>
      <c r="B40" s="30">
        <f>+[1]Input!B40</f>
        <v>0.2</v>
      </c>
      <c r="C40" s="31">
        <f>+[1]Input!C40</f>
        <v>-0.16</v>
      </c>
    </row>
    <row r="41" spans="1:9" ht="17.7" x14ac:dyDescent="0.55000000000000004">
      <c r="A41" s="29"/>
      <c r="B41" s="30"/>
      <c r="C41" s="31"/>
    </row>
    <row r="42" spans="1:9" ht="20.7" customHeight="1" x14ac:dyDescent="0.55000000000000004">
      <c r="A42" s="29"/>
      <c r="B42" s="17" t="s">
        <v>11</v>
      </c>
    </row>
    <row r="43" spans="1:9" ht="23.7" customHeight="1" x14ac:dyDescent="0.55000000000000004">
      <c r="A43" s="19" t="s">
        <v>30</v>
      </c>
      <c r="B43" s="21">
        <f>+(B38*C38)+(B39*C39)+(B40*C40)</f>
        <v>6.8000000000000005E-2</v>
      </c>
    </row>
    <row r="44" spans="1:9" ht="23.7" customHeight="1" x14ac:dyDescent="0.55000000000000004">
      <c r="A44" s="19" t="s">
        <v>31</v>
      </c>
      <c r="B44" s="21">
        <f>SQRT(((C38-$B$43)^2)*B38+((C39-$B$43)^2)*B39+((C40-$B$43)^2)*B40)</f>
        <v>0.12528367810692662</v>
      </c>
    </row>
    <row r="46" spans="1:9" ht="20" x14ac:dyDescent="0.5">
      <c r="A46" s="11" t="s">
        <v>32</v>
      </c>
      <c r="B46" s="11"/>
      <c r="C46" s="11"/>
      <c r="D46" s="11"/>
      <c r="E46" s="11"/>
      <c r="F46" s="11"/>
      <c r="G46" s="11"/>
      <c r="H46" s="11"/>
      <c r="I46" s="11"/>
    </row>
    <row r="47" spans="1:9" x14ac:dyDescent="0.5">
      <c r="I47" t="str">
        <f>+H1</f>
        <v>A1</v>
      </c>
    </row>
    <row r="48" spans="1:9" ht="17.7" x14ac:dyDescent="0.55000000000000004">
      <c r="A48" s="12" t="s">
        <v>33</v>
      </c>
    </row>
    <row r="49" spans="1:10" ht="17.7" x14ac:dyDescent="0.55000000000000004">
      <c r="A49" s="26" t="s">
        <v>34</v>
      </c>
      <c r="B49" s="26"/>
      <c r="C49" s="26"/>
      <c r="D49" s="26"/>
      <c r="E49" s="26"/>
      <c r="F49" s="26"/>
      <c r="G49" s="26"/>
      <c r="H49" s="26"/>
    </row>
    <row r="50" spans="1:10" ht="9.75" customHeight="1" x14ac:dyDescent="0.55000000000000004">
      <c r="A50" s="29"/>
    </row>
    <row r="51" spans="1:10" ht="17.7" x14ac:dyDescent="0.55000000000000004">
      <c r="A51" s="19" t="s">
        <v>35</v>
      </c>
      <c r="B51" s="32">
        <v>1000</v>
      </c>
      <c r="C51" s="33"/>
      <c r="E51" s="25" t="s">
        <v>36</v>
      </c>
      <c r="G51" s="25" t="s">
        <v>37</v>
      </c>
      <c r="I51" s="25" t="s">
        <v>38</v>
      </c>
    </row>
    <row r="52" spans="1:10" ht="18" thickBot="1" x14ac:dyDescent="0.6">
      <c r="A52" s="19" t="s">
        <v>39</v>
      </c>
      <c r="B52" s="30">
        <v>99.2</v>
      </c>
      <c r="C52" s="33"/>
      <c r="D52" s="34" t="s">
        <v>40</v>
      </c>
      <c r="E52" s="35">
        <f>+(992)</f>
        <v>992</v>
      </c>
      <c r="F52" s="34" t="s">
        <v>40</v>
      </c>
      <c r="G52" s="35">
        <f>+B52*10</f>
        <v>992</v>
      </c>
      <c r="H52" s="34" t="s">
        <v>40</v>
      </c>
      <c r="I52" s="35">
        <f>+B52*10</f>
        <v>992</v>
      </c>
    </row>
    <row r="53" spans="1:10" ht="18" thickTop="1" x14ac:dyDescent="0.55000000000000004">
      <c r="A53" s="19" t="s">
        <v>41</v>
      </c>
      <c r="B53" s="36">
        <v>43742</v>
      </c>
      <c r="C53" s="33"/>
      <c r="D53" s="37" t="s">
        <v>42</v>
      </c>
      <c r="E53">
        <v>30</v>
      </c>
      <c r="F53" s="37" t="s">
        <v>43</v>
      </c>
      <c r="G53">
        <v>30</v>
      </c>
      <c r="H53" s="37" t="s">
        <v>44</v>
      </c>
      <c r="I53">
        <v>30</v>
      </c>
    </row>
    <row r="54" spans="1:10" ht="17.7" x14ac:dyDescent="0.55000000000000004">
      <c r="A54" s="19" t="s">
        <v>45</v>
      </c>
      <c r="B54" s="38">
        <v>8.5000000000000006E-2</v>
      </c>
      <c r="C54" s="33"/>
      <c r="D54" s="37" t="s">
        <v>43</v>
      </c>
      <c r="E54">
        <v>30</v>
      </c>
      <c r="F54" s="37" t="s">
        <v>44</v>
      </c>
      <c r="G54">
        <v>30</v>
      </c>
      <c r="H54" s="37" t="s">
        <v>46</v>
      </c>
      <c r="I54">
        <v>30</v>
      </c>
    </row>
    <row r="55" spans="1:10" ht="17.7" x14ac:dyDescent="0.55000000000000004">
      <c r="A55" s="19" t="s">
        <v>47</v>
      </c>
      <c r="B55" s="39" t="s">
        <v>48</v>
      </c>
      <c r="C55" s="33"/>
      <c r="D55" s="37" t="s">
        <v>44</v>
      </c>
      <c r="E55">
        <v>4</v>
      </c>
      <c r="F55" s="37" t="s">
        <v>46</v>
      </c>
      <c r="G55">
        <v>4</v>
      </c>
      <c r="H55" s="37" t="s">
        <v>49</v>
      </c>
      <c r="I55">
        <v>3</v>
      </c>
    </row>
    <row r="56" spans="1:10" ht="14.25" customHeight="1" x14ac:dyDescent="0.55000000000000004">
      <c r="A56" s="29"/>
      <c r="D56" s="37" t="s">
        <v>50</v>
      </c>
      <c r="E56">
        <v>3</v>
      </c>
      <c r="F56" s="37" t="s">
        <v>50</v>
      </c>
      <c r="G56">
        <v>3</v>
      </c>
      <c r="H56" s="37" t="s">
        <v>50</v>
      </c>
      <c r="I56">
        <v>3</v>
      </c>
    </row>
    <row r="57" spans="1:10" ht="17.7" x14ac:dyDescent="0.55000000000000004">
      <c r="A57" s="12"/>
      <c r="D57" s="37" t="s">
        <v>51</v>
      </c>
      <c r="E57">
        <v>2</v>
      </c>
      <c r="F57" s="37" t="s">
        <v>51</v>
      </c>
      <c r="H57" s="37" t="s">
        <v>51</v>
      </c>
      <c r="I57">
        <v>2</v>
      </c>
    </row>
    <row r="58" spans="1:10" ht="22.1" customHeight="1" thickBot="1" x14ac:dyDescent="0.6">
      <c r="A58" s="29"/>
      <c r="B58" s="17" t="s">
        <v>11</v>
      </c>
      <c r="D58" s="37" t="s">
        <v>52</v>
      </c>
      <c r="E58" s="40">
        <f>SUM(E53:E57)</f>
        <v>69</v>
      </c>
      <c r="F58" s="37" t="s">
        <v>52</v>
      </c>
      <c r="G58" s="40">
        <f>SUM(G53:G57)</f>
        <v>67</v>
      </c>
      <c r="H58" s="37" t="s">
        <v>52</v>
      </c>
      <c r="I58" s="40">
        <f>SUM(I53:I57)</f>
        <v>68</v>
      </c>
    </row>
    <row r="59" spans="1:10" ht="22.1" customHeight="1" thickTop="1" thickBot="1" x14ac:dyDescent="0.6">
      <c r="A59" s="29" t="s">
        <v>53</v>
      </c>
      <c r="B59" s="41">
        <f>+B52*10</f>
        <v>992</v>
      </c>
      <c r="D59" s="37" t="s">
        <v>54</v>
      </c>
      <c r="E59" s="42">
        <f>+E58/360*(B54*B51)</f>
        <v>16.291666666666668</v>
      </c>
      <c r="F59" s="37" t="s">
        <v>54</v>
      </c>
      <c r="G59" s="42">
        <f>+G58/360*(B54*B51)</f>
        <v>15.819444444444445</v>
      </c>
      <c r="H59" s="37" t="s">
        <v>54</v>
      </c>
      <c r="I59" s="42">
        <f>+I58/360*(B54*B51)</f>
        <v>16.055555555555554</v>
      </c>
    </row>
    <row r="60" spans="1:10" ht="22.1" customHeight="1" thickBot="1" x14ac:dyDescent="0.6">
      <c r="A60" s="29" t="s">
        <v>55</v>
      </c>
      <c r="B60" s="41">
        <f>IF($H$1=E51,+E60,IF($H$1=G51,+G60,I60))</f>
        <v>1008.2916666666666</v>
      </c>
      <c r="D60" s="37" t="s">
        <v>56</v>
      </c>
      <c r="E60" s="43">
        <f>+E52+E59</f>
        <v>1008.2916666666666</v>
      </c>
      <c r="F60" s="37" t="s">
        <v>56</v>
      </c>
      <c r="G60" s="43">
        <f>+G52+G59</f>
        <v>1007.8194444444445</v>
      </c>
      <c r="H60" s="37" t="s">
        <v>56</v>
      </c>
      <c r="I60" s="43">
        <f>+I52+I59</f>
        <v>1008.0555555555555</v>
      </c>
    </row>
    <row r="61" spans="1:10" ht="17.7" x14ac:dyDescent="0.55000000000000004">
      <c r="A61" s="12"/>
      <c r="E61" s="37"/>
      <c r="F61" s="42"/>
    </row>
    <row r="62" spans="1:10" ht="17.7" x14ac:dyDescent="0.55000000000000004">
      <c r="A62" s="12" t="s">
        <v>5</v>
      </c>
    </row>
    <row r="63" spans="1:10" ht="15.35" x14ac:dyDescent="0.5">
      <c r="A63" s="44" t="s">
        <v>57</v>
      </c>
      <c r="B63" s="44"/>
      <c r="C63" s="44"/>
      <c r="D63" s="44"/>
      <c r="E63" s="44"/>
      <c r="F63" s="44"/>
      <c r="G63" s="44"/>
      <c r="H63" s="44"/>
      <c r="I63" s="44"/>
      <c r="J63" s="44"/>
    </row>
    <row r="65" spans="1:6" ht="17.7" x14ac:dyDescent="0.55000000000000004">
      <c r="A65" s="19" t="s">
        <v>58</v>
      </c>
      <c r="B65" s="45">
        <v>43390</v>
      </c>
      <c r="C65" s="29"/>
      <c r="D65" s="29"/>
      <c r="E65" s="29"/>
    </row>
    <row r="66" spans="1:6" ht="17.7" x14ac:dyDescent="0.55000000000000004">
      <c r="A66" s="19" t="s">
        <v>59</v>
      </c>
      <c r="B66" s="45">
        <v>43965</v>
      </c>
      <c r="C66" s="29"/>
      <c r="D66" s="29"/>
      <c r="E66" s="29"/>
    </row>
    <row r="67" spans="1:6" ht="17.7" x14ac:dyDescent="0.55000000000000004">
      <c r="A67" s="19" t="s">
        <v>60</v>
      </c>
      <c r="B67" s="45">
        <v>47043</v>
      </c>
      <c r="C67" s="29"/>
      <c r="D67" s="29"/>
      <c r="E67" s="29"/>
    </row>
    <row r="68" spans="1:6" ht="17.7" x14ac:dyDescent="0.55000000000000004">
      <c r="A68" s="19" t="s">
        <v>45</v>
      </c>
      <c r="B68" s="46">
        <v>7.4999999999999997E-2</v>
      </c>
      <c r="C68" s="29"/>
      <c r="D68" s="29"/>
      <c r="E68" s="29"/>
    </row>
    <row r="69" spans="1:6" ht="17.7" x14ac:dyDescent="0.55000000000000004">
      <c r="A69" s="19" t="s">
        <v>61</v>
      </c>
      <c r="B69" s="47">
        <v>97.5</v>
      </c>
      <c r="C69" s="29"/>
      <c r="D69" s="29"/>
      <c r="E69" s="29"/>
    </row>
    <row r="70" spans="1:6" ht="17.7" x14ac:dyDescent="0.55000000000000004">
      <c r="A70" s="19" t="s">
        <v>62</v>
      </c>
      <c r="B70" s="47">
        <v>100</v>
      </c>
      <c r="C70" s="29"/>
      <c r="D70" s="29"/>
      <c r="E70" s="29"/>
      <c r="F70" s="48"/>
    </row>
    <row r="71" spans="1:6" ht="17.7" x14ac:dyDescent="0.55000000000000004">
      <c r="A71" s="19" t="s">
        <v>63</v>
      </c>
      <c r="B71" s="29">
        <v>2</v>
      </c>
      <c r="C71" s="29"/>
      <c r="D71" s="29"/>
      <c r="E71" s="29"/>
      <c r="F71" s="48"/>
    </row>
    <row r="72" spans="1:6" x14ac:dyDescent="0.5">
      <c r="F72" s="48"/>
    </row>
    <row r="73" spans="1:6" x14ac:dyDescent="0.5">
      <c r="B73" s="17" t="s">
        <v>64</v>
      </c>
      <c r="F73" s="48"/>
    </row>
    <row r="74" spans="1:6" ht="22" customHeight="1" x14ac:dyDescent="0.5">
      <c r="A74" s="16" t="s">
        <v>65</v>
      </c>
      <c r="B74" s="49">
        <f>YIELD(B66,B67,B68,B69,B70,B71)</f>
        <v>7.910623461098773E-2</v>
      </c>
      <c r="F74" s="48"/>
    </row>
    <row r="75" spans="1:6" ht="15.35" x14ac:dyDescent="0.5">
      <c r="A75" s="14"/>
      <c r="B75" s="14"/>
      <c r="C75" s="14"/>
      <c r="D75" s="14"/>
      <c r="F75" s="48"/>
    </row>
    <row r="76" spans="1:6" x14ac:dyDescent="0.5">
      <c r="A76" s="50" t="s">
        <v>66</v>
      </c>
      <c r="D76" s="17" t="s">
        <v>11</v>
      </c>
      <c r="F76" s="48"/>
    </row>
    <row r="77" spans="1:6" ht="22.45" customHeight="1" x14ac:dyDescent="0.5">
      <c r="A77" s="51" t="s">
        <v>67</v>
      </c>
      <c r="B77" s="51" t="s">
        <v>68</v>
      </c>
      <c r="C77" s="51" t="s">
        <v>69</v>
      </c>
      <c r="D77" s="51" t="s">
        <v>70</v>
      </c>
      <c r="F77" s="48"/>
    </row>
    <row r="78" spans="1:6" ht="22.45" customHeight="1" x14ac:dyDescent="0.55000000000000004">
      <c r="A78" s="52" t="s">
        <v>71</v>
      </c>
      <c r="B78" s="53">
        <v>104</v>
      </c>
      <c r="C78" s="54">
        <f>+B65+365</f>
        <v>43755</v>
      </c>
      <c r="D78" s="21" t="e">
        <f>YIELD($B$66,C78,$B$68,$B$69,B78,$B$71)</f>
        <v>#NUM!</v>
      </c>
      <c r="F78" s="48"/>
    </row>
    <row r="79" spans="1:6" ht="22.45" customHeight="1" x14ac:dyDescent="0.55000000000000004">
      <c r="A79" s="52" t="s">
        <v>72</v>
      </c>
      <c r="B79" s="53">
        <v>103</v>
      </c>
      <c r="C79" s="54">
        <f>+C78+366</f>
        <v>44121</v>
      </c>
      <c r="D79" s="21">
        <f>YIELD($B$66,C79,$B$68,$B$69,B79,$B$71)</f>
        <v>0.20845049300791099</v>
      </c>
      <c r="F79" s="48"/>
    </row>
    <row r="80" spans="1:6" ht="22.45" customHeight="1" x14ac:dyDescent="0.55000000000000004">
      <c r="A80" s="52" t="s">
        <v>73</v>
      </c>
      <c r="B80" s="53">
        <v>102</v>
      </c>
      <c r="C80" s="54">
        <f>+C79+365</f>
        <v>44486</v>
      </c>
      <c r="D80" s="21">
        <f t="shared" ref="D80:D81" si="0">YIELD($B$66,C80,$B$68,$B$69,B80,$B$71)</f>
        <v>0.10765423891662493</v>
      </c>
      <c r="F80" s="48"/>
    </row>
    <row r="81" spans="1:8" ht="22.45" customHeight="1" x14ac:dyDescent="0.55000000000000004">
      <c r="A81" s="52" t="s">
        <v>74</v>
      </c>
      <c r="B81" s="53">
        <v>101</v>
      </c>
      <c r="C81" s="54">
        <f>+C80+365</f>
        <v>44851</v>
      </c>
      <c r="D81" s="21">
        <f t="shared" si="0"/>
        <v>9.044250811176216E-2</v>
      </c>
      <c r="F81" s="48"/>
    </row>
    <row r="82" spans="1:8" x14ac:dyDescent="0.5">
      <c r="C82" s="55"/>
      <c r="F82" s="48"/>
    </row>
    <row r="83" spans="1:8" ht="15.35" x14ac:dyDescent="0.5">
      <c r="A83" s="14"/>
      <c r="B83" s="17" t="s">
        <v>11</v>
      </c>
      <c r="F83" s="48"/>
    </row>
    <row r="84" spans="1:8" ht="22.45" customHeight="1" x14ac:dyDescent="0.5">
      <c r="A84" s="16" t="s">
        <v>75</v>
      </c>
      <c r="B84" s="49">
        <f>MIN(B74,D79,D80,D81)</f>
        <v>7.910623461098773E-2</v>
      </c>
      <c r="F84" s="48"/>
    </row>
    <row r="85" spans="1:8" ht="22.45" customHeight="1" x14ac:dyDescent="0.5">
      <c r="A85" s="16" t="s">
        <v>76</v>
      </c>
      <c r="B85" s="49">
        <f>+(B68*1000)/(B69*10)</f>
        <v>7.6923076923076927E-2</v>
      </c>
      <c r="F85" s="48"/>
    </row>
    <row r="86" spans="1:8" ht="17.7" x14ac:dyDescent="0.55000000000000004">
      <c r="A86" s="12"/>
      <c r="E86" s="37"/>
      <c r="F86" s="42"/>
    </row>
    <row r="87" spans="1:8" ht="17.7" x14ac:dyDescent="0.55000000000000004">
      <c r="A87" s="12" t="s">
        <v>77</v>
      </c>
    </row>
    <row r="88" spans="1:8" ht="17.7" x14ac:dyDescent="0.55000000000000004">
      <c r="A88" s="26" t="s">
        <v>78</v>
      </c>
      <c r="B88" s="26"/>
      <c r="C88" s="26"/>
      <c r="D88" s="26"/>
      <c r="E88" s="26"/>
      <c r="F88" s="26"/>
      <c r="G88" s="26"/>
      <c r="H88" s="26"/>
    </row>
    <row r="89" spans="1:8" ht="12.75" customHeight="1" x14ac:dyDescent="0.5">
      <c r="A89" s="56"/>
      <c r="B89" s="56"/>
      <c r="C89" s="56"/>
      <c r="D89" s="56"/>
      <c r="E89" s="56"/>
      <c r="F89" s="56"/>
    </row>
    <row r="90" spans="1:8" ht="17.25" customHeight="1" x14ac:dyDescent="0.5">
      <c r="A90" s="57" t="s">
        <v>79</v>
      </c>
      <c r="B90" s="58"/>
      <c r="C90" s="59">
        <v>1000</v>
      </c>
      <c r="D90" s="56"/>
      <c r="E90" s="56"/>
      <c r="F90" s="56"/>
    </row>
    <row r="91" spans="1:8" ht="17.25" customHeight="1" x14ac:dyDescent="0.5">
      <c r="A91" s="57" t="s">
        <v>80</v>
      </c>
      <c r="B91" s="58"/>
      <c r="C91" s="60">
        <v>0.08</v>
      </c>
      <c r="D91" s="56"/>
      <c r="E91" s="56"/>
      <c r="F91" s="56"/>
    </row>
    <row r="92" spans="1:8" ht="17.25" customHeight="1" x14ac:dyDescent="0.5">
      <c r="A92" s="61" t="s">
        <v>81</v>
      </c>
      <c r="B92" s="62"/>
      <c r="C92" s="60">
        <v>9.2499999999999999E-2</v>
      </c>
      <c r="D92" s="56"/>
      <c r="E92" s="56"/>
      <c r="F92" s="56"/>
      <c r="G92" s="56"/>
      <c r="H92" s="56"/>
    </row>
    <row r="93" spans="1:8" ht="17.25" customHeight="1" x14ac:dyDescent="0.5">
      <c r="A93" s="63" t="s">
        <v>82</v>
      </c>
      <c r="B93" s="64"/>
      <c r="C93" s="65">
        <v>8</v>
      </c>
      <c r="D93" s="56"/>
      <c r="E93" s="56"/>
      <c r="F93" s="56"/>
      <c r="G93" s="56"/>
      <c r="H93" s="56"/>
    </row>
    <row r="94" spans="1:8" ht="17.25" customHeight="1" x14ac:dyDescent="0.5">
      <c r="A94" s="63" t="s">
        <v>83</v>
      </c>
      <c r="B94" s="64"/>
      <c r="C94" s="66">
        <v>100</v>
      </c>
      <c r="D94" s="56"/>
      <c r="E94" s="56"/>
      <c r="F94" s="56"/>
      <c r="G94" s="56"/>
      <c r="H94" s="56"/>
    </row>
    <row r="95" spans="1:8" ht="17.25" customHeight="1" x14ac:dyDescent="0.5">
      <c r="A95" s="63" t="s">
        <v>84</v>
      </c>
      <c r="B95" s="64"/>
      <c r="C95" s="66">
        <v>1</v>
      </c>
      <c r="D95" s="56"/>
      <c r="E95" s="56"/>
      <c r="F95" s="56"/>
      <c r="G95" s="56"/>
      <c r="H95" s="56"/>
    </row>
    <row r="96" spans="1:8" ht="12.75" customHeight="1" x14ac:dyDescent="0.5">
      <c r="A96" s="56"/>
      <c r="B96" s="56"/>
      <c r="C96" s="56"/>
      <c r="D96" s="56"/>
      <c r="E96" s="56"/>
      <c r="F96" s="56"/>
      <c r="G96" s="56"/>
      <c r="H96" s="56"/>
    </row>
    <row r="97" spans="1:8" ht="19.7" customHeight="1" thickBot="1" x14ac:dyDescent="0.55000000000000004">
      <c r="A97" s="67" t="s">
        <v>85</v>
      </c>
      <c r="B97" s="67"/>
      <c r="C97" s="67"/>
      <c r="D97" s="67"/>
      <c r="E97" s="67"/>
      <c r="F97" s="67"/>
      <c r="G97" s="67"/>
      <c r="H97" s="67"/>
    </row>
    <row r="98" spans="1:8" ht="19.7" customHeight="1" x14ac:dyDescent="0.5">
      <c r="A98" s="68" t="s">
        <v>86</v>
      </c>
      <c r="B98" s="69"/>
      <c r="C98" s="69" t="s">
        <v>87</v>
      </c>
      <c r="D98" s="70" t="s">
        <v>88</v>
      </c>
      <c r="E98" s="71" t="s">
        <v>89</v>
      </c>
      <c r="F98" s="72" t="s">
        <v>90</v>
      </c>
      <c r="G98" s="72" t="s">
        <v>91</v>
      </c>
    </row>
    <row r="99" spans="1:8" ht="19.7" customHeight="1" x14ac:dyDescent="0.5">
      <c r="A99" s="68" t="s">
        <v>92</v>
      </c>
      <c r="B99" s="68"/>
      <c r="C99" s="69"/>
      <c r="D99" s="70" t="s">
        <v>93</v>
      </c>
      <c r="E99" s="69" t="s">
        <v>94</v>
      </c>
      <c r="F99" s="72"/>
      <c r="G99" s="72" t="s">
        <v>95</v>
      </c>
    </row>
    <row r="100" spans="1:8" ht="19.7" customHeight="1" x14ac:dyDescent="0.5">
      <c r="A100" s="73">
        <v>1</v>
      </c>
      <c r="B100" s="74">
        <f t="shared" ref="B100:B111" si="1">IF(A100&lt;=$C$93,+$C$91*$C$90/$C$95+IF(A100=$C$93,$C$90,0),0)</f>
        <v>80</v>
      </c>
      <c r="C100" s="75">
        <f>+B100/(1+$C$92/$C$95)^A100</f>
        <v>73.226544622425621</v>
      </c>
      <c r="D100" s="76">
        <f>+C100/$C$113</f>
        <v>7.8615395811667627E-2</v>
      </c>
      <c r="E100" s="77">
        <f t="shared" ref="E100:E111" si="2">+D100*A100</f>
        <v>7.8615395811667627E-2</v>
      </c>
      <c r="F100" s="78">
        <v>2</v>
      </c>
      <c r="G100" s="79">
        <f>+F100*[1]Input!C100</f>
        <v>146.45308924485124</v>
      </c>
    </row>
    <row r="101" spans="1:8" ht="19.7" customHeight="1" x14ac:dyDescent="0.5">
      <c r="A101" s="73">
        <v>2</v>
      </c>
      <c r="B101" s="74">
        <f t="shared" si="1"/>
        <v>80</v>
      </c>
      <c r="C101" s="75">
        <f t="shared" ref="C101:C111" si="3">+B101/(1+$C$92/$C$95)^A101</f>
        <v>67.026585466751143</v>
      </c>
      <c r="D101" s="76">
        <f t="shared" ref="D101:D111" si="4">+C101/$C$113</f>
        <v>7.1959172367659155E-2</v>
      </c>
      <c r="E101" s="77">
        <f t="shared" si="2"/>
        <v>0.14391834473531831</v>
      </c>
      <c r="F101" s="78">
        <v>6</v>
      </c>
      <c r="G101" s="79">
        <f>+F101*[1]Input!C101</f>
        <v>402.15951280050683</v>
      </c>
    </row>
    <row r="102" spans="1:8" ht="19.7" customHeight="1" x14ac:dyDescent="0.5">
      <c r="A102" s="73">
        <v>3</v>
      </c>
      <c r="B102" s="74">
        <f t="shared" si="1"/>
        <v>80</v>
      </c>
      <c r="C102" s="75">
        <f t="shared" si="3"/>
        <v>61.35156564462347</v>
      </c>
      <c r="D102" s="76">
        <f t="shared" si="4"/>
        <v>6.5866519329665127E-2</v>
      </c>
      <c r="E102" s="77">
        <f t="shared" si="2"/>
        <v>0.19759955798899537</v>
      </c>
      <c r="F102" s="78">
        <v>12</v>
      </c>
      <c r="G102" s="79">
        <f>+F102*[1]Input!C102</f>
        <v>736.21878773548167</v>
      </c>
    </row>
    <row r="103" spans="1:8" ht="19.7" customHeight="1" x14ac:dyDescent="0.5">
      <c r="A103" s="73">
        <v>4</v>
      </c>
      <c r="B103" s="74">
        <f t="shared" si="1"/>
        <v>80</v>
      </c>
      <c r="C103" s="75">
        <f t="shared" si="3"/>
        <v>56.157039491646195</v>
      </c>
      <c r="D103" s="76">
        <f t="shared" si="4"/>
        <v>6.0289720210219791E-2</v>
      </c>
      <c r="E103" s="77">
        <f t="shared" si="2"/>
        <v>0.24115888084087916</v>
      </c>
      <c r="F103" s="78">
        <v>20</v>
      </c>
      <c r="G103" s="79">
        <f>+F103*[1]Input!C103</f>
        <v>1123.1407898329239</v>
      </c>
    </row>
    <row r="104" spans="1:8" ht="19.7" customHeight="1" x14ac:dyDescent="0.5">
      <c r="A104" s="73">
        <v>5</v>
      </c>
      <c r="B104" s="74">
        <f t="shared" si="1"/>
        <v>80</v>
      </c>
      <c r="C104" s="75">
        <f t="shared" si="3"/>
        <v>51.402324477479354</v>
      </c>
      <c r="D104" s="76">
        <f t="shared" si="4"/>
        <v>5.5185098590590197E-2</v>
      </c>
      <c r="E104" s="77">
        <f t="shared" si="2"/>
        <v>0.27592549295295099</v>
      </c>
      <c r="F104" s="78">
        <v>30</v>
      </c>
      <c r="G104" s="79">
        <f>+F104*[1]Input!C104</f>
        <v>1542.0697343243805</v>
      </c>
    </row>
    <row r="105" spans="1:8" ht="19.7" customHeight="1" x14ac:dyDescent="0.5">
      <c r="A105" s="73">
        <v>6</v>
      </c>
      <c r="B105" s="74">
        <f t="shared" si="1"/>
        <v>80</v>
      </c>
      <c r="C105" s="75">
        <f t="shared" si="3"/>
        <v>47.050182588081789</v>
      </c>
      <c r="D105" s="76">
        <f t="shared" si="4"/>
        <v>5.0512676055460136E-2</v>
      </c>
      <c r="E105" s="77">
        <f t="shared" si="2"/>
        <v>0.3030760563327608</v>
      </c>
      <c r="F105" s="78">
        <v>42</v>
      </c>
      <c r="G105" s="79">
        <f>+F105*[1]Input!C105</f>
        <v>1976.1076686994352</v>
      </c>
    </row>
    <row r="106" spans="1:8" ht="19.7" customHeight="1" x14ac:dyDescent="0.5">
      <c r="A106" s="73">
        <v>7</v>
      </c>
      <c r="B106" s="74">
        <f t="shared" si="1"/>
        <v>80</v>
      </c>
      <c r="C106" s="75">
        <f t="shared" si="3"/>
        <v>43.066528684743055</v>
      </c>
      <c r="D106" s="76">
        <f t="shared" si="4"/>
        <v>4.6235859089666029E-2</v>
      </c>
      <c r="E106" s="77">
        <f t="shared" si="2"/>
        <v>0.32365101362766219</v>
      </c>
      <c r="F106" s="78">
        <v>56</v>
      </c>
      <c r="G106" s="79">
        <f>+F106*[1]Input!C106</f>
        <v>2411.7256063456111</v>
      </c>
    </row>
    <row r="107" spans="1:8" ht="19.7" customHeight="1" x14ac:dyDescent="0.5">
      <c r="A107" s="73">
        <v>8</v>
      </c>
      <c r="B107" s="74">
        <f t="shared" si="1"/>
        <v>1080</v>
      </c>
      <c r="C107" s="75">
        <f t="shared" si="3"/>
        <v>532.17220800368978</v>
      </c>
      <c r="D107" s="76">
        <f t="shared" si="4"/>
        <v>0.57133555854507201</v>
      </c>
      <c r="E107" s="77">
        <f>+D107*A107</f>
        <v>4.5706844683605761</v>
      </c>
      <c r="F107" s="78">
        <v>72</v>
      </c>
      <c r="G107" s="79">
        <f>+F107*[1]Input!C107</f>
        <v>38316.398976265664</v>
      </c>
    </row>
    <row r="108" spans="1:8" ht="19.7" customHeight="1" x14ac:dyDescent="0.5">
      <c r="A108" s="73">
        <v>9</v>
      </c>
      <c r="B108" s="74">
        <f t="shared" si="1"/>
        <v>0</v>
      </c>
      <c r="C108" s="75">
        <f t="shared" si="3"/>
        <v>0</v>
      </c>
      <c r="D108" s="76">
        <f t="shared" si="4"/>
        <v>0</v>
      </c>
      <c r="E108" s="77">
        <f t="shared" si="2"/>
        <v>0</v>
      </c>
      <c r="F108" s="78">
        <v>90</v>
      </c>
      <c r="G108" s="79">
        <f>+F108*[1]Input!C108</f>
        <v>0</v>
      </c>
    </row>
    <row r="109" spans="1:8" ht="19.7" customHeight="1" x14ac:dyDescent="0.5">
      <c r="A109" s="73">
        <v>10</v>
      </c>
      <c r="B109" s="74">
        <f t="shared" si="1"/>
        <v>0</v>
      </c>
      <c r="C109" s="75">
        <f t="shared" si="3"/>
        <v>0</v>
      </c>
      <c r="D109" s="76">
        <f t="shared" si="4"/>
        <v>0</v>
      </c>
      <c r="E109" s="77">
        <f t="shared" si="2"/>
        <v>0</v>
      </c>
      <c r="F109" s="78">
        <v>110</v>
      </c>
      <c r="G109" s="79">
        <f>+F109*[1]Input!C109</f>
        <v>0</v>
      </c>
    </row>
    <row r="110" spans="1:8" ht="19.7" customHeight="1" x14ac:dyDescent="0.5">
      <c r="A110" s="73">
        <v>11</v>
      </c>
      <c r="B110" s="74">
        <f t="shared" si="1"/>
        <v>0</v>
      </c>
      <c r="C110" s="75">
        <f t="shared" si="3"/>
        <v>0</v>
      </c>
      <c r="D110" s="76">
        <f t="shared" si="4"/>
        <v>0</v>
      </c>
      <c r="E110" s="77">
        <f t="shared" si="2"/>
        <v>0</v>
      </c>
      <c r="F110" s="78">
        <v>132</v>
      </c>
      <c r="G110" s="79">
        <f>+F110*[1]Input!C110</f>
        <v>0</v>
      </c>
    </row>
    <row r="111" spans="1:8" ht="19.7" customHeight="1" x14ac:dyDescent="0.5">
      <c r="A111" s="73">
        <v>12</v>
      </c>
      <c r="B111" s="74">
        <f t="shared" si="1"/>
        <v>0</v>
      </c>
      <c r="C111" s="75">
        <f t="shared" si="3"/>
        <v>0</v>
      </c>
      <c r="D111" s="76">
        <f t="shared" si="4"/>
        <v>0</v>
      </c>
      <c r="E111" s="77">
        <f t="shared" si="2"/>
        <v>0</v>
      </c>
      <c r="F111" s="78">
        <v>156</v>
      </c>
      <c r="G111" s="79">
        <f>+F111*[1]Input!C111</f>
        <v>0</v>
      </c>
    </row>
    <row r="112" spans="1:8" ht="19.7" customHeight="1" thickBot="1" x14ac:dyDescent="0.55000000000000004">
      <c r="A112" s="80"/>
      <c r="B112" s="81"/>
      <c r="C112" s="82"/>
      <c r="D112" s="83">
        <f>SUM(D100:D111)</f>
        <v>1</v>
      </c>
      <c r="E112" s="82"/>
      <c r="F112" s="84" t="s">
        <v>96</v>
      </c>
      <c r="G112" s="85">
        <f>SUM(G100:G111)</f>
        <v>46654.274165248855</v>
      </c>
    </row>
    <row r="113" spans="1:9" ht="19.7" customHeight="1" thickBot="1" x14ac:dyDescent="0.55000000000000004">
      <c r="B113" s="14" t="s">
        <v>97</v>
      </c>
      <c r="C113" s="86">
        <f>SUM(C100:C111)</f>
        <v>931.45297897944033</v>
      </c>
      <c r="D113" s="83" t="s">
        <v>98</v>
      </c>
      <c r="E113" s="87">
        <f>SUM(E100:E110)/$C$95</f>
        <v>6.1346292106508109</v>
      </c>
      <c r="F113" s="14" t="s">
        <v>99</v>
      </c>
      <c r="G113" s="87">
        <f>+(G112/(1+C92)^2)/(C113*(C95^2))</f>
        <v>41.96503695431462</v>
      </c>
    </row>
    <row r="114" spans="1:9" ht="19.7" customHeight="1" x14ac:dyDescent="0.5"/>
    <row r="115" spans="1:9" ht="20" x14ac:dyDescent="0.5">
      <c r="A115" s="11" t="s">
        <v>100</v>
      </c>
      <c r="B115" s="11"/>
      <c r="C115" s="11"/>
      <c r="D115" s="11"/>
      <c r="E115" s="11"/>
      <c r="F115" s="11"/>
      <c r="G115" s="11"/>
      <c r="H115" s="11"/>
      <c r="I115" s="11"/>
    </row>
    <row r="117" spans="1:9" ht="17.7" x14ac:dyDescent="0.55000000000000004">
      <c r="A117" s="12" t="s">
        <v>101</v>
      </c>
      <c r="B117" s="16"/>
      <c r="C117" s="88"/>
      <c r="D117" s="89"/>
      <c r="E117" s="90"/>
      <c r="F117" s="14"/>
      <c r="G117" s="91"/>
    </row>
    <row r="118" spans="1:9" ht="15.75" customHeight="1" x14ac:dyDescent="0.55000000000000004">
      <c r="A118" s="92" t="s">
        <v>102</v>
      </c>
      <c r="B118" s="92"/>
      <c r="C118" s="92"/>
      <c r="D118" s="92"/>
      <c r="E118" s="92"/>
      <c r="F118" s="92"/>
      <c r="G118" s="92"/>
      <c r="H118" s="92"/>
    </row>
    <row r="119" spans="1:9" ht="17.45" customHeight="1" x14ac:dyDescent="0.5"/>
    <row r="120" spans="1:9" ht="17.45" customHeight="1" x14ac:dyDescent="0.55000000000000004">
      <c r="A120" s="19" t="s">
        <v>103</v>
      </c>
      <c r="B120" s="93">
        <v>10</v>
      </c>
    </row>
    <row r="121" spans="1:9" ht="17.7" x14ac:dyDescent="0.55000000000000004">
      <c r="A121" s="19" t="s">
        <v>104</v>
      </c>
      <c r="B121" s="94">
        <v>1000000000</v>
      </c>
      <c r="E121" s="37" t="s">
        <v>105</v>
      </c>
      <c r="F121" s="18">
        <f>+B120*B129</f>
        <v>4000000000</v>
      </c>
    </row>
    <row r="122" spans="1:9" ht="17.7" x14ac:dyDescent="0.55000000000000004">
      <c r="A122" s="19" t="s">
        <v>106</v>
      </c>
      <c r="B122" s="95">
        <v>110000000</v>
      </c>
      <c r="E122" s="37" t="s">
        <v>107</v>
      </c>
      <c r="F122" s="18">
        <f>-B123-B124-B125</f>
        <v>-1500000000</v>
      </c>
    </row>
    <row r="123" spans="1:9" ht="17.7" x14ac:dyDescent="0.55000000000000004">
      <c r="A123" s="19" t="s">
        <v>108</v>
      </c>
      <c r="B123" s="96">
        <v>100000000</v>
      </c>
      <c r="E123" s="37" t="s">
        <v>109</v>
      </c>
      <c r="F123" s="97">
        <f>+B128</f>
        <v>100000000</v>
      </c>
    </row>
    <row r="124" spans="1:9" ht="17.7" x14ac:dyDescent="0.55000000000000004">
      <c r="A124" s="19" t="s">
        <v>110</v>
      </c>
      <c r="B124" s="96">
        <v>1150000000</v>
      </c>
      <c r="E124" s="37" t="s">
        <v>111</v>
      </c>
      <c r="F124" s="18">
        <f>SUM(F121:F123)</f>
        <v>2600000000</v>
      </c>
    </row>
    <row r="125" spans="1:9" ht="18" thickBot="1" x14ac:dyDescent="0.6">
      <c r="A125" s="19" t="s">
        <v>112</v>
      </c>
      <c r="B125" s="96">
        <v>250000000</v>
      </c>
      <c r="E125" s="37" t="s">
        <v>113</v>
      </c>
      <c r="F125" s="18">
        <f>+B122</f>
        <v>110000000</v>
      </c>
    </row>
    <row r="126" spans="1:9" ht="18" thickBot="1" x14ac:dyDescent="0.6">
      <c r="A126" s="19" t="s">
        <v>114</v>
      </c>
      <c r="B126" s="94">
        <v>1900000000</v>
      </c>
      <c r="E126" s="37" t="s">
        <v>115</v>
      </c>
      <c r="F126" s="98">
        <f>+F124/F125</f>
        <v>23.636363636363637</v>
      </c>
    </row>
    <row r="127" spans="1:9" ht="17.7" x14ac:dyDescent="0.55000000000000004">
      <c r="A127" s="19" t="s">
        <v>116</v>
      </c>
      <c r="B127" s="94">
        <v>2900000000</v>
      </c>
    </row>
    <row r="128" spans="1:9" ht="17.7" x14ac:dyDescent="0.55000000000000004">
      <c r="A128" s="19" t="s">
        <v>117</v>
      </c>
      <c r="B128" s="94">
        <v>100000000</v>
      </c>
      <c r="D128" s="99"/>
      <c r="E128" s="99"/>
    </row>
    <row r="129" spans="1:8" ht="18.7" customHeight="1" x14ac:dyDescent="0.55000000000000004">
      <c r="A129" s="19" t="s">
        <v>118</v>
      </c>
      <c r="B129" s="94">
        <v>400000000</v>
      </c>
      <c r="D129" s="99"/>
      <c r="E129" s="99"/>
    </row>
    <row r="130" spans="1:8" ht="18.7" customHeight="1" x14ac:dyDescent="0.5">
      <c r="D130" s="99"/>
      <c r="E130" s="99"/>
    </row>
    <row r="131" spans="1:8" ht="18.7" customHeight="1" x14ac:dyDescent="0.55000000000000004">
      <c r="A131" s="29"/>
      <c r="B131" s="17" t="s">
        <v>11</v>
      </c>
      <c r="D131" s="99"/>
      <c r="E131" s="99"/>
    </row>
    <row r="132" spans="1:8" ht="18.7" customHeight="1" x14ac:dyDescent="0.55000000000000004">
      <c r="A132" s="19" t="s">
        <v>119</v>
      </c>
      <c r="B132" s="41">
        <f>+((B120*B129)-(B123+B124+B125)+B128)/B122</f>
        <v>23.636363636363637</v>
      </c>
      <c r="D132" s="99"/>
      <c r="E132" s="99"/>
    </row>
    <row r="133" spans="1:8" ht="18.7" customHeight="1" x14ac:dyDescent="0.5">
      <c r="D133" s="99"/>
      <c r="E133" s="99"/>
    </row>
    <row r="134" spans="1:8" ht="18.7" customHeight="1" x14ac:dyDescent="0.55000000000000004">
      <c r="A134" s="12" t="s">
        <v>120</v>
      </c>
      <c r="B134" s="16"/>
      <c r="C134" s="88"/>
      <c r="D134" s="89"/>
      <c r="E134" s="90"/>
      <c r="F134" s="14"/>
      <c r="G134" s="91"/>
    </row>
    <row r="135" spans="1:8" ht="17.7" x14ac:dyDescent="0.55000000000000004">
      <c r="A135" s="29"/>
      <c r="D135" s="19" t="s">
        <v>121</v>
      </c>
      <c r="E135" s="100">
        <v>30</v>
      </c>
    </row>
    <row r="136" spans="1:8" ht="15.35" x14ac:dyDescent="0.5">
      <c r="E136" s="37" t="s">
        <v>115</v>
      </c>
      <c r="F136" s="88">
        <v>30</v>
      </c>
    </row>
    <row r="137" spans="1:8" ht="15.35" x14ac:dyDescent="0.5">
      <c r="E137" s="37" t="s">
        <v>122</v>
      </c>
      <c r="F137" s="18">
        <f>+F125</f>
        <v>110000000</v>
      </c>
    </row>
    <row r="138" spans="1:8" ht="17.7" x14ac:dyDescent="0.55000000000000004">
      <c r="A138" s="29"/>
      <c r="B138" s="17" t="s">
        <v>11</v>
      </c>
      <c r="D138" s="99"/>
      <c r="E138" s="37" t="s">
        <v>123</v>
      </c>
      <c r="F138" s="18">
        <f>+F136*F137</f>
        <v>3300000000</v>
      </c>
    </row>
    <row r="139" spans="1:8" ht="17.7" x14ac:dyDescent="0.55000000000000004">
      <c r="A139" s="19" t="s">
        <v>124</v>
      </c>
      <c r="B139" s="101">
        <f>+(E135*B122)+(B123+B124+B125)-B128</f>
        <v>4700000000</v>
      </c>
      <c r="D139" s="99"/>
      <c r="E139" s="37" t="s">
        <v>125</v>
      </c>
      <c r="F139" s="18">
        <f>+F122</f>
        <v>-1500000000</v>
      </c>
    </row>
    <row r="140" spans="1:8" ht="13.7" customHeight="1" thickBot="1" x14ac:dyDescent="0.55000000000000004">
      <c r="E140" s="37" t="s">
        <v>126</v>
      </c>
      <c r="F140" s="18">
        <f>+F123</f>
        <v>100000000</v>
      </c>
    </row>
    <row r="141" spans="1:8" ht="18" thickBot="1" x14ac:dyDescent="0.6">
      <c r="A141" s="12" t="s">
        <v>127</v>
      </c>
      <c r="B141" s="16"/>
      <c r="C141" s="88"/>
      <c r="D141" s="89"/>
      <c r="E141" s="37" t="s">
        <v>128</v>
      </c>
      <c r="F141" s="102">
        <f>+F138+F139-F140</f>
        <v>1700000000</v>
      </c>
      <c r="G141" s="91"/>
    </row>
    <row r="142" spans="1:8" ht="18.75" customHeight="1" x14ac:dyDescent="0.55000000000000004">
      <c r="A142" s="103" t="s">
        <v>129</v>
      </c>
      <c r="B142" s="103"/>
      <c r="C142" s="103"/>
      <c r="D142" s="103"/>
      <c r="E142" s="103"/>
      <c r="F142" s="103"/>
      <c r="G142" s="103"/>
      <c r="H142" s="103"/>
    </row>
    <row r="143" spans="1:8" ht="18.75" customHeight="1" x14ac:dyDescent="0.55000000000000004">
      <c r="A143" s="104"/>
      <c r="B143" s="105"/>
      <c r="C143" s="105"/>
      <c r="D143" s="105"/>
      <c r="E143" s="105"/>
      <c r="F143" s="105"/>
      <c r="G143" s="105"/>
      <c r="H143" s="105"/>
    </row>
    <row r="144" spans="1:8" ht="18.75" customHeight="1" x14ac:dyDescent="0.55000000000000004">
      <c r="A144" s="29" t="s">
        <v>130</v>
      </c>
      <c r="B144" s="38">
        <f>+[1]Input!B144</f>
        <v>2.5000000000000001E-2</v>
      </c>
      <c r="C144" s="105"/>
      <c r="D144" s="105"/>
      <c r="E144" s="105"/>
      <c r="F144" s="105"/>
      <c r="G144" s="105"/>
      <c r="H144" s="105"/>
    </row>
    <row r="145" spans="1:8" ht="18.75" customHeight="1" thickBot="1" x14ac:dyDescent="0.6">
      <c r="A145" s="29" t="s">
        <v>131</v>
      </c>
      <c r="B145" s="38">
        <f>+[1]Input!B145</f>
        <v>0.08</v>
      </c>
      <c r="C145" s="105"/>
      <c r="D145" s="105"/>
      <c r="E145" s="105"/>
      <c r="F145" s="105"/>
      <c r="G145" s="105"/>
      <c r="H145" s="105"/>
    </row>
    <row r="146" spans="1:8" ht="18.75" customHeight="1" thickBot="1" x14ac:dyDescent="0.6">
      <c r="A146" s="29" t="s">
        <v>132</v>
      </c>
      <c r="B146" s="106">
        <f>+[1]Input!B146</f>
        <v>2</v>
      </c>
      <c r="C146" s="107">
        <f>+B144+(B145*B146)</f>
        <v>0.185</v>
      </c>
      <c r="D146" s="105"/>
      <c r="E146" s="105"/>
      <c r="F146" s="105"/>
      <c r="G146" s="105"/>
      <c r="H146" s="105"/>
    </row>
    <row r="147" spans="1:8" ht="18.75" customHeight="1" x14ac:dyDescent="0.55000000000000004">
      <c r="A147" s="29" t="s">
        <v>133</v>
      </c>
      <c r="B147" s="108">
        <f>+[1]Input!B147</f>
        <v>55000000</v>
      </c>
      <c r="C147" s="105"/>
      <c r="D147" s="105"/>
      <c r="E147" s="105"/>
      <c r="F147" s="105"/>
      <c r="G147" s="105"/>
      <c r="H147" s="105"/>
    </row>
    <row r="148" spans="1:8" ht="18.75" customHeight="1" x14ac:dyDescent="0.55000000000000004">
      <c r="A148" s="29"/>
      <c r="B148" s="105"/>
      <c r="C148" s="105"/>
      <c r="D148" s="105"/>
      <c r="E148" s="105"/>
      <c r="F148" s="105"/>
      <c r="G148" s="105"/>
      <c r="H148" s="105"/>
    </row>
    <row r="149" spans="1:8" ht="18.75" customHeight="1" x14ac:dyDescent="0.55000000000000004">
      <c r="A149" s="104"/>
      <c r="B149" s="109">
        <v>1</v>
      </c>
      <c r="C149" s="109">
        <v>2</v>
      </c>
      <c r="D149" s="109">
        <f>+C149+1</f>
        <v>3</v>
      </c>
      <c r="E149" s="105"/>
      <c r="G149" s="105"/>
      <c r="H149" s="105"/>
    </row>
    <row r="150" spans="1:8" ht="18.75" customHeight="1" x14ac:dyDescent="0.55000000000000004">
      <c r="A150" s="110" t="s">
        <v>134</v>
      </c>
      <c r="B150" s="111" t="s">
        <v>135</v>
      </c>
      <c r="C150" s="111" t="s">
        <v>136</v>
      </c>
      <c r="D150" s="111" t="s">
        <v>137</v>
      </c>
      <c r="E150" s="105"/>
      <c r="G150" s="105"/>
      <c r="H150" s="105"/>
    </row>
    <row r="151" spans="1:8" ht="18.75" customHeight="1" x14ac:dyDescent="0.55000000000000004">
      <c r="A151" s="104" t="s">
        <v>138</v>
      </c>
      <c r="B151" s="112">
        <f>+[1]Input!B151</f>
        <v>250000000</v>
      </c>
      <c r="C151" s="113">
        <f>+[1]Input!C151</f>
        <v>275000000</v>
      </c>
      <c r="D151" s="113">
        <f>+[1]Input!D151</f>
        <v>302500000</v>
      </c>
      <c r="E151" s="105"/>
      <c r="G151" s="105"/>
      <c r="H151" s="105"/>
    </row>
    <row r="152" spans="1:8" ht="18.75" customHeight="1" x14ac:dyDescent="0.55000000000000004">
      <c r="A152" s="104"/>
      <c r="B152" s="114"/>
      <c r="C152" s="115"/>
      <c r="D152" s="115"/>
      <c r="E152" s="105"/>
      <c r="G152" s="105"/>
      <c r="H152" s="105"/>
    </row>
    <row r="153" spans="1:8" ht="18.75" customHeight="1" x14ac:dyDescent="0.55000000000000004">
      <c r="A153" s="104" t="s">
        <v>139</v>
      </c>
      <c r="B153" s="115"/>
      <c r="C153" s="115"/>
      <c r="D153" s="115">
        <f>+[1]Input!D153</f>
        <v>3500000000</v>
      </c>
      <c r="E153" s="105"/>
      <c r="G153" s="105"/>
      <c r="H153" s="105"/>
    </row>
    <row r="154" spans="1:8" ht="18.75" customHeight="1" x14ac:dyDescent="0.55000000000000004">
      <c r="A154" s="104" t="s">
        <v>140</v>
      </c>
      <c r="B154" s="115"/>
      <c r="C154" s="115"/>
      <c r="D154" s="115">
        <f>+[1]Input!D154</f>
        <v>700000000</v>
      </c>
      <c r="E154" s="105"/>
      <c r="G154" s="105"/>
      <c r="H154" s="105"/>
    </row>
    <row r="155" spans="1:8" ht="18.75" customHeight="1" thickBot="1" x14ac:dyDescent="0.6">
      <c r="A155" s="29" t="s">
        <v>141</v>
      </c>
      <c r="B155" s="115"/>
      <c r="C155" s="115"/>
      <c r="D155" s="116">
        <f>+D153-D154</f>
        <v>2800000000</v>
      </c>
      <c r="E155" s="105"/>
      <c r="G155" s="105"/>
      <c r="H155" s="105"/>
    </row>
    <row r="156" spans="1:8" ht="18.75" customHeight="1" thickTop="1" x14ac:dyDescent="0.55000000000000004">
      <c r="A156" s="29" t="s">
        <v>142</v>
      </c>
      <c r="B156" s="115">
        <f>SUM(B151:B155)</f>
        <v>250000000</v>
      </c>
      <c r="C156" s="115">
        <f>SUM(C151:C155)</f>
        <v>275000000</v>
      </c>
      <c r="D156" s="115">
        <f>+D155+D151</f>
        <v>3102500000</v>
      </c>
      <c r="E156" s="105"/>
      <c r="G156" s="105"/>
      <c r="H156" s="105"/>
    </row>
    <row r="157" spans="1:8" ht="18.75" customHeight="1" x14ac:dyDescent="0.55000000000000004">
      <c r="A157" s="29"/>
      <c r="B157" s="115">
        <f>+B156/((1+$C$146)^B149)</f>
        <v>210970464.13502109</v>
      </c>
      <c r="C157" s="115">
        <f t="shared" ref="C157:D157" si="5">+C156/((1+$C$146)^C149)</f>
        <v>195837561.64432338</v>
      </c>
      <c r="D157" s="115">
        <f t="shared" si="5"/>
        <v>1864475749.9087479</v>
      </c>
      <c r="E157" s="105"/>
      <c r="G157" s="105"/>
      <c r="H157" s="105"/>
    </row>
    <row r="158" spans="1:8" ht="18.75" customHeight="1" x14ac:dyDescent="0.55000000000000004">
      <c r="A158" s="29"/>
      <c r="B158" s="115"/>
      <c r="C158" s="115"/>
      <c r="D158" s="115"/>
      <c r="E158" s="105"/>
      <c r="G158" s="105"/>
      <c r="H158" s="105"/>
    </row>
    <row r="159" spans="1:8" ht="18.75" customHeight="1" x14ac:dyDescent="0.55000000000000004">
      <c r="A159" s="29"/>
      <c r="B159" s="17" t="s">
        <v>11</v>
      </c>
      <c r="C159" s="115"/>
      <c r="D159" s="115"/>
      <c r="E159" s="105"/>
      <c r="G159" s="105"/>
      <c r="H159" s="105"/>
    </row>
    <row r="160" spans="1:8" ht="18.75" customHeight="1" x14ac:dyDescent="0.55000000000000004">
      <c r="A160" s="19" t="s">
        <v>143</v>
      </c>
      <c r="B160" s="117">
        <f>SUM(B157:D157)/B147</f>
        <v>41.296068648874403</v>
      </c>
      <c r="C160" s="115"/>
      <c r="D160" s="115"/>
      <c r="E160" s="105"/>
      <c r="G160" s="105"/>
      <c r="H160" s="105"/>
    </row>
    <row r="161" spans="1:8" ht="18.75" customHeight="1" x14ac:dyDescent="0.55000000000000004">
      <c r="A161" s="29"/>
      <c r="B161" s="115"/>
      <c r="C161" s="115"/>
      <c r="D161" s="115"/>
      <c r="E161" s="105"/>
      <c r="G161" s="105"/>
      <c r="H161" s="105"/>
    </row>
    <row r="162" spans="1:8" ht="18.75" customHeight="1" x14ac:dyDescent="0.55000000000000004">
      <c r="A162" s="29"/>
      <c r="B162" s="115"/>
      <c r="C162" s="115"/>
      <c r="D162" s="115"/>
      <c r="E162" s="105"/>
      <c r="G162" s="105"/>
      <c r="H162" s="105"/>
    </row>
    <row r="163" spans="1:8" ht="18.75" customHeight="1" x14ac:dyDescent="0.55000000000000004">
      <c r="A163" s="29"/>
      <c r="B163" s="115"/>
      <c r="C163" s="115"/>
      <c r="D163" s="115"/>
      <c r="E163" s="115"/>
      <c r="F163" s="115"/>
      <c r="G163" s="105"/>
      <c r="H163" s="105"/>
    </row>
  </sheetData>
  <mergeCells count="14">
    <mergeCell ref="A118:H118"/>
    <mergeCell ref="A142:H142"/>
    <mergeCell ref="A63:J63"/>
    <mergeCell ref="A88:H88"/>
    <mergeCell ref="A90:B90"/>
    <mergeCell ref="A91:B91"/>
    <mergeCell ref="A97:H97"/>
    <mergeCell ref="A115:I115"/>
    <mergeCell ref="B2:G2"/>
    <mergeCell ref="A4:I4"/>
    <mergeCell ref="A34:H34"/>
    <mergeCell ref="A35:H35"/>
    <mergeCell ref="A46:I46"/>
    <mergeCell ref="A49:H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2020-07-07T21:30:09Z</dcterms:created>
  <dcterms:modified xsi:type="dcterms:W3CDTF">2020-07-07T21:33:07Z</dcterms:modified>
</cp:coreProperties>
</file>