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ECO 2401 Money ^0 Banking/"/>
    </mc:Choice>
  </mc:AlternateContent>
  <xr:revisionPtr revIDLastSave="83" documentId="8_{491C8D7A-D747-4D0A-9067-442B241DCBE6}" xr6:coauthVersionLast="47" xr6:coauthVersionMax="47" xr10:uidLastSave="{210D658D-F56C-49D6-BDD2-7CB666DA2592}"/>
  <bookViews>
    <workbookView xWindow="260" yWindow="0" windowWidth="18940" windowHeight="10080" activeTab="1" xr2:uid="{9EF70BA9-A403-4443-BD38-55D9BF21EDC3}"/>
  </bookViews>
  <sheets>
    <sheet name="Historical Analysis" sheetId="1" r:id="rId1"/>
    <sheet name="Valuation Analysis" sheetId="2" r:id="rId2"/>
    <sheet name="Income Stat Yahoo Input" sheetId="5" r:id="rId3"/>
    <sheet name="Balance Sheet Yahoo Input" sheetId="6" r:id="rId4"/>
    <sheet name="Cash Flow Yahoo Inpu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  <c r="C50" i="1"/>
  <c r="C20" i="1"/>
  <c r="C72" i="1" s="1"/>
  <c r="D75" i="1"/>
  <c r="E75" i="1"/>
  <c r="F75" i="1"/>
  <c r="G75" i="1"/>
  <c r="H75" i="1"/>
  <c r="I75" i="1"/>
  <c r="J75" i="1"/>
  <c r="K75" i="1"/>
  <c r="L75" i="1"/>
  <c r="M75" i="1"/>
  <c r="N75" i="1"/>
  <c r="C75" i="1"/>
  <c r="B74" i="1"/>
  <c r="D72" i="1"/>
  <c r="E72" i="1"/>
  <c r="F72" i="1"/>
  <c r="G72" i="1"/>
  <c r="H72" i="1"/>
  <c r="I72" i="1"/>
  <c r="J72" i="1"/>
  <c r="K72" i="1"/>
  <c r="L72" i="1"/>
  <c r="M72" i="1"/>
  <c r="N72" i="1"/>
  <c r="G39" i="2"/>
  <c r="F39" i="2"/>
  <c r="C39" i="2"/>
  <c r="C21" i="1"/>
  <c r="C73" i="1" s="1"/>
  <c r="D59" i="1"/>
  <c r="E59" i="1"/>
  <c r="F59" i="1"/>
  <c r="G59" i="1"/>
  <c r="H59" i="1"/>
  <c r="I59" i="1"/>
  <c r="J59" i="1"/>
  <c r="K59" i="1"/>
  <c r="L59" i="1"/>
  <c r="M59" i="1"/>
  <c r="N59" i="1"/>
  <c r="C59" i="1"/>
  <c r="D65" i="1"/>
  <c r="E65" i="1"/>
  <c r="F65" i="1"/>
  <c r="G65" i="1"/>
  <c r="H65" i="1"/>
  <c r="I65" i="1"/>
  <c r="J65" i="1"/>
  <c r="K65" i="1"/>
  <c r="L65" i="1"/>
  <c r="M65" i="1"/>
  <c r="N65" i="1"/>
  <c r="C65" i="1"/>
  <c r="D62" i="1"/>
  <c r="E62" i="1"/>
  <c r="F62" i="1"/>
  <c r="G62" i="1"/>
  <c r="H62" i="1"/>
  <c r="I62" i="1"/>
  <c r="J62" i="1"/>
  <c r="K62" i="1"/>
  <c r="L62" i="1"/>
  <c r="M62" i="1"/>
  <c r="N62" i="1"/>
  <c r="C62" i="1"/>
  <c r="D64" i="1"/>
  <c r="E64" i="1"/>
  <c r="F64" i="1"/>
  <c r="G64" i="1"/>
  <c r="H64" i="1"/>
  <c r="I64" i="1"/>
  <c r="J64" i="1"/>
  <c r="K64" i="1"/>
  <c r="L64" i="1"/>
  <c r="M64" i="1"/>
  <c r="N64" i="1"/>
  <c r="C64" i="1"/>
  <c r="C53" i="1"/>
  <c r="C54" i="1"/>
  <c r="E53" i="1"/>
  <c r="F53" i="1"/>
  <c r="G53" i="1"/>
  <c r="H53" i="1"/>
  <c r="I53" i="1"/>
  <c r="J53" i="1"/>
  <c r="K53" i="1"/>
  <c r="L53" i="1"/>
  <c r="M53" i="1"/>
  <c r="N53" i="1"/>
  <c r="D57" i="1"/>
  <c r="E57" i="1"/>
  <c r="F57" i="1"/>
  <c r="G57" i="1"/>
  <c r="H57" i="1"/>
  <c r="I57" i="1"/>
  <c r="J57" i="1"/>
  <c r="K57" i="1"/>
  <c r="L57" i="1"/>
  <c r="M57" i="1"/>
  <c r="N57" i="1"/>
  <c r="E50" i="1"/>
  <c r="F50" i="1"/>
  <c r="G50" i="1"/>
  <c r="H50" i="1"/>
  <c r="I50" i="1"/>
  <c r="J50" i="1"/>
  <c r="K50" i="1"/>
  <c r="L50" i="1"/>
  <c r="M50" i="1"/>
  <c r="N50" i="1"/>
  <c r="D50" i="1"/>
  <c r="E28" i="1"/>
  <c r="F28" i="1"/>
  <c r="G28" i="1"/>
  <c r="H28" i="1"/>
  <c r="I28" i="1"/>
  <c r="J28" i="1"/>
  <c r="K28" i="1"/>
  <c r="L28" i="1"/>
  <c r="M28" i="1"/>
  <c r="N28" i="1"/>
  <c r="E29" i="1"/>
  <c r="F29" i="1"/>
  <c r="G29" i="1"/>
  <c r="H29" i="1"/>
  <c r="I29" i="1"/>
  <c r="J29" i="1"/>
  <c r="K29" i="1"/>
  <c r="L29" i="1"/>
  <c r="M29" i="1"/>
  <c r="N29" i="1"/>
  <c r="E30" i="1"/>
  <c r="F30" i="1"/>
  <c r="G30" i="1"/>
  <c r="H30" i="1"/>
  <c r="I30" i="1"/>
  <c r="J30" i="1"/>
  <c r="K30" i="1"/>
  <c r="L30" i="1"/>
  <c r="M30" i="1"/>
  <c r="N30" i="1"/>
  <c r="C30" i="1"/>
  <c r="D30" i="1"/>
  <c r="D29" i="1"/>
  <c r="C29" i="1"/>
  <c r="D47" i="1"/>
  <c r="E47" i="1"/>
  <c r="F47" i="1"/>
  <c r="G47" i="1"/>
  <c r="H47" i="1"/>
  <c r="I47" i="1"/>
  <c r="J47" i="1"/>
  <c r="K47" i="1"/>
  <c r="L47" i="1"/>
  <c r="M47" i="1"/>
  <c r="N47" i="1"/>
  <c r="C47" i="1"/>
  <c r="C49" i="1"/>
  <c r="C46" i="1"/>
  <c r="C42" i="1"/>
  <c r="C39" i="1"/>
  <c r="C38" i="1"/>
  <c r="C37" i="1"/>
  <c r="C36" i="1"/>
  <c r="C34" i="1"/>
  <c r="C28" i="1"/>
  <c r="C27" i="1"/>
  <c r="C25" i="1"/>
  <c r="C24" i="1"/>
  <c r="E6" i="2" s="1"/>
  <c r="C16" i="1"/>
  <c r="C15" i="1"/>
  <c r="C12" i="1"/>
  <c r="C10" i="1"/>
  <c r="C8" i="1"/>
  <c r="C7" i="1"/>
  <c r="D54" i="1"/>
  <c r="E24" i="1"/>
  <c r="D21" i="1"/>
  <c r="D73" i="1" s="1"/>
  <c r="E21" i="1"/>
  <c r="E73" i="1" s="1"/>
  <c r="F21" i="1"/>
  <c r="F73" i="1" s="1"/>
  <c r="G21" i="1"/>
  <c r="G73" i="1" s="1"/>
  <c r="H21" i="1"/>
  <c r="H73" i="1" s="1"/>
  <c r="I21" i="1"/>
  <c r="I73" i="1" s="1"/>
  <c r="J21" i="1"/>
  <c r="J73" i="1" s="1"/>
  <c r="K21" i="1"/>
  <c r="K73" i="1" s="1"/>
  <c r="L21" i="1"/>
  <c r="L73" i="1" s="1"/>
  <c r="M21" i="1"/>
  <c r="M73" i="1" s="1"/>
  <c r="N21" i="1"/>
  <c r="N73" i="1" s="1"/>
  <c r="N7" i="1"/>
  <c r="N8" i="1"/>
  <c r="N10" i="1"/>
  <c r="N12" i="1"/>
  <c r="N15" i="1"/>
  <c r="N16" i="1"/>
  <c r="M7" i="1"/>
  <c r="M8" i="1"/>
  <c r="M10" i="1"/>
  <c r="M12" i="1"/>
  <c r="M15" i="1"/>
  <c r="M16" i="1"/>
  <c r="N24" i="1"/>
  <c r="N25" i="1"/>
  <c r="N27" i="1"/>
  <c r="N34" i="1"/>
  <c r="N36" i="1"/>
  <c r="N37" i="1"/>
  <c r="N38" i="1"/>
  <c r="N39" i="1"/>
  <c r="N42" i="1"/>
  <c r="N46" i="1"/>
  <c r="N49" i="1"/>
  <c r="N54" i="1"/>
  <c r="E54" i="1"/>
  <c r="E43" i="2"/>
  <c r="N67" i="1" l="1"/>
  <c r="F67" i="1"/>
  <c r="M67" i="1"/>
  <c r="E67" i="1"/>
  <c r="L67" i="1"/>
  <c r="D67" i="1"/>
  <c r="K67" i="1"/>
  <c r="J67" i="1"/>
  <c r="I67" i="1"/>
  <c r="C17" i="1"/>
  <c r="C96" i="1" s="1"/>
  <c r="H67" i="1"/>
  <c r="G67" i="1"/>
  <c r="D6" i="2"/>
  <c r="C88" i="1"/>
  <c r="F25" i="2"/>
  <c r="G25" i="2"/>
  <c r="J63" i="1"/>
  <c r="H63" i="1"/>
  <c r="N48" i="1"/>
  <c r="C56" i="1"/>
  <c r="C57" i="1" s="1"/>
  <c r="C67" i="1" s="1"/>
  <c r="G63" i="1"/>
  <c r="I63" i="1"/>
  <c r="N63" i="1"/>
  <c r="F63" i="1"/>
  <c r="M63" i="1"/>
  <c r="E63" i="1"/>
  <c r="L63" i="1"/>
  <c r="D63" i="1"/>
  <c r="K63" i="1"/>
  <c r="N55" i="1"/>
  <c r="N56" i="1" s="1"/>
  <c r="E55" i="1"/>
  <c r="E56" i="1" s="1"/>
  <c r="C26" i="1"/>
  <c r="C9" i="1"/>
  <c r="C35" i="1"/>
  <c r="N17" i="1"/>
  <c r="N95" i="1" s="1"/>
  <c r="M9" i="1"/>
  <c r="M93" i="1" s="1"/>
  <c r="M17" i="1"/>
  <c r="M79" i="1"/>
  <c r="N9" i="1"/>
  <c r="N93" i="1" s="1"/>
  <c r="N84" i="1"/>
  <c r="N85" i="1" s="1"/>
  <c r="N79" i="1"/>
  <c r="N26" i="1"/>
  <c r="N31" i="1" s="1"/>
  <c r="N68" i="1"/>
  <c r="N35" i="1"/>
  <c r="D53" i="1"/>
  <c r="D55" i="1" s="1"/>
  <c r="D49" i="1"/>
  <c r="D46" i="1"/>
  <c r="D42" i="1"/>
  <c r="D39" i="1"/>
  <c r="D38" i="1"/>
  <c r="D37" i="1"/>
  <c r="D36" i="1"/>
  <c r="D34" i="1"/>
  <c r="D28" i="1"/>
  <c r="D27" i="1"/>
  <c r="C84" i="1" s="1"/>
  <c r="C85" i="1" s="1"/>
  <c r="D25" i="1"/>
  <c r="D24" i="1"/>
  <c r="E7" i="1"/>
  <c r="F7" i="1"/>
  <c r="G7" i="1"/>
  <c r="H7" i="1"/>
  <c r="I7" i="1"/>
  <c r="J7" i="1"/>
  <c r="K7" i="1"/>
  <c r="L7" i="1"/>
  <c r="E8" i="1"/>
  <c r="F8" i="1"/>
  <c r="G8" i="1"/>
  <c r="H8" i="1"/>
  <c r="I8" i="1"/>
  <c r="J8" i="1"/>
  <c r="K8" i="1"/>
  <c r="L8" i="1"/>
  <c r="E10" i="1"/>
  <c r="F10" i="1"/>
  <c r="G10" i="1"/>
  <c r="H10" i="1"/>
  <c r="I10" i="1"/>
  <c r="J10" i="1"/>
  <c r="K10" i="1"/>
  <c r="L10" i="1"/>
  <c r="E12" i="1"/>
  <c r="F12" i="1"/>
  <c r="G12" i="1"/>
  <c r="H12" i="1"/>
  <c r="I12" i="1"/>
  <c r="J12" i="1"/>
  <c r="K12" i="1"/>
  <c r="L12" i="1"/>
  <c r="E15" i="1"/>
  <c r="F15" i="1"/>
  <c r="G15" i="1"/>
  <c r="H15" i="1"/>
  <c r="I15" i="1"/>
  <c r="J15" i="1"/>
  <c r="K15" i="1"/>
  <c r="L15" i="1"/>
  <c r="E16" i="1"/>
  <c r="F16" i="1"/>
  <c r="G16" i="1"/>
  <c r="H16" i="1"/>
  <c r="I16" i="1"/>
  <c r="J16" i="1"/>
  <c r="K16" i="1"/>
  <c r="L16" i="1"/>
  <c r="E17" i="1"/>
  <c r="C63" i="1" l="1"/>
  <c r="C95" i="1"/>
  <c r="C31" i="1"/>
  <c r="C83" i="1"/>
  <c r="C11" i="1"/>
  <c r="C74" i="1" s="1"/>
  <c r="C76" i="1" s="1"/>
  <c r="C93" i="1"/>
  <c r="D48" i="1"/>
  <c r="M11" i="1"/>
  <c r="N96" i="1"/>
  <c r="C68" i="1"/>
  <c r="J17" i="1"/>
  <c r="N11" i="1"/>
  <c r="H17" i="1"/>
  <c r="F17" i="1"/>
  <c r="L79" i="1"/>
  <c r="K17" i="1"/>
  <c r="L17" i="1"/>
  <c r="N83" i="1"/>
  <c r="I17" i="1"/>
  <c r="I9" i="1"/>
  <c r="I93" i="1" s="1"/>
  <c r="D88" i="1"/>
  <c r="G17" i="1"/>
  <c r="G48" i="2"/>
  <c r="F48" i="2"/>
  <c r="D35" i="1"/>
  <c r="D56" i="1"/>
  <c r="D26" i="1"/>
  <c r="D31" i="1" s="1"/>
  <c r="J9" i="1"/>
  <c r="L9" i="1"/>
  <c r="G9" i="1"/>
  <c r="K9" i="1"/>
  <c r="E9" i="1"/>
  <c r="F9" i="1"/>
  <c r="H9" i="1"/>
  <c r="M13" i="1" l="1"/>
  <c r="M14" i="1" s="1"/>
  <c r="M74" i="1"/>
  <c r="M76" i="1" s="1"/>
  <c r="N13" i="1"/>
  <c r="N14" i="1" s="1"/>
  <c r="N74" i="1"/>
  <c r="N76" i="1" s="1"/>
  <c r="C13" i="1"/>
  <c r="C14" i="1" s="1"/>
  <c r="C40" i="1"/>
  <c r="C41" i="1" s="1"/>
  <c r="C82" i="1"/>
  <c r="I11" i="1"/>
  <c r="F11" i="1"/>
  <c r="F74" i="1" s="1"/>
  <c r="F76" i="1" s="1"/>
  <c r="F93" i="1"/>
  <c r="E11" i="1"/>
  <c r="E74" i="1" s="1"/>
  <c r="E76" i="1" s="1"/>
  <c r="E93" i="1"/>
  <c r="H11" i="1"/>
  <c r="H74" i="1" s="1"/>
  <c r="H76" i="1" s="1"/>
  <c r="H93" i="1"/>
  <c r="N82" i="1"/>
  <c r="N40" i="1"/>
  <c r="N41" i="1" s="1"/>
  <c r="K11" i="1"/>
  <c r="K74" i="1" s="1"/>
  <c r="K76" i="1" s="1"/>
  <c r="K93" i="1"/>
  <c r="G11" i="1"/>
  <c r="G74" i="1" s="1"/>
  <c r="G76" i="1" s="1"/>
  <c r="G93" i="1"/>
  <c r="L11" i="1"/>
  <c r="L74" i="1" s="1"/>
  <c r="L76" i="1" s="1"/>
  <c r="L93" i="1"/>
  <c r="J11" i="1"/>
  <c r="J74" i="1" s="1"/>
  <c r="J76" i="1" s="1"/>
  <c r="J93" i="1"/>
  <c r="D83" i="1"/>
  <c r="D82" i="1"/>
  <c r="D7" i="1"/>
  <c r="C79" i="1" s="1"/>
  <c r="D8" i="1"/>
  <c r="D10" i="1"/>
  <c r="D12" i="1"/>
  <c r="D15" i="1"/>
  <c r="D16" i="1"/>
  <c r="I13" i="1" l="1"/>
  <c r="I14" i="1" s="1"/>
  <c r="I74" i="1"/>
  <c r="I76" i="1" s="1"/>
  <c r="B50" i="2"/>
  <c r="I48" i="2" s="1"/>
  <c r="C94" i="1"/>
  <c r="C90" i="1"/>
  <c r="C89" i="1"/>
  <c r="J13" i="1"/>
  <c r="J14" i="1" s="1"/>
  <c r="H13" i="1"/>
  <c r="H14" i="1" s="1"/>
  <c r="L13" i="1"/>
  <c r="L14" i="1" s="1"/>
  <c r="E13" i="1"/>
  <c r="E14" i="1" s="1"/>
  <c r="K13" i="1"/>
  <c r="K14" i="1" s="1"/>
  <c r="F13" i="1"/>
  <c r="F14" i="1" s="1"/>
  <c r="G13" i="1"/>
  <c r="G14" i="1" s="1"/>
  <c r="D17" i="1"/>
  <c r="D9" i="1"/>
  <c r="D11" i="1" s="1"/>
  <c r="D74" i="1" s="1"/>
  <c r="D76" i="1" s="1"/>
  <c r="D40" i="1"/>
  <c r="D41" i="1" s="1"/>
  <c r="J79" i="1"/>
  <c r="H79" i="1"/>
  <c r="D79" i="1"/>
  <c r="E79" i="1"/>
  <c r="F79" i="1"/>
  <c r="G79" i="1"/>
  <c r="I79" i="1"/>
  <c r="D13" i="1" l="1"/>
  <c r="D14" i="1" s="1"/>
  <c r="D93" i="1"/>
  <c r="K79" i="1"/>
  <c r="E44" i="2" l="1"/>
  <c r="H44" i="2" s="1"/>
  <c r="J44" i="2" s="1"/>
  <c r="J24" i="1"/>
  <c r="K24" i="1"/>
  <c r="L24" i="1"/>
  <c r="M24" i="1"/>
  <c r="J25" i="1"/>
  <c r="K25" i="1"/>
  <c r="L25" i="1"/>
  <c r="M25" i="1"/>
  <c r="J27" i="1"/>
  <c r="K27" i="1"/>
  <c r="L27" i="1"/>
  <c r="M27" i="1"/>
  <c r="M84" i="1" s="1"/>
  <c r="M85" i="1" s="1"/>
  <c r="J34" i="1"/>
  <c r="K34" i="1"/>
  <c r="L34" i="1"/>
  <c r="M34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2" i="1"/>
  <c r="K42" i="1"/>
  <c r="L42" i="1"/>
  <c r="M42" i="1"/>
  <c r="M95" i="1" s="1"/>
  <c r="J46" i="1"/>
  <c r="K46" i="1"/>
  <c r="L46" i="1"/>
  <c r="M46" i="1"/>
  <c r="J49" i="1"/>
  <c r="K49" i="1"/>
  <c r="L49" i="1"/>
  <c r="M49" i="1"/>
  <c r="J54" i="1"/>
  <c r="K54" i="1"/>
  <c r="K55" i="1" s="1"/>
  <c r="K56" i="1" s="1"/>
  <c r="L54" i="1"/>
  <c r="L55" i="1" s="1"/>
  <c r="L56" i="1" s="1"/>
  <c r="M54" i="1"/>
  <c r="M55" i="1" s="1"/>
  <c r="M56" i="1" s="1"/>
  <c r="M96" i="1"/>
  <c r="F24" i="1"/>
  <c r="G24" i="1"/>
  <c r="H24" i="1"/>
  <c r="I24" i="1"/>
  <c r="F25" i="1"/>
  <c r="G25" i="1"/>
  <c r="H25" i="1"/>
  <c r="I25" i="1"/>
  <c r="F27" i="1"/>
  <c r="G27" i="1"/>
  <c r="H27" i="1"/>
  <c r="I27" i="1"/>
  <c r="F34" i="1"/>
  <c r="G34" i="1"/>
  <c r="H34" i="1"/>
  <c r="I34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2" i="1"/>
  <c r="G42" i="1"/>
  <c r="H42" i="1"/>
  <c r="I42" i="1"/>
  <c r="F46" i="1"/>
  <c r="G46" i="1"/>
  <c r="H46" i="1"/>
  <c r="I46" i="1"/>
  <c r="F49" i="1"/>
  <c r="G49" i="1"/>
  <c r="H49" i="1"/>
  <c r="I49" i="1"/>
  <c r="F54" i="1"/>
  <c r="G54" i="1"/>
  <c r="H54" i="1"/>
  <c r="I54" i="1"/>
  <c r="I55" i="1" s="1"/>
  <c r="I56" i="1" s="1"/>
  <c r="I84" i="1" l="1"/>
  <c r="I85" i="1" s="1"/>
  <c r="J48" i="1"/>
  <c r="I48" i="1"/>
  <c r="L48" i="1"/>
  <c r="K48" i="1"/>
  <c r="J96" i="1"/>
  <c r="H48" i="1"/>
  <c r="H55" i="1"/>
  <c r="H56" i="1" s="1"/>
  <c r="G55" i="1"/>
  <c r="G56" i="1" s="1"/>
  <c r="G48" i="1"/>
  <c r="F48" i="1"/>
  <c r="M48" i="1"/>
  <c r="F55" i="1"/>
  <c r="F56" i="1" s="1"/>
  <c r="J55" i="1"/>
  <c r="J56" i="1" s="1"/>
  <c r="G84" i="1"/>
  <c r="G85" i="1" s="1"/>
  <c r="H35" i="1"/>
  <c r="I96" i="1"/>
  <c r="G96" i="1"/>
  <c r="G26" i="1"/>
  <c r="K95" i="1"/>
  <c r="L96" i="1"/>
  <c r="L84" i="1"/>
  <c r="L85" i="1" s="1"/>
  <c r="H95" i="1"/>
  <c r="F35" i="1"/>
  <c r="J84" i="1"/>
  <c r="J85" i="1" s="1"/>
  <c r="I95" i="1"/>
  <c r="F95" i="1"/>
  <c r="F26" i="1"/>
  <c r="G95" i="1"/>
  <c r="K96" i="1"/>
  <c r="K84" i="1"/>
  <c r="K85" i="1" s="1"/>
  <c r="H96" i="1"/>
  <c r="H84" i="1"/>
  <c r="H85" i="1" s="1"/>
  <c r="L95" i="1"/>
  <c r="F96" i="1"/>
  <c r="F84" i="1"/>
  <c r="F85" i="1" s="1"/>
  <c r="J95" i="1"/>
  <c r="M35" i="1"/>
  <c r="L35" i="1"/>
  <c r="M68" i="1"/>
  <c r="J35" i="1"/>
  <c r="J26" i="1"/>
  <c r="K35" i="1"/>
  <c r="I35" i="1"/>
  <c r="G35" i="1"/>
  <c r="J68" i="1"/>
  <c r="I68" i="1"/>
  <c r="L26" i="1"/>
  <c r="H68" i="1"/>
  <c r="H26" i="1"/>
  <c r="K26" i="1"/>
  <c r="K31" i="1" s="1"/>
  <c r="L68" i="1"/>
  <c r="K68" i="1"/>
  <c r="F68" i="1"/>
  <c r="I26" i="1"/>
  <c r="G68" i="1"/>
  <c r="M26" i="1"/>
  <c r="E49" i="1"/>
  <c r="E46" i="1"/>
  <c r="E42" i="1"/>
  <c r="E39" i="1"/>
  <c r="E38" i="1"/>
  <c r="E37" i="1"/>
  <c r="E36" i="1"/>
  <c r="E34" i="1"/>
  <c r="E27" i="1"/>
  <c r="E25" i="1"/>
  <c r="E48" i="1" l="1"/>
  <c r="I83" i="1"/>
  <c r="I31" i="1"/>
  <c r="I82" i="1" s="1"/>
  <c r="L83" i="1"/>
  <c r="L31" i="1"/>
  <c r="L82" i="1" s="1"/>
  <c r="M83" i="1"/>
  <c r="M31" i="1"/>
  <c r="M82" i="1" s="1"/>
  <c r="H83" i="1"/>
  <c r="H31" i="1"/>
  <c r="H82" i="1" s="1"/>
  <c r="J83" i="1"/>
  <c r="J31" i="1"/>
  <c r="J82" i="1" s="1"/>
  <c r="F31" i="1"/>
  <c r="F82" i="1" s="1"/>
  <c r="G83" i="1"/>
  <c r="G31" i="1"/>
  <c r="G40" i="1" s="1"/>
  <c r="G41" i="1" s="1"/>
  <c r="F83" i="1"/>
  <c r="K82" i="1"/>
  <c r="K83" i="1"/>
  <c r="E95" i="1"/>
  <c r="D95" i="1"/>
  <c r="E84" i="1"/>
  <c r="E85" i="1" s="1"/>
  <c r="D84" i="1"/>
  <c r="D85" i="1" s="1"/>
  <c r="N89" i="1"/>
  <c r="N94" i="1"/>
  <c r="M89" i="1"/>
  <c r="M94" i="1"/>
  <c r="E35" i="1"/>
  <c r="G8" i="2"/>
  <c r="G82" i="1" l="1"/>
  <c r="F40" i="1"/>
  <c r="F41" i="1" s="1"/>
  <c r="K40" i="1"/>
  <c r="K41" i="1" s="1"/>
  <c r="L89" i="1"/>
  <c r="L94" i="1"/>
  <c r="L40" i="1"/>
  <c r="L41" i="1" s="1"/>
  <c r="J40" i="1"/>
  <c r="J41" i="1" s="1"/>
  <c r="G9" i="2"/>
  <c r="H40" i="1"/>
  <c r="H41" i="1" s="1"/>
  <c r="I40" i="1"/>
  <c r="I41" i="1" s="1"/>
  <c r="M40" i="1"/>
  <c r="M41" i="1" s="1"/>
  <c r="F6" i="2"/>
  <c r="W6" i="2"/>
  <c r="X6" i="2"/>
  <c r="Y6" i="2"/>
  <c r="Z6" i="2"/>
  <c r="AA6" i="2"/>
  <c r="W7" i="2"/>
  <c r="X7" i="2"/>
  <c r="Y7" i="2"/>
  <c r="Z7" i="2"/>
  <c r="AA7" i="2"/>
  <c r="W12" i="2"/>
  <c r="X12" i="2"/>
  <c r="Y12" i="2"/>
  <c r="Z12" i="2"/>
  <c r="AA12" i="2"/>
  <c r="W16" i="2"/>
  <c r="W32" i="2" s="1"/>
  <c r="W25" i="2"/>
  <c r="X25" i="2"/>
  <c r="Y25" i="2"/>
  <c r="Z25" i="2"/>
  <c r="AA25" i="2"/>
  <c r="W26" i="2"/>
  <c r="W27" i="2"/>
  <c r="X27" i="2"/>
  <c r="Y27" i="2"/>
  <c r="I94" i="1" l="1"/>
  <c r="I89" i="1"/>
  <c r="J89" i="1"/>
  <c r="J94" i="1"/>
  <c r="W8" i="2"/>
  <c r="W9" i="2" s="1"/>
  <c r="Y8" i="2"/>
  <c r="Y9" i="2" s="1"/>
  <c r="X8" i="2"/>
  <c r="X9" i="2" s="1"/>
  <c r="AA8" i="2"/>
  <c r="AA9" i="2" s="1"/>
  <c r="Z8" i="2"/>
  <c r="Z9" i="2" s="1"/>
  <c r="E26" i="1"/>
  <c r="C48" i="2"/>
  <c r="E46" i="2"/>
  <c r="H46" i="2" s="1"/>
  <c r="J46" i="2" s="1"/>
  <c r="E45" i="2"/>
  <c r="H45" i="2" s="1"/>
  <c r="J45" i="2" s="1"/>
  <c r="H43" i="2"/>
  <c r="J43" i="2" s="1"/>
  <c r="E42" i="2"/>
  <c r="H42" i="2" s="1"/>
  <c r="J42" i="2" s="1"/>
  <c r="E41" i="2"/>
  <c r="H41" i="2" s="1"/>
  <c r="J41" i="2" s="1"/>
  <c r="E40" i="2"/>
  <c r="H40" i="2" s="1"/>
  <c r="J40" i="2" s="1"/>
  <c r="B33" i="2"/>
  <c r="AA27" i="2"/>
  <c r="J51" i="2" l="1"/>
  <c r="C50" i="2" s="1"/>
  <c r="E83" i="1"/>
  <c r="E31" i="1"/>
  <c r="E82" i="1" s="1"/>
  <c r="E96" i="1"/>
  <c r="D96" i="1"/>
  <c r="K89" i="1"/>
  <c r="K94" i="1"/>
  <c r="Z27" i="2"/>
  <c r="J50" i="2"/>
  <c r="Z28" i="2"/>
  <c r="W28" i="2"/>
  <c r="W29" i="2" s="1"/>
  <c r="AA28" i="2"/>
  <c r="AA26" i="2"/>
  <c r="D25" i="2"/>
  <c r="Y28" i="2"/>
  <c r="X26" i="2"/>
  <c r="X28" i="2"/>
  <c r="G89" i="1" l="1"/>
  <c r="G94" i="1"/>
  <c r="E25" i="2"/>
  <c r="D48" i="2"/>
  <c r="E48" i="2" s="1"/>
  <c r="H48" i="2" s="1"/>
  <c r="E8" i="2"/>
  <c r="E40" i="1"/>
  <c r="D90" i="1"/>
  <c r="AA29" i="2"/>
  <c r="X29" i="2"/>
  <c r="E68" i="1"/>
  <c r="Y26" i="2"/>
  <c r="Y29" i="2" s="1"/>
  <c r="Z26" i="2"/>
  <c r="Z29" i="2" s="1"/>
  <c r="K48" i="2" l="1"/>
  <c r="H94" i="1"/>
  <c r="H89" i="1"/>
  <c r="F89" i="1"/>
  <c r="F94" i="1"/>
  <c r="E89" i="1"/>
  <c r="E94" i="1"/>
  <c r="E9" i="2"/>
  <c r="H25" i="2"/>
  <c r="J48" i="2"/>
  <c r="D89" i="1"/>
  <c r="D94" i="1"/>
  <c r="E41" i="1"/>
  <c r="W10" i="2"/>
  <c r="W11" i="2" s="1"/>
  <c r="W13" i="2" s="1"/>
  <c r="W15" i="2" s="1"/>
  <c r="AA10" i="2"/>
  <c r="AA11" i="2" s="1"/>
  <c r="AA13" i="2" s="1"/>
  <c r="Z10" i="2"/>
  <c r="Z11" i="2" s="1"/>
  <c r="Z13" i="2" s="1"/>
  <c r="Y10" i="2"/>
  <c r="Y11" i="2" s="1"/>
  <c r="Y13" i="2" s="1"/>
  <c r="X10" i="2"/>
  <c r="X11" i="2" s="1"/>
  <c r="X13" i="2" s="1"/>
  <c r="B34" i="2" l="1"/>
  <c r="K50" i="2"/>
  <c r="E32" i="2" l="1"/>
  <c r="E34" i="2" s="1"/>
  <c r="H8" i="2" s="1"/>
  <c r="F8" i="2" s="1"/>
  <c r="B52" i="2"/>
  <c r="C9" i="2" s="1"/>
  <c r="J8" i="2" l="1"/>
  <c r="D68" i="1" l="1"/>
  <c r="C6" i="2" l="1"/>
  <c r="D8" i="2"/>
  <c r="D9" i="2" l="1"/>
  <c r="C8" i="2"/>
  <c r="F9" i="2" l="1"/>
  <c r="H9" i="2" s="1"/>
  <c r="J9" i="2" l="1"/>
  <c r="D52" i="2"/>
  <c r="L88" i="1" l="1"/>
  <c r="L90" i="1"/>
  <c r="K88" i="1"/>
  <c r="K90" i="1"/>
  <c r="J90" i="1"/>
  <c r="J88" i="1"/>
  <c r="I88" i="1"/>
  <c r="I90" i="1"/>
  <c r="H88" i="1"/>
  <c r="H90" i="1"/>
  <c r="G90" i="1"/>
  <c r="G88" i="1"/>
  <c r="N90" i="1"/>
  <c r="N88" i="1"/>
  <c r="F90" i="1"/>
  <c r="F88" i="1"/>
  <c r="M90" i="1"/>
  <c r="M88" i="1"/>
  <c r="E88" i="1"/>
  <c r="E90" i="1"/>
  <c r="C11" i="2" l="1"/>
  <c r="F11" i="2"/>
  <c r="H11" i="2" l="1"/>
  <c r="J11" i="2" s="1"/>
</calcChain>
</file>

<file path=xl/sharedStrings.xml><?xml version="1.0" encoding="utf-8"?>
<sst xmlns="http://schemas.openxmlformats.org/spreadsheetml/2006/main" count="450" uniqueCount="397">
  <si>
    <t>HYATT HOTELS CORPORATION</t>
  </si>
  <si>
    <t>($000's)</t>
  </si>
  <si>
    <t>Total Revenue</t>
  </si>
  <si>
    <t>Cost of Revenue</t>
  </si>
  <si>
    <t>Gross Profit</t>
  </si>
  <si>
    <t>Total Operating Expenses</t>
  </si>
  <si>
    <t>EBIT (Operating Income or Loss)</t>
  </si>
  <si>
    <t>Interest Expense</t>
  </si>
  <si>
    <t>EBT &amp; other Income/Expenses</t>
  </si>
  <si>
    <t>Other Income/Expenses Net</t>
  </si>
  <si>
    <t>EBT</t>
  </si>
  <si>
    <t>Income Tax Expense</t>
  </si>
  <si>
    <t>Net Income</t>
  </si>
  <si>
    <t>Assets</t>
  </si>
  <si>
    <t>Current Assets</t>
  </si>
  <si>
    <t>Cash And Cash Equivalents</t>
  </si>
  <si>
    <t>Other Short Term Investments</t>
  </si>
  <si>
    <t>Total Cash</t>
  </si>
  <si>
    <t>Net Receivables</t>
  </si>
  <si>
    <t>Inventory</t>
  </si>
  <si>
    <t>Total Current Assets</t>
  </si>
  <si>
    <t>Non-current assets</t>
  </si>
  <si>
    <t>Gross property, plant and equipment</t>
  </si>
  <si>
    <t>Accumulated Depreciation</t>
  </si>
  <si>
    <t>Net property, plant and equipment</t>
  </si>
  <si>
    <t>Long Term Investments</t>
  </si>
  <si>
    <t>Goodwill</t>
  </si>
  <si>
    <t>Intangible Assets</t>
  </si>
  <si>
    <t>Other long-term assets</t>
  </si>
  <si>
    <t>Total non-current assets</t>
  </si>
  <si>
    <t>Total Assets</t>
  </si>
  <si>
    <t>Liabilities</t>
  </si>
  <si>
    <t>Current Liabilities</t>
  </si>
  <si>
    <t>Accounts Payable</t>
  </si>
  <si>
    <t>Accrued liabilities</t>
  </si>
  <si>
    <t>Current Portion of Long Term Debt</t>
  </si>
  <si>
    <t>Total Current Liabilities</t>
  </si>
  <si>
    <t>Non-Current Liabilities</t>
  </si>
  <si>
    <t>Long Term Debt</t>
  </si>
  <si>
    <t>Deferred taxes liabilities</t>
  </si>
  <si>
    <t>Total non-current liabilities</t>
  </si>
  <si>
    <t>Total Liabilities</t>
  </si>
  <si>
    <t>Stockholders' Equity</t>
  </si>
  <si>
    <t>Common Stock</t>
  </si>
  <si>
    <t>Retained Earnings</t>
  </si>
  <si>
    <t>Total stockholders' equity</t>
  </si>
  <si>
    <t xml:space="preserve"> Liabilities &amp; Stockholders Equity</t>
  </si>
  <si>
    <t>Error</t>
  </si>
  <si>
    <t>Depreciation</t>
  </si>
  <si>
    <t>FINANCIAL RATIO ANALYSIS</t>
  </si>
  <si>
    <t>EBITDA ($ 000's)</t>
  </si>
  <si>
    <t>TREND ANALYSIS</t>
  </si>
  <si>
    <t>Revenue Growth</t>
  </si>
  <si>
    <t>LIQUIDITY RATIOS</t>
  </si>
  <si>
    <t>Current Ratio</t>
  </si>
  <si>
    <t>Quick Ratio</t>
  </si>
  <si>
    <t>Accounts Receivable Turnover</t>
  </si>
  <si>
    <t>Accounts Receivable Days</t>
  </si>
  <si>
    <t>SOLVENCY RATIOS</t>
  </si>
  <si>
    <t>Total Debt / Total Capitalization (Cap Ratio)</t>
  </si>
  <si>
    <t>EBITDA/ Interest (Coverage Ratio)</t>
  </si>
  <si>
    <t>Total Debt / EBITDA (Leverage Ratio)</t>
  </si>
  <si>
    <t>PROFITABILITY RATIO</t>
  </si>
  <si>
    <t>EBITDA Margin</t>
  </si>
  <si>
    <t>ROA</t>
  </si>
  <si>
    <t>ROE</t>
  </si>
  <si>
    <t xml:space="preserve">INCOME STATEMENT </t>
  </si>
  <si>
    <t>Hyatt Hotels Corporation</t>
  </si>
  <si>
    <t>Yahoo Finance 
Link =</t>
  </si>
  <si>
    <t xml:space="preserve">https://finance.yahoo.com/quote/H?p=H </t>
  </si>
  <si>
    <t>Date of Analysis:</t>
  </si>
  <si>
    <t>INPUT</t>
  </si>
  <si>
    <t>HISTORICAL  INFORMATION</t>
  </si>
  <si>
    <t>ENTERPRISE VALUATION ANALYSIS</t>
  </si>
  <si>
    <t>INCOME STATEMENT</t>
  </si>
  <si>
    <t>LTM</t>
  </si>
  <si>
    <t>EV
(000's)</t>
  </si>
  <si>
    <t>Debt
(000's)</t>
  </si>
  <si>
    <t>Cash
(000's)</t>
  </si>
  <si>
    <t>Eq Value
(000's)</t>
  </si>
  <si>
    <t>Shares Outs
(000's)</t>
  </si>
  <si>
    <t>Stock 
Price</t>
  </si>
  <si>
    <t>(000's)</t>
  </si>
  <si>
    <t>METHOD #1 - Market Value / Using the Stock Price</t>
  </si>
  <si>
    <t>Revenue</t>
  </si>
  <si>
    <t xml:space="preserve"> Gross Profit</t>
  </si>
  <si>
    <t xml:space="preserve">  Average of other methods</t>
  </si>
  <si>
    <t>Shares Outstanding</t>
  </si>
  <si>
    <t>EPS</t>
  </si>
  <si>
    <t>EBITDA</t>
  </si>
  <si>
    <t>Company</t>
  </si>
  <si>
    <t>Symbol</t>
  </si>
  <si>
    <t>Stocks Outstanding ($000)</t>
  </si>
  <si>
    <t>Equity 
Value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</si>
  <si>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</si>
  <si>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</si>
  <si>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</si>
  <si>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</si>
  <si>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</si>
  <si>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</si>
  <si>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</si>
  <si>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</si>
  <si>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</si>
  <si>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</si>
  <si>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</si>
  <si>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</si>
  <si>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</si>
  <si>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</si>
  <si>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</si>
  <si>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</si>
  <si>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</si>
  <si>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Hyatt</t>
  </si>
  <si>
    <t>H</t>
  </si>
  <si>
    <t>Cash, Cash &amp; Equivalent</t>
  </si>
  <si>
    <t>Total Debt</t>
  </si>
  <si>
    <t>Using CAPM = k = Rf + ( Beta * Premium )</t>
  </si>
  <si>
    <t>Intrinsic Value = V0 = [ E(D1) + E (P1)] / (1+k)</t>
  </si>
  <si>
    <t>D1=</t>
  </si>
  <si>
    <t>Beta =</t>
  </si>
  <si>
    <t>SUMMARY CASH FLOW ST.</t>
  </si>
  <si>
    <t>Exp (P1)=</t>
  </si>
  <si>
    <t>Market Return (Rf + Premium)=</t>
  </si>
  <si>
    <t>k=</t>
  </si>
  <si>
    <t>Capex</t>
  </si>
  <si>
    <t>Expected Equity Return using CAPM=</t>
  </si>
  <si>
    <t>Deprec. &amp; Amort.</t>
  </si>
  <si>
    <t>Equity Value
 ($000)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</si>
  <si>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</si>
  <si>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</si>
  <si>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</si>
  <si>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</si>
  <si>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</si>
  <si>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</si>
  <si>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</si>
  <si>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</si>
  <si>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WYNN</t>
  </si>
  <si>
    <t>EBITDA * Average Multiple</t>
  </si>
  <si>
    <t>Average</t>
  </si>
  <si>
    <t>Hyatt's Enteprise Value</t>
  </si>
  <si>
    <t>Dec 31</t>
  </si>
  <si>
    <t>Financial Analysis</t>
  </si>
  <si>
    <t>EBIT (operating)</t>
  </si>
  <si>
    <t>Other non-oper. Income</t>
  </si>
  <si>
    <t>Taxes</t>
  </si>
  <si>
    <t>Financial Statement Date:</t>
  </si>
  <si>
    <t>Sell</t>
  </si>
  <si>
    <t>VALUATION ANALYSIS</t>
  </si>
  <si>
    <t>name</t>
  </si>
  <si>
    <t>ttm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</si>
  <si>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</si>
  <si>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</si>
  <si>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</si>
  <si>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</si>
  <si>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</si>
  <si>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</si>
  <si>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DepreciationAmortizationDepletionIncomeStatement</t>
  </si>
  <si>
    <t xml:space="preserve">		DepreciationAndAmortizationInIncomeStatement</t>
  </si>
  <si>
    <t>OperatingIncome</t>
  </si>
  <si>
    <t>NetNonOperatingInterestIncomeExpense</t>
  </si>
  <si>
    <t xml:space="preserve">	InterestIncomeNonOperating</t>
  </si>
  <si>
    <t xml:space="preserve">	InterestExpenseNonOperating</t>
  </si>
  <si>
    <t xml:space="preserve">	TotalOtherFinanceCost</t>
  </si>
  <si>
    <t>OtherIncomeExpense</t>
  </si>
  <si>
    <t xml:space="preserve">	GainOnSaleOfSecurity</t>
  </si>
  <si>
    <t xml:space="preserve">	EarningsFromEquityInterest</t>
  </si>
  <si>
    <t xml:space="preserve">	SpecialIncomeCharges</t>
  </si>
  <si>
    <t xml:space="preserve">		RestructuringAndMergernAcquisition</t>
  </si>
  <si>
    <t xml:space="preserve">		ImpairmentOfCapitalAssets</t>
  </si>
  <si>
    <t xml:space="preserve">		WriteOff</t>
  </si>
  <si>
    <t xml:space="preserve">		OtherSpecialCharges</t>
  </si>
  <si>
    <t xml:space="preserve">		GainOnSaleOfPPE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</si>
  <si>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</si>
  <si>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</si>
  <si>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</si>
  <si>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</si>
  <si>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</si>
  <si>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</si>
  <si>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</si>
  <si>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 xml:space="preserve">			NetIncomeDiscontinuousOperations</t>
  </si>
  <si>
    <t xml:space="preserve">			NetIncomeExtraordinary</t>
  </si>
  <si>
    <t xml:space="preserve">			NetIncomeFromTaxLossCarryforward</t>
  </si>
  <si>
    <t xml:space="preserve">		MinorityInterests</t>
  </si>
  <si>
    <t>DilutedNIAvailtoComStockholders</t>
  </si>
  <si>
    <t>BasicEPS</t>
  </si>
  <si>
    <t>DilutedEPS</t>
  </si>
  <si>
    <t>BasicAverageShares</t>
  </si>
  <si>
    <t>DilutedAverageShares</t>
  </si>
  <si>
    <t>TotalExpenses</t>
  </si>
  <si>
    <t>NetIncomeFromContinuingAndDiscontinuedOperation</t>
  </si>
  <si>
    <t>NormalizedIncome</t>
  </si>
  <si>
    <t>InterestIncome</t>
  </si>
  <si>
    <t>InterestExpense</t>
  </si>
  <si>
    <t>NetInterestIncome</t>
  </si>
  <si>
    <t>EBIT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</si>
  <si>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</si>
  <si>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</si>
  <si>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</si>
  <si>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</si>
  <si>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</si>
  <si>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</si>
  <si>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</si>
  <si>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</si>
  <si>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</si>
  <si>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</si>
  <si>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</si>
  <si>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</si>
  <si>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	OtherShortTermInvestments</t>
  </si>
  <si>
    <t xml:space="preserve">		Receivables</t>
  </si>
  <si>
    <t xml:space="preserve">			AccountsReceivable</t>
  </si>
  <si>
    <t xml:space="preserve">				GrossAccountsReceivable</t>
  </si>
  <si>
    <t xml:space="preserve">				AllowanceForDoubtfulAccountsReceivable</t>
  </si>
  <si>
    <t xml:space="preserve">		Inventory</t>
  </si>
  <si>
    <t xml:space="preserve">		PrepaidAssets</t>
  </si>
  <si>
    <t xml:space="preserve">		RestrictedCash</t>
  </si>
  <si>
    <t xml:space="preserve">		CurrentDeferredAssets</t>
  </si>
  <si>
    <t xml:space="preserve">			CurrentDeferredTaxesAssets</t>
  </si>
  <si>
    <t xml:space="preserve">		AssetsHeldForSaleCurrent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</si>
  <si>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</si>
  <si>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</si>
  <si>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</si>
  <si>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</si>
  <si>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Properties</t>
  </si>
  <si>
    <t xml:space="preserve">				LandAndImprovements</t>
  </si>
  <si>
    <t xml:space="preserve">				BuildingsAndImprovements</t>
  </si>
  <si>
    <t xml:space="preserve">				MachineryFurnitureEquipment</t>
  </si>
  <si>
    <t xml:space="preserve">				OtherProperties</t>
  </si>
  <si>
    <t xml:space="preserve">				ConstructionInProgress</t>
  </si>
  <si>
    <t xml:space="preserve">				Leases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</si>
  <si>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</si>
  <si>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</si>
  <si>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</si>
  <si>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</si>
  <si>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InvestmentsAndAdvances</t>
  </si>
  <si>
    <t xml:space="preserve">			LongTermEquityInvestment</t>
  </si>
  <si>
    <t xml:space="preserve">			InvestmentinFinancialAssets</t>
  </si>
  <si>
    <t xml:space="preserve">				AvailableForSaleSecurities</t>
  </si>
  <si>
    <t xml:space="preserve">			OtherInvestments</t>
  </si>
  <si>
    <t xml:space="preserve">		NonCurrentAccountsReceivable</t>
  </si>
  <si>
    <t xml:space="preserve">		NonCurrentNoteReceivables</t>
  </si>
  <si>
    <t xml:space="preserve">		NonCurrentDeferredAssets</t>
  </si>
  <si>
    <t xml:space="preserve">			NonCurrentDeferredTaxesAssets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</si>
  <si>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</si>
  <si>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</si>
  <si>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</si>
  <si>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</si>
  <si>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</si>
  <si>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</si>
  <si>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</si>
  <si>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		IncomeTaxPayable</t>
  </si>
  <si>
    <t xml:space="preserve">			CurrentAccruedExpenses</t>
  </si>
  <si>
    <t xml:space="preserve">		PensionandOtherPostRetirementBenefitPlansCurrent</t>
  </si>
  <si>
    <t xml:space="preserve">		CurrentDebtAndCapitalLeaseObligation</t>
  </si>
  <si>
    <t xml:space="preserve">			CurrentDebt</t>
  </si>
  <si>
    <t xml:space="preserve">				OtherCurrentBorrowings</t>
  </si>
  <si>
    <t xml:space="preserve">			CurrentCapitalLeaseObligation</t>
  </si>
  <si>
    <t xml:space="preserve">		CurrentDeferredLiabilities</t>
  </si>
  <si>
    <t xml:space="preserve">			CurrentDeferredRevenue</t>
  </si>
  <si>
    <t xml:space="preserve">		OtherCurrentLiabilities</t>
  </si>
  <si>
    <t xml:space="preserve">	TotalNonCurrentLiabilitiesNetMinorityInterest</t>
  </si>
  <si>
    <t xml:space="preserve">		LongTermProvisions</t>
  </si>
  <si>
    <t xml:space="preserve">		LongTermDebtAndCapitalLeaseObligation</t>
  </si>
  <si>
    <t xml:space="preserve">			LongTermDebt</t>
  </si>
  <si>
    <t xml:space="preserve">			LongTermCapitalLeaseObligation</t>
  </si>
  <si>
    <t xml:space="preserve">		NonCurrentDeferredLiabilities</t>
  </si>
  <si>
    <t xml:space="preserve">			NonCurrentDeferredTaxesLiabilities</t>
  </si>
  <si>
    <t xml:space="preserve">			NonCurrentDeferredRevenue</t>
  </si>
  <si>
    <t xml:space="preserve">		TradeandOtherPayablesNonCurrent</t>
  </si>
  <si>
    <t xml:space="preserve">		EmployeeBenefits</t>
  </si>
  <si>
    <t xml:space="preserve">			NonCurrentPensionAndOtherPostretirementBenefitPlans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</si>
  <si>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</si>
  <si>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</si>
  <si>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</si>
  <si>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</si>
  <si>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PreferredStock</t>
  </si>
  <si>
    <t xml:space="preserve">			CommonStock</t>
  </si>
  <si>
    <t xml:space="preserve">		AdditionalPaidInCapital</t>
  </si>
  <si>
    <t xml:space="preserve">		RetainedEarnings</t>
  </si>
  <si>
    <t xml:space="preserve">		TreasuryStock</t>
  </si>
  <si>
    <t xml:space="preserve">		GainsLossesNotAffectingRetainedEarnings</t>
  </si>
  <si>
    <t xml:space="preserve">			OtherEquityAdjustments</t>
  </si>
  <si>
    <t xml:space="preserve">	MinorityInterest</t>
  </si>
  <si>
    <t>TotalCapitalization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</si>
  <si>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</si>
  <si>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</si>
  <si>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</si>
  <si>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</si>
  <si>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</si>
  <si>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</si>
  <si>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</si>
  <si>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</si>
  <si>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</si>
  <si>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</si>
  <si>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</si>
  <si>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</si>
  <si>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</si>
  <si>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</si>
  <si>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</si>
  <si>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GainLossOnSaleOfBusiness</t>
  </si>
  <si>
    <t xml:space="preserve">			GainLossOnSaleOfPPE</t>
  </si>
  <si>
    <t xml:space="preserve">			NetForeignCurrencyExchangeGainLoss</t>
  </si>
  <si>
    <t xml:space="preserve">			GainLossOnInvestmentSecurities</t>
  </si>
  <si>
    <t xml:space="preserve">			EarningsLossesFromEquityInvestments</t>
  </si>
  <si>
    <t xml:space="preserve">		DepreciationAmortizationDepletion</t>
  </si>
  <si>
    <t xml:space="preserve">			DepreciationAndAmortization</t>
  </si>
  <si>
    <t xml:space="preserve">				Depreciation</t>
  </si>
  <si>
    <t xml:space="preserve">		DeferredTax</t>
  </si>
  <si>
    <t xml:space="preserve">			DeferredIncomeTax</t>
  </si>
  <si>
    <t xml:space="preserve">		AssetImpairmentCharge</t>
  </si>
  <si>
    <t xml:space="preserve">		ProvisionandWriteOffofAssets</t>
  </si>
  <si>
    <t xml:space="preserve">		UnrealizedGainLossOnInvestmentSecurities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</si>
  <si>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</si>
  <si>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</si>
  <si>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</si>
  <si>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</si>
  <si>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ChangeInInventory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</si>
  <si>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</si>
  <si>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</si>
  <si>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</si>
  <si>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ChangeInAccountPayable</t>
  </si>
  <si>
    <t xml:space="preserve">			ChangeInOtherCurrentAssets</t>
  </si>
  <si>
    <t xml:space="preserve">			ChangeInOtherCurrentLiabilities</t>
  </si>
  <si>
    <t xml:space="preserve">			ChangeInOtherWorkingCapital</t>
  </si>
  <si>
    <t xml:space="preserve">		DividendReceivedCFO</t>
  </si>
  <si>
    <t xml:space="preserve">	CashFromDiscontinuedOperatingActivities</t>
  </si>
  <si>
    <t>InvestingCashFlow</t>
  </si>
  <si>
    <t xml:space="preserve">	CashFlowFromContinuingInvestingActivities</t>
  </si>
  <si>
    <t xml:space="preserve">		CapitalExpenditureReported</t>
  </si>
  <si>
    <t xml:space="preserve">		NetPPEPurchaseAndSale</t>
  </si>
  <si>
    <t xml:space="preserve">			PurchaseOfPPE</t>
  </si>
  <si>
    <t xml:space="preserve">			SaleOfPPE</t>
  </si>
  <si>
    <t xml:space="preserve">		NetIntangiblesPurchaseAndSale</t>
  </si>
  <si>
    <t xml:space="preserve">			SaleOfIntangibles</t>
  </si>
  <si>
    <t xml:space="preserve">		NetBusinessPurchaseAndSale</t>
  </si>
  <si>
    <t xml:space="preserve">			PurchaseOfBusiness</t>
  </si>
  <si>
    <t xml:space="preserve">			SaleOfBusiness</t>
  </si>
  <si>
    <t xml:space="preserve">		NetInvestmentPurchaseAndSale</t>
  </si>
  <si>
    <t xml:space="preserve">			PurchaseOfInvestment</t>
  </si>
  <si>
    <t xml:space="preserve">			SaleOfInvestment</t>
  </si>
  <si>
    <t xml:space="preserve">		NetOtherInvestingChanges</t>
  </si>
  <si>
    <t xml:space="preserve">	CashFromDiscontinuedInvestingActivities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</si>
  <si>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</si>
  <si>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</si>
  <si>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</si>
  <si>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</si>
  <si>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</si>
  <si>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</si>
  <si>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	NetShortTermDebtIssuance</t>
  </si>
  <si>
    <t xml:space="preserve">				ShortTermDebtIssuance</t>
  </si>
  <si>
    <t xml:space="preserve">				ShortTermDebtPayments</t>
  </si>
  <si>
    <t xml:space="preserve">		NetCommonStockIssuance</t>
  </si>
  <si>
    <t xml:space="preserve">			CommonStockIssuance</t>
  </si>
  <si>
    <t xml:space="preserve">			CommonStockPayments</t>
  </si>
  <si>
    <t xml:space="preserve">		NetPreferredStockIssuance</t>
  </si>
  <si>
    <t xml:space="preserve">			PreferredStockIssuance</t>
  </si>
  <si>
    <t xml:space="preserve">		CashDividendsPaid</t>
  </si>
  <si>
    <t xml:space="preserve">			CommonStockDividendPaid</t>
  </si>
  <si>
    <t xml:space="preserve">		NetOtherFinancingCharges</t>
  </si>
  <si>
    <t>CashFlowFromDiscontinuedOperation</t>
  </si>
  <si>
    <t>EndCashPosition</t>
  </si>
  <si>
    <t xml:space="preserve">	ChangesInCash</t>
  </si>
  <si>
    <t xml:space="preserve">	EffectOfExchangeRateChanges</t>
  </si>
  <si>
    <t xml:space="preserve">	BeginningCashPosition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</si>
  <si>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</si>
  <si>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</si>
  <si>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</si>
  <si>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</si>
  <si>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</si>
  <si>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</si>
  <si>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</si>
  <si>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</si>
  <si>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 xml:space="preserve"> Stock Val=</t>
  </si>
  <si>
    <t>Stock Val=</t>
  </si>
  <si>
    <t>Market Premium=</t>
  </si>
  <si>
    <t>Prepaid Expenses</t>
  </si>
  <si>
    <t>Restricted Cash</t>
  </si>
  <si>
    <t xml:space="preserve">  Plugline</t>
  </si>
  <si>
    <t>Other Currenbt Liabilities</t>
  </si>
  <si>
    <t>plugline</t>
  </si>
  <si>
    <t>Other Non-current Liabilities</t>
  </si>
  <si>
    <t xml:space="preserve">Other Equity </t>
  </si>
  <si>
    <t>Minority Interest</t>
  </si>
  <si>
    <t>BALANCE SHEET STATEMENT</t>
  </si>
  <si>
    <t>Risk Free (10-year Tresury) =</t>
  </si>
  <si>
    <t>Average (less outliers)</t>
  </si>
  <si>
    <t>Hold</t>
  </si>
  <si>
    <t>Recom.</t>
  </si>
  <si>
    <t>(-10%/
+10%)</t>
  </si>
  <si>
    <t>Market Value / Using the Stock Price</t>
  </si>
  <si>
    <t>Intrinsic Value</t>
  </si>
  <si>
    <t xml:space="preserve">Average  EBITDA  Industry Trading Multiples </t>
  </si>
  <si>
    <t>Target</t>
  </si>
  <si>
    <t>Sep 30</t>
  </si>
  <si>
    <t xml:space="preserve">Stock Price
11/14/2022 </t>
  </si>
  <si>
    <t>Debt (ST&amp;LT)
($000)
9/30/2022</t>
  </si>
  <si>
    <t>Cash
 ($000)
9/30/2022</t>
  </si>
  <si>
    <t>EBITDA 
($000)
LTM 9/30/2022</t>
  </si>
  <si>
    <t>1,21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</si>
</sst>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00"/>
    <numFmt numFmtId="165" formatCode="0.0%"/>
    <numFmt numFmtId="166" formatCode="0.0\x"/>
    <numFmt numFmtId="167" formatCode="#,#00.00"/>
    <numFmt numFmtId="168" formatCode="_(* #,##0_);_(* \(#,##0\);_(* &quot;-&quot;??_);_(@_)"/>
    <numFmt numFmtId="169" formatCode="_(* #,##0.000_);_(* \(#,##0.000\);_(* &quot;-&quot;??_);_(@_)"/>
    <numFmt numFmtId="170" formatCode="0.00\x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&amp;quot"/>
    </font>
    <font>
      <sz val="9"/>
      <color rgb="FF000000"/>
      <name val="Times New Roman"/>
      <family val="1"/>
    </font>
    <font>
      <sz val="9"/>
      <color rgb="FF000000"/>
      <name val="&amp;quot"/>
    </font>
    <font>
      <sz val="9"/>
      <name val="Arial"/>
      <family val="2"/>
    </font>
    <font>
      <b/>
      <u/>
      <sz val="9"/>
      <color rgb="FF000000"/>
      <name val="Times New Roman"/>
      <family val="1"/>
    </font>
    <font>
      <sz val="10"/>
      <name val="Calibri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1"/>
      <color rgb="FF00B0F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1"/>
      <name val="Times New Roman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66FF"/>
      <name val="Calibri"/>
      <family val="2"/>
      <scheme val="minor"/>
    </font>
    <font>
      <b/>
      <sz val="16"/>
      <color rgb="FF00B0F0"/>
      <name val="Arial"/>
      <family val="2"/>
    </font>
    <font>
      <i/>
      <sz val="10"/>
      <color rgb="FF0066FF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0066FF"/>
      <name val="Calibri"/>
      <family val="2"/>
      <scheme val="minor"/>
    </font>
    <font>
      <b/>
      <sz val="10"/>
      <color rgb="FF0066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6" fillId="0" borderId="0" xfId="0" applyNumberFormat="1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/>
    </xf>
    <xf numFmtId="164" fontId="4" fillId="0" borderId="0" xfId="0" applyNumberFormat="1" applyFont="1"/>
    <xf numFmtId="0" fontId="13" fillId="0" borderId="0" xfId="0" applyFont="1" applyAlignment="1">
      <alignment horizontal="left" vertical="center"/>
    </xf>
    <xf numFmtId="164" fontId="12" fillId="0" borderId="4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vertical="center"/>
    </xf>
    <xf numFmtId="164" fontId="12" fillId="0" borderId="5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164" fontId="12" fillId="0" borderId="0" xfId="0" applyNumberFormat="1" applyFont="1"/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2" fillId="0" borderId="0" xfId="3" applyNumberFormat="1" applyFont="1" applyFill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14" fontId="19" fillId="0" borderId="6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6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3" borderId="0" xfId="0" applyFont="1" applyFill="1"/>
    <xf numFmtId="0" fontId="2" fillId="3" borderId="12" xfId="0" applyFont="1" applyFill="1" applyBorder="1" applyAlignment="1">
      <alignment horizontal="center" vertical="center"/>
    </xf>
    <xf numFmtId="14" fontId="2" fillId="3" borderId="0" xfId="0" applyNumberFormat="1" applyFont="1" applyFill="1"/>
    <xf numFmtId="0" fontId="6" fillId="4" borderId="1" xfId="0" quotePrefix="1" applyFont="1" applyFill="1" applyBorder="1" applyAlignment="1">
      <alignment horizontal="left" vertical="center" wrapText="1"/>
    </xf>
    <xf numFmtId="14" fontId="6" fillId="4" borderId="14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8" fontId="22" fillId="0" borderId="0" xfId="1" applyNumberFormat="1" applyFont="1"/>
    <xf numFmtId="168" fontId="0" fillId="0" borderId="2" xfId="0" applyNumberFormat="1" applyBorder="1"/>
    <xf numFmtId="168" fontId="0" fillId="0" borderId="0" xfId="1" applyNumberFormat="1" applyFont="1"/>
    <xf numFmtId="168" fontId="0" fillId="0" borderId="0" xfId="0" applyNumberFormat="1"/>
    <xf numFmtId="44" fontId="0" fillId="0" borderId="0" xfId="2" applyFont="1"/>
    <xf numFmtId="0" fontId="0" fillId="0" borderId="12" xfId="0" applyBorder="1"/>
    <xf numFmtId="168" fontId="0" fillId="0" borderId="12" xfId="1" applyNumberFormat="1" applyFont="1" applyBorder="1"/>
    <xf numFmtId="0" fontId="0" fillId="0" borderId="2" xfId="0" applyBorder="1"/>
    <xf numFmtId="168" fontId="0" fillId="0" borderId="17" xfId="1" applyNumberFormat="1" applyFont="1" applyBorder="1"/>
    <xf numFmtId="168" fontId="0" fillId="0" borderId="2" xfId="1" applyNumberFormat="1" applyFont="1" applyBorder="1"/>
    <xf numFmtId="170" fontId="23" fillId="0" borderId="0" xfId="0" applyNumberFormat="1" applyFont="1"/>
    <xf numFmtId="164" fontId="7" fillId="0" borderId="0" xfId="0" applyNumberFormat="1" applyFont="1"/>
    <xf numFmtId="168" fontId="1" fillId="0" borderId="0" xfId="1" applyNumberFormat="1" applyFont="1"/>
    <xf numFmtId="168" fontId="0" fillId="0" borderId="19" xfId="1" applyNumberFormat="1" applyFont="1" applyBorder="1"/>
    <xf numFmtId="168" fontId="1" fillId="0" borderId="0" xfId="1" applyNumberFormat="1" applyFont="1" applyBorder="1"/>
    <xf numFmtId="14" fontId="0" fillId="0" borderId="0" xfId="0" applyNumberFormat="1"/>
    <xf numFmtId="168" fontId="4" fillId="0" borderId="0" xfId="1" applyNumberFormat="1" applyFont="1"/>
    <xf numFmtId="168" fontId="30" fillId="0" borderId="0" xfId="1" applyNumberFormat="1" applyFont="1"/>
    <xf numFmtId="0" fontId="0" fillId="0" borderId="40" xfId="0" applyBorder="1"/>
    <xf numFmtId="168" fontId="1" fillId="0" borderId="12" xfId="1" applyNumberFormat="1" applyFont="1" applyBorder="1"/>
    <xf numFmtId="168" fontId="1" fillId="0" borderId="17" xfId="0" applyNumberFormat="1" applyFont="1" applyBorder="1"/>
    <xf numFmtId="168" fontId="1" fillId="0" borderId="22" xfId="1" applyNumberFormat="1" applyFont="1" applyBorder="1"/>
    <xf numFmtId="0" fontId="1" fillId="0" borderId="12" xfId="0" applyFont="1" applyBorder="1"/>
    <xf numFmtId="0" fontId="18" fillId="0" borderId="8" xfId="4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7" xfId="0" applyFont="1" applyBorder="1" applyAlignment="1">
      <alignment horizontal="right" vertical="center" wrapText="1"/>
    </xf>
    <xf numFmtId="0" fontId="32" fillId="0" borderId="0" xfId="0" applyFont="1"/>
    <xf numFmtId="0" fontId="31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/>
    <xf numFmtId="4" fontId="0" fillId="0" borderId="0" xfId="0" applyNumberFormat="1"/>
    <xf numFmtId="3" fontId="0" fillId="2" borderId="0" xfId="0" applyNumberFormat="1" applyFill="1"/>
    <xf numFmtId="164" fontId="6" fillId="7" borderId="0" xfId="0" applyNumberFormat="1" applyFont="1" applyFill="1"/>
    <xf numFmtId="164" fontId="27" fillId="7" borderId="4" xfId="0" quotePrefix="1" applyNumberFormat="1" applyFont="1" applyFill="1" applyBorder="1" applyAlignment="1">
      <alignment horizontal="right"/>
    </xf>
    <xf numFmtId="164" fontId="7" fillId="7" borderId="1" xfId="0" quotePrefix="1" applyNumberFormat="1" applyFont="1" applyFill="1" applyBorder="1" applyAlignment="1">
      <alignment horizontal="left" vertical="center"/>
    </xf>
    <xf numFmtId="1" fontId="6" fillId="7" borderId="1" xfId="0" applyNumberFormat="1" applyFont="1" applyFill="1" applyBorder="1" applyAlignment="1">
      <alignment horizontal="right" vertical="center"/>
    </xf>
    <xf numFmtId="164" fontId="24" fillId="8" borderId="0" xfId="0" applyNumberFormat="1" applyFont="1" applyFill="1"/>
    <xf numFmtId="164" fontId="21" fillId="8" borderId="0" xfId="0" applyNumberFormat="1" applyFont="1" applyFill="1" applyAlignment="1">
      <alignment horizontal="right"/>
    </xf>
    <xf numFmtId="0" fontId="21" fillId="8" borderId="0" xfId="0" applyFont="1" applyFill="1" applyAlignment="1">
      <alignment horizontal="right"/>
    </xf>
    <xf numFmtId="0" fontId="21" fillId="8" borderId="0" xfId="0" applyFont="1" applyFill="1"/>
    <xf numFmtId="168" fontId="21" fillId="8" borderId="0" xfId="1" applyNumberFormat="1" applyFont="1" applyFill="1"/>
    <xf numFmtId="0" fontId="20" fillId="8" borderId="10" xfId="0" applyFont="1" applyFill="1" applyBorder="1"/>
    <xf numFmtId="0" fontId="21" fillId="8" borderId="11" xfId="0" applyFont="1" applyFill="1" applyBorder="1"/>
    <xf numFmtId="0" fontId="21" fillId="8" borderId="42" xfId="0" applyFont="1" applyFill="1" applyBorder="1"/>
    <xf numFmtId="0" fontId="20" fillId="8" borderId="0" xfId="0" applyFont="1" applyFill="1" applyAlignment="1">
      <alignment horizontal="left"/>
    </xf>
    <xf numFmtId="6" fontId="21" fillId="8" borderId="0" xfId="0" applyNumberFormat="1" applyFont="1" applyFill="1"/>
    <xf numFmtId="0" fontId="24" fillId="8" borderId="0" xfId="0" applyFont="1" applyFill="1"/>
    <xf numFmtId="0" fontId="34" fillId="0" borderId="0" xfId="0" applyFont="1"/>
    <xf numFmtId="0" fontId="0" fillId="7" borderId="0" xfId="0" applyFill="1"/>
    <xf numFmtId="168" fontId="0" fillId="7" borderId="0" xfId="0" applyNumberFormat="1" applyFill="1"/>
    <xf numFmtId="0" fontId="3" fillId="7" borderId="0" xfId="0" applyFont="1" applyFill="1"/>
    <xf numFmtId="0" fontId="35" fillId="7" borderId="0" xfId="0" applyFont="1" applyFill="1"/>
    <xf numFmtId="0" fontId="35" fillId="7" borderId="7" xfId="0" applyFont="1" applyFill="1" applyBorder="1" applyAlignment="1">
      <alignment horizontal="left" vertical="center" wrapText="1"/>
    </xf>
    <xf numFmtId="168" fontId="35" fillId="7" borderId="9" xfId="0" applyNumberFormat="1" applyFont="1" applyFill="1" applyBorder="1"/>
    <xf numFmtId="0" fontId="33" fillId="9" borderId="23" xfId="0" applyFont="1" applyFill="1" applyBorder="1"/>
    <xf numFmtId="0" fontId="33" fillId="9" borderId="24" xfId="0" applyFont="1" applyFill="1" applyBorder="1" applyAlignment="1">
      <alignment horizontal="center"/>
    </xf>
    <xf numFmtId="0" fontId="33" fillId="9" borderId="24" xfId="0" applyFont="1" applyFill="1" applyBorder="1" applyAlignment="1">
      <alignment horizontal="center" wrapText="1"/>
    </xf>
    <xf numFmtId="0" fontId="33" fillId="9" borderId="25" xfId="0" applyFont="1" applyFill="1" applyBorder="1" applyAlignment="1">
      <alignment horizontal="center" wrapText="1"/>
    </xf>
    <xf numFmtId="0" fontId="33" fillId="9" borderId="26" xfId="0" applyFont="1" applyFill="1" applyBorder="1" applyAlignment="1">
      <alignment horizontal="center" wrapText="1"/>
    </xf>
    <xf numFmtId="0" fontId="33" fillId="9" borderId="6" xfId="0" applyFont="1" applyFill="1" applyBorder="1" applyAlignment="1">
      <alignment horizontal="center" wrapText="1"/>
    </xf>
    <xf numFmtId="0" fontId="33" fillId="7" borderId="29" xfId="0" applyFont="1" applyFill="1" applyBorder="1" applyAlignment="1">
      <alignment horizontal="left" vertical="center" wrapText="1"/>
    </xf>
    <xf numFmtId="0" fontId="33" fillId="7" borderId="0" xfId="0" applyFont="1" applyFill="1"/>
    <xf numFmtId="0" fontId="35" fillId="7" borderId="27" xfId="0" applyFont="1" applyFill="1" applyBorder="1" applyAlignment="1">
      <alignment horizontal="left" vertical="center" wrapText="1"/>
    </xf>
    <xf numFmtId="0" fontId="35" fillId="7" borderId="21" xfId="0" applyFont="1" applyFill="1" applyBorder="1" applyAlignment="1">
      <alignment horizontal="center"/>
    </xf>
    <xf numFmtId="168" fontId="35" fillId="7" borderId="21" xfId="1" applyNumberFormat="1" applyFont="1" applyFill="1" applyBorder="1"/>
    <xf numFmtId="168" fontId="35" fillId="7" borderId="16" xfId="1" applyNumberFormat="1" applyFont="1" applyFill="1" applyBorder="1"/>
    <xf numFmtId="170" fontId="35" fillId="7" borderId="16" xfId="1" applyNumberFormat="1" applyFont="1" applyFill="1" applyBorder="1" applyAlignment="1">
      <alignment horizontal="center"/>
    </xf>
    <xf numFmtId="0" fontId="35" fillId="7" borderId="29" xfId="0" applyFont="1" applyFill="1" applyBorder="1" applyAlignment="1">
      <alignment horizontal="left" vertical="center" wrapText="1"/>
    </xf>
    <xf numFmtId="0" fontId="35" fillId="7" borderId="22" xfId="0" applyFont="1" applyFill="1" applyBorder="1" applyAlignment="1">
      <alignment horizontal="center"/>
    </xf>
    <xf numFmtId="44" fontId="35" fillId="7" borderId="22" xfId="2" applyFont="1" applyFill="1" applyBorder="1" applyAlignment="1">
      <alignment horizontal="center"/>
    </xf>
    <xf numFmtId="0" fontId="35" fillId="7" borderId="34" xfId="0" applyFont="1" applyFill="1" applyBorder="1" applyAlignment="1">
      <alignment horizontal="left" vertical="center" wrapText="1"/>
    </xf>
    <xf numFmtId="44" fontId="35" fillId="7" borderId="35" xfId="2" applyFont="1" applyFill="1" applyBorder="1" applyAlignment="1">
      <alignment horizontal="center"/>
    </xf>
    <xf numFmtId="168" fontId="35" fillId="7" borderId="14" xfId="1" applyNumberFormat="1" applyFont="1" applyFill="1" applyBorder="1"/>
    <xf numFmtId="168" fontId="35" fillId="7" borderId="38" xfId="1" applyNumberFormat="1" applyFont="1" applyFill="1" applyBorder="1"/>
    <xf numFmtId="170" fontId="35" fillId="7" borderId="38" xfId="1" applyNumberFormat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170" fontId="34" fillId="0" borderId="0" xfId="0" applyNumberFormat="1" applyFont="1" applyAlignment="1">
      <alignment horizontal="center"/>
    </xf>
    <xf numFmtId="0" fontId="35" fillId="10" borderId="23" xfId="0" applyFont="1" applyFill="1" applyBorder="1" applyAlignment="1">
      <alignment horizontal="left" vertical="center" wrapText="1"/>
    </xf>
    <xf numFmtId="44" fontId="35" fillId="10" borderId="24" xfId="2" applyFont="1" applyFill="1" applyBorder="1" applyAlignment="1">
      <alignment horizontal="center"/>
    </xf>
    <xf numFmtId="44" fontId="35" fillId="10" borderId="24" xfId="2" applyFont="1" applyFill="1" applyBorder="1" applyAlignment="1">
      <alignment horizontal="right"/>
    </xf>
    <xf numFmtId="168" fontId="35" fillId="10" borderId="24" xfId="1" applyNumberFormat="1" applyFont="1" applyFill="1" applyBorder="1"/>
    <xf numFmtId="168" fontId="35" fillId="10" borderId="25" xfId="1" applyNumberFormat="1" applyFont="1" applyFill="1" applyBorder="1"/>
    <xf numFmtId="168" fontId="35" fillId="10" borderId="26" xfId="1" applyNumberFormat="1" applyFont="1" applyFill="1" applyBorder="1"/>
    <xf numFmtId="168" fontId="35" fillId="10" borderId="6" xfId="1" applyNumberFormat="1" applyFont="1" applyFill="1" applyBorder="1"/>
    <xf numFmtId="170" fontId="35" fillId="10" borderId="6" xfId="1" applyNumberFormat="1" applyFont="1" applyFill="1" applyBorder="1" applyAlignment="1">
      <alignment horizontal="center"/>
    </xf>
    <xf numFmtId="170" fontId="37" fillId="10" borderId="26" xfId="1" applyNumberFormat="1" applyFont="1" applyFill="1" applyBorder="1" applyAlignment="1">
      <alignment horizontal="center"/>
    </xf>
    <xf numFmtId="0" fontId="34" fillId="7" borderId="0" xfId="0" applyFont="1" applyFill="1"/>
    <xf numFmtId="168" fontId="34" fillId="7" borderId="0" xfId="1" applyNumberFormat="1" applyFont="1" applyFill="1"/>
    <xf numFmtId="170" fontId="38" fillId="7" borderId="0" xfId="0" applyNumberFormat="1" applyFont="1" applyFill="1" applyAlignment="1">
      <alignment horizontal="center"/>
    </xf>
    <xf numFmtId="168" fontId="34" fillId="7" borderId="0" xfId="0" applyNumberFormat="1" applyFont="1" applyFill="1"/>
    <xf numFmtId="170" fontId="35" fillId="7" borderId="0" xfId="0" applyNumberFormat="1" applyFont="1" applyFill="1" applyAlignment="1">
      <alignment horizontal="center"/>
    </xf>
    <xf numFmtId="0" fontId="37" fillId="7" borderId="0" xfId="0" applyFont="1" applyFill="1"/>
    <xf numFmtId="170" fontId="35" fillId="7" borderId="0" xfId="0" applyNumberFormat="1" applyFont="1" applyFill="1"/>
    <xf numFmtId="0" fontId="37" fillId="7" borderId="0" xfId="0" applyFont="1" applyFill="1" applyAlignment="1">
      <alignment horizontal="right"/>
    </xf>
    <xf numFmtId="44" fontId="37" fillId="2" borderId="6" xfId="0" applyNumberFormat="1" applyFont="1" applyFill="1" applyBorder="1"/>
    <xf numFmtId="0" fontId="38" fillId="7" borderId="0" xfId="0" applyFont="1" applyFill="1"/>
    <xf numFmtId="0" fontId="33" fillId="0" borderId="27" xfId="0" applyFont="1" applyBorder="1" applyAlignment="1">
      <alignment horizontal="left" vertical="center" wrapText="1"/>
    </xf>
    <xf numFmtId="0" fontId="36" fillId="0" borderId="21" xfId="0" applyFont="1" applyBorder="1"/>
    <xf numFmtId="44" fontId="36" fillId="0" borderId="21" xfId="2" applyFont="1" applyBorder="1"/>
    <xf numFmtId="169" fontId="36" fillId="0" borderId="21" xfId="1" applyNumberFormat="1" applyFont="1" applyBorder="1"/>
    <xf numFmtId="43" fontId="36" fillId="0" borderId="21" xfId="1" applyFont="1" applyBorder="1"/>
    <xf numFmtId="43" fontId="36" fillId="0" borderId="28" xfId="1" applyFont="1" applyBorder="1"/>
    <xf numFmtId="43" fontId="36" fillId="0" borderId="4" xfId="1" applyFont="1" applyBorder="1"/>
    <xf numFmtId="43" fontId="33" fillId="5" borderId="16" xfId="1" applyFont="1" applyFill="1" applyBorder="1"/>
    <xf numFmtId="0" fontId="33" fillId="0" borderId="29" xfId="0" applyFont="1" applyBorder="1" applyAlignment="1">
      <alignment horizontal="left" vertical="center" wrapText="1"/>
    </xf>
    <xf numFmtId="0" fontId="36" fillId="0" borderId="22" xfId="0" applyFont="1" applyBorder="1"/>
    <xf numFmtId="44" fontId="36" fillId="0" borderId="22" xfId="2" applyFont="1" applyBorder="1"/>
    <xf numFmtId="169" fontId="36" fillId="0" borderId="22" xfId="1" applyNumberFormat="1" applyFont="1" applyBorder="1"/>
    <xf numFmtId="43" fontId="36" fillId="0" borderId="30" xfId="1" applyFont="1" applyBorder="1"/>
    <xf numFmtId="43" fontId="36" fillId="0" borderId="19" xfId="1" applyFont="1" applyBorder="1"/>
    <xf numFmtId="43" fontId="33" fillId="5" borderId="31" xfId="1" applyFont="1" applyFill="1" applyBorder="1"/>
    <xf numFmtId="44" fontId="36" fillId="0" borderId="22" xfId="2" applyFont="1" applyFill="1" applyBorder="1"/>
    <xf numFmtId="44" fontId="33" fillId="7" borderId="22" xfId="2" applyFont="1" applyFill="1" applyBorder="1" applyAlignment="1">
      <alignment horizontal="center" vertical="center"/>
    </xf>
    <xf numFmtId="168" fontId="33" fillId="7" borderId="22" xfId="1" applyNumberFormat="1" applyFont="1" applyFill="1" applyBorder="1" applyAlignment="1">
      <alignment vertical="center"/>
    </xf>
    <xf numFmtId="168" fontId="33" fillId="7" borderId="21" xfId="1" applyNumberFormat="1" applyFont="1" applyFill="1" applyBorder="1" applyAlignment="1">
      <alignment vertical="center"/>
    </xf>
    <xf numFmtId="168" fontId="33" fillId="7" borderId="30" xfId="1" applyNumberFormat="1" applyFont="1" applyFill="1" applyBorder="1" applyAlignment="1">
      <alignment vertical="center"/>
    </xf>
    <xf numFmtId="168" fontId="33" fillId="7" borderId="31" xfId="1" applyNumberFormat="1" applyFont="1" applyFill="1" applyBorder="1" applyAlignment="1">
      <alignment vertical="center"/>
    </xf>
    <xf numFmtId="0" fontId="33" fillId="7" borderId="0" xfId="0" applyFont="1" applyFill="1" applyAlignment="1">
      <alignment horizontal="left"/>
    </xf>
    <xf numFmtId="0" fontId="39" fillId="7" borderId="0" xfId="0" applyFont="1" applyFill="1"/>
    <xf numFmtId="0" fontId="33" fillId="7" borderId="0" xfId="0" applyFont="1" applyFill="1" applyAlignment="1">
      <alignment horizontal="right"/>
    </xf>
    <xf numFmtId="44" fontId="33" fillId="2" borderId="6" xfId="2" applyFont="1" applyFill="1" applyBorder="1"/>
    <xf numFmtId="10" fontId="33" fillId="7" borderId="0" xfId="0" applyNumberFormat="1" applyFont="1" applyFill="1"/>
    <xf numFmtId="0" fontId="33" fillId="7" borderId="0" xfId="0" quotePrefix="1" applyFont="1" applyFill="1"/>
    <xf numFmtId="0" fontId="3" fillId="7" borderId="0" xfId="0" applyFont="1" applyFill="1" applyAlignment="1">
      <alignment horizontal="left"/>
    </xf>
    <xf numFmtId="10" fontId="33" fillId="7" borderId="0" xfId="3" applyNumberFormat="1" applyFont="1" applyFill="1" applyAlignment="1">
      <alignment horizontal="right"/>
    </xf>
    <xf numFmtId="0" fontId="3" fillId="7" borderId="0" xfId="0" applyFont="1" applyFill="1" applyAlignment="1">
      <alignment horizontal="center"/>
    </xf>
    <xf numFmtId="0" fontId="35" fillId="7" borderId="0" xfId="0" applyFont="1" applyFill="1" applyAlignment="1">
      <alignment horizontal="right"/>
    </xf>
    <xf numFmtId="0" fontId="35" fillId="9" borderId="23" xfId="0" applyFont="1" applyFill="1" applyBorder="1" applyAlignment="1">
      <alignment vertical="center"/>
    </xf>
    <xf numFmtId="0" fontId="35" fillId="9" borderId="24" xfId="0" applyFont="1" applyFill="1" applyBorder="1" applyAlignment="1">
      <alignment horizontal="center" vertical="center"/>
    </xf>
    <xf numFmtId="14" fontId="35" fillId="9" borderId="24" xfId="0" applyNumberFormat="1" applyFont="1" applyFill="1" applyBorder="1" applyAlignment="1">
      <alignment horizontal="center" vertical="center" wrapText="1"/>
    </xf>
    <xf numFmtId="0" fontId="35" fillId="9" borderId="24" xfId="0" applyFont="1" applyFill="1" applyBorder="1" applyAlignment="1">
      <alignment horizontal="center" vertical="center" wrapText="1"/>
    </xf>
    <xf numFmtId="0" fontId="35" fillId="9" borderId="25" xfId="0" applyFont="1" applyFill="1" applyBorder="1" applyAlignment="1">
      <alignment horizontal="center" vertical="center" wrapText="1"/>
    </xf>
    <xf numFmtId="0" fontId="35" fillId="9" borderId="26" xfId="0" applyFont="1" applyFill="1" applyBorder="1" applyAlignment="1">
      <alignment horizontal="center" vertical="center" wrapText="1"/>
    </xf>
    <xf numFmtId="0" fontId="35" fillId="9" borderId="6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6" fillId="6" borderId="15" xfId="0" applyFont="1" applyFill="1" applyBorder="1"/>
    <xf numFmtId="168" fontId="36" fillId="6" borderId="4" xfId="0" applyNumberFormat="1" applyFont="1" applyFill="1" applyBorder="1"/>
    <xf numFmtId="168" fontId="36" fillId="6" borderId="4" xfId="0" applyNumberFormat="1" applyFont="1" applyFill="1" applyBorder="1" applyAlignment="1">
      <alignment horizontal="center" vertical="center"/>
    </xf>
    <xf numFmtId="0" fontId="0" fillId="7" borderId="15" xfId="0" applyFill="1" applyBorder="1"/>
    <xf numFmtId="168" fontId="0" fillId="7" borderId="4" xfId="0" applyNumberFormat="1" applyFill="1" applyBorder="1"/>
    <xf numFmtId="44" fontId="0" fillId="7" borderId="16" xfId="2" applyFont="1" applyFill="1" applyBorder="1" applyAlignment="1"/>
    <xf numFmtId="168" fontId="0" fillId="7" borderId="4" xfId="0" applyNumberFormat="1" applyFill="1" applyBorder="1" applyAlignment="1">
      <alignment horizontal="center" vertical="center"/>
    </xf>
    <xf numFmtId="0" fontId="0" fillId="7" borderId="18" xfId="0" applyFill="1" applyBorder="1"/>
    <xf numFmtId="168" fontId="0" fillId="7" borderId="19" xfId="0" applyNumberFormat="1" applyFill="1" applyBorder="1"/>
    <xf numFmtId="0" fontId="0" fillId="7" borderId="13" xfId="0" applyFill="1" applyBorder="1"/>
    <xf numFmtId="168" fontId="0" fillId="7" borderId="20" xfId="0" applyNumberFormat="1" applyFill="1" applyBorder="1"/>
    <xf numFmtId="168" fontId="0" fillId="7" borderId="0" xfId="0" applyNumberFormat="1" applyFill="1" applyAlignment="1">
      <alignment horizontal="center" vertical="center"/>
    </xf>
    <xf numFmtId="0" fontId="33" fillId="7" borderId="13" xfId="0" applyFont="1" applyFill="1" applyBorder="1"/>
    <xf numFmtId="168" fontId="33" fillId="7" borderId="5" xfId="0" applyNumberFormat="1" applyFont="1" applyFill="1" applyBorder="1"/>
    <xf numFmtId="168" fontId="36" fillId="7" borderId="5" xfId="0" applyNumberFormat="1" applyFont="1" applyFill="1" applyBorder="1" applyAlignment="1">
      <alignment horizontal="center" vertical="center"/>
    </xf>
    <xf numFmtId="0" fontId="0" fillId="7" borderId="10" xfId="0" applyFill="1" applyBorder="1"/>
    <xf numFmtId="0" fontId="0" fillId="7" borderId="11" xfId="0" applyFill="1" applyBorder="1"/>
    <xf numFmtId="10" fontId="0" fillId="7" borderId="4" xfId="3" applyNumberFormat="1" applyFont="1" applyFill="1" applyBorder="1" applyAlignment="1">
      <alignment horizontal="center" vertical="center"/>
    </xf>
    <xf numFmtId="10" fontId="0" fillId="7" borderId="0" xfId="3" applyNumberFormat="1" applyFont="1" applyFill="1" applyAlignment="1">
      <alignment horizontal="center" vertical="center"/>
    </xf>
    <xf numFmtId="10" fontId="36" fillId="7" borderId="5" xfId="3" applyNumberFormat="1" applyFont="1" applyFill="1" applyBorder="1" applyAlignment="1">
      <alignment horizontal="center" vertical="center"/>
    </xf>
    <xf numFmtId="0" fontId="0" fillId="9" borderId="7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33" fillId="9" borderId="8" xfId="0" applyFont="1" applyFill="1" applyBorder="1" applyAlignment="1">
      <alignment horizontal="center" vertical="center" wrapText="1"/>
    </xf>
    <xf numFmtId="0" fontId="33" fillId="9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7" borderId="0" xfId="0" applyFont="1" applyFill="1" applyAlignment="1">
      <alignment horizontal="left"/>
    </xf>
    <xf numFmtId="164" fontId="24" fillId="8" borderId="0" xfId="0" applyNumberFormat="1" applyFont="1" applyFill="1" applyAlignment="1">
      <alignment horizontal="right"/>
    </xf>
    <xf numFmtId="0" fontId="4" fillId="2" borderId="0" xfId="0" applyFont="1" applyFill="1"/>
    <xf numFmtId="0" fontId="29" fillId="11" borderId="39" xfId="0" applyFont="1" applyFill="1" applyBorder="1" applyAlignment="1">
      <alignment horizontal="left" vertical="center"/>
    </xf>
    <xf numFmtId="0" fontId="8" fillId="11" borderId="39" xfId="0" applyFont="1" applyFill="1" applyBorder="1" applyAlignment="1">
      <alignment horizontal="left" vertical="center"/>
    </xf>
    <xf numFmtId="164" fontId="12" fillId="11" borderId="4" xfId="0" applyNumberFormat="1" applyFont="1" applyFill="1" applyBorder="1" applyAlignment="1">
      <alignment horizontal="right"/>
    </xf>
    <xf numFmtId="0" fontId="8" fillId="11" borderId="4" xfId="0" applyFont="1" applyFill="1" applyBorder="1" applyAlignment="1">
      <alignment horizontal="left" vertical="center"/>
    </xf>
    <xf numFmtId="168" fontId="41" fillId="6" borderId="4" xfId="0" applyNumberFormat="1" applyFont="1" applyFill="1" applyBorder="1"/>
    <xf numFmtId="44" fontId="41" fillId="6" borderId="16" xfId="2" applyFont="1" applyFill="1" applyBorder="1" applyAlignment="1"/>
    <xf numFmtId="10" fontId="41" fillId="7" borderId="0" xfId="0" applyNumberFormat="1" applyFont="1" applyFill="1"/>
    <xf numFmtId="8" fontId="41" fillId="7" borderId="0" xfId="0" applyNumberFormat="1" applyFont="1" applyFill="1"/>
    <xf numFmtId="44" fontId="42" fillId="7" borderId="21" xfId="2" applyFont="1" applyFill="1" applyBorder="1"/>
    <xf numFmtId="44" fontId="42" fillId="7" borderId="22" xfId="2" applyFont="1" applyFill="1" applyBorder="1"/>
    <xf numFmtId="44" fontId="42" fillId="7" borderId="35" xfId="2" applyFont="1" applyFill="1" applyBorder="1"/>
    <xf numFmtId="168" fontId="42" fillId="7" borderId="21" xfId="1" applyNumberFormat="1" applyFont="1" applyFill="1" applyBorder="1"/>
    <xf numFmtId="168" fontId="42" fillId="7" borderId="22" xfId="1" applyNumberFormat="1" applyFont="1" applyFill="1" applyBorder="1"/>
    <xf numFmtId="168" fontId="42" fillId="7" borderId="35" xfId="1" applyNumberFormat="1" applyFont="1" applyFill="1" applyBorder="1"/>
    <xf numFmtId="168" fontId="42" fillId="7" borderId="28" xfId="1" applyNumberFormat="1" applyFont="1" applyFill="1" applyBorder="1"/>
    <xf numFmtId="168" fontId="42" fillId="7" borderId="30" xfId="1" applyNumberFormat="1" applyFont="1" applyFill="1" applyBorder="1"/>
    <xf numFmtId="168" fontId="42" fillId="7" borderId="36" xfId="1" applyNumberFormat="1" applyFont="1" applyFill="1" applyBorder="1"/>
    <xf numFmtId="168" fontId="42" fillId="7" borderId="32" xfId="1" applyNumberFormat="1" applyFont="1" applyFill="1" applyBorder="1"/>
    <xf numFmtId="168" fontId="42" fillId="7" borderId="33" xfId="1" applyNumberFormat="1" applyFont="1" applyFill="1" applyBorder="1"/>
    <xf numFmtId="168" fontId="42" fillId="7" borderId="37" xfId="1" applyNumberFormat="1" applyFont="1" applyFill="1" applyBorder="1"/>
    <xf numFmtId="170" fontId="42" fillId="7" borderId="32" xfId="1" applyNumberFormat="1" applyFont="1" applyFill="1" applyBorder="1" applyAlignment="1">
      <alignment horizontal="center"/>
    </xf>
    <xf numFmtId="170" fontId="42" fillId="7" borderId="33" xfId="1" applyNumberFormat="1" applyFont="1" applyFill="1" applyBorder="1" applyAlignment="1">
      <alignment horizontal="center"/>
    </xf>
    <xf numFmtId="170" fontId="42" fillId="7" borderId="37" xfId="1" applyNumberFormat="1" applyFont="1" applyFill="1" applyBorder="1" applyAlignment="1">
      <alignment horizontal="center"/>
    </xf>
    <xf numFmtId="44" fontId="33" fillId="2" borderId="41" xfId="2" applyFont="1" applyFill="1" applyBorder="1" applyAlignment="1"/>
    <xf numFmtId="170" fontId="41" fillId="7" borderId="0" xfId="0" applyNumberFormat="1" applyFont="1" applyFill="1" applyAlignment="1">
      <alignment horizontal="right"/>
    </xf>
    <xf numFmtId="164" fontId="40" fillId="0" borderId="2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 vertical="center" wrapText="1"/>
    </xf>
    <xf numFmtId="164" fontId="11" fillId="0" borderId="3" xfId="0" applyNumberFormat="1" applyFont="1" applyBorder="1" applyAlignment="1">
      <alignment horizontal="right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ance.yahoo.com/quote/H?p=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DBC5-E6C8-40C2-8C13-3227A2C3EF8C}">
  <sheetPr>
    <tabColor rgb="FF0066FF"/>
  </sheetPr>
  <dimension ref="B1:O159"/>
  <sheetViews>
    <sheetView showGridLines="0" workbookViewId="0">
      <selection activeCell="D65" sqref="D65"/>
    </sheetView>
  </sheetViews>
  <sheetFormatPr defaultColWidth="24.453125" defaultRowHeight="12.5"/>
  <cols>
    <col min="1" max="1" width="3.81640625" style="1" customWidth="1"/>
    <col min="2" max="2" width="31.26953125" style="13" customWidth="1"/>
    <col min="3" max="3" width="9.54296875" style="13" customWidth="1"/>
    <col min="4" max="4" width="9.36328125" style="13" customWidth="1"/>
    <col min="5" max="8" width="9" style="3" bestFit="1" customWidth="1"/>
    <col min="9" max="9" width="9" style="4" bestFit="1" customWidth="1"/>
    <col min="10" max="11" width="9" style="1" bestFit="1" customWidth="1"/>
    <col min="12" max="12" width="9" style="65" bestFit="1" customWidth="1"/>
    <col min="13" max="13" width="9.6328125" style="1" customWidth="1"/>
    <col min="14" max="14" width="10.26953125" style="1" customWidth="1"/>
    <col min="15" max="257" width="24.453125" style="1"/>
    <col min="258" max="258" width="3.81640625" style="1" customWidth="1"/>
    <col min="259" max="259" width="32.26953125" style="1" customWidth="1"/>
    <col min="260" max="263" width="13.90625" style="1" customWidth="1"/>
    <col min="264" max="267" width="7.54296875" style="1" customWidth="1"/>
    <col min="268" max="513" width="24.453125" style="1"/>
    <col min="514" max="514" width="3.81640625" style="1" customWidth="1"/>
    <col min="515" max="515" width="32.26953125" style="1" customWidth="1"/>
    <col min="516" max="519" width="13.90625" style="1" customWidth="1"/>
    <col min="520" max="523" width="7.54296875" style="1" customWidth="1"/>
    <col min="524" max="769" width="24.453125" style="1"/>
    <col min="770" max="770" width="3.81640625" style="1" customWidth="1"/>
    <col min="771" max="771" width="32.26953125" style="1" customWidth="1"/>
    <col min="772" max="775" width="13.90625" style="1" customWidth="1"/>
    <col min="776" max="779" width="7.54296875" style="1" customWidth="1"/>
    <col min="780" max="1025" width="24.453125" style="1"/>
    <col min="1026" max="1026" width="3.81640625" style="1" customWidth="1"/>
    <col min="1027" max="1027" width="32.26953125" style="1" customWidth="1"/>
    <col min="1028" max="1031" width="13.90625" style="1" customWidth="1"/>
    <col min="1032" max="1035" width="7.54296875" style="1" customWidth="1"/>
    <col min="1036" max="1281" width="24.453125" style="1"/>
    <col min="1282" max="1282" width="3.81640625" style="1" customWidth="1"/>
    <col min="1283" max="1283" width="32.26953125" style="1" customWidth="1"/>
    <col min="1284" max="1287" width="13.90625" style="1" customWidth="1"/>
    <col min="1288" max="1291" width="7.54296875" style="1" customWidth="1"/>
    <col min="1292" max="1537" width="24.453125" style="1"/>
    <col min="1538" max="1538" width="3.81640625" style="1" customWidth="1"/>
    <col min="1539" max="1539" width="32.26953125" style="1" customWidth="1"/>
    <col min="1540" max="1543" width="13.90625" style="1" customWidth="1"/>
    <col min="1544" max="1547" width="7.54296875" style="1" customWidth="1"/>
    <col min="1548" max="1793" width="24.453125" style="1"/>
    <col min="1794" max="1794" width="3.81640625" style="1" customWidth="1"/>
    <col min="1795" max="1795" width="32.26953125" style="1" customWidth="1"/>
    <col min="1796" max="1799" width="13.90625" style="1" customWidth="1"/>
    <col min="1800" max="1803" width="7.54296875" style="1" customWidth="1"/>
    <col min="1804" max="2049" width="24.453125" style="1"/>
    <col min="2050" max="2050" width="3.81640625" style="1" customWidth="1"/>
    <col min="2051" max="2051" width="32.26953125" style="1" customWidth="1"/>
    <col min="2052" max="2055" width="13.90625" style="1" customWidth="1"/>
    <col min="2056" max="2059" width="7.54296875" style="1" customWidth="1"/>
    <col min="2060" max="2305" width="24.453125" style="1"/>
    <col min="2306" max="2306" width="3.81640625" style="1" customWidth="1"/>
    <col min="2307" max="2307" width="32.26953125" style="1" customWidth="1"/>
    <col min="2308" max="2311" width="13.90625" style="1" customWidth="1"/>
    <col min="2312" max="2315" width="7.54296875" style="1" customWidth="1"/>
    <col min="2316" max="2561" width="24.453125" style="1"/>
    <col min="2562" max="2562" width="3.81640625" style="1" customWidth="1"/>
    <col min="2563" max="2563" width="32.26953125" style="1" customWidth="1"/>
    <col min="2564" max="2567" width="13.90625" style="1" customWidth="1"/>
    <col min="2568" max="2571" width="7.54296875" style="1" customWidth="1"/>
    <col min="2572" max="2817" width="24.453125" style="1"/>
    <col min="2818" max="2818" width="3.81640625" style="1" customWidth="1"/>
    <col min="2819" max="2819" width="32.26953125" style="1" customWidth="1"/>
    <col min="2820" max="2823" width="13.90625" style="1" customWidth="1"/>
    <col min="2824" max="2827" width="7.54296875" style="1" customWidth="1"/>
    <col min="2828" max="3073" width="24.453125" style="1"/>
    <col min="3074" max="3074" width="3.81640625" style="1" customWidth="1"/>
    <col min="3075" max="3075" width="32.26953125" style="1" customWidth="1"/>
    <col min="3076" max="3079" width="13.90625" style="1" customWidth="1"/>
    <col min="3080" max="3083" width="7.54296875" style="1" customWidth="1"/>
    <col min="3084" max="3329" width="24.453125" style="1"/>
    <col min="3330" max="3330" width="3.81640625" style="1" customWidth="1"/>
    <col min="3331" max="3331" width="32.26953125" style="1" customWidth="1"/>
    <col min="3332" max="3335" width="13.90625" style="1" customWidth="1"/>
    <col min="3336" max="3339" width="7.54296875" style="1" customWidth="1"/>
    <col min="3340" max="3585" width="24.453125" style="1"/>
    <col min="3586" max="3586" width="3.81640625" style="1" customWidth="1"/>
    <col min="3587" max="3587" width="32.26953125" style="1" customWidth="1"/>
    <col min="3588" max="3591" width="13.90625" style="1" customWidth="1"/>
    <col min="3592" max="3595" width="7.54296875" style="1" customWidth="1"/>
    <col min="3596" max="3841" width="24.453125" style="1"/>
    <col min="3842" max="3842" width="3.81640625" style="1" customWidth="1"/>
    <col min="3843" max="3843" width="32.26953125" style="1" customWidth="1"/>
    <col min="3844" max="3847" width="13.90625" style="1" customWidth="1"/>
    <col min="3848" max="3851" width="7.54296875" style="1" customWidth="1"/>
    <col min="3852" max="4097" width="24.453125" style="1"/>
    <col min="4098" max="4098" width="3.81640625" style="1" customWidth="1"/>
    <col min="4099" max="4099" width="32.26953125" style="1" customWidth="1"/>
    <col min="4100" max="4103" width="13.90625" style="1" customWidth="1"/>
    <col min="4104" max="4107" width="7.54296875" style="1" customWidth="1"/>
    <col min="4108" max="4353" width="24.453125" style="1"/>
    <col min="4354" max="4354" width="3.81640625" style="1" customWidth="1"/>
    <col min="4355" max="4355" width="32.26953125" style="1" customWidth="1"/>
    <col min="4356" max="4359" width="13.90625" style="1" customWidth="1"/>
    <col min="4360" max="4363" width="7.54296875" style="1" customWidth="1"/>
    <col min="4364" max="4609" width="24.453125" style="1"/>
    <col min="4610" max="4610" width="3.81640625" style="1" customWidth="1"/>
    <col min="4611" max="4611" width="32.26953125" style="1" customWidth="1"/>
    <col min="4612" max="4615" width="13.90625" style="1" customWidth="1"/>
    <col min="4616" max="4619" width="7.54296875" style="1" customWidth="1"/>
    <col min="4620" max="4865" width="24.453125" style="1"/>
    <col min="4866" max="4866" width="3.81640625" style="1" customWidth="1"/>
    <col min="4867" max="4867" width="32.26953125" style="1" customWidth="1"/>
    <col min="4868" max="4871" width="13.90625" style="1" customWidth="1"/>
    <col min="4872" max="4875" width="7.54296875" style="1" customWidth="1"/>
    <col min="4876" max="5121" width="24.453125" style="1"/>
    <col min="5122" max="5122" width="3.81640625" style="1" customWidth="1"/>
    <col min="5123" max="5123" width="32.26953125" style="1" customWidth="1"/>
    <col min="5124" max="5127" width="13.90625" style="1" customWidth="1"/>
    <col min="5128" max="5131" width="7.54296875" style="1" customWidth="1"/>
    <col min="5132" max="5377" width="24.453125" style="1"/>
    <col min="5378" max="5378" width="3.81640625" style="1" customWidth="1"/>
    <col min="5379" max="5379" width="32.26953125" style="1" customWidth="1"/>
    <col min="5380" max="5383" width="13.90625" style="1" customWidth="1"/>
    <col min="5384" max="5387" width="7.54296875" style="1" customWidth="1"/>
    <col min="5388" max="5633" width="24.453125" style="1"/>
    <col min="5634" max="5634" width="3.81640625" style="1" customWidth="1"/>
    <col min="5635" max="5635" width="32.26953125" style="1" customWidth="1"/>
    <col min="5636" max="5639" width="13.90625" style="1" customWidth="1"/>
    <col min="5640" max="5643" width="7.54296875" style="1" customWidth="1"/>
    <col min="5644" max="5889" width="24.453125" style="1"/>
    <col min="5890" max="5890" width="3.81640625" style="1" customWidth="1"/>
    <col min="5891" max="5891" width="32.26953125" style="1" customWidth="1"/>
    <col min="5892" max="5895" width="13.90625" style="1" customWidth="1"/>
    <col min="5896" max="5899" width="7.54296875" style="1" customWidth="1"/>
    <col min="5900" max="6145" width="24.453125" style="1"/>
    <col min="6146" max="6146" width="3.81640625" style="1" customWidth="1"/>
    <col min="6147" max="6147" width="32.26953125" style="1" customWidth="1"/>
    <col min="6148" max="6151" width="13.90625" style="1" customWidth="1"/>
    <col min="6152" max="6155" width="7.54296875" style="1" customWidth="1"/>
    <col min="6156" max="6401" width="24.453125" style="1"/>
    <col min="6402" max="6402" width="3.81640625" style="1" customWidth="1"/>
    <col min="6403" max="6403" width="32.26953125" style="1" customWidth="1"/>
    <col min="6404" max="6407" width="13.90625" style="1" customWidth="1"/>
    <col min="6408" max="6411" width="7.54296875" style="1" customWidth="1"/>
    <col min="6412" max="6657" width="24.453125" style="1"/>
    <col min="6658" max="6658" width="3.81640625" style="1" customWidth="1"/>
    <col min="6659" max="6659" width="32.26953125" style="1" customWidth="1"/>
    <col min="6660" max="6663" width="13.90625" style="1" customWidth="1"/>
    <col min="6664" max="6667" width="7.54296875" style="1" customWidth="1"/>
    <col min="6668" max="6913" width="24.453125" style="1"/>
    <col min="6914" max="6914" width="3.81640625" style="1" customWidth="1"/>
    <col min="6915" max="6915" width="32.26953125" style="1" customWidth="1"/>
    <col min="6916" max="6919" width="13.90625" style="1" customWidth="1"/>
    <col min="6920" max="6923" width="7.54296875" style="1" customWidth="1"/>
    <col min="6924" max="7169" width="24.453125" style="1"/>
    <col min="7170" max="7170" width="3.81640625" style="1" customWidth="1"/>
    <col min="7171" max="7171" width="32.26953125" style="1" customWidth="1"/>
    <col min="7172" max="7175" width="13.90625" style="1" customWidth="1"/>
    <col min="7176" max="7179" width="7.54296875" style="1" customWidth="1"/>
    <col min="7180" max="7425" width="24.453125" style="1"/>
    <col min="7426" max="7426" width="3.81640625" style="1" customWidth="1"/>
    <col min="7427" max="7427" width="32.26953125" style="1" customWidth="1"/>
    <col min="7428" max="7431" width="13.90625" style="1" customWidth="1"/>
    <col min="7432" max="7435" width="7.54296875" style="1" customWidth="1"/>
    <col min="7436" max="7681" width="24.453125" style="1"/>
    <col min="7682" max="7682" width="3.81640625" style="1" customWidth="1"/>
    <col min="7683" max="7683" width="32.26953125" style="1" customWidth="1"/>
    <col min="7684" max="7687" width="13.90625" style="1" customWidth="1"/>
    <col min="7688" max="7691" width="7.54296875" style="1" customWidth="1"/>
    <col min="7692" max="7937" width="24.453125" style="1"/>
    <col min="7938" max="7938" width="3.81640625" style="1" customWidth="1"/>
    <col min="7939" max="7939" width="32.26953125" style="1" customWidth="1"/>
    <col min="7940" max="7943" width="13.90625" style="1" customWidth="1"/>
    <col min="7944" max="7947" width="7.54296875" style="1" customWidth="1"/>
    <col min="7948" max="8193" width="24.453125" style="1"/>
    <col min="8194" max="8194" width="3.81640625" style="1" customWidth="1"/>
    <col min="8195" max="8195" width="32.26953125" style="1" customWidth="1"/>
    <col min="8196" max="8199" width="13.90625" style="1" customWidth="1"/>
    <col min="8200" max="8203" width="7.54296875" style="1" customWidth="1"/>
    <col min="8204" max="8449" width="24.453125" style="1"/>
    <col min="8450" max="8450" width="3.81640625" style="1" customWidth="1"/>
    <col min="8451" max="8451" width="32.26953125" style="1" customWidth="1"/>
    <col min="8452" max="8455" width="13.90625" style="1" customWidth="1"/>
    <col min="8456" max="8459" width="7.54296875" style="1" customWidth="1"/>
    <col min="8460" max="8705" width="24.453125" style="1"/>
    <col min="8706" max="8706" width="3.81640625" style="1" customWidth="1"/>
    <col min="8707" max="8707" width="32.26953125" style="1" customWidth="1"/>
    <col min="8708" max="8711" width="13.90625" style="1" customWidth="1"/>
    <col min="8712" max="8715" width="7.54296875" style="1" customWidth="1"/>
    <col min="8716" max="8961" width="24.453125" style="1"/>
    <col min="8962" max="8962" width="3.81640625" style="1" customWidth="1"/>
    <col min="8963" max="8963" width="32.26953125" style="1" customWidth="1"/>
    <col min="8964" max="8967" width="13.90625" style="1" customWidth="1"/>
    <col min="8968" max="8971" width="7.54296875" style="1" customWidth="1"/>
    <col min="8972" max="9217" width="24.453125" style="1"/>
    <col min="9218" max="9218" width="3.81640625" style="1" customWidth="1"/>
    <col min="9219" max="9219" width="32.26953125" style="1" customWidth="1"/>
    <col min="9220" max="9223" width="13.90625" style="1" customWidth="1"/>
    <col min="9224" max="9227" width="7.54296875" style="1" customWidth="1"/>
    <col min="9228" max="9473" width="24.453125" style="1"/>
    <col min="9474" max="9474" width="3.81640625" style="1" customWidth="1"/>
    <col min="9475" max="9475" width="32.26953125" style="1" customWidth="1"/>
    <col min="9476" max="9479" width="13.90625" style="1" customWidth="1"/>
    <col min="9480" max="9483" width="7.54296875" style="1" customWidth="1"/>
    <col min="9484" max="9729" width="24.453125" style="1"/>
    <col min="9730" max="9730" width="3.81640625" style="1" customWidth="1"/>
    <col min="9731" max="9731" width="32.26953125" style="1" customWidth="1"/>
    <col min="9732" max="9735" width="13.90625" style="1" customWidth="1"/>
    <col min="9736" max="9739" width="7.54296875" style="1" customWidth="1"/>
    <col min="9740" max="9985" width="24.453125" style="1"/>
    <col min="9986" max="9986" width="3.81640625" style="1" customWidth="1"/>
    <col min="9987" max="9987" width="32.26953125" style="1" customWidth="1"/>
    <col min="9988" max="9991" width="13.90625" style="1" customWidth="1"/>
    <col min="9992" max="9995" width="7.54296875" style="1" customWidth="1"/>
    <col min="9996" max="10241" width="24.453125" style="1"/>
    <col min="10242" max="10242" width="3.81640625" style="1" customWidth="1"/>
    <col min="10243" max="10243" width="32.26953125" style="1" customWidth="1"/>
    <col min="10244" max="10247" width="13.90625" style="1" customWidth="1"/>
    <col min="10248" max="10251" width="7.54296875" style="1" customWidth="1"/>
    <col min="10252" max="10497" width="24.453125" style="1"/>
    <col min="10498" max="10498" width="3.81640625" style="1" customWidth="1"/>
    <col min="10499" max="10499" width="32.26953125" style="1" customWidth="1"/>
    <col min="10500" max="10503" width="13.90625" style="1" customWidth="1"/>
    <col min="10504" max="10507" width="7.54296875" style="1" customWidth="1"/>
    <col min="10508" max="10753" width="24.453125" style="1"/>
    <col min="10754" max="10754" width="3.81640625" style="1" customWidth="1"/>
    <col min="10755" max="10755" width="32.26953125" style="1" customWidth="1"/>
    <col min="10756" max="10759" width="13.90625" style="1" customWidth="1"/>
    <col min="10760" max="10763" width="7.54296875" style="1" customWidth="1"/>
    <col min="10764" max="11009" width="24.453125" style="1"/>
    <col min="11010" max="11010" width="3.81640625" style="1" customWidth="1"/>
    <col min="11011" max="11011" width="32.26953125" style="1" customWidth="1"/>
    <col min="11012" max="11015" width="13.90625" style="1" customWidth="1"/>
    <col min="11016" max="11019" width="7.54296875" style="1" customWidth="1"/>
    <col min="11020" max="11265" width="24.453125" style="1"/>
    <col min="11266" max="11266" width="3.81640625" style="1" customWidth="1"/>
    <col min="11267" max="11267" width="32.26953125" style="1" customWidth="1"/>
    <col min="11268" max="11271" width="13.90625" style="1" customWidth="1"/>
    <col min="11272" max="11275" width="7.54296875" style="1" customWidth="1"/>
    <col min="11276" max="11521" width="24.453125" style="1"/>
    <col min="11522" max="11522" width="3.81640625" style="1" customWidth="1"/>
    <col min="11523" max="11523" width="32.26953125" style="1" customWidth="1"/>
    <col min="11524" max="11527" width="13.90625" style="1" customWidth="1"/>
    <col min="11528" max="11531" width="7.54296875" style="1" customWidth="1"/>
    <col min="11532" max="11777" width="24.453125" style="1"/>
    <col min="11778" max="11778" width="3.81640625" style="1" customWidth="1"/>
    <col min="11779" max="11779" width="32.26953125" style="1" customWidth="1"/>
    <col min="11780" max="11783" width="13.90625" style="1" customWidth="1"/>
    <col min="11784" max="11787" width="7.54296875" style="1" customWidth="1"/>
    <col min="11788" max="12033" width="24.453125" style="1"/>
    <col min="12034" max="12034" width="3.81640625" style="1" customWidth="1"/>
    <col min="12035" max="12035" width="32.26953125" style="1" customWidth="1"/>
    <col min="12036" max="12039" width="13.90625" style="1" customWidth="1"/>
    <col min="12040" max="12043" width="7.54296875" style="1" customWidth="1"/>
    <col min="12044" max="12289" width="24.453125" style="1"/>
    <col min="12290" max="12290" width="3.81640625" style="1" customWidth="1"/>
    <col min="12291" max="12291" width="32.26953125" style="1" customWidth="1"/>
    <col min="12292" max="12295" width="13.90625" style="1" customWidth="1"/>
    <col min="12296" max="12299" width="7.54296875" style="1" customWidth="1"/>
    <col min="12300" max="12545" width="24.453125" style="1"/>
    <col min="12546" max="12546" width="3.81640625" style="1" customWidth="1"/>
    <col min="12547" max="12547" width="32.26953125" style="1" customWidth="1"/>
    <col min="12548" max="12551" width="13.90625" style="1" customWidth="1"/>
    <col min="12552" max="12555" width="7.54296875" style="1" customWidth="1"/>
    <col min="12556" max="12801" width="24.453125" style="1"/>
    <col min="12802" max="12802" width="3.81640625" style="1" customWidth="1"/>
    <col min="12803" max="12803" width="32.26953125" style="1" customWidth="1"/>
    <col min="12804" max="12807" width="13.90625" style="1" customWidth="1"/>
    <col min="12808" max="12811" width="7.54296875" style="1" customWidth="1"/>
    <col min="12812" max="13057" width="24.453125" style="1"/>
    <col min="13058" max="13058" width="3.81640625" style="1" customWidth="1"/>
    <col min="13059" max="13059" width="32.26953125" style="1" customWidth="1"/>
    <col min="13060" max="13063" width="13.90625" style="1" customWidth="1"/>
    <col min="13064" max="13067" width="7.54296875" style="1" customWidth="1"/>
    <col min="13068" max="13313" width="24.453125" style="1"/>
    <col min="13314" max="13314" width="3.81640625" style="1" customWidth="1"/>
    <col min="13315" max="13315" width="32.26953125" style="1" customWidth="1"/>
    <col min="13316" max="13319" width="13.90625" style="1" customWidth="1"/>
    <col min="13320" max="13323" width="7.54296875" style="1" customWidth="1"/>
    <col min="13324" max="13569" width="24.453125" style="1"/>
    <col min="13570" max="13570" width="3.81640625" style="1" customWidth="1"/>
    <col min="13571" max="13571" width="32.26953125" style="1" customWidth="1"/>
    <col min="13572" max="13575" width="13.90625" style="1" customWidth="1"/>
    <col min="13576" max="13579" width="7.54296875" style="1" customWidth="1"/>
    <col min="13580" max="13825" width="24.453125" style="1"/>
    <col min="13826" max="13826" width="3.81640625" style="1" customWidth="1"/>
    <col min="13827" max="13827" width="32.26953125" style="1" customWidth="1"/>
    <col min="13828" max="13831" width="13.90625" style="1" customWidth="1"/>
    <col min="13832" max="13835" width="7.54296875" style="1" customWidth="1"/>
    <col min="13836" max="14081" width="24.453125" style="1"/>
    <col min="14082" max="14082" width="3.81640625" style="1" customWidth="1"/>
    <col min="14083" max="14083" width="32.26953125" style="1" customWidth="1"/>
    <col min="14084" max="14087" width="13.90625" style="1" customWidth="1"/>
    <col min="14088" max="14091" width="7.54296875" style="1" customWidth="1"/>
    <col min="14092" max="14337" width="24.453125" style="1"/>
    <col min="14338" max="14338" width="3.81640625" style="1" customWidth="1"/>
    <col min="14339" max="14339" width="32.26953125" style="1" customWidth="1"/>
    <col min="14340" max="14343" width="13.90625" style="1" customWidth="1"/>
    <col min="14344" max="14347" width="7.54296875" style="1" customWidth="1"/>
    <col min="14348" max="14593" width="24.453125" style="1"/>
    <col min="14594" max="14594" width="3.81640625" style="1" customWidth="1"/>
    <col min="14595" max="14595" width="32.26953125" style="1" customWidth="1"/>
    <col min="14596" max="14599" width="13.90625" style="1" customWidth="1"/>
    <col min="14600" max="14603" width="7.54296875" style="1" customWidth="1"/>
    <col min="14604" max="14849" width="24.453125" style="1"/>
    <col min="14850" max="14850" width="3.81640625" style="1" customWidth="1"/>
    <col min="14851" max="14851" width="32.26953125" style="1" customWidth="1"/>
    <col min="14852" max="14855" width="13.90625" style="1" customWidth="1"/>
    <col min="14856" max="14859" width="7.54296875" style="1" customWidth="1"/>
    <col min="14860" max="15105" width="24.453125" style="1"/>
    <col min="15106" max="15106" width="3.81640625" style="1" customWidth="1"/>
    <col min="15107" max="15107" width="32.26953125" style="1" customWidth="1"/>
    <col min="15108" max="15111" width="13.90625" style="1" customWidth="1"/>
    <col min="15112" max="15115" width="7.54296875" style="1" customWidth="1"/>
    <col min="15116" max="15361" width="24.453125" style="1"/>
    <col min="15362" max="15362" width="3.81640625" style="1" customWidth="1"/>
    <col min="15363" max="15363" width="32.26953125" style="1" customWidth="1"/>
    <col min="15364" max="15367" width="13.90625" style="1" customWidth="1"/>
    <col min="15368" max="15371" width="7.54296875" style="1" customWidth="1"/>
    <col min="15372" max="15617" width="24.453125" style="1"/>
    <col min="15618" max="15618" width="3.81640625" style="1" customWidth="1"/>
    <col min="15619" max="15619" width="32.26953125" style="1" customWidth="1"/>
    <col min="15620" max="15623" width="13.90625" style="1" customWidth="1"/>
    <col min="15624" max="15627" width="7.54296875" style="1" customWidth="1"/>
    <col min="15628" max="15873" width="24.453125" style="1"/>
    <col min="15874" max="15874" width="3.81640625" style="1" customWidth="1"/>
    <col min="15875" max="15875" width="32.26953125" style="1" customWidth="1"/>
    <col min="15876" max="15879" width="13.90625" style="1" customWidth="1"/>
    <col min="15880" max="15883" width="7.54296875" style="1" customWidth="1"/>
    <col min="15884" max="16129" width="24.453125" style="1"/>
    <col min="16130" max="16130" width="3.81640625" style="1" customWidth="1"/>
    <col min="16131" max="16131" width="32.26953125" style="1" customWidth="1"/>
    <col min="16132" max="16135" width="13.90625" style="1" customWidth="1"/>
    <col min="16136" max="16139" width="7.54296875" style="1" customWidth="1"/>
    <col min="16140" max="16384" width="24.453125" style="1"/>
  </cols>
  <sheetData>
    <row r="1" spans="2:14" ht="19.399999999999999" customHeight="1">
      <c r="B1" s="2" t="s">
        <v>0</v>
      </c>
      <c r="C1" s="2"/>
      <c r="D1" s="2"/>
    </row>
    <row r="2" spans="2:14" ht="10.75" customHeight="1">
      <c r="B2" s="60" t="s">
        <v>140</v>
      </c>
      <c r="C2" s="60"/>
      <c r="D2" s="2"/>
    </row>
    <row r="3" spans="2:14" ht="10.75" customHeight="1">
      <c r="B3" s="60"/>
      <c r="C3" s="60"/>
      <c r="D3" s="2"/>
    </row>
    <row r="4" spans="2:14" ht="19.75" customHeight="1">
      <c r="B4" s="86" t="s">
        <v>66</v>
      </c>
      <c r="C4" s="211" t="s">
        <v>75</v>
      </c>
      <c r="D4" s="86"/>
      <c r="E4" s="87"/>
      <c r="F4" s="87"/>
      <c r="G4" s="87"/>
      <c r="H4" s="87"/>
      <c r="I4" s="88"/>
      <c r="J4" s="89"/>
      <c r="K4" s="89"/>
      <c r="L4" s="90"/>
      <c r="M4" s="90"/>
      <c r="N4" s="90"/>
    </row>
    <row r="5" spans="2:14" ht="19.75" customHeight="1">
      <c r="B5" s="82"/>
      <c r="C5" s="83" t="s">
        <v>391</v>
      </c>
      <c r="D5" s="83" t="s">
        <v>139</v>
      </c>
      <c r="E5" s="83" t="s">
        <v>139</v>
      </c>
      <c r="F5" s="83" t="s">
        <v>139</v>
      </c>
      <c r="G5" s="83" t="s">
        <v>139</v>
      </c>
      <c r="H5" s="83" t="s">
        <v>139</v>
      </c>
      <c r="I5" s="83" t="s">
        <v>139</v>
      </c>
      <c r="J5" s="83" t="s">
        <v>139</v>
      </c>
      <c r="K5" s="83" t="s">
        <v>139</v>
      </c>
      <c r="L5" s="83" t="s">
        <v>139</v>
      </c>
      <c r="M5" s="83" t="s">
        <v>139</v>
      </c>
      <c r="N5" s="83" t="s">
        <v>139</v>
      </c>
    </row>
    <row r="6" spans="2:14" s="6" customFormat="1" ht="15" customHeight="1" thickBot="1">
      <c r="B6" s="84" t="s">
        <v>1</v>
      </c>
      <c r="C6" s="85">
        <v>2022</v>
      </c>
      <c r="D6" s="85">
        <v>2021</v>
      </c>
      <c r="E6" s="85">
        <v>2020</v>
      </c>
      <c r="F6" s="85">
        <v>2019</v>
      </c>
      <c r="G6" s="85">
        <v>2018</v>
      </c>
      <c r="H6" s="85">
        <v>2017</v>
      </c>
      <c r="I6" s="85">
        <v>2016</v>
      </c>
      <c r="J6" s="85">
        <v>2015</v>
      </c>
      <c r="K6" s="85">
        <v>2014</v>
      </c>
      <c r="L6" s="85">
        <v>2013</v>
      </c>
      <c r="M6" s="85">
        <v>2012</v>
      </c>
      <c r="N6" s="85">
        <v>2011</v>
      </c>
    </row>
    <row r="7" spans="2:14" ht="11.5" customHeight="1">
      <c r="B7" s="7" t="s">
        <v>2</v>
      </c>
      <c r="C7" s="239">
        <f>'Income Stat Yahoo Input'!B2/1000</f>
        <v>5379000</v>
      </c>
      <c r="D7" s="239">
        <f>'Income Stat Yahoo Input'!C2/1000</f>
        <v>3028000</v>
      </c>
      <c r="E7" s="239">
        <f>'Income Stat Yahoo Input'!D2/1000</f>
        <v>2066000</v>
      </c>
      <c r="F7" s="239">
        <f>'Income Stat Yahoo Input'!E2/1000</f>
        <v>5020000</v>
      </c>
      <c r="G7" s="239">
        <f>'Income Stat Yahoo Input'!F2/1000</f>
        <v>4454000</v>
      </c>
      <c r="H7" s="239">
        <f>'Income Stat Yahoo Input'!G2/1000</f>
        <v>4685000</v>
      </c>
      <c r="I7" s="239">
        <f>'Income Stat Yahoo Input'!H2/1000</f>
        <v>4429000</v>
      </c>
      <c r="J7" s="239">
        <f>'Income Stat Yahoo Input'!I2/1000</f>
        <v>4328000</v>
      </c>
      <c r="K7" s="239">
        <f>'Income Stat Yahoo Input'!J2/1000</f>
        <v>4415000</v>
      </c>
      <c r="L7" s="239">
        <f>'Income Stat Yahoo Input'!K2/1000</f>
        <v>4184000</v>
      </c>
      <c r="M7" s="239">
        <f>'Income Stat Yahoo Input'!L2/1000</f>
        <v>3949000</v>
      </c>
      <c r="N7" s="239">
        <f>'Income Stat Yahoo Input'!M2/1000</f>
        <v>3698000</v>
      </c>
    </row>
    <row r="8" spans="2:14" ht="11.5" customHeight="1">
      <c r="B8" s="8" t="s">
        <v>3</v>
      </c>
      <c r="C8" s="9">
        <f>'Income Stat Yahoo Input'!B4/1000</f>
        <v>4253000</v>
      </c>
      <c r="D8" s="9">
        <f>'Income Stat Yahoo Input'!C4/1000</f>
        <v>2603000</v>
      </c>
      <c r="E8" s="9">
        <f>'Income Stat Yahoo Input'!D4/1000</f>
        <v>2067000</v>
      </c>
      <c r="F8" s="9">
        <f>'Income Stat Yahoo Input'!E4/1000</f>
        <v>4077000</v>
      </c>
      <c r="G8" s="9">
        <f>'Income Stat Yahoo Input'!F4/1000</f>
        <v>3475000</v>
      </c>
      <c r="H8" s="9">
        <f>'Income Stat Yahoo Input'!G4/1000</f>
        <v>3638000</v>
      </c>
      <c r="I8" s="9">
        <f>'Income Stat Yahoo Input'!H4/1000</f>
        <v>3473000</v>
      </c>
      <c r="J8" s="9">
        <f>'Income Stat Yahoo Input'!I4/1000</f>
        <v>3377000</v>
      </c>
      <c r="K8" s="9">
        <f>'Income Stat Yahoo Input'!J4/1000</f>
        <v>3433000</v>
      </c>
      <c r="L8" s="9">
        <f>'Income Stat Yahoo Input'!K4/1000</f>
        <v>3283000</v>
      </c>
      <c r="M8" s="9">
        <f>'Income Stat Yahoo Input'!L4/1000</f>
        <v>3121000</v>
      </c>
      <c r="N8" s="9">
        <f>'Income Stat Yahoo Input'!M4/1000</f>
        <v>2957000</v>
      </c>
    </row>
    <row r="9" spans="2:14" ht="11.5" customHeight="1" thickBot="1">
      <c r="B9" s="8" t="s">
        <v>4</v>
      </c>
      <c r="C9" s="10">
        <f>+C7-C8</f>
        <v>1126000</v>
      </c>
      <c r="D9" s="10">
        <f>+D7-D8</f>
        <v>425000</v>
      </c>
      <c r="E9" s="10">
        <f t="shared" ref="E9:L9" si="0">+E7-E8</f>
        <v>-1000</v>
      </c>
      <c r="F9" s="10">
        <f t="shared" si="0"/>
        <v>943000</v>
      </c>
      <c r="G9" s="10">
        <f t="shared" si="0"/>
        <v>979000</v>
      </c>
      <c r="H9" s="10">
        <f t="shared" si="0"/>
        <v>1047000</v>
      </c>
      <c r="I9" s="10">
        <f t="shared" si="0"/>
        <v>956000</v>
      </c>
      <c r="J9" s="10">
        <f t="shared" si="0"/>
        <v>951000</v>
      </c>
      <c r="K9" s="10">
        <f t="shared" si="0"/>
        <v>982000</v>
      </c>
      <c r="L9" s="10">
        <f t="shared" si="0"/>
        <v>901000</v>
      </c>
      <c r="M9" s="10">
        <f t="shared" ref="M9:N9" si="1">+M7-M8</f>
        <v>828000</v>
      </c>
      <c r="N9" s="10">
        <f t="shared" si="1"/>
        <v>741000</v>
      </c>
    </row>
    <row r="10" spans="2:14" ht="11.5" customHeight="1" thickTop="1">
      <c r="B10" s="7" t="s">
        <v>5</v>
      </c>
      <c r="C10" s="240">
        <f>'Income Stat Yahoo Input'!B6/1000</f>
        <v>822000</v>
      </c>
      <c r="D10" s="240">
        <f>'Income Stat Yahoo Input'!C6/1000</f>
        <v>676000</v>
      </c>
      <c r="E10" s="240">
        <f>'Income Stat Yahoo Input'!D6/1000</f>
        <v>631000</v>
      </c>
      <c r="F10" s="240">
        <f>'Income Stat Yahoo Input'!E6/1000</f>
        <v>746000</v>
      </c>
      <c r="G10" s="240">
        <f>'Income Stat Yahoo Input'!F6/1000</f>
        <v>647000</v>
      </c>
      <c r="H10" s="240">
        <f>'Income Stat Yahoo Input'!G6/1000</f>
        <v>745000</v>
      </c>
      <c r="I10" s="240">
        <f>'Income Stat Yahoo Input'!H6/1000</f>
        <v>657000</v>
      </c>
      <c r="J10" s="240">
        <f>'Income Stat Yahoo Input'!I6/1000</f>
        <v>628000</v>
      </c>
      <c r="K10" s="240">
        <f>'Income Stat Yahoo Input'!J6/1000</f>
        <v>703000</v>
      </c>
      <c r="L10" s="240">
        <f>'Income Stat Yahoo Input'!K6/1000</f>
        <v>668000</v>
      </c>
      <c r="M10" s="240">
        <f>'Income Stat Yahoo Input'!L6/1000</f>
        <v>669000</v>
      </c>
      <c r="N10" s="240">
        <f>'Income Stat Yahoo Input'!M6/1000</f>
        <v>588000</v>
      </c>
    </row>
    <row r="11" spans="2:14" ht="11.5" customHeight="1">
      <c r="B11" s="7" t="s">
        <v>6</v>
      </c>
      <c r="C11" s="9">
        <f>+C9-C10</f>
        <v>304000</v>
      </c>
      <c r="D11" s="9">
        <f>+D9-D10</f>
        <v>-251000</v>
      </c>
      <c r="E11" s="9">
        <f t="shared" ref="E11:L11" si="2">+E9-E10</f>
        <v>-632000</v>
      </c>
      <c r="F11" s="9">
        <f t="shared" si="2"/>
        <v>197000</v>
      </c>
      <c r="G11" s="9">
        <f t="shared" si="2"/>
        <v>332000</v>
      </c>
      <c r="H11" s="9">
        <f t="shared" si="2"/>
        <v>302000</v>
      </c>
      <c r="I11" s="9">
        <f t="shared" si="2"/>
        <v>299000</v>
      </c>
      <c r="J11" s="9">
        <f t="shared" si="2"/>
        <v>323000</v>
      </c>
      <c r="K11" s="9">
        <f t="shared" si="2"/>
        <v>279000</v>
      </c>
      <c r="L11" s="9">
        <f t="shared" si="2"/>
        <v>233000</v>
      </c>
      <c r="M11" s="9">
        <f t="shared" ref="M11:N11" si="3">+M9-M10</f>
        <v>159000</v>
      </c>
      <c r="N11" s="9">
        <f t="shared" si="3"/>
        <v>153000</v>
      </c>
    </row>
    <row r="12" spans="2:14" ht="11.5" customHeight="1">
      <c r="B12" s="8" t="s">
        <v>7</v>
      </c>
      <c r="C12" s="11">
        <f>'Income Stat Yahoo Input'!B13/1000</f>
        <v>156000</v>
      </c>
      <c r="D12" s="11">
        <f>'Income Stat Yahoo Input'!C13/1000</f>
        <v>163000</v>
      </c>
      <c r="E12" s="11">
        <f>'Income Stat Yahoo Input'!D13/1000</f>
        <v>128000</v>
      </c>
      <c r="F12" s="11">
        <f>'Income Stat Yahoo Input'!E13/1000</f>
        <v>75000</v>
      </c>
      <c r="G12" s="11">
        <f>'Income Stat Yahoo Input'!F13/1000</f>
        <v>76000</v>
      </c>
      <c r="H12" s="11">
        <f>'Income Stat Yahoo Input'!G13/1000</f>
        <v>80000</v>
      </c>
      <c r="I12" s="11">
        <f>'Income Stat Yahoo Input'!H13/1000</f>
        <v>76000</v>
      </c>
      <c r="J12" s="11">
        <f>'Income Stat Yahoo Input'!I13/1000</f>
        <v>68000</v>
      </c>
      <c r="K12" s="11">
        <f>'Income Stat Yahoo Input'!J13/1000</f>
        <v>71000</v>
      </c>
      <c r="L12" s="11">
        <f>'Income Stat Yahoo Input'!K13/1000</f>
        <v>65000</v>
      </c>
      <c r="M12" s="11">
        <f>'Income Stat Yahoo Input'!L13/1000</f>
        <v>70000</v>
      </c>
      <c r="N12" s="11">
        <f>'Income Stat Yahoo Input'!M13/1000</f>
        <v>57000</v>
      </c>
    </row>
    <row r="13" spans="2:14" ht="11.5" customHeight="1">
      <c r="B13" s="8" t="s">
        <v>8</v>
      </c>
      <c r="C13" s="9">
        <f>+C11-C12</f>
        <v>148000</v>
      </c>
      <c r="D13" s="9">
        <f>+D11-D12</f>
        <v>-414000</v>
      </c>
      <c r="E13" s="9">
        <f t="shared" ref="E13:L13" si="4">+E11-E12</f>
        <v>-760000</v>
      </c>
      <c r="F13" s="9">
        <f t="shared" si="4"/>
        <v>122000</v>
      </c>
      <c r="G13" s="9">
        <f t="shared" si="4"/>
        <v>256000</v>
      </c>
      <c r="H13" s="9">
        <f t="shared" si="4"/>
        <v>222000</v>
      </c>
      <c r="I13" s="9">
        <f t="shared" si="4"/>
        <v>223000</v>
      </c>
      <c r="J13" s="9">
        <f t="shared" si="4"/>
        <v>255000</v>
      </c>
      <c r="K13" s="9">
        <f t="shared" si="4"/>
        <v>208000</v>
      </c>
      <c r="L13" s="9">
        <f t="shared" si="4"/>
        <v>168000</v>
      </c>
      <c r="M13" s="9">
        <f t="shared" ref="M13:N13" si="5">+M11-M12</f>
        <v>89000</v>
      </c>
      <c r="N13" s="9">
        <f t="shared" si="5"/>
        <v>96000</v>
      </c>
    </row>
    <row r="14" spans="2:14" ht="11.5" customHeight="1">
      <c r="B14" s="8" t="s">
        <v>9</v>
      </c>
      <c r="C14" s="11">
        <f>-(C15-C13)</f>
        <v>-54000</v>
      </c>
      <c r="D14" s="11">
        <f>-(D15-D13)</f>
        <v>-458000</v>
      </c>
      <c r="E14" s="11">
        <f t="shared" ref="E14:L14" si="6">-(E15-E13)</f>
        <v>200000</v>
      </c>
      <c r="F14" s="11">
        <f t="shared" si="6"/>
        <v>-884000</v>
      </c>
      <c r="G14" s="11">
        <f t="shared" si="6"/>
        <v>-695000</v>
      </c>
      <c r="H14" s="11">
        <f t="shared" si="6"/>
        <v>-351000</v>
      </c>
      <c r="I14" s="11">
        <f t="shared" si="6"/>
        <v>-66000</v>
      </c>
      <c r="J14" s="11">
        <f t="shared" si="6"/>
        <v>61000</v>
      </c>
      <c r="K14" s="11">
        <f t="shared" si="6"/>
        <v>-317000</v>
      </c>
      <c r="L14" s="11">
        <f t="shared" si="6"/>
        <v>-153000</v>
      </c>
      <c r="M14" s="11">
        <f t="shared" ref="M14:N14" si="7">-(M15-M13)</f>
        <v>-6000</v>
      </c>
      <c r="N14" s="11">
        <f t="shared" si="7"/>
        <v>13000</v>
      </c>
    </row>
    <row r="15" spans="2:14" ht="11.5" customHeight="1">
      <c r="B15" s="8" t="s">
        <v>10</v>
      </c>
      <c r="C15" s="12">
        <f>'Income Stat Yahoo Input'!B25/1000</f>
        <v>202000</v>
      </c>
      <c r="D15" s="12">
        <f>'Income Stat Yahoo Input'!C25/1000</f>
        <v>44000</v>
      </c>
      <c r="E15" s="12">
        <f>'Income Stat Yahoo Input'!D25/1000</f>
        <v>-960000</v>
      </c>
      <c r="F15" s="12">
        <f>'Income Stat Yahoo Input'!E25/1000</f>
        <v>1006000</v>
      </c>
      <c r="G15" s="12">
        <f>'Income Stat Yahoo Input'!F25/1000</f>
        <v>951000</v>
      </c>
      <c r="H15" s="12">
        <f>'Income Stat Yahoo Input'!G25/1000</f>
        <v>573000</v>
      </c>
      <c r="I15" s="12">
        <f>'Income Stat Yahoo Input'!H25/1000</f>
        <v>289000</v>
      </c>
      <c r="J15" s="12">
        <f>'Income Stat Yahoo Input'!I25/1000</f>
        <v>194000</v>
      </c>
      <c r="K15" s="12">
        <f>'Income Stat Yahoo Input'!J25/1000</f>
        <v>525000</v>
      </c>
      <c r="L15" s="12">
        <f>'Income Stat Yahoo Input'!K25/1000</f>
        <v>321000</v>
      </c>
      <c r="M15" s="12">
        <f>'Income Stat Yahoo Input'!L25/1000</f>
        <v>95000</v>
      </c>
      <c r="N15" s="12">
        <f>'Income Stat Yahoo Input'!M25/1000</f>
        <v>83000</v>
      </c>
    </row>
    <row r="16" spans="2:14" ht="11.5" customHeight="1">
      <c r="B16" s="8" t="s">
        <v>11</v>
      </c>
      <c r="C16" s="9">
        <f>'Income Stat Yahoo Input'!B26/1000</f>
        <v>70000</v>
      </c>
      <c r="D16" s="9">
        <f>'Income Stat Yahoo Input'!C26/1000</f>
        <v>266000</v>
      </c>
      <c r="E16" s="9">
        <f>'Income Stat Yahoo Input'!D26/1000</f>
        <v>-257000</v>
      </c>
      <c r="F16" s="9">
        <f>'Income Stat Yahoo Input'!E26/1000</f>
        <v>240000</v>
      </c>
      <c r="G16" s="9">
        <f>'Income Stat Yahoo Input'!F26/1000</f>
        <v>182000</v>
      </c>
      <c r="H16" s="9">
        <f>'Income Stat Yahoo Input'!G26/1000</f>
        <v>323000</v>
      </c>
      <c r="I16" s="9">
        <f>'Income Stat Yahoo Input'!H26/1000</f>
        <v>85000</v>
      </c>
      <c r="J16" s="9">
        <f>'Income Stat Yahoo Input'!I26/1000</f>
        <v>70000</v>
      </c>
      <c r="K16" s="9">
        <f>'Income Stat Yahoo Input'!J26/1000</f>
        <v>179000</v>
      </c>
      <c r="L16" s="9">
        <f>'Income Stat Yahoo Input'!K26/1000</f>
        <v>116000</v>
      </c>
      <c r="M16" s="9">
        <f>'Income Stat Yahoo Input'!L26/1000</f>
        <v>8000</v>
      </c>
      <c r="N16" s="9">
        <f>'Income Stat Yahoo Input'!M26/1000</f>
        <v>-28000</v>
      </c>
    </row>
    <row r="17" spans="2:14" ht="11.5" customHeight="1" thickBot="1">
      <c r="B17" s="7" t="s">
        <v>12</v>
      </c>
      <c r="C17" s="10">
        <f>+C15-C16</f>
        <v>132000</v>
      </c>
      <c r="D17" s="10">
        <f>+D15-D16</f>
        <v>-222000</v>
      </c>
      <c r="E17" s="10">
        <f t="shared" ref="E17:L17" si="8">+E15-E16</f>
        <v>-703000</v>
      </c>
      <c r="F17" s="10">
        <f t="shared" si="8"/>
        <v>766000</v>
      </c>
      <c r="G17" s="10">
        <f t="shared" si="8"/>
        <v>769000</v>
      </c>
      <c r="H17" s="10">
        <f t="shared" si="8"/>
        <v>250000</v>
      </c>
      <c r="I17" s="10">
        <f t="shared" si="8"/>
        <v>204000</v>
      </c>
      <c r="J17" s="10">
        <f t="shared" si="8"/>
        <v>124000</v>
      </c>
      <c r="K17" s="10">
        <f t="shared" si="8"/>
        <v>346000</v>
      </c>
      <c r="L17" s="10">
        <f t="shared" si="8"/>
        <v>205000</v>
      </c>
      <c r="M17" s="10">
        <f t="shared" ref="M17:N17" si="9">+M15-M16</f>
        <v>87000</v>
      </c>
      <c r="N17" s="10">
        <f t="shared" si="9"/>
        <v>111000</v>
      </c>
    </row>
    <row r="18" spans="2:14" ht="11.5" customHeight="1" thickTop="1">
      <c r="M18" s="65"/>
      <c r="N18" s="65"/>
    </row>
    <row r="19" spans="2:14" ht="15" customHeight="1">
      <c r="B19" s="86" t="s">
        <v>381</v>
      </c>
      <c r="C19" s="86"/>
      <c r="D19" s="86"/>
      <c r="E19" s="87"/>
      <c r="F19" s="87"/>
      <c r="G19" s="87"/>
      <c r="H19" s="87"/>
      <c r="I19" s="88"/>
      <c r="J19" s="89"/>
      <c r="K19" s="89"/>
      <c r="L19" s="90"/>
      <c r="M19" s="90"/>
      <c r="N19" s="90"/>
    </row>
    <row r="20" spans="2:14" ht="19.75" customHeight="1">
      <c r="B20" s="82"/>
      <c r="C20" s="83" t="str">
        <f>+C5</f>
        <v>Sep 30</v>
      </c>
      <c r="D20" s="83" t="s">
        <v>139</v>
      </c>
      <c r="E20" s="83" t="s">
        <v>139</v>
      </c>
      <c r="F20" s="83" t="s">
        <v>139</v>
      </c>
      <c r="G20" s="83" t="s">
        <v>139</v>
      </c>
      <c r="H20" s="83" t="s">
        <v>139</v>
      </c>
      <c r="I20" s="83" t="s">
        <v>139</v>
      </c>
      <c r="J20" s="83" t="s">
        <v>139</v>
      </c>
      <c r="K20" s="83" t="s">
        <v>139</v>
      </c>
      <c r="L20" s="83" t="s">
        <v>139</v>
      </c>
      <c r="M20" s="83" t="s">
        <v>139</v>
      </c>
      <c r="N20" s="83" t="s">
        <v>139</v>
      </c>
    </row>
    <row r="21" spans="2:14" s="6" customFormat="1" ht="20.399999999999999" customHeight="1" thickBot="1">
      <c r="B21" s="84" t="s">
        <v>1</v>
      </c>
      <c r="C21" s="85">
        <f>+C6</f>
        <v>2022</v>
      </c>
      <c r="D21" s="85">
        <f t="shared" ref="D21:N21" si="10">+D6</f>
        <v>2021</v>
      </c>
      <c r="E21" s="85">
        <f t="shared" si="10"/>
        <v>2020</v>
      </c>
      <c r="F21" s="85">
        <f t="shared" si="10"/>
        <v>2019</v>
      </c>
      <c r="G21" s="85">
        <f t="shared" si="10"/>
        <v>2018</v>
      </c>
      <c r="H21" s="85">
        <f t="shared" si="10"/>
        <v>2017</v>
      </c>
      <c r="I21" s="85">
        <f t="shared" si="10"/>
        <v>2016</v>
      </c>
      <c r="J21" s="85">
        <f t="shared" si="10"/>
        <v>2015</v>
      </c>
      <c r="K21" s="85">
        <f t="shared" si="10"/>
        <v>2014</v>
      </c>
      <c r="L21" s="85">
        <f t="shared" si="10"/>
        <v>2013</v>
      </c>
      <c r="M21" s="85">
        <f t="shared" si="10"/>
        <v>2012</v>
      </c>
      <c r="N21" s="85">
        <f t="shared" si="10"/>
        <v>2011</v>
      </c>
    </row>
    <row r="22" spans="2:14" ht="11.5" customHeight="1">
      <c r="B22" s="213" t="s">
        <v>13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</row>
    <row r="23" spans="2:14" ht="11.5" customHeight="1">
      <c r="B23" s="14" t="s">
        <v>14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2:14" ht="11.5" customHeight="1">
      <c r="B24" s="8" t="s">
        <v>15</v>
      </c>
      <c r="C24" s="12">
        <f>+'Balance Sheet Yahoo Input'!B5/1000</f>
        <v>1223000</v>
      </c>
      <c r="D24" s="12">
        <f>+'Balance Sheet Yahoo Input'!C5/1000</f>
        <v>960000</v>
      </c>
      <c r="E24" s="12">
        <f>+'Balance Sheet Yahoo Input'!D5/1000</f>
        <v>1207000</v>
      </c>
      <c r="F24" s="12">
        <f>+'Balance Sheet Yahoo Input'!E5/1000</f>
        <v>893000</v>
      </c>
      <c r="G24" s="12">
        <f>+'Balance Sheet Yahoo Input'!F5/1000</f>
        <v>570000</v>
      </c>
      <c r="H24" s="12">
        <f>+'Balance Sheet Yahoo Input'!G5/1000</f>
        <v>503000</v>
      </c>
      <c r="I24" s="12">
        <f>+'Balance Sheet Yahoo Input'!H5/1000</f>
        <v>482000</v>
      </c>
      <c r="J24" s="12">
        <f>+'Balance Sheet Yahoo Input'!I5/1000</f>
        <v>457000</v>
      </c>
      <c r="K24" s="12">
        <f>+'Balance Sheet Yahoo Input'!J5/1000</f>
        <v>685000</v>
      </c>
      <c r="L24" s="12">
        <f>+'Balance Sheet Yahoo Input'!K5/1000</f>
        <v>454000</v>
      </c>
      <c r="M24" s="12">
        <f>+'Balance Sheet Yahoo Input'!L5/1000</f>
        <v>413000</v>
      </c>
      <c r="N24" s="12">
        <f>+'Balance Sheet Yahoo Input'!M5/1000</f>
        <v>534000</v>
      </c>
    </row>
    <row r="25" spans="2:14" ht="11.5" customHeight="1">
      <c r="B25" s="8" t="s">
        <v>16</v>
      </c>
      <c r="C25" s="15">
        <f>+'Balance Sheet Yahoo Input'!B6/1000</f>
        <v>151000</v>
      </c>
      <c r="D25" s="15">
        <f>+'Balance Sheet Yahoo Input'!C6/1000</f>
        <v>227000</v>
      </c>
      <c r="E25" s="15">
        <f>+'Balance Sheet Yahoo Input'!D6/1000</f>
        <v>675000</v>
      </c>
      <c r="F25" s="15">
        <f>+'Balance Sheet Yahoo Input'!E6/1000</f>
        <v>68000</v>
      </c>
      <c r="G25" s="15">
        <f>+'Balance Sheet Yahoo Input'!F6/1000</f>
        <v>116000</v>
      </c>
      <c r="H25" s="15">
        <f>+'Balance Sheet Yahoo Input'!G6/1000</f>
        <v>49000</v>
      </c>
      <c r="I25" s="15">
        <f>+'Balance Sheet Yahoo Input'!H6/1000</f>
        <v>56000</v>
      </c>
      <c r="J25" s="15">
        <f>+'Balance Sheet Yahoo Input'!I6/1000</f>
        <v>46000</v>
      </c>
      <c r="K25" s="15">
        <f>+'Balance Sheet Yahoo Input'!J6/1000</f>
        <v>130000</v>
      </c>
      <c r="L25" s="15">
        <f>+'Balance Sheet Yahoo Input'!K6/1000</f>
        <v>30000</v>
      </c>
      <c r="M25" s="15">
        <f>+'Balance Sheet Yahoo Input'!L6/1000</f>
        <v>514000</v>
      </c>
      <c r="N25" s="15">
        <f>+'Balance Sheet Yahoo Input'!M6/1000</f>
        <v>588000</v>
      </c>
    </row>
    <row r="26" spans="2:14" ht="11.5" customHeight="1">
      <c r="B26" s="8" t="s">
        <v>17</v>
      </c>
      <c r="C26" s="12">
        <f>+C24+C25</f>
        <v>1374000</v>
      </c>
      <c r="D26" s="12">
        <f>+D24+D25</f>
        <v>1187000</v>
      </c>
      <c r="E26" s="12">
        <f>+E24+E25</f>
        <v>1882000</v>
      </c>
      <c r="F26" s="12">
        <f t="shared" ref="F26:I26" si="11">+F24+F25</f>
        <v>961000</v>
      </c>
      <c r="G26" s="12">
        <f t="shared" si="11"/>
        <v>686000</v>
      </c>
      <c r="H26" s="12">
        <f t="shared" si="11"/>
        <v>552000</v>
      </c>
      <c r="I26" s="12">
        <f t="shared" si="11"/>
        <v>538000</v>
      </c>
      <c r="J26" s="12">
        <f t="shared" ref="J26" si="12">+J24+J25</f>
        <v>503000</v>
      </c>
      <c r="K26" s="12">
        <f t="shared" ref="K26" si="13">+K24+K25</f>
        <v>815000</v>
      </c>
      <c r="L26" s="12">
        <f t="shared" ref="L26" si="14">+L24+L25</f>
        <v>484000</v>
      </c>
      <c r="M26" s="12">
        <f t="shared" ref="M26:N26" si="15">+M24+M25</f>
        <v>927000</v>
      </c>
      <c r="N26" s="12">
        <f t="shared" si="15"/>
        <v>1122000</v>
      </c>
    </row>
    <row r="27" spans="2:14" ht="11.5" customHeight="1">
      <c r="B27" s="8" t="s">
        <v>18</v>
      </c>
      <c r="C27" s="12">
        <f>+'Balance Sheet Yahoo Input'!B7/1000</f>
        <v>702000</v>
      </c>
      <c r="D27" s="12">
        <f>+'Balance Sheet Yahoo Input'!C7/1000</f>
        <v>633000</v>
      </c>
      <c r="E27" s="12">
        <f>+'Balance Sheet Yahoo Input'!D7/1000</f>
        <v>316000</v>
      </c>
      <c r="F27" s="12">
        <f>+'Balance Sheet Yahoo Input'!E7/1000</f>
        <v>421000</v>
      </c>
      <c r="G27" s="12">
        <f>+'Balance Sheet Yahoo Input'!F7/1000</f>
        <v>427000</v>
      </c>
      <c r="H27" s="12">
        <f>+'Balance Sheet Yahoo Input'!G7/1000</f>
        <v>350000</v>
      </c>
      <c r="I27" s="12">
        <f>+'Balance Sheet Yahoo Input'!H7/1000</f>
        <v>304000</v>
      </c>
      <c r="J27" s="12">
        <f>+'Balance Sheet Yahoo Input'!I7/1000</f>
        <v>298000</v>
      </c>
      <c r="K27" s="12">
        <f>+'Balance Sheet Yahoo Input'!J7/1000</f>
        <v>274000</v>
      </c>
      <c r="L27" s="12">
        <f>+'Balance Sheet Yahoo Input'!K7/1000</f>
        <v>273000</v>
      </c>
      <c r="M27" s="12">
        <f>+'Balance Sheet Yahoo Input'!L7/1000</f>
        <v>531000</v>
      </c>
      <c r="N27" s="12">
        <f>+'Balance Sheet Yahoo Input'!M7/1000</f>
        <v>225000</v>
      </c>
    </row>
    <row r="28" spans="2:14" ht="11.5" customHeight="1">
      <c r="B28" s="8" t="s">
        <v>19</v>
      </c>
      <c r="C28" s="12">
        <f>+'Balance Sheet Yahoo Input'!B11/1000</f>
        <v>0</v>
      </c>
      <c r="D28" s="12">
        <f>+'Balance Sheet Yahoo Input'!C11/1000</f>
        <v>10000</v>
      </c>
      <c r="E28" s="12">
        <f>+'Balance Sheet Yahoo Input'!D11/1000</f>
        <v>9000</v>
      </c>
      <c r="F28" s="12">
        <f>+'Balance Sheet Yahoo Input'!E11/1000</f>
        <v>12000</v>
      </c>
      <c r="G28" s="12">
        <f>+'Balance Sheet Yahoo Input'!F11/1000</f>
        <v>14000</v>
      </c>
      <c r="H28" s="12">
        <f>+'Balance Sheet Yahoo Input'!G11/1000</f>
        <v>14000</v>
      </c>
      <c r="I28" s="12">
        <f>+'Balance Sheet Yahoo Input'!H11/1000</f>
        <v>28000</v>
      </c>
      <c r="J28" s="12">
        <f>+'Balance Sheet Yahoo Input'!I11/1000</f>
        <v>12000</v>
      </c>
      <c r="K28" s="12">
        <f>+'Balance Sheet Yahoo Input'!J11/1000</f>
        <v>17000</v>
      </c>
      <c r="L28" s="12">
        <f>+'Balance Sheet Yahoo Input'!K11/1000</f>
        <v>77000</v>
      </c>
      <c r="M28" s="12">
        <f>+'Balance Sheet Yahoo Input'!L11/1000</f>
        <v>80000</v>
      </c>
      <c r="N28" s="12">
        <f>+'Balance Sheet Yahoo Input'!M11/1000</f>
        <v>87000</v>
      </c>
    </row>
    <row r="29" spans="2:14" ht="11.5" customHeight="1">
      <c r="B29" s="8" t="s">
        <v>373</v>
      </c>
      <c r="C29" s="12">
        <f>+'Balance Sheet Yahoo Input'!B12/1000</f>
        <v>9000</v>
      </c>
      <c r="D29" s="12">
        <f>+'Balance Sheet Yahoo Input'!C12/1000</f>
        <v>175000</v>
      </c>
      <c r="E29" s="12">
        <f>+'Balance Sheet Yahoo Input'!D12/1000</f>
        <v>345000</v>
      </c>
      <c r="F29" s="12">
        <f>+'Balance Sheet Yahoo Input'!E12/1000</f>
        <v>162000</v>
      </c>
      <c r="G29" s="12">
        <f>+'Balance Sheet Yahoo Input'!F12/1000</f>
        <v>185000</v>
      </c>
      <c r="H29" s="12">
        <f>+'Balance Sheet Yahoo Input'!G12/1000</f>
        <v>177000</v>
      </c>
      <c r="I29" s="12">
        <f>+'Balance Sheet Yahoo Input'!H12/1000</f>
        <v>193000</v>
      </c>
      <c r="J29" s="12">
        <f>+'Balance Sheet Yahoo Input'!I12/1000</f>
        <v>215000</v>
      </c>
      <c r="K29" s="12">
        <f>+'Balance Sheet Yahoo Input'!J12/1000</f>
        <v>155000</v>
      </c>
      <c r="L29" s="12">
        <f>+'Balance Sheet Yahoo Input'!K12/1000</f>
        <v>134000</v>
      </c>
      <c r="M29" s="12">
        <f>+'Balance Sheet Yahoo Input'!L12/1000</f>
        <v>95000</v>
      </c>
      <c r="N29" s="12">
        <f>+'Balance Sheet Yahoo Input'!M12/1000</f>
        <v>107000</v>
      </c>
    </row>
    <row r="30" spans="2:14" ht="11.5" customHeight="1">
      <c r="B30" s="8" t="s">
        <v>374</v>
      </c>
      <c r="C30" s="12">
        <f>+'Balance Sheet Yahoo Input'!B13/1000</f>
        <v>163000</v>
      </c>
      <c r="D30" s="12">
        <f>+'Balance Sheet Yahoo Input'!C13/1000</f>
        <v>57000</v>
      </c>
      <c r="E30" s="12">
        <f>+'Balance Sheet Yahoo Input'!D13/1000</f>
        <v>11000</v>
      </c>
      <c r="F30" s="12">
        <f>+'Balance Sheet Yahoo Input'!E13/1000</f>
        <v>150000</v>
      </c>
      <c r="G30" s="12">
        <f>+'Balance Sheet Yahoo Input'!F13/1000</f>
        <v>33000</v>
      </c>
      <c r="H30" s="12">
        <f>+'Balance Sheet Yahoo Input'!G13/1000</f>
        <v>234000</v>
      </c>
      <c r="I30" s="12">
        <f>+'Balance Sheet Yahoo Input'!H13/1000</f>
        <v>76000</v>
      </c>
      <c r="J30" s="12">
        <f>+'Balance Sheet Yahoo Input'!I13/1000</f>
        <v>96000</v>
      </c>
      <c r="K30" s="12">
        <f>+'Balance Sheet Yahoo Input'!J13/1000</f>
        <v>359000</v>
      </c>
      <c r="L30" s="12">
        <f>+'Balance Sheet Yahoo Input'!K13/1000</f>
        <v>184000</v>
      </c>
      <c r="M30" s="12">
        <f>+'Balance Sheet Yahoo Input'!L13/1000</f>
        <v>72000</v>
      </c>
      <c r="N30" s="12">
        <f>+'Balance Sheet Yahoo Input'!M13/1000</f>
        <v>27000</v>
      </c>
    </row>
    <row r="31" spans="2:14" ht="11.5" customHeight="1">
      <c r="B31" s="8" t="s">
        <v>20</v>
      </c>
      <c r="C31" s="18">
        <f t="shared" ref="C31" si="16">SUM(C26:C30)</f>
        <v>2248000</v>
      </c>
      <c r="D31" s="18">
        <f>SUM(D26:D30)</f>
        <v>2062000</v>
      </c>
      <c r="E31" s="18">
        <f t="shared" ref="E31:N31" si="17">SUM(E26:E30)</f>
        <v>2563000</v>
      </c>
      <c r="F31" s="18">
        <f t="shared" si="17"/>
        <v>1706000</v>
      </c>
      <c r="G31" s="18">
        <f t="shared" si="17"/>
        <v>1345000</v>
      </c>
      <c r="H31" s="18">
        <f t="shared" si="17"/>
        <v>1327000</v>
      </c>
      <c r="I31" s="18">
        <f t="shared" si="17"/>
        <v>1139000</v>
      </c>
      <c r="J31" s="18">
        <f t="shared" si="17"/>
        <v>1124000</v>
      </c>
      <c r="K31" s="18">
        <f t="shared" si="17"/>
        <v>1620000</v>
      </c>
      <c r="L31" s="18">
        <f t="shared" si="17"/>
        <v>1152000</v>
      </c>
      <c r="M31" s="18">
        <f t="shared" si="17"/>
        <v>1705000</v>
      </c>
      <c r="N31" s="18">
        <f t="shared" si="17"/>
        <v>1568000</v>
      </c>
    </row>
    <row r="32" spans="2:14" ht="11.5" customHeight="1">
      <c r="B32" s="17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15" ht="11.5" customHeight="1">
      <c r="B33" s="14" t="s">
        <v>21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5" ht="11.5" customHeight="1">
      <c r="B34" s="8" t="s">
        <v>22</v>
      </c>
      <c r="C34" s="12">
        <f>+'Balance Sheet Yahoo Input'!B20/1000</f>
        <v>2731000</v>
      </c>
      <c r="D34" s="12">
        <f>+'Balance Sheet Yahoo Input'!C20/1000</f>
        <v>5612000</v>
      </c>
      <c r="E34" s="12">
        <f>+'Balance Sheet Yahoo Input'!D20/1000</f>
        <v>5948000</v>
      </c>
      <c r="F34" s="12">
        <f>+'Balance Sheet Yahoo Input'!E20/1000</f>
        <v>6098000</v>
      </c>
      <c r="G34" s="12">
        <f>+'Balance Sheet Yahoo Input'!F20/1000</f>
        <v>5847000</v>
      </c>
      <c r="H34" s="12">
        <f>+'Balance Sheet Yahoo Input'!G20/1000</f>
        <v>6332000</v>
      </c>
      <c r="I34" s="12">
        <f>+'Balance Sheet Yahoo Input'!H20/1000</f>
        <v>6634000</v>
      </c>
      <c r="J34" s="12">
        <f>+'Balance Sheet Yahoo Input'!I20/1000</f>
        <v>6252000</v>
      </c>
      <c r="K34" s="12">
        <f>+'Balance Sheet Yahoo Input'!J20/1000</f>
        <v>6208000</v>
      </c>
      <c r="L34" s="12">
        <f>+'Balance Sheet Yahoo Input'!K20/1000</f>
        <v>7016000</v>
      </c>
      <c r="M34" s="12">
        <f>+'Balance Sheet Yahoo Input'!L20/1000</f>
        <v>6351000</v>
      </c>
      <c r="N34" s="12">
        <f>+'Balance Sheet Yahoo Input'!M20/1000</f>
        <v>6083000</v>
      </c>
    </row>
    <row r="35" spans="2:15" ht="11.5" customHeight="1">
      <c r="B35" s="8" t="s">
        <v>23</v>
      </c>
      <c r="C35" s="12">
        <f>+C36-C34</f>
        <v>7037000</v>
      </c>
      <c r="D35" s="12">
        <f>+D36-D34</f>
        <v>-2318000</v>
      </c>
      <c r="E35" s="12">
        <f>+E36-E34</f>
        <v>-2348000</v>
      </c>
      <c r="F35" s="12">
        <f t="shared" ref="F35:I35" si="18">+F36-F34</f>
        <v>-2149000</v>
      </c>
      <c r="G35" s="12">
        <f t="shared" si="18"/>
        <v>-2239000</v>
      </c>
      <c r="H35" s="12">
        <f t="shared" si="18"/>
        <v>-2298000</v>
      </c>
      <c r="I35" s="12">
        <f t="shared" si="18"/>
        <v>-2364000</v>
      </c>
      <c r="J35" s="12">
        <f t="shared" ref="J35" si="19">+J36-J34</f>
        <v>-2221000</v>
      </c>
      <c r="K35" s="12">
        <f t="shared" ref="K35" si="20">+K36-K34</f>
        <v>-2022000</v>
      </c>
      <c r="L35" s="12">
        <f t="shared" ref="L35" si="21">+L36-L34</f>
        <v>-2345000</v>
      </c>
      <c r="M35" s="12">
        <f t="shared" ref="M35:N35" si="22">+M36-M34</f>
        <v>-2212000</v>
      </c>
      <c r="N35" s="12">
        <f t="shared" si="22"/>
        <v>-2040000</v>
      </c>
    </row>
    <row r="36" spans="2:15" ht="11.5" customHeight="1">
      <c r="B36" s="8" t="s">
        <v>24</v>
      </c>
      <c r="C36" s="18">
        <f>+'Balance Sheet Yahoo Input'!B19/1000</f>
        <v>9768000</v>
      </c>
      <c r="D36" s="18">
        <f>+'Balance Sheet Yahoo Input'!C19/1000</f>
        <v>3294000</v>
      </c>
      <c r="E36" s="18">
        <f>+'Balance Sheet Yahoo Input'!D19/1000</f>
        <v>3600000</v>
      </c>
      <c r="F36" s="18">
        <f>+'Balance Sheet Yahoo Input'!E19/1000</f>
        <v>3949000</v>
      </c>
      <c r="G36" s="18">
        <f>+'Balance Sheet Yahoo Input'!F19/1000</f>
        <v>3608000</v>
      </c>
      <c r="H36" s="18">
        <f>+'Balance Sheet Yahoo Input'!G19/1000</f>
        <v>4034000</v>
      </c>
      <c r="I36" s="18">
        <f>+'Balance Sheet Yahoo Input'!H19/1000</f>
        <v>4270000</v>
      </c>
      <c r="J36" s="18">
        <f>+'Balance Sheet Yahoo Input'!I19/1000</f>
        <v>4031000</v>
      </c>
      <c r="K36" s="18">
        <f>+'Balance Sheet Yahoo Input'!J19/1000</f>
        <v>4186000</v>
      </c>
      <c r="L36" s="18">
        <f>+'Balance Sheet Yahoo Input'!K19/1000</f>
        <v>4671000</v>
      </c>
      <c r="M36" s="18">
        <f>+'Balance Sheet Yahoo Input'!L19/1000</f>
        <v>4139000</v>
      </c>
      <c r="N36" s="18">
        <f>+'Balance Sheet Yahoo Input'!M19/1000</f>
        <v>4043000</v>
      </c>
    </row>
    <row r="37" spans="2:15" ht="11.5" customHeight="1">
      <c r="B37" s="8" t="s">
        <v>25</v>
      </c>
      <c r="C37" s="12">
        <f>+'Balance Sheet Yahoo Input'!B32/1000</f>
        <v>1749000</v>
      </c>
      <c r="D37" s="12">
        <f>+'Balance Sheet Yahoo Input'!C32/1000</f>
        <v>954000</v>
      </c>
      <c r="E37" s="12">
        <f>+'Balance Sheet Yahoo Input'!D32/1000</f>
        <v>980000</v>
      </c>
      <c r="F37" s="12">
        <f>+'Balance Sheet Yahoo Input'!E32/1000</f>
        <v>843000</v>
      </c>
      <c r="G37" s="12">
        <f>+'Balance Sheet Yahoo Input'!F32/1000</f>
        <v>735000</v>
      </c>
      <c r="H37" s="12">
        <f>+'Balance Sheet Yahoo Input'!G32/1000</f>
        <v>211000</v>
      </c>
      <c r="I37" s="12">
        <f>+'Balance Sheet Yahoo Input'!H32/1000</f>
        <v>186000</v>
      </c>
      <c r="J37" s="12">
        <f>+'Balance Sheet Yahoo Input'!I32/1000</f>
        <v>327000</v>
      </c>
      <c r="K37" s="12">
        <f>+'Balance Sheet Yahoo Input'!J32/1000</f>
        <v>334000</v>
      </c>
      <c r="L37" s="12">
        <f>+'Balance Sheet Yahoo Input'!K32/1000</f>
        <v>329000</v>
      </c>
      <c r="M37" s="12">
        <f>+'Balance Sheet Yahoo Input'!L32/1000</f>
        <v>293000</v>
      </c>
      <c r="N37" s="12">
        <f>+'Balance Sheet Yahoo Input'!M32/1000</f>
        <v>280000</v>
      </c>
    </row>
    <row r="38" spans="2:15" ht="11.5" customHeight="1">
      <c r="B38" s="8" t="s">
        <v>26</v>
      </c>
      <c r="C38" s="12">
        <f>+'Balance Sheet Yahoo Input'!B30/1000</f>
        <v>4869000</v>
      </c>
      <c r="D38" s="12">
        <f>+'Balance Sheet Yahoo Input'!C30/1000</f>
        <v>2965000</v>
      </c>
      <c r="E38" s="12">
        <f>+'Balance Sheet Yahoo Input'!D30/1000</f>
        <v>288000</v>
      </c>
      <c r="F38" s="12">
        <f>+'Balance Sheet Yahoo Input'!E30/1000</f>
        <v>326000</v>
      </c>
      <c r="G38" s="12">
        <f>+'Balance Sheet Yahoo Input'!F30/1000</f>
        <v>283000</v>
      </c>
      <c r="H38" s="12">
        <f>+'Balance Sheet Yahoo Input'!G30/1000</f>
        <v>150000</v>
      </c>
      <c r="I38" s="12">
        <f>+'Balance Sheet Yahoo Input'!H30/1000</f>
        <v>125000</v>
      </c>
      <c r="J38" s="12">
        <f>+'Balance Sheet Yahoo Input'!I30/1000</f>
        <v>129000</v>
      </c>
      <c r="K38" s="12">
        <f>+'Balance Sheet Yahoo Input'!J30/1000</f>
        <v>133000</v>
      </c>
      <c r="L38" s="12">
        <f>+'Balance Sheet Yahoo Input'!K30/1000</f>
        <v>147000</v>
      </c>
      <c r="M38" s="12">
        <f>+'Balance Sheet Yahoo Input'!L30/1000</f>
        <v>133000</v>
      </c>
      <c r="N38" s="12">
        <f>+'Balance Sheet Yahoo Input'!M30/1000</f>
        <v>102000</v>
      </c>
    </row>
    <row r="39" spans="2:15" ht="11.5" customHeight="1">
      <c r="B39" s="8" t="s">
        <v>27</v>
      </c>
      <c r="C39" s="12">
        <f>+'Balance Sheet Yahoo Input'!B31/1000</f>
        <v>3120000</v>
      </c>
      <c r="D39" s="12">
        <f>+'Balance Sheet Yahoo Input'!C31/1000</f>
        <v>1977000</v>
      </c>
      <c r="E39" s="12">
        <f>+'Balance Sheet Yahoo Input'!D31/1000</f>
        <v>385000</v>
      </c>
      <c r="F39" s="12">
        <f>+'Balance Sheet Yahoo Input'!E31/1000</f>
        <v>437000</v>
      </c>
      <c r="G39" s="12">
        <f>+'Balance Sheet Yahoo Input'!F31/1000</f>
        <v>628000</v>
      </c>
      <c r="H39" s="12">
        <f>+'Balance Sheet Yahoo Input'!G31/1000</f>
        <v>683000</v>
      </c>
      <c r="I39" s="12">
        <f>+'Balance Sheet Yahoo Input'!H31/1000</f>
        <v>599000</v>
      </c>
      <c r="J39" s="12">
        <f>+'Balance Sheet Yahoo Input'!I31/1000</f>
        <v>547000</v>
      </c>
      <c r="K39" s="12">
        <f>+'Balance Sheet Yahoo Input'!J31/1000</f>
        <v>552000</v>
      </c>
      <c r="L39" s="12">
        <f>+'Balance Sheet Yahoo Input'!K31/1000</f>
        <v>591000</v>
      </c>
      <c r="M39" s="12">
        <f>+'Balance Sheet Yahoo Input'!L31/1000</f>
        <v>388000</v>
      </c>
      <c r="N39" s="12">
        <f>+'Balance Sheet Yahoo Input'!M31/1000</f>
        <v>359000</v>
      </c>
    </row>
    <row r="40" spans="2:15" ht="11.5" customHeight="1">
      <c r="B40" s="8" t="s">
        <v>28</v>
      </c>
      <c r="C40" s="15">
        <f>+C42-C39-C38-C37-C36-C31</f>
        <v>-9352000</v>
      </c>
      <c r="D40" s="15">
        <f>+D42-D39-D38-D37-D36-D31</f>
        <v>1351000</v>
      </c>
      <c r="E40" s="15">
        <f>+E42-E39-E38-E37-E36-E31</f>
        <v>1313000</v>
      </c>
      <c r="F40" s="15">
        <f t="shared" ref="F40:I40" si="23">+F42-F39-F38-F37-F36-F31</f>
        <v>1156000</v>
      </c>
      <c r="G40" s="15">
        <f t="shared" si="23"/>
        <v>1044000</v>
      </c>
      <c r="H40" s="15">
        <f t="shared" si="23"/>
        <v>1267000</v>
      </c>
      <c r="I40" s="15">
        <f t="shared" si="23"/>
        <v>1430000</v>
      </c>
      <c r="J40" s="15">
        <f t="shared" ref="J40" si="24">+J42-J39-J38-J37-J36-J31</f>
        <v>1438000</v>
      </c>
      <c r="K40" s="15">
        <f t="shared" ref="K40" si="25">+K42-K39-K38-K37-K36-K31</f>
        <v>1318000</v>
      </c>
      <c r="L40" s="15">
        <f t="shared" ref="L40" si="26">+L42-L39-L38-L37-L36-L31</f>
        <v>1287000</v>
      </c>
      <c r="M40" s="15">
        <f t="shared" ref="M40:N40" si="27">+M42-M39-M38-M37-M36-M31</f>
        <v>982000</v>
      </c>
      <c r="N40" s="15">
        <f t="shared" si="27"/>
        <v>1155000</v>
      </c>
      <c r="O40" s="212" t="s">
        <v>375</v>
      </c>
    </row>
    <row r="41" spans="2:15" ht="11.5" customHeight="1">
      <c r="B41" s="8" t="s">
        <v>29</v>
      </c>
      <c r="C41" s="12">
        <f>SUM(C36:C40)</f>
        <v>10154000</v>
      </c>
      <c r="D41" s="12">
        <f>SUM(D36:D40)</f>
        <v>10541000</v>
      </c>
      <c r="E41" s="12">
        <f>SUM(E36:E40)</f>
        <v>6566000</v>
      </c>
      <c r="F41" s="12">
        <f t="shared" ref="F41:I41" si="28">SUM(F36:F40)</f>
        <v>6711000</v>
      </c>
      <c r="G41" s="12">
        <f t="shared" si="28"/>
        <v>6298000</v>
      </c>
      <c r="H41" s="12">
        <f t="shared" si="28"/>
        <v>6345000</v>
      </c>
      <c r="I41" s="12">
        <f t="shared" si="28"/>
        <v>6610000</v>
      </c>
      <c r="J41" s="12">
        <f t="shared" ref="J41" si="29">SUM(J36:J40)</f>
        <v>6472000</v>
      </c>
      <c r="K41" s="12">
        <f t="shared" ref="K41" si="30">SUM(K36:K40)</f>
        <v>6523000</v>
      </c>
      <c r="L41" s="12">
        <f t="shared" ref="L41" si="31">SUM(L36:L40)</f>
        <v>7025000</v>
      </c>
      <c r="M41" s="12">
        <f t="shared" ref="M41:N41" si="32">SUM(M36:M40)</f>
        <v>5935000</v>
      </c>
      <c r="N41" s="12">
        <f t="shared" si="32"/>
        <v>5939000</v>
      </c>
    </row>
    <row r="42" spans="2:15" ht="11.5" customHeight="1" thickBot="1">
      <c r="B42" s="7" t="s">
        <v>30</v>
      </c>
      <c r="C42" s="19">
        <f>+'Balance Sheet Yahoo Input'!B2/1000</f>
        <v>12402000</v>
      </c>
      <c r="D42" s="19">
        <f>+'Balance Sheet Yahoo Input'!C2/1000</f>
        <v>12603000</v>
      </c>
      <c r="E42" s="19">
        <f>+'Balance Sheet Yahoo Input'!D2/1000</f>
        <v>9129000</v>
      </c>
      <c r="F42" s="19">
        <f>+'Balance Sheet Yahoo Input'!E2/1000</f>
        <v>8417000</v>
      </c>
      <c r="G42" s="19">
        <f>+'Balance Sheet Yahoo Input'!F2/1000</f>
        <v>7643000</v>
      </c>
      <c r="H42" s="19">
        <f>+'Balance Sheet Yahoo Input'!G2/1000</f>
        <v>7672000</v>
      </c>
      <c r="I42" s="19">
        <f>+'Balance Sheet Yahoo Input'!H2/1000</f>
        <v>7749000</v>
      </c>
      <c r="J42" s="19">
        <f>+'Balance Sheet Yahoo Input'!I2/1000</f>
        <v>7596000</v>
      </c>
      <c r="K42" s="19">
        <f>+'Balance Sheet Yahoo Input'!J2/1000</f>
        <v>8143000</v>
      </c>
      <c r="L42" s="19">
        <f>+'Balance Sheet Yahoo Input'!K2/1000</f>
        <v>8177000</v>
      </c>
      <c r="M42" s="19">
        <f>+'Balance Sheet Yahoo Input'!L2/1000</f>
        <v>7640000</v>
      </c>
      <c r="N42" s="19">
        <f>+'Balance Sheet Yahoo Input'!M2/1000</f>
        <v>7507000</v>
      </c>
    </row>
    <row r="43" spans="2:15" ht="11.5" customHeight="1" thickTop="1">
      <c r="B43" s="17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5" ht="11.5" customHeight="1">
      <c r="B44" s="216" t="s">
        <v>31</v>
      </c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</row>
    <row r="45" spans="2:15" ht="11.5" customHeight="1">
      <c r="B45" s="8" t="s">
        <v>32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2:15" ht="11.5" customHeight="1">
      <c r="B46" s="8" t="s">
        <v>33</v>
      </c>
      <c r="C46" s="12">
        <f>+'Balance Sheet Yahoo Input'!B46/1000</f>
        <v>402000</v>
      </c>
      <c r="D46" s="12">
        <f>+'Balance Sheet Yahoo Input'!C46/1000</f>
        <v>523000</v>
      </c>
      <c r="E46" s="12">
        <f>+'Balance Sheet Yahoo Input'!D46/1000</f>
        <v>102000</v>
      </c>
      <c r="F46" s="12">
        <f>+'Balance Sheet Yahoo Input'!E46/1000</f>
        <v>150000</v>
      </c>
      <c r="G46" s="12">
        <f>+'Balance Sheet Yahoo Input'!F46/1000</f>
        <v>151000</v>
      </c>
      <c r="H46" s="12">
        <f>+'Balance Sheet Yahoo Input'!G46/1000</f>
        <v>175000</v>
      </c>
      <c r="I46" s="12">
        <f>+'Balance Sheet Yahoo Input'!H46/1000</f>
        <v>162000</v>
      </c>
      <c r="J46" s="12">
        <f>+'Balance Sheet Yahoo Input'!I46/1000</f>
        <v>141000</v>
      </c>
      <c r="K46" s="12">
        <f>+'Balance Sheet Yahoo Input'!J46/1000</f>
        <v>130000</v>
      </c>
      <c r="L46" s="12">
        <f>+'Balance Sheet Yahoo Input'!K46/1000</f>
        <v>133000</v>
      </c>
      <c r="M46" s="12">
        <f>+'Balance Sheet Yahoo Input'!L46/1000</f>
        <v>138000</v>
      </c>
      <c r="N46" s="12">
        <f>+'Balance Sheet Yahoo Input'!M46/1000</f>
        <v>144000</v>
      </c>
    </row>
    <row r="47" spans="2:15" ht="11.5" customHeight="1">
      <c r="B47" s="8" t="s">
        <v>34</v>
      </c>
      <c r="C47" s="12">
        <f>+'Balance Sheet Yahoo Input'!B49/1000</f>
        <v>0</v>
      </c>
      <c r="D47" s="12">
        <f>+'Balance Sheet Yahoo Input'!C49/1000</f>
        <v>299000</v>
      </c>
      <c r="E47" s="12">
        <f>+'Balance Sheet Yahoo Input'!D49/1000</f>
        <v>200000</v>
      </c>
      <c r="F47" s="12">
        <f>+'Balance Sheet Yahoo Input'!E49/1000</f>
        <v>304000</v>
      </c>
      <c r="G47" s="12">
        <f>+'Balance Sheet Yahoo Input'!F49/1000</f>
        <v>361000</v>
      </c>
      <c r="H47" s="12">
        <f>+'Balance Sheet Yahoo Input'!G49/1000</f>
        <v>635000</v>
      </c>
      <c r="I47" s="12">
        <f>+'Balance Sheet Yahoo Input'!H49/1000</f>
        <v>514000</v>
      </c>
      <c r="J47" s="12">
        <f>+'Balance Sheet Yahoo Input'!I49/1000</f>
        <v>516000</v>
      </c>
      <c r="K47" s="12">
        <f>+'Balance Sheet Yahoo Input'!J49/1000</f>
        <v>468000</v>
      </c>
      <c r="L47" s="12">
        <f>+'Balance Sheet Yahoo Input'!K49/1000</f>
        <v>411000</v>
      </c>
      <c r="M47" s="12">
        <f>+'Balance Sheet Yahoo Input'!L49/1000</f>
        <v>338000</v>
      </c>
      <c r="N47" s="12">
        <f>+'Balance Sheet Yahoo Input'!M49/1000</f>
        <v>306000</v>
      </c>
    </row>
    <row r="48" spans="2:15" ht="11.5" customHeight="1">
      <c r="B48" s="8" t="s">
        <v>376</v>
      </c>
      <c r="C48" s="12">
        <v>2789000</v>
      </c>
      <c r="D48" s="12">
        <f t="shared" ref="D48:N48" si="33">+D50-D46-D47-D49</f>
        <v>1400000</v>
      </c>
      <c r="E48" s="12">
        <f t="shared" si="33"/>
        <v>422000</v>
      </c>
      <c r="F48" s="12">
        <f t="shared" si="33"/>
        <v>621000</v>
      </c>
      <c r="G48" s="12">
        <f t="shared" si="33"/>
        <v>549000</v>
      </c>
      <c r="H48" s="12">
        <f t="shared" si="33"/>
        <v>156000</v>
      </c>
      <c r="I48" s="12">
        <f t="shared" si="33"/>
        <v>248000</v>
      </c>
      <c r="J48" s="12">
        <f t="shared" si="33"/>
        <v>450000</v>
      </c>
      <c r="K48" s="12">
        <f t="shared" si="33"/>
        <v>132000</v>
      </c>
      <c r="L48" s="12">
        <f t="shared" si="33"/>
        <v>327000</v>
      </c>
      <c r="M48" s="12">
        <f t="shared" si="33"/>
        <v>142000</v>
      </c>
      <c r="N48" s="12">
        <f t="shared" si="33"/>
        <v>118000</v>
      </c>
      <c r="O48" s="212" t="s">
        <v>377</v>
      </c>
    </row>
    <row r="49" spans="2:15" ht="11.5" customHeight="1">
      <c r="B49" s="8" t="s">
        <v>35</v>
      </c>
      <c r="C49" s="12">
        <f>+'Balance Sheet Yahoo Input'!B53/1000</f>
        <v>654000</v>
      </c>
      <c r="D49" s="12">
        <f>+'Balance Sheet Yahoo Input'!C53/1000</f>
        <v>10000</v>
      </c>
      <c r="E49" s="12">
        <f>+'Balance Sheet Yahoo Input'!D53/1000</f>
        <v>260000</v>
      </c>
      <c r="F49" s="12">
        <f>+'Balance Sheet Yahoo Input'!E53/1000</f>
        <v>11000</v>
      </c>
      <c r="G49" s="12">
        <f>+'Balance Sheet Yahoo Input'!F53/1000</f>
        <v>0</v>
      </c>
      <c r="H49" s="12">
        <f>+'Balance Sheet Yahoo Input'!G53/1000</f>
        <v>0</v>
      </c>
      <c r="I49" s="12">
        <f>+'Balance Sheet Yahoo Input'!H53/1000</f>
        <v>0</v>
      </c>
      <c r="J49" s="12">
        <f>+'Balance Sheet Yahoo Input'!I53/1000</f>
        <v>0</v>
      </c>
      <c r="K49" s="12">
        <f>+'Balance Sheet Yahoo Input'!J53/1000</f>
        <v>0</v>
      </c>
      <c r="L49" s="12">
        <f>+'Balance Sheet Yahoo Input'!K53/1000</f>
        <v>0</v>
      </c>
      <c r="M49" s="12">
        <f>+'Balance Sheet Yahoo Input'!L53/1000</f>
        <v>0</v>
      </c>
      <c r="N49" s="12">
        <f>+'Balance Sheet Yahoo Input'!M53/1000</f>
        <v>0</v>
      </c>
    </row>
    <row r="50" spans="2:15" ht="11.5" customHeight="1">
      <c r="B50" s="8" t="s">
        <v>36</v>
      </c>
      <c r="C50" s="18">
        <f>+C49+C48+C47+C46</f>
        <v>3845000</v>
      </c>
      <c r="D50" s="18">
        <f>+'Balance Sheet Yahoo Input'!C43/1000</f>
        <v>2232000</v>
      </c>
      <c r="E50" s="18">
        <f>+'Balance Sheet Yahoo Input'!D43/1000</f>
        <v>984000</v>
      </c>
      <c r="F50" s="18">
        <f>+'Balance Sheet Yahoo Input'!E43/1000</f>
        <v>1086000</v>
      </c>
      <c r="G50" s="18">
        <f>+'Balance Sheet Yahoo Input'!F43/1000</f>
        <v>1061000</v>
      </c>
      <c r="H50" s="18">
        <f>+'Balance Sheet Yahoo Input'!G43/1000</f>
        <v>966000</v>
      </c>
      <c r="I50" s="18">
        <f>+'Balance Sheet Yahoo Input'!H43/1000</f>
        <v>924000</v>
      </c>
      <c r="J50" s="18">
        <f>+'Balance Sheet Yahoo Input'!I43/1000</f>
        <v>1107000</v>
      </c>
      <c r="K50" s="18">
        <f>+'Balance Sheet Yahoo Input'!J43/1000</f>
        <v>730000</v>
      </c>
      <c r="L50" s="18">
        <f>+'Balance Sheet Yahoo Input'!K43/1000</f>
        <v>871000</v>
      </c>
      <c r="M50" s="18">
        <f>+'Balance Sheet Yahoo Input'!L43/1000</f>
        <v>618000</v>
      </c>
      <c r="N50" s="18">
        <f>+'Balance Sheet Yahoo Input'!M43/1000</f>
        <v>568000</v>
      </c>
    </row>
    <row r="51" spans="2:15" ht="11.5" customHeight="1">
      <c r="B51" s="2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2:15" ht="11.5" customHeight="1">
      <c r="B52" s="14" t="s">
        <v>37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5" ht="11.5" customHeight="1">
      <c r="B53" s="8" t="s">
        <v>38</v>
      </c>
      <c r="C53" s="12">
        <f>+'Balance Sheet Yahoo Input'!B61/1000</f>
        <v>3443000</v>
      </c>
      <c r="D53" s="12">
        <f>+'Balance Sheet Yahoo Input'!C61/1000</f>
        <v>3968000</v>
      </c>
      <c r="E53" s="12">
        <f>+'Balance Sheet Yahoo Input'!D61/1000</f>
        <v>2984000</v>
      </c>
      <c r="F53" s="12">
        <f>+'Balance Sheet Yahoo Input'!E61/1000</f>
        <v>1612000</v>
      </c>
      <c r="G53" s="12">
        <f>+'Balance Sheet Yahoo Input'!F61/1000</f>
        <v>1623000</v>
      </c>
      <c r="H53" s="12">
        <f>+'Balance Sheet Yahoo Input'!G61/1000</f>
        <v>1440000</v>
      </c>
      <c r="I53" s="12">
        <f>+'Balance Sheet Yahoo Input'!H61/1000</f>
        <v>1445000</v>
      </c>
      <c r="J53" s="12">
        <f>+'Balance Sheet Yahoo Input'!I61/1000</f>
        <v>1047000</v>
      </c>
      <c r="K53" s="12">
        <f>+'Balance Sheet Yahoo Input'!J61/1000</f>
        <v>1381000</v>
      </c>
      <c r="L53" s="12">
        <f>+'Balance Sheet Yahoo Input'!K61/1000</f>
        <v>1289000</v>
      </c>
      <c r="M53" s="12">
        <f>+'Balance Sheet Yahoo Input'!L61/1000</f>
        <v>1229000</v>
      </c>
      <c r="N53" s="12">
        <f>+'Balance Sheet Yahoo Input'!M61/1000</f>
        <v>1221000</v>
      </c>
    </row>
    <row r="54" spans="2:15" ht="11.5" customHeight="1">
      <c r="B54" s="8" t="s">
        <v>39</v>
      </c>
      <c r="C54" s="12">
        <f>+'Balance Sheet Yahoo Input'!B64/1000</f>
        <v>1958000</v>
      </c>
      <c r="D54" s="12">
        <f>+'Balance Sheet Yahoo Input'!C64/1000</f>
        <v>93000</v>
      </c>
      <c r="E54" s="12">
        <f>+'Balance Sheet Yahoo Input'!D64/1000</f>
        <v>48000</v>
      </c>
      <c r="F54" s="12">
        <f>+'Balance Sheet Yahoo Input'!E64/1000</f>
        <v>47000</v>
      </c>
      <c r="G54" s="12">
        <f>+'Balance Sheet Yahoo Input'!F64/1000</f>
        <v>54000</v>
      </c>
      <c r="H54" s="12">
        <f>+'Balance Sheet Yahoo Input'!G64/1000</f>
        <v>62000</v>
      </c>
      <c r="I54" s="12">
        <f>+'Balance Sheet Yahoo Input'!H64/1000</f>
        <v>57000</v>
      </c>
      <c r="J54" s="12">
        <f>+'Balance Sheet Yahoo Input'!I64/1000</f>
        <v>59000</v>
      </c>
      <c r="K54" s="12">
        <f>+'Balance Sheet Yahoo Input'!J64/1000</f>
        <v>66000</v>
      </c>
      <c r="L54" s="12">
        <f>+'Balance Sheet Yahoo Input'!K64/1000</f>
        <v>74000</v>
      </c>
      <c r="M54" s="12">
        <f>+'Balance Sheet Yahoo Input'!L64/1000</f>
        <v>80000</v>
      </c>
      <c r="N54" s="12">
        <f>+'Balance Sheet Yahoo Input'!M64/1000</f>
        <v>0</v>
      </c>
    </row>
    <row r="55" spans="2:15" ht="11.5" customHeight="1">
      <c r="B55" s="8" t="s">
        <v>378</v>
      </c>
      <c r="C55" s="15"/>
      <c r="D55" s="15">
        <f>+D57-D54-D53-D50</f>
        <v>2744000</v>
      </c>
      <c r="E55" s="15">
        <f t="shared" ref="E55:N55" si="34">+E57-E54-E53-E50</f>
        <v>1899000</v>
      </c>
      <c r="F55" s="15">
        <f t="shared" si="34"/>
        <v>1705000</v>
      </c>
      <c r="G55" s="15">
        <f t="shared" si="34"/>
        <v>1228000</v>
      </c>
      <c r="H55" s="15">
        <f t="shared" si="34"/>
        <v>1663000</v>
      </c>
      <c r="I55" s="15">
        <f t="shared" si="34"/>
        <v>1415000</v>
      </c>
      <c r="J55" s="15">
        <f t="shared" si="34"/>
        <v>1388000</v>
      </c>
      <c r="K55" s="15">
        <f t="shared" si="34"/>
        <v>1335000</v>
      </c>
      <c r="L55" s="15">
        <f t="shared" si="34"/>
        <v>1166000</v>
      </c>
      <c r="M55" s="15">
        <f t="shared" si="34"/>
        <v>882000</v>
      </c>
      <c r="N55" s="15">
        <f t="shared" si="34"/>
        <v>890000</v>
      </c>
    </row>
    <row r="56" spans="2:15" ht="11.5" customHeight="1">
      <c r="B56" s="8" t="s">
        <v>40</v>
      </c>
      <c r="C56" s="12">
        <f>SUM(C53:C55)</f>
        <v>5401000</v>
      </c>
      <c r="D56" s="12">
        <f>SUM(D53:D55)</f>
        <v>6805000</v>
      </c>
      <c r="E56" s="12">
        <f t="shared" ref="E56:N56" si="35">SUM(E53:E55)</f>
        <v>4931000</v>
      </c>
      <c r="F56" s="12">
        <f t="shared" si="35"/>
        <v>3364000</v>
      </c>
      <c r="G56" s="12">
        <f t="shared" si="35"/>
        <v>2905000</v>
      </c>
      <c r="H56" s="12">
        <f t="shared" si="35"/>
        <v>3165000</v>
      </c>
      <c r="I56" s="12">
        <f t="shared" si="35"/>
        <v>2917000</v>
      </c>
      <c r="J56" s="12">
        <f t="shared" si="35"/>
        <v>2494000</v>
      </c>
      <c r="K56" s="12">
        <f t="shared" si="35"/>
        <v>2782000</v>
      </c>
      <c r="L56" s="12">
        <f t="shared" si="35"/>
        <v>2529000</v>
      </c>
      <c r="M56" s="12">
        <f t="shared" si="35"/>
        <v>2191000</v>
      </c>
      <c r="N56" s="12">
        <f t="shared" si="35"/>
        <v>2111000</v>
      </c>
    </row>
    <row r="57" spans="2:15" ht="11.5" customHeight="1">
      <c r="B57" s="8" t="s">
        <v>41</v>
      </c>
      <c r="C57" s="18">
        <f>+C56+C50</f>
        <v>9246000</v>
      </c>
      <c r="D57" s="18">
        <f>+'Balance Sheet Yahoo Input'!C42/1000</f>
        <v>9037000</v>
      </c>
      <c r="E57" s="18">
        <f>+'Balance Sheet Yahoo Input'!D42/1000</f>
        <v>5915000</v>
      </c>
      <c r="F57" s="18">
        <f>+'Balance Sheet Yahoo Input'!E42/1000</f>
        <v>4450000</v>
      </c>
      <c r="G57" s="18">
        <f>+'Balance Sheet Yahoo Input'!F42/1000</f>
        <v>3966000</v>
      </c>
      <c r="H57" s="18">
        <f>+'Balance Sheet Yahoo Input'!G42/1000</f>
        <v>4131000</v>
      </c>
      <c r="I57" s="18">
        <f>+'Balance Sheet Yahoo Input'!H42/1000</f>
        <v>3841000</v>
      </c>
      <c r="J57" s="18">
        <f>+'Balance Sheet Yahoo Input'!I42/1000</f>
        <v>3601000</v>
      </c>
      <c r="K57" s="18">
        <f>+'Balance Sheet Yahoo Input'!J42/1000</f>
        <v>3512000</v>
      </c>
      <c r="L57" s="18">
        <f>+'Balance Sheet Yahoo Input'!K42/1000</f>
        <v>3400000</v>
      </c>
      <c r="M57" s="18">
        <f>+'Balance Sheet Yahoo Input'!L42/1000</f>
        <v>2809000</v>
      </c>
      <c r="N57" s="18">
        <f>+'Balance Sheet Yahoo Input'!M42/1000</f>
        <v>2679000</v>
      </c>
    </row>
    <row r="58" spans="2:15" ht="11.5" customHeight="1">
      <c r="B58" s="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5" ht="11.5" customHeight="1">
      <c r="B59" s="14" t="s">
        <v>380</v>
      </c>
      <c r="C59" s="12">
        <f>+'Balance Sheet Yahoo Input'!B80/1000</f>
        <v>-290000</v>
      </c>
      <c r="D59" s="12">
        <f>+'Balance Sheet Yahoo Input'!C80/1000</f>
        <v>3000</v>
      </c>
      <c r="E59" s="12">
        <f>+'Balance Sheet Yahoo Input'!D80/1000</f>
        <v>3000</v>
      </c>
      <c r="F59" s="12">
        <f>+'Balance Sheet Yahoo Input'!E80/1000</f>
        <v>5000</v>
      </c>
      <c r="G59" s="12">
        <f>+'Balance Sheet Yahoo Input'!F80/1000</f>
        <v>7000</v>
      </c>
      <c r="H59" s="12">
        <f>+'Balance Sheet Yahoo Input'!G80/1000</f>
        <v>16000</v>
      </c>
      <c r="I59" s="12">
        <f>+'Balance Sheet Yahoo Input'!H80/1000</f>
        <v>5000</v>
      </c>
      <c r="J59" s="12">
        <f>+'Balance Sheet Yahoo Input'!I80/1000</f>
        <v>4000</v>
      </c>
      <c r="K59" s="12">
        <f>+'Balance Sheet Yahoo Input'!J80/1000</f>
        <v>4000</v>
      </c>
      <c r="L59" s="12">
        <f>+'Balance Sheet Yahoo Input'!K80/1000</f>
        <v>8000</v>
      </c>
      <c r="M59" s="12">
        <f>+'Balance Sheet Yahoo Input'!L80/1000</f>
        <v>10000</v>
      </c>
      <c r="N59" s="12">
        <f>+'Balance Sheet Yahoo Input'!M80/1000</f>
        <v>10000</v>
      </c>
    </row>
    <row r="60" spans="2:15" ht="11.5" customHeight="1">
      <c r="B60" s="8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5" ht="11.5" customHeight="1">
      <c r="B61" s="216" t="s">
        <v>42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</row>
    <row r="62" spans="2:15" ht="11.5" customHeight="1">
      <c r="B62" s="8" t="s">
        <v>43</v>
      </c>
      <c r="C62" s="12">
        <f>+'Balance Sheet Yahoo Input'!B74/1000</f>
        <v>0</v>
      </c>
      <c r="D62" s="12">
        <f>+'Balance Sheet Yahoo Input'!C74/1000</f>
        <v>1000</v>
      </c>
      <c r="E62" s="12">
        <f>+'Balance Sheet Yahoo Input'!D74/1000</f>
        <v>1000</v>
      </c>
      <c r="F62" s="12">
        <f>+'Balance Sheet Yahoo Input'!E74/1000</f>
        <v>1000</v>
      </c>
      <c r="G62" s="12">
        <f>+'Balance Sheet Yahoo Input'!F74/1000</f>
        <v>1000</v>
      </c>
      <c r="H62" s="12">
        <f>+'Balance Sheet Yahoo Input'!G74/1000</f>
        <v>1000</v>
      </c>
      <c r="I62" s="12">
        <f>+'Balance Sheet Yahoo Input'!H74/1000</f>
        <v>1000</v>
      </c>
      <c r="J62" s="12">
        <f>+'Balance Sheet Yahoo Input'!I74/1000</f>
        <v>1000</v>
      </c>
      <c r="K62" s="12">
        <f>+'Balance Sheet Yahoo Input'!J74/1000</f>
        <v>2000</v>
      </c>
      <c r="L62" s="12">
        <f>+'Balance Sheet Yahoo Input'!K74/1000</f>
        <v>2000</v>
      </c>
      <c r="M62" s="12">
        <f>+'Balance Sheet Yahoo Input'!L74/1000</f>
        <v>2000</v>
      </c>
      <c r="N62" s="12">
        <f>+'Balance Sheet Yahoo Input'!M74/1000</f>
        <v>2000</v>
      </c>
    </row>
    <row r="63" spans="2:15" ht="11.5" customHeight="1">
      <c r="B63" s="8" t="s">
        <v>379</v>
      </c>
      <c r="C63" s="12">
        <f>+C42-C64-C62-C57</f>
        <v>2752000</v>
      </c>
      <c r="D63" s="12">
        <f t="shared" ref="D63:N63" si="36">+D65-D62-D64</f>
        <v>395000</v>
      </c>
      <c r="E63" s="12">
        <f t="shared" si="36"/>
        <v>-179000</v>
      </c>
      <c r="F63" s="12">
        <f t="shared" si="36"/>
        <v>-209000</v>
      </c>
      <c r="G63" s="12">
        <f t="shared" si="36"/>
        <v>-150000</v>
      </c>
      <c r="H63" s="12">
        <f t="shared" si="36"/>
        <v>782000</v>
      </c>
      <c r="I63" s="12">
        <f t="shared" si="36"/>
        <v>1409000</v>
      </c>
      <c r="J63" s="12">
        <f t="shared" si="36"/>
        <v>1701000</v>
      </c>
      <c r="K63" s="12">
        <f t="shared" si="36"/>
        <v>2460000</v>
      </c>
      <c r="L63" s="12">
        <f t="shared" si="36"/>
        <v>2946000</v>
      </c>
      <c r="M63" s="12">
        <f t="shared" si="36"/>
        <v>3214000</v>
      </c>
      <c r="N63" s="12">
        <f t="shared" si="36"/>
        <v>3299000</v>
      </c>
      <c r="O63" s="212" t="s">
        <v>377</v>
      </c>
    </row>
    <row r="64" spans="2:15" ht="11.5" customHeight="1">
      <c r="B64" s="8" t="s">
        <v>44</v>
      </c>
      <c r="C64" s="12">
        <f>+'Balance Sheet Yahoo Input'!B76/1000</f>
        <v>404000</v>
      </c>
      <c r="D64" s="12">
        <f>+'Balance Sheet Yahoo Input'!C76/1000</f>
        <v>3167000</v>
      </c>
      <c r="E64" s="12">
        <f>+'Balance Sheet Yahoo Input'!D76/1000</f>
        <v>3389000</v>
      </c>
      <c r="F64" s="12">
        <f>+'Balance Sheet Yahoo Input'!E76/1000</f>
        <v>4170000</v>
      </c>
      <c r="G64" s="12">
        <f>+'Balance Sheet Yahoo Input'!F76/1000</f>
        <v>3819000</v>
      </c>
      <c r="H64" s="12">
        <f>+'Balance Sheet Yahoo Input'!G76/1000</f>
        <v>2742000</v>
      </c>
      <c r="I64" s="12">
        <f>+'Balance Sheet Yahoo Input'!H76/1000</f>
        <v>2493000</v>
      </c>
      <c r="J64" s="12">
        <f>+'Balance Sheet Yahoo Input'!I76/1000</f>
        <v>2289000</v>
      </c>
      <c r="K64" s="12">
        <f>+'Balance Sheet Yahoo Input'!J76/1000</f>
        <v>2165000</v>
      </c>
      <c r="L64" s="12">
        <f>+'Balance Sheet Yahoo Input'!K76/1000</f>
        <v>1821000</v>
      </c>
      <c r="M64" s="12">
        <f>+'Balance Sheet Yahoo Input'!L76/1000</f>
        <v>1605000</v>
      </c>
      <c r="N64" s="12">
        <f>+'Balance Sheet Yahoo Input'!M76/1000</f>
        <v>1517000</v>
      </c>
    </row>
    <row r="65" spans="2:14" ht="11.5" customHeight="1">
      <c r="B65" s="8" t="s">
        <v>45</v>
      </c>
      <c r="C65" s="18">
        <f>+'Balance Sheet Yahoo Input'!B71/1000</f>
        <v>3446000</v>
      </c>
      <c r="D65" s="18">
        <f>+'Balance Sheet Yahoo Input'!C71/1000</f>
        <v>3563000</v>
      </c>
      <c r="E65" s="18">
        <f>+'Balance Sheet Yahoo Input'!D71/1000</f>
        <v>3211000</v>
      </c>
      <c r="F65" s="18">
        <f>+'Balance Sheet Yahoo Input'!E71/1000</f>
        <v>3962000</v>
      </c>
      <c r="G65" s="18">
        <f>+'Balance Sheet Yahoo Input'!F71/1000</f>
        <v>3670000</v>
      </c>
      <c r="H65" s="18">
        <f>+'Balance Sheet Yahoo Input'!G71/1000</f>
        <v>3525000</v>
      </c>
      <c r="I65" s="18">
        <f>+'Balance Sheet Yahoo Input'!H71/1000</f>
        <v>3903000</v>
      </c>
      <c r="J65" s="18">
        <f>+'Balance Sheet Yahoo Input'!I71/1000</f>
        <v>3991000</v>
      </c>
      <c r="K65" s="18">
        <f>+'Balance Sheet Yahoo Input'!J71/1000</f>
        <v>4627000</v>
      </c>
      <c r="L65" s="18">
        <f>+'Balance Sheet Yahoo Input'!K71/1000</f>
        <v>4769000</v>
      </c>
      <c r="M65" s="18">
        <f>+'Balance Sheet Yahoo Input'!L71/1000</f>
        <v>4821000</v>
      </c>
      <c r="N65" s="18">
        <f>+'Balance Sheet Yahoo Input'!M71/1000</f>
        <v>4818000</v>
      </c>
    </row>
    <row r="66" spans="2:14" ht="11.5" customHeight="1">
      <c r="B66" s="20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2:14" ht="11.5" customHeight="1" thickBot="1">
      <c r="B67" s="21" t="s">
        <v>46</v>
      </c>
      <c r="C67" s="19">
        <f>+C65+C57+C59</f>
        <v>12402000</v>
      </c>
      <c r="D67" s="19">
        <f t="shared" ref="D67:N67" si="37">+D65+D57+D59</f>
        <v>12603000</v>
      </c>
      <c r="E67" s="19">
        <f t="shared" si="37"/>
        <v>9129000</v>
      </c>
      <c r="F67" s="19">
        <f t="shared" si="37"/>
        <v>8417000</v>
      </c>
      <c r="G67" s="19">
        <f t="shared" si="37"/>
        <v>7643000</v>
      </c>
      <c r="H67" s="19">
        <f t="shared" si="37"/>
        <v>7672000</v>
      </c>
      <c r="I67" s="19">
        <f t="shared" si="37"/>
        <v>7749000</v>
      </c>
      <c r="J67" s="19">
        <f t="shared" si="37"/>
        <v>7596000</v>
      </c>
      <c r="K67" s="19">
        <f t="shared" si="37"/>
        <v>8143000</v>
      </c>
      <c r="L67" s="19">
        <f t="shared" si="37"/>
        <v>8177000</v>
      </c>
      <c r="M67" s="19">
        <f t="shared" si="37"/>
        <v>7640000</v>
      </c>
      <c r="N67" s="19">
        <f t="shared" si="37"/>
        <v>7507000</v>
      </c>
    </row>
    <row r="68" spans="2:14" ht="11.5" customHeight="1" thickTop="1">
      <c r="B68" s="22" t="s">
        <v>47</v>
      </c>
      <c r="C68" s="23">
        <f t="shared" ref="C68:N68" si="38">+C42-C67</f>
        <v>0</v>
      </c>
      <c r="D68" s="23">
        <f t="shared" si="38"/>
        <v>0</v>
      </c>
      <c r="E68" s="23">
        <f t="shared" si="38"/>
        <v>0</v>
      </c>
      <c r="F68" s="23">
        <f t="shared" si="38"/>
        <v>0</v>
      </c>
      <c r="G68" s="23">
        <f t="shared" si="38"/>
        <v>0</v>
      </c>
      <c r="H68" s="23">
        <f t="shared" si="38"/>
        <v>0</v>
      </c>
      <c r="I68" s="23">
        <f t="shared" si="38"/>
        <v>0</v>
      </c>
      <c r="J68" s="23">
        <f t="shared" si="38"/>
        <v>0</v>
      </c>
      <c r="K68" s="23">
        <f t="shared" si="38"/>
        <v>0</v>
      </c>
      <c r="L68" s="23">
        <f t="shared" si="38"/>
        <v>0</v>
      </c>
      <c r="M68" s="23">
        <f t="shared" si="38"/>
        <v>0</v>
      </c>
      <c r="N68" s="23">
        <f t="shared" si="38"/>
        <v>0</v>
      </c>
    </row>
    <row r="69" spans="2:14" ht="17" customHeight="1">
      <c r="E69" s="13"/>
      <c r="I69" s="3"/>
      <c r="J69" s="4"/>
      <c r="L69" s="1"/>
      <c r="M69" s="65"/>
      <c r="N69" s="65"/>
    </row>
    <row r="70" spans="2:14" ht="11.5" customHeight="1">
      <c r="B70" s="24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2:14" ht="11.5" customHeight="1">
      <c r="B71" s="86" t="s">
        <v>49</v>
      </c>
      <c r="C71" s="86"/>
      <c r="D71" s="86"/>
      <c r="E71" s="87"/>
      <c r="F71" s="87"/>
      <c r="G71" s="87"/>
      <c r="H71" s="87"/>
      <c r="I71" s="88"/>
      <c r="J71" s="89"/>
      <c r="K71" s="89"/>
      <c r="L71" s="90"/>
      <c r="M71" s="90"/>
      <c r="N71" s="90"/>
    </row>
    <row r="72" spans="2:14" ht="19.75" customHeight="1">
      <c r="B72" s="5"/>
      <c r="C72" s="83" t="str">
        <f>+C20</f>
        <v>Sep 30</v>
      </c>
      <c r="D72" s="83" t="str">
        <f t="shared" ref="D72:N72" si="39">+D20</f>
        <v>Dec 31</v>
      </c>
      <c r="E72" s="83" t="str">
        <f t="shared" si="39"/>
        <v>Dec 31</v>
      </c>
      <c r="F72" s="83" t="str">
        <f t="shared" si="39"/>
        <v>Dec 31</v>
      </c>
      <c r="G72" s="83" t="str">
        <f t="shared" si="39"/>
        <v>Dec 31</v>
      </c>
      <c r="H72" s="83" t="str">
        <f t="shared" si="39"/>
        <v>Dec 31</v>
      </c>
      <c r="I72" s="83" t="str">
        <f t="shared" si="39"/>
        <v>Dec 31</v>
      </c>
      <c r="J72" s="83" t="str">
        <f t="shared" si="39"/>
        <v>Dec 31</v>
      </c>
      <c r="K72" s="83" t="str">
        <f t="shared" si="39"/>
        <v>Dec 31</v>
      </c>
      <c r="L72" s="83" t="str">
        <f t="shared" si="39"/>
        <v>Dec 31</v>
      </c>
      <c r="M72" s="83" t="str">
        <f t="shared" si="39"/>
        <v>Dec 31</v>
      </c>
      <c r="N72" s="83" t="str">
        <f t="shared" si="39"/>
        <v>Dec 31</v>
      </c>
    </row>
    <row r="73" spans="2:14" ht="20" customHeight="1" thickBot="1">
      <c r="B73" s="28"/>
      <c r="C73" s="85">
        <f>+C21</f>
        <v>2022</v>
      </c>
      <c r="D73" s="85">
        <f t="shared" ref="D73:N73" si="40">+D21</f>
        <v>2021</v>
      </c>
      <c r="E73" s="85">
        <f t="shared" si="40"/>
        <v>2020</v>
      </c>
      <c r="F73" s="85">
        <f t="shared" si="40"/>
        <v>2019</v>
      </c>
      <c r="G73" s="85">
        <f t="shared" si="40"/>
        <v>2018</v>
      </c>
      <c r="H73" s="85">
        <f t="shared" si="40"/>
        <v>2017</v>
      </c>
      <c r="I73" s="85">
        <f t="shared" si="40"/>
        <v>2016</v>
      </c>
      <c r="J73" s="85">
        <f t="shared" si="40"/>
        <v>2015</v>
      </c>
      <c r="K73" s="85">
        <f t="shared" si="40"/>
        <v>2014</v>
      </c>
      <c r="L73" s="85">
        <f t="shared" si="40"/>
        <v>2013</v>
      </c>
      <c r="M73" s="85">
        <f t="shared" si="40"/>
        <v>2012</v>
      </c>
      <c r="N73" s="85">
        <f t="shared" si="40"/>
        <v>2011</v>
      </c>
    </row>
    <row r="74" spans="2:14" ht="11.5" customHeight="1">
      <c r="B74" s="8" t="str">
        <f>+B11</f>
        <v>EBIT (Operating Income or Loss)</v>
      </c>
      <c r="C74" s="12">
        <f>+C11</f>
        <v>304000</v>
      </c>
      <c r="D74" s="12">
        <f t="shared" ref="D74:N74" si="41">+D11</f>
        <v>-251000</v>
      </c>
      <c r="E74" s="12">
        <f t="shared" si="41"/>
        <v>-632000</v>
      </c>
      <c r="F74" s="12">
        <f t="shared" si="41"/>
        <v>197000</v>
      </c>
      <c r="G74" s="12">
        <f t="shared" si="41"/>
        <v>332000</v>
      </c>
      <c r="H74" s="12">
        <f t="shared" si="41"/>
        <v>302000</v>
      </c>
      <c r="I74" s="12">
        <f t="shared" si="41"/>
        <v>299000</v>
      </c>
      <c r="J74" s="12">
        <f t="shared" si="41"/>
        <v>323000</v>
      </c>
      <c r="K74" s="12">
        <f t="shared" si="41"/>
        <v>279000</v>
      </c>
      <c r="L74" s="12">
        <f t="shared" si="41"/>
        <v>233000</v>
      </c>
      <c r="M74" s="12">
        <f t="shared" si="41"/>
        <v>159000</v>
      </c>
      <c r="N74" s="12">
        <f t="shared" si="41"/>
        <v>153000</v>
      </c>
    </row>
    <row r="75" spans="2:14" ht="11.5" customHeight="1">
      <c r="B75" s="8" t="s">
        <v>48</v>
      </c>
      <c r="C75" s="12">
        <f>+'Cash Flow Yahoo Input'!B11/1000</f>
        <v>443000</v>
      </c>
      <c r="D75" s="12">
        <f>+'Cash Flow Yahoo Input'!C11/1000</f>
        <v>337000</v>
      </c>
      <c r="E75" s="12">
        <f>+'Cash Flow Yahoo Input'!D11/1000</f>
        <v>341000</v>
      </c>
      <c r="F75" s="12">
        <f>+'Cash Flow Yahoo Input'!E11/1000</f>
        <v>364000</v>
      </c>
      <c r="G75" s="12">
        <f>+'Cash Flow Yahoo Input'!F11/1000</f>
        <v>327000</v>
      </c>
      <c r="H75" s="12">
        <f>+'Cash Flow Yahoo Input'!G11/1000</f>
        <v>366000</v>
      </c>
      <c r="I75" s="12">
        <f>+'Cash Flow Yahoo Input'!H11/1000</f>
        <v>342000</v>
      </c>
      <c r="J75" s="12">
        <f>+'Cash Flow Yahoo Input'!I11/1000</f>
        <v>320000</v>
      </c>
      <c r="K75" s="12">
        <f>+'Cash Flow Yahoo Input'!J11/1000</f>
        <v>354000</v>
      </c>
      <c r="L75" s="12">
        <f>+'Cash Flow Yahoo Input'!K11/1000</f>
        <v>345000</v>
      </c>
      <c r="M75" s="12">
        <f>+'Cash Flow Yahoo Input'!L11/1000</f>
        <v>353000</v>
      </c>
      <c r="N75" s="12">
        <f>+'Cash Flow Yahoo Input'!M11/1000</f>
        <v>305000</v>
      </c>
    </row>
    <row r="76" spans="2:14" ht="11.5" customHeight="1" thickBot="1">
      <c r="B76" s="29" t="s">
        <v>50</v>
      </c>
      <c r="C76" s="238">
        <f>+C75+C74</f>
        <v>747000</v>
      </c>
      <c r="D76" s="238">
        <f t="shared" ref="D76:N76" si="42">+D75+D74</f>
        <v>86000</v>
      </c>
      <c r="E76" s="238">
        <f t="shared" si="42"/>
        <v>-291000</v>
      </c>
      <c r="F76" s="238">
        <f t="shared" si="42"/>
        <v>561000</v>
      </c>
      <c r="G76" s="238">
        <f t="shared" si="42"/>
        <v>659000</v>
      </c>
      <c r="H76" s="238">
        <f t="shared" si="42"/>
        <v>668000</v>
      </c>
      <c r="I76" s="238">
        <f t="shared" si="42"/>
        <v>641000</v>
      </c>
      <c r="J76" s="238">
        <f t="shared" si="42"/>
        <v>643000</v>
      </c>
      <c r="K76" s="238">
        <f t="shared" si="42"/>
        <v>633000</v>
      </c>
      <c r="L76" s="238">
        <f t="shared" si="42"/>
        <v>578000</v>
      </c>
      <c r="M76" s="238">
        <f t="shared" si="42"/>
        <v>512000</v>
      </c>
      <c r="N76" s="238">
        <f t="shared" si="42"/>
        <v>458000</v>
      </c>
    </row>
    <row r="77" spans="2:14" ht="11.5" customHeight="1" thickTop="1">
      <c r="B77" s="20"/>
      <c r="C77" s="76"/>
      <c r="D77" s="76"/>
      <c r="E77" s="76"/>
      <c r="F77" s="1"/>
      <c r="G77" s="1"/>
      <c r="H77" s="1"/>
      <c r="M77" s="65"/>
      <c r="N77" s="65"/>
    </row>
    <row r="78" spans="2:14" ht="11.5" customHeight="1">
      <c r="B78" s="30" t="s">
        <v>51</v>
      </c>
      <c r="C78" s="30"/>
      <c r="D78" s="30"/>
      <c r="E78" s="28"/>
      <c r="F78" s="28"/>
      <c r="G78" s="28"/>
      <c r="H78" s="28"/>
      <c r="M78" s="65"/>
      <c r="N78" s="65"/>
    </row>
    <row r="79" spans="2:14" ht="11.5" customHeight="1">
      <c r="B79" s="24" t="s">
        <v>52</v>
      </c>
      <c r="C79" s="31">
        <f t="shared" ref="C79:M79" si="43">+C7/D7-1</f>
        <v>0.77642007926023782</v>
      </c>
      <c r="D79" s="31">
        <f t="shared" si="43"/>
        <v>0.46563407550822844</v>
      </c>
      <c r="E79" s="31">
        <f t="shared" si="43"/>
        <v>-0.58844621513944229</v>
      </c>
      <c r="F79" s="31">
        <f t="shared" si="43"/>
        <v>0.12707678491243835</v>
      </c>
      <c r="G79" s="31">
        <f t="shared" si="43"/>
        <v>-4.9306296691568829E-2</v>
      </c>
      <c r="H79" s="31">
        <f t="shared" si="43"/>
        <v>5.7800857981485709E-2</v>
      </c>
      <c r="I79" s="31">
        <f t="shared" si="43"/>
        <v>2.3336414048059195E-2</v>
      </c>
      <c r="J79" s="31">
        <f t="shared" si="43"/>
        <v>-1.9705549263873134E-2</v>
      </c>
      <c r="K79" s="31">
        <f t="shared" si="43"/>
        <v>5.5210325047801101E-2</v>
      </c>
      <c r="L79" s="31">
        <f t="shared" si="43"/>
        <v>5.950873638895926E-2</v>
      </c>
      <c r="M79" s="31">
        <f t="shared" si="43"/>
        <v>6.7874526771227739E-2</v>
      </c>
      <c r="N79" s="31" t="e">
        <f>+N7/#REF!-1</f>
        <v>#REF!</v>
      </c>
    </row>
    <row r="80" spans="2:14" ht="11.5" customHeight="1">
      <c r="B80" s="20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ht="11.5" customHeight="1">
      <c r="B81" s="26" t="s">
        <v>53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2:14" ht="11.5" customHeight="1">
      <c r="B82" s="24" t="s">
        <v>54</v>
      </c>
      <c r="C82" s="32">
        <f t="shared" ref="C82:N82" si="44">+C31/C50</f>
        <v>0.58465539661898569</v>
      </c>
      <c r="D82" s="32">
        <f t="shared" si="44"/>
        <v>0.9238351254480287</v>
      </c>
      <c r="E82" s="32">
        <f t="shared" si="44"/>
        <v>2.6046747967479673</v>
      </c>
      <c r="F82" s="32">
        <f t="shared" si="44"/>
        <v>1.5709023941068141</v>
      </c>
      <c r="G82" s="32">
        <f t="shared" si="44"/>
        <v>1.2676720075400565</v>
      </c>
      <c r="H82" s="32">
        <f t="shared" si="44"/>
        <v>1.3737060041407867</v>
      </c>
      <c r="I82" s="32">
        <f t="shared" si="44"/>
        <v>1.2326839826839826</v>
      </c>
      <c r="J82" s="32">
        <f t="shared" si="44"/>
        <v>1.0153568202348691</v>
      </c>
      <c r="K82" s="32">
        <f t="shared" si="44"/>
        <v>2.2191780821917808</v>
      </c>
      <c r="L82" s="32">
        <f t="shared" si="44"/>
        <v>1.3226176808266361</v>
      </c>
      <c r="M82" s="32">
        <f t="shared" si="44"/>
        <v>2.7588996763754046</v>
      </c>
      <c r="N82" s="32">
        <f t="shared" si="44"/>
        <v>2.76056338028169</v>
      </c>
    </row>
    <row r="83" spans="2:14" ht="11.5" customHeight="1">
      <c r="B83" s="24" t="s">
        <v>55</v>
      </c>
      <c r="C83" s="32">
        <f t="shared" ref="C83:N83" si="45">+(C26+C27)/C50</f>
        <v>0.53992197659297791</v>
      </c>
      <c r="D83" s="32">
        <f t="shared" si="45"/>
        <v>0.81541218637992829</v>
      </c>
      <c r="E83" s="32">
        <f t="shared" si="45"/>
        <v>2.2337398373983741</v>
      </c>
      <c r="F83" s="32">
        <f t="shared" si="45"/>
        <v>1.2725598526703499</v>
      </c>
      <c r="G83" s="32">
        <f t="shared" si="45"/>
        <v>1.0490103675777569</v>
      </c>
      <c r="H83" s="32">
        <f t="shared" si="45"/>
        <v>0.9337474120082816</v>
      </c>
      <c r="I83" s="32">
        <f t="shared" si="45"/>
        <v>0.91125541125541121</v>
      </c>
      <c r="J83" s="32">
        <f t="shared" si="45"/>
        <v>0.72357723577235777</v>
      </c>
      <c r="K83" s="32">
        <f t="shared" si="45"/>
        <v>1.4917808219178081</v>
      </c>
      <c r="L83" s="32">
        <f t="shared" si="45"/>
        <v>0.86911595866819746</v>
      </c>
      <c r="M83" s="32">
        <f t="shared" si="45"/>
        <v>2.3592233009708736</v>
      </c>
      <c r="N83" s="32">
        <f t="shared" si="45"/>
        <v>2.3714788732394365</v>
      </c>
    </row>
    <row r="84" spans="2:14" ht="11.5" customHeight="1">
      <c r="B84" s="24" t="s">
        <v>56</v>
      </c>
      <c r="C84" s="32">
        <f t="shared" ref="C84:M84" si="46">+C7/((C27+D27)/2)</f>
        <v>8.0584269662921351</v>
      </c>
      <c r="D84" s="32">
        <f t="shared" si="46"/>
        <v>6.3814541622760803</v>
      </c>
      <c r="E84" s="32">
        <f t="shared" si="46"/>
        <v>5.6065128900949794</v>
      </c>
      <c r="F84" s="32">
        <f t="shared" si="46"/>
        <v>11.839622641509434</v>
      </c>
      <c r="G84" s="32">
        <f t="shared" si="46"/>
        <v>11.464607464607464</v>
      </c>
      <c r="H84" s="32">
        <f t="shared" si="46"/>
        <v>14.327217125382264</v>
      </c>
      <c r="I84" s="32">
        <f t="shared" si="46"/>
        <v>14.714285714285714</v>
      </c>
      <c r="J84" s="32">
        <f t="shared" si="46"/>
        <v>15.132867132867133</v>
      </c>
      <c r="K84" s="32">
        <f t="shared" si="46"/>
        <v>16.142595978062158</v>
      </c>
      <c r="L84" s="32">
        <f t="shared" si="46"/>
        <v>10.407960199004975</v>
      </c>
      <c r="M84" s="32">
        <f t="shared" si="46"/>
        <v>10.447089947089948</v>
      </c>
      <c r="N84" s="32" t="e">
        <f>+N7/((N27+#REF!)/2)</f>
        <v>#REF!</v>
      </c>
    </row>
    <row r="85" spans="2:14" ht="11.5" customHeight="1">
      <c r="B85" s="24" t="s">
        <v>57</v>
      </c>
      <c r="C85" s="33">
        <f>365/C84</f>
        <v>45.294199665365305</v>
      </c>
      <c r="D85" s="33">
        <f>365/D84</f>
        <v>57.196994715984147</v>
      </c>
      <c r="E85" s="33">
        <f t="shared" ref="E85:N85" si="47">365/E84</f>
        <v>65.102855759922562</v>
      </c>
      <c r="F85" s="33">
        <f t="shared" si="47"/>
        <v>30.828685258964143</v>
      </c>
      <c r="G85" s="33">
        <f t="shared" si="47"/>
        <v>31.837112707678493</v>
      </c>
      <c r="H85" s="33">
        <f t="shared" si="47"/>
        <v>25.47598719316969</v>
      </c>
      <c r="I85" s="33">
        <f t="shared" si="47"/>
        <v>24.805825242718448</v>
      </c>
      <c r="J85" s="33">
        <f t="shared" si="47"/>
        <v>24.119685767097966</v>
      </c>
      <c r="K85" s="33">
        <f t="shared" si="47"/>
        <v>22.610985277463193</v>
      </c>
      <c r="L85" s="33">
        <f t="shared" si="47"/>
        <v>35.069311663479922</v>
      </c>
      <c r="M85" s="33">
        <f t="shared" si="47"/>
        <v>34.937958976956189</v>
      </c>
      <c r="N85" s="33" t="e">
        <f t="shared" si="47"/>
        <v>#REF!</v>
      </c>
    </row>
    <row r="86" spans="2:14" ht="11.5" customHeight="1">
      <c r="B86" s="20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ht="11.5" customHeight="1">
      <c r="B87" s="26" t="s">
        <v>58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2:14" ht="11.5" customHeight="1">
      <c r="B88" s="24" t="s">
        <v>59</v>
      </c>
      <c r="C88" s="31">
        <f t="shared" ref="C88:N88" si="48">+(C49+C53)/(C49+C53+C65)</f>
        <v>0.54315259180697339</v>
      </c>
      <c r="D88" s="31">
        <f t="shared" si="48"/>
        <v>0.5275162445299032</v>
      </c>
      <c r="E88" s="31">
        <f t="shared" si="48"/>
        <v>0.50255615801704101</v>
      </c>
      <c r="F88" s="31">
        <f t="shared" si="48"/>
        <v>0.29059982094897047</v>
      </c>
      <c r="G88" s="31">
        <f t="shared" si="48"/>
        <v>0.30663139996221422</v>
      </c>
      <c r="H88" s="31">
        <f t="shared" si="48"/>
        <v>0.29003021148036257</v>
      </c>
      <c r="I88" s="31">
        <f t="shared" si="48"/>
        <v>0.27019446522064322</v>
      </c>
      <c r="J88" s="31">
        <f t="shared" si="48"/>
        <v>0.20782056371576021</v>
      </c>
      <c r="K88" s="31">
        <f t="shared" si="48"/>
        <v>0.22986018641810918</v>
      </c>
      <c r="L88" s="31">
        <f t="shared" si="48"/>
        <v>0.21277649389237371</v>
      </c>
      <c r="M88" s="31">
        <f t="shared" si="48"/>
        <v>0.20314049586776858</v>
      </c>
      <c r="N88" s="31">
        <f t="shared" si="48"/>
        <v>0.20218579234972678</v>
      </c>
    </row>
    <row r="89" spans="2:14" ht="11.5" customHeight="1">
      <c r="B89" s="24" t="s">
        <v>60</v>
      </c>
      <c r="C89" s="32">
        <f t="shared" ref="C89:N89" si="49">+C76/C12</f>
        <v>4.7884615384615383</v>
      </c>
      <c r="D89" s="32">
        <f t="shared" si="49"/>
        <v>0.52760736196319014</v>
      </c>
      <c r="E89" s="32">
        <f t="shared" si="49"/>
        <v>-2.2734375</v>
      </c>
      <c r="F89" s="32">
        <f t="shared" si="49"/>
        <v>7.48</v>
      </c>
      <c r="G89" s="32">
        <f t="shared" si="49"/>
        <v>8.6710526315789469</v>
      </c>
      <c r="H89" s="32">
        <f t="shared" si="49"/>
        <v>8.35</v>
      </c>
      <c r="I89" s="32">
        <f t="shared" si="49"/>
        <v>8.4342105263157894</v>
      </c>
      <c r="J89" s="32">
        <f t="shared" si="49"/>
        <v>9.4558823529411757</v>
      </c>
      <c r="K89" s="32">
        <f t="shared" si="49"/>
        <v>8.9154929577464781</v>
      </c>
      <c r="L89" s="32">
        <f t="shared" si="49"/>
        <v>8.8923076923076927</v>
      </c>
      <c r="M89" s="32">
        <f t="shared" si="49"/>
        <v>7.3142857142857141</v>
      </c>
      <c r="N89" s="32">
        <f t="shared" si="49"/>
        <v>8.0350877192982448</v>
      </c>
    </row>
    <row r="90" spans="2:14" ht="11.5" customHeight="1">
      <c r="B90" s="24" t="s">
        <v>61</v>
      </c>
      <c r="C90" s="32">
        <f t="shared" ref="C90:N90" si="50">+C76/(C53+C49)</f>
        <v>0.18232853307298022</v>
      </c>
      <c r="D90" s="32">
        <f t="shared" si="50"/>
        <v>2.1618903971845148E-2</v>
      </c>
      <c r="E90" s="32">
        <f t="shared" si="50"/>
        <v>-8.9704069050554877E-2</v>
      </c>
      <c r="F90" s="32">
        <f t="shared" si="50"/>
        <v>0.34565619223659888</v>
      </c>
      <c r="G90" s="32">
        <f t="shared" si="50"/>
        <v>0.40603820086260012</v>
      </c>
      <c r="H90" s="32">
        <f t="shared" si="50"/>
        <v>0.46388888888888891</v>
      </c>
      <c r="I90" s="32">
        <f t="shared" si="50"/>
        <v>0.44359861591695504</v>
      </c>
      <c r="J90" s="32">
        <f t="shared" si="50"/>
        <v>0.61413562559694368</v>
      </c>
      <c r="K90" s="32">
        <f t="shared" si="50"/>
        <v>0.45836350470673426</v>
      </c>
      <c r="L90" s="32">
        <f t="shared" si="50"/>
        <v>0.44840961986035688</v>
      </c>
      <c r="M90" s="32">
        <f t="shared" si="50"/>
        <v>0.41659886086248982</v>
      </c>
      <c r="N90" s="32">
        <f t="shared" si="50"/>
        <v>0.3751023751023751</v>
      </c>
    </row>
    <row r="91" spans="2:14" ht="11.5" customHeight="1">
      <c r="B91" s="20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2:14" ht="11.5" customHeight="1">
      <c r="B92" s="26" t="s">
        <v>62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2:14" ht="11.5" customHeight="1">
      <c r="B93" s="24" t="s">
        <v>4</v>
      </c>
      <c r="C93" s="31">
        <f t="shared" ref="C93:N93" si="51">+C9/C7</f>
        <v>0.20933258970068785</v>
      </c>
      <c r="D93" s="31">
        <f t="shared" si="51"/>
        <v>0.14035667107001321</v>
      </c>
      <c r="E93" s="31">
        <f t="shared" si="51"/>
        <v>-4.8402710551790902E-4</v>
      </c>
      <c r="F93" s="31">
        <f t="shared" si="51"/>
        <v>0.18784860557768923</v>
      </c>
      <c r="G93" s="31">
        <f t="shared" si="51"/>
        <v>0.21980242478670858</v>
      </c>
      <c r="H93" s="31">
        <f t="shared" si="51"/>
        <v>0.22347918890074706</v>
      </c>
      <c r="I93" s="31">
        <f t="shared" si="51"/>
        <v>0.21585007902461051</v>
      </c>
      <c r="J93" s="31">
        <f t="shared" si="51"/>
        <v>0.21973197781885398</v>
      </c>
      <c r="K93" s="31">
        <f t="shared" si="51"/>
        <v>0.22242355605889014</v>
      </c>
      <c r="L93" s="31">
        <f t="shared" si="51"/>
        <v>0.21534416826003824</v>
      </c>
      <c r="M93" s="31">
        <f t="shared" si="51"/>
        <v>0.20967333502152444</v>
      </c>
      <c r="N93" s="31">
        <f t="shared" si="51"/>
        <v>0.20037858301784747</v>
      </c>
    </row>
    <row r="94" spans="2:14" ht="11.5" customHeight="1">
      <c r="B94" s="24" t="s">
        <v>63</v>
      </c>
      <c r="C94" s="31">
        <f t="shared" ref="C94:N94" si="52">+C76/C7</f>
        <v>0.1388733965421082</v>
      </c>
      <c r="D94" s="31">
        <f t="shared" si="52"/>
        <v>2.8401585204755615E-2</v>
      </c>
      <c r="E94" s="31">
        <f t="shared" si="52"/>
        <v>-0.14085188770571153</v>
      </c>
      <c r="F94" s="31">
        <f t="shared" si="52"/>
        <v>0.11175298804780877</v>
      </c>
      <c r="G94" s="31">
        <f t="shared" si="52"/>
        <v>0.14795689268073642</v>
      </c>
      <c r="H94" s="31">
        <f t="shared" si="52"/>
        <v>0.14258271077908219</v>
      </c>
      <c r="I94" s="31">
        <f t="shared" si="52"/>
        <v>0.14472792955520433</v>
      </c>
      <c r="J94" s="31">
        <f t="shared" si="52"/>
        <v>0.14856746765249537</v>
      </c>
      <c r="K94" s="31">
        <f t="shared" si="52"/>
        <v>0.14337485843714609</v>
      </c>
      <c r="L94" s="31">
        <f t="shared" si="52"/>
        <v>0.1381453154875717</v>
      </c>
      <c r="M94" s="31">
        <f t="shared" si="52"/>
        <v>0.12965307672828563</v>
      </c>
      <c r="N94" s="31">
        <f t="shared" si="52"/>
        <v>0.12385073012439156</v>
      </c>
    </row>
    <row r="95" spans="2:14" ht="11.5" customHeight="1">
      <c r="B95" s="24" t="s">
        <v>64</v>
      </c>
      <c r="C95" s="31">
        <f t="shared" ref="C95:M95" si="53">+C17/((C42+D42)/2)</f>
        <v>1.0557888422315536E-2</v>
      </c>
      <c r="D95" s="31">
        <f t="shared" si="53"/>
        <v>-2.0430701270016567E-2</v>
      </c>
      <c r="E95" s="31">
        <f t="shared" si="53"/>
        <v>-8.0132223868688027E-2</v>
      </c>
      <c r="F95" s="31">
        <f t="shared" si="53"/>
        <v>9.5392278953922785E-2</v>
      </c>
      <c r="G95" s="31">
        <f t="shared" si="53"/>
        <v>0.10042442050277506</v>
      </c>
      <c r="H95" s="31">
        <f t="shared" si="53"/>
        <v>3.2423318850917579E-2</v>
      </c>
      <c r="I95" s="31">
        <f t="shared" si="53"/>
        <v>2.6588465298142717E-2</v>
      </c>
      <c r="J95" s="31">
        <f t="shared" si="53"/>
        <v>1.5757036660524811E-2</v>
      </c>
      <c r="K95" s="31">
        <f t="shared" si="53"/>
        <v>4.2401960784313728E-2</v>
      </c>
      <c r="L95" s="31">
        <f t="shared" si="53"/>
        <v>2.5921476891951699E-2</v>
      </c>
      <c r="M95" s="31">
        <f t="shared" si="53"/>
        <v>1.1487423252129134E-2</v>
      </c>
      <c r="N95" s="31" t="e">
        <f>+N17/((N42+#REF!)/2)</f>
        <v>#REF!</v>
      </c>
    </row>
    <row r="96" spans="2:14" ht="11.5" customHeight="1">
      <c r="B96" s="24" t="s">
        <v>65</v>
      </c>
      <c r="C96" s="31">
        <f t="shared" ref="C96:M96" si="54">+C17/((C65+D65)/2)</f>
        <v>3.7665858182336996E-2</v>
      </c>
      <c r="D96" s="31">
        <f t="shared" si="54"/>
        <v>-6.5544729849424263E-2</v>
      </c>
      <c r="E96" s="31">
        <f t="shared" si="54"/>
        <v>-0.19601282587480831</v>
      </c>
      <c r="F96" s="31">
        <f t="shared" si="54"/>
        <v>0.20073375262054508</v>
      </c>
      <c r="G96" s="31">
        <f t="shared" si="54"/>
        <v>0.2137595552466991</v>
      </c>
      <c r="H96" s="31">
        <f t="shared" si="54"/>
        <v>6.731287022078622E-2</v>
      </c>
      <c r="I96" s="31">
        <f t="shared" si="54"/>
        <v>5.1684823916898909E-2</v>
      </c>
      <c r="J96" s="31">
        <f t="shared" si="54"/>
        <v>2.8776978417266189E-2</v>
      </c>
      <c r="K96" s="31">
        <f t="shared" si="54"/>
        <v>7.3648361004682847E-2</v>
      </c>
      <c r="L96" s="31">
        <f t="shared" si="54"/>
        <v>4.2752867570385822E-2</v>
      </c>
      <c r="M96" s="31">
        <f t="shared" si="54"/>
        <v>1.8051665110488641E-2</v>
      </c>
      <c r="N96" s="31" t="e">
        <f>+N17/((N65+#REF!)/2)</f>
        <v>#REF!</v>
      </c>
    </row>
    <row r="97" spans="2:10" ht="11.5" customHeight="1">
      <c r="B97" s="27"/>
      <c r="C97" s="27"/>
      <c r="D97" s="27"/>
      <c r="E97" s="12"/>
      <c r="F97" s="12"/>
      <c r="G97" s="12"/>
      <c r="H97" s="12"/>
    </row>
    <row r="98" spans="2:10" ht="11.5" customHeight="1">
      <c r="B98" s="27"/>
      <c r="C98" s="27"/>
      <c r="D98" s="27"/>
      <c r="E98" s="12"/>
      <c r="F98" s="12"/>
      <c r="G98" s="12"/>
      <c r="H98" s="12"/>
    </row>
    <row r="99" spans="2:10" ht="11.5" customHeight="1">
      <c r="B99" s="27"/>
      <c r="C99" s="27"/>
      <c r="D99" s="27"/>
      <c r="E99" s="12"/>
      <c r="F99" s="12"/>
      <c r="G99" s="12"/>
      <c r="H99" s="12"/>
    </row>
    <row r="100" spans="2:10" ht="11.5" customHeight="1">
      <c r="B100" s="27"/>
      <c r="C100" s="27"/>
      <c r="D100" s="27"/>
      <c r="E100" s="12"/>
      <c r="F100" s="12"/>
      <c r="G100" s="12"/>
      <c r="H100" s="12"/>
    </row>
    <row r="101" spans="2:10" ht="11.5" customHeight="1">
      <c r="B101" s="27"/>
      <c r="C101" s="27"/>
      <c r="D101" s="27"/>
      <c r="E101" s="12"/>
      <c r="F101" s="12"/>
      <c r="G101" s="12"/>
      <c r="H101" s="12"/>
    </row>
    <row r="102" spans="2:10" ht="11.5" customHeight="1">
      <c r="B102" s="27"/>
      <c r="C102" s="27"/>
      <c r="D102" s="27"/>
      <c r="E102" s="12"/>
      <c r="F102" s="12"/>
      <c r="G102" s="12"/>
      <c r="H102" s="12"/>
    </row>
    <row r="103" spans="2:10" ht="11.5" customHeight="1">
      <c r="B103" s="27"/>
      <c r="C103" s="27"/>
      <c r="D103" s="27"/>
      <c r="E103" s="12"/>
      <c r="F103" s="12"/>
      <c r="G103" s="12"/>
      <c r="H103" s="12"/>
    </row>
    <row r="104" spans="2:10" ht="11.5" customHeight="1">
      <c r="B104" s="27"/>
      <c r="C104" s="27"/>
      <c r="D104" s="27"/>
      <c r="E104" s="12"/>
      <c r="F104" s="12"/>
      <c r="G104" s="12"/>
      <c r="H104" s="12"/>
    </row>
    <row r="105" spans="2:10" ht="11.5" customHeight="1">
      <c r="B105" s="27"/>
      <c r="C105" s="27"/>
      <c r="D105" s="27"/>
      <c r="E105" s="12"/>
      <c r="F105" s="12"/>
      <c r="G105" s="12"/>
      <c r="H105" s="12"/>
    </row>
    <row r="106" spans="2:10" ht="11.5" customHeight="1">
      <c r="B106" s="27"/>
      <c r="C106" s="27"/>
      <c r="D106" s="27"/>
      <c r="E106" s="12"/>
      <c r="F106" s="12"/>
      <c r="G106" s="12"/>
      <c r="H106" s="12"/>
    </row>
    <row r="107" spans="2:10" ht="11.5" customHeight="1">
      <c r="B107" s="27"/>
      <c r="C107" s="27"/>
      <c r="D107" s="27"/>
      <c r="E107" s="12"/>
      <c r="F107" s="12"/>
      <c r="G107" s="12"/>
      <c r="H107" s="12"/>
    </row>
    <row r="108" spans="2:10" ht="11.5" customHeight="1">
      <c r="B108" s="27"/>
      <c r="C108" s="27"/>
      <c r="D108" s="27"/>
      <c r="E108" s="12"/>
      <c r="F108" s="12"/>
      <c r="G108" s="12"/>
      <c r="H108" s="12"/>
      <c r="I108" s="25"/>
      <c r="J108" s="16"/>
    </row>
    <row r="109" spans="2:10" ht="11.5" customHeight="1">
      <c r="B109" s="27"/>
      <c r="C109" s="27"/>
      <c r="D109" s="27"/>
      <c r="E109" s="12"/>
      <c r="F109" s="12"/>
      <c r="G109" s="12"/>
      <c r="H109" s="12"/>
      <c r="I109" s="25"/>
      <c r="J109" s="16"/>
    </row>
    <row r="110" spans="2:10" ht="11.5" customHeight="1">
      <c r="B110" s="27"/>
      <c r="C110" s="27"/>
      <c r="D110" s="27"/>
      <c r="E110" s="12"/>
      <c r="F110" s="12"/>
      <c r="G110" s="12"/>
      <c r="H110" s="12"/>
      <c r="I110" s="25"/>
      <c r="J110" s="16"/>
    </row>
    <row r="111" spans="2:10" ht="11.5" customHeight="1">
      <c r="B111" s="27"/>
      <c r="C111" s="27"/>
      <c r="D111" s="27"/>
      <c r="E111" s="12"/>
      <c r="F111" s="12"/>
      <c r="G111" s="12"/>
      <c r="H111" s="12"/>
      <c r="I111" s="25"/>
      <c r="J111" s="16"/>
    </row>
    <row r="112" spans="2:10" ht="11.5" customHeight="1">
      <c r="B112" s="27"/>
      <c r="C112" s="27"/>
      <c r="D112" s="27"/>
      <c r="E112" s="12"/>
      <c r="F112" s="12"/>
      <c r="G112" s="12"/>
      <c r="H112" s="12"/>
      <c r="I112" s="25"/>
      <c r="J112" s="16"/>
    </row>
    <row r="113" spans="2:10" ht="11.5" customHeight="1">
      <c r="B113" s="27"/>
      <c r="C113" s="27"/>
      <c r="D113" s="27"/>
      <c r="E113" s="12"/>
      <c r="F113" s="12"/>
      <c r="G113" s="12"/>
      <c r="H113" s="12"/>
      <c r="I113" s="25"/>
      <c r="J113" s="16"/>
    </row>
    <row r="114" spans="2:10" ht="11.5" customHeight="1">
      <c r="B114" s="27"/>
      <c r="C114" s="27"/>
      <c r="D114" s="27"/>
      <c r="E114" s="12"/>
      <c r="F114" s="12"/>
      <c r="G114" s="12"/>
      <c r="H114" s="12"/>
      <c r="I114" s="25"/>
      <c r="J114" s="16"/>
    </row>
    <row r="115" spans="2:10" ht="11.5" customHeight="1">
      <c r="B115" s="27"/>
      <c r="C115" s="27"/>
      <c r="D115" s="27"/>
      <c r="E115" s="12"/>
      <c r="F115" s="12"/>
      <c r="G115" s="12"/>
      <c r="H115" s="12"/>
      <c r="I115" s="25"/>
      <c r="J115" s="16"/>
    </row>
    <row r="116" spans="2:10" ht="11.5" customHeight="1">
      <c r="B116" s="27"/>
      <c r="C116" s="27"/>
      <c r="D116" s="27"/>
      <c r="E116" s="12"/>
      <c r="F116" s="12"/>
      <c r="G116" s="12"/>
      <c r="H116" s="12"/>
      <c r="I116" s="25"/>
      <c r="J116" s="16"/>
    </row>
    <row r="117" spans="2:10" ht="11.5" customHeight="1">
      <c r="B117" s="27"/>
      <c r="C117" s="27"/>
      <c r="D117" s="27"/>
      <c r="E117" s="12"/>
      <c r="F117" s="12"/>
      <c r="G117" s="12"/>
      <c r="H117" s="12"/>
      <c r="I117" s="25"/>
      <c r="J117" s="16"/>
    </row>
    <row r="118" spans="2:10" ht="11.5" customHeight="1">
      <c r="B118" s="27"/>
      <c r="C118" s="27"/>
      <c r="D118" s="27"/>
      <c r="E118" s="12"/>
      <c r="F118" s="12"/>
      <c r="G118" s="12"/>
      <c r="H118" s="12"/>
      <c r="I118" s="25"/>
      <c r="J118" s="16"/>
    </row>
    <row r="119" spans="2:10" ht="11.5" customHeight="1">
      <c r="B119" s="27"/>
      <c r="C119" s="27"/>
      <c r="D119" s="27"/>
      <c r="E119" s="12"/>
      <c r="F119" s="12"/>
      <c r="G119" s="12"/>
      <c r="H119" s="12"/>
      <c r="I119" s="25"/>
      <c r="J119" s="16"/>
    </row>
    <row r="120" spans="2:10" ht="11.5" customHeight="1">
      <c r="B120" s="27"/>
      <c r="C120" s="27"/>
      <c r="D120" s="27"/>
      <c r="E120" s="12"/>
      <c r="F120" s="12"/>
      <c r="G120" s="12"/>
      <c r="H120" s="12"/>
      <c r="I120" s="25"/>
      <c r="J120" s="16"/>
    </row>
    <row r="121" spans="2:10" ht="11.5" customHeight="1">
      <c r="B121" s="27"/>
      <c r="C121" s="27"/>
      <c r="D121" s="27"/>
      <c r="E121" s="12"/>
      <c r="F121" s="12"/>
      <c r="G121" s="12"/>
      <c r="H121" s="12"/>
      <c r="I121" s="25"/>
      <c r="J121" s="16"/>
    </row>
    <row r="122" spans="2:10" ht="11.5" customHeight="1">
      <c r="B122" s="27"/>
      <c r="C122" s="27"/>
      <c r="D122" s="27"/>
      <c r="E122" s="12"/>
      <c r="F122" s="12"/>
      <c r="G122" s="12"/>
      <c r="H122" s="12"/>
      <c r="I122" s="25"/>
      <c r="J122" s="16"/>
    </row>
    <row r="123" spans="2:10" ht="11.5" customHeight="1">
      <c r="B123" s="27"/>
      <c r="C123" s="27"/>
      <c r="D123" s="27"/>
      <c r="E123" s="12"/>
      <c r="F123" s="12"/>
      <c r="G123" s="12"/>
      <c r="H123" s="12"/>
      <c r="I123" s="25"/>
      <c r="J123" s="16"/>
    </row>
    <row r="124" spans="2:10" ht="11.5" customHeight="1">
      <c r="B124" s="27"/>
      <c r="C124" s="27"/>
      <c r="D124" s="27"/>
      <c r="E124" s="12"/>
      <c r="F124" s="12"/>
      <c r="G124" s="12"/>
      <c r="H124" s="12"/>
      <c r="I124" s="25"/>
      <c r="J124" s="16"/>
    </row>
    <row r="125" spans="2:10" ht="11.5" customHeight="1">
      <c r="B125" s="27"/>
      <c r="C125" s="27"/>
      <c r="D125" s="27"/>
      <c r="E125" s="12"/>
      <c r="F125" s="12"/>
      <c r="G125" s="12"/>
      <c r="H125" s="12"/>
      <c r="I125" s="25"/>
      <c r="J125" s="16"/>
    </row>
    <row r="126" spans="2:10" ht="11.5" customHeight="1">
      <c r="B126" s="27"/>
      <c r="C126" s="27"/>
      <c r="D126" s="27"/>
      <c r="E126" s="12"/>
      <c r="F126" s="12"/>
      <c r="G126" s="12"/>
      <c r="H126" s="12"/>
      <c r="I126" s="25"/>
      <c r="J126" s="16"/>
    </row>
    <row r="127" spans="2:10" ht="11.5" customHeight="1">
      <c r="B127" s="27"/>
      <c r="C127" s="27"/>
      <c r="D127" s="27"/>
      <c r="E127" s="12"/>
      <c r="F127" s="12"/>
      <c r="G127" s="12"/>
      <c r="H127" s="12"/>
      <c r="I127" s="25"/>
      <c r="J127" s="16"/>
    </row>
    <row r="128" spans="2:10" ht="11.5" customHeight="1">
      <c r="B128" s="27"/>
      <c r="C128" s="27"/>
      <c r="D128" s="27"/>
      <c r="E128" s="12"/>
      <c r="F128" s="12"/>
      <c r="G128" s="12"/>
      <c r="H128" s="12"/>
      <c r="I128" s="25"/>
      <c r="J128" s="16"/>
    </row>
    <row r="129" spans="2:10" ht="11.5" customHeight="1">
      <c r="B129" s="27"/>
      <c r="C129" s="27"/>
      <c r="D129" s="27"/>
      <c r="E129" s="12"/>
      <c r="F129" s="12"/>
      <c r="G129" s="12"/>
      <c r="H129" s="12"/>
      <c r="I129" s="25"/>
      <c r="J129" s="16"/>
    </row>
    <row r="130" spans="2:10" ht="11.5" customHeight="1">
      <c r="B130" s="27"/>
      <c r="C130" s="27"/>
      <c r="D130" s="27"/>
      <c r="E130" s="12"/>
      <c r="F130" s="12"/>
      <c r="G130" s="12"/>
      <c r="H130" s="12"/>
      <c r="I130" s="25"/>
      <c r="J130" s="16"/>
    </row>
    <row r="131" spans="2:10" ht="11.5" customHeight="1">
      <c r="B131" s="27"/>
      <c r="C131" s="27"/>
      <c r="D131" s="27"/>
      <c r="E131" s="12"/>
      <c r="F131" s="12"/>
      <c r="G131" s="12"/>
      <c r="H131" s="12"/>
      <c r="I131" s="25"/>
      <c r="J131" s="16"/>
    </row>
    <row r="132" spans="2:10" ht="11.5" customHeight="1">
      <c r="B132" s="27"/>
      <c r="C132" s="27"/>
      <c r="D132" s="27"/>
      <c r="E132" s="12"/>
      <c r="F132" s="12"/>
      <c r="G132" s="12"/>
      <c r="H132" s="12"/>
      <c r="I132" s="25"/>
      <c r="J132" s="16"/>
    </row>
    <row r="133" spans="2:10" ht="11.5" customHeight="1">
      <c r="B133" s="27"/>
      <c r="C133" s="27"/>
      <c r="D133" s="27"/>
      <c r="E133" s="12"/>
      <c r="F133" s="12"/>
      <c r="G133" s="12"/>
      <c r="H133" s="12"/>
      <c r="I133" s="25"/>
      <c r="J133" s="16"/>
    </row>
    <row r="134" spans="2:10" ht="11.5" customHeight="1">
      <c r="B134" s="27"/>
      <c r="C134" s="27"/>
      <c r="D134" s="27"/>
      <c r="E134" s="12"/>
      <c r="F134" s="12"/>
      <c r="G134" s="12"/>
      <c r="H134" s="12"/>
      <c r="I134" s="25"/>
      <c r="J134" s="16"/>
    </row>
    <row r="135" spans="2:10" ht="11.5" customHeight="1">
      <c r="B135" s="27"/>
      <c r="C135" s="27"/>
      <c r="D135" s="27"/>
      <c r="E135" s="12"/>
      <c r="F135" s="12"/>
      <c r="G135" s="12"/>
      <c r="H135" s="12"/>
      <c r="I135" s="25"/>
      <c r="J135" s="16"/>
    </row>
    <row r="136" spans="2:10" ht="11.5" customHeight="1">
      <c r="B136" s="27"/>
      <c r="C136" s="27"/>
      <c r="D136" s="27"/>
      <c r="E136" s="12"/>
      <c r="F136" s="12"/>
      <c r="G136" s="12"/>
      <c r="H136" s="12"/>
      <c r="I136" s="25"/>
      <c r="J136" s="16"/>
    </row>
    <row r="137" spans="2:10" ht="11.5" customHeight="1">
      <c r="B137" s="27"/>
      <c r="C137" s="27"/>
      <c r="D137" s="27"/>
      <c r="E137" s="12"/>
      <c r="F137" s="12"/>
      <c r="G137" s="12"/>
      <c r="H137" s="12"/>
      <c r="I137" s="25"/>
      <c r="J137" s="16"/>
    </row>
    <row r="138" spans="2:10" ht="11.5" customHeight="1">
      <c r="B138" s="27"/>
      <c r="C138" s="27"/>
      <c r="D138" s="27"/>
      <c r="E138" s="12"/>
      <c r="F138" s="12"/>
      <c r="G138" s="12"/>
      <c r="H138" s="12"/>
      <c r="I138" s="25"/>
      <c r="J138" s="16"/>
    </row>
    <row r="139" spans="2:10" ht="11.5" customHeight="1">
      <c r="B139" s="27"/>
      <c r="C139" s="27"/>
      <c r="D139" s="27"/>
      <c r="E139" s="12"/>
      <c r="F139" s="12"/>
      <c r="G139" s="12"/>
      <c r="H139" s="12"/>
      <c r="I139" s="25"/>
      <c r="J139" s="16"/>
    </row>
    <row r="140" spans="2:10" ht="11.5" customHeight="1">
      <c r="B140" s="27"/>
      <c r="C140" s="27"/>
      <c r="D140" s="27"/>
      <c r="E140" s="12"/>
      <c r="F140" s="12"/>
      <c r="G140" s="12"/>
      <c r="H140" s="12"/>
      <c r="I140" s="25"/>
      <c r="J140" s="16"/>
    </row>
    <row r="141" spans="2:10" ht="11.5" customHeight="1">
      <c r="B141" s="27"/>
      <c r="C141" s="27"/>
      <c r="D141" s="27"/>
      <c r="E141" s="12"/>
      <c r="F141" s="12"/>
      <c r="G141" s="12"/>
      <c r="H141" s="12"/>
      <c r="I141" s="25"/>
      <c r="J141" s="16"/>
    </row>
    <row r="142" spans="2:10" ht="11.5" customHeight="1">
      <c r="B142" s="27"/>
      <c r="C142" s="27"/>
      <c r="D142" s="27"/>
      <c r="E142" s="12"/>
      <c r="F142" s="12"/>
      <c r="G142" s="12"/>
      <c r="H142" s="12"/>
      <c r="I142" s="25"/>
      <c r="J142" s="16"/>
    </row>
    <row r="143" spans="2:10" ht="11.5" customHeight="1">
      <c r="B143" s="27"/>
      <c r="C143" s="27"/>
      <c r="D143" s="27"/>
      <c r="E143" s="12"/>
      <c r="F143" s="12"/>
      <c r="G143" s="12"/>
      <c r="H143" s="12"/>
      <c r="I143" s="25"/>
      <c r="J143" s="16"/>
    </row>
    <row r="144" spans="2:10" ht="11.5" customHeight="1">
      <c r="B144" s="27"/>
      <c r="C144" s="27"/>
      <c r="D144" s="27"/>
      <c r="E144" s="12"/>
      <c r="F144" s="12"/>
      <c r="G144" s="12"/>
      <c r="H144" s="12"/>
      <c r="I144" s="25"/>
      <c r="J144" s="16"/>
    </row>
    <row r="145" spans="2:10" ht="11.5" customHeight="1">
      <c r="B145" s="27"/>
      <c r="C145" s="27"/>
      <c r="D145" s="27"/>
      <c r="E145" s="12"/>
      <c r="F145" s="12"/>
      <c r="G145" s="12"/>
      <c r="H145" s="12"/>
      <c r="I145" s="25"/>
      <c r="J145" s="16"/>
    </row>
    <row r="146" spans="2:10" ht="11.5" customHeight="1">
      <c r="B146" s="27"/>
      <c r="C146" s="27"/>
      <c r="D146" s="27"/>
      <c r="E146" s="12"/>
      <c r="F146" s="12"/>
      <c r="G146" s="12"/>
      <c r="H146" s="12"/>
      <c r="I146" s="25"/>
      <c r="J146" s="16"/>
    </row>
    <row r="147" spans="2:10" ht="11.5" customHeight="1">
      <c r="B147" s="27"/>
      <c r="C147" s="27"/>
      <c r="D147" s="27"/>
      <c r="E147" s="12"/>
      <c r="F147" s="12"/>
      <c r="G147" s="12"/>
      <c r="H147" s="12"/>
      <c r="I147" s="25"/>
      <c r="J147" s="16"/>
    </row>
    <row r="148" spans="2:10" ht="11.5" customHeight="1">
      <c r="B148" s="27"/>
      <c r="C148" s="27"/>
      <c r="D148" s="27"/>
      <c r="E148" s="12"/>
      <c r="F148" s="12"/>
      <c r="G148" s="12"/>
      <c r="H148" s="12"/>
      <c r="I148" s="25"/>
      <c r="J148" s="16"/>
    </row>
    <row r="149" spans="2:10" ht="11.5" customHeight="1">
      <c r="B149" s="27"/>
      <c r="C149" s="27"/>
      <c r="D149" s="27"/>
      <c r="E149" s="12"/>
      <c r="F149" s="12"/>
      <c r="G149" s="12"/>
      <c r="H149" s="12"/>
      <c r="I149" s="25"/>
      <c r="J149" s="16"/>
    </row>
    <row r="150" spans="2:10" ht="11.5" customHeight="1">
      <c r="B150" s="27"/>
      <c r="C150" s="27"/>
      <c r="D150" s="27"/>
      <c r="E150" s="12"/>
      <c r="F150" s="12"/>
      <c r="G150" s="12"/>
      <c r="H150" s="12"/>
      <c r="I150" s="25"/>
      <c r="J150" s="16"/>
    </row>
    <row r="151" spans="2:10" ht="11.5" customHeight="1">
      <c r="B151" s="27"/>
      <c r="C151" s="27"/>
      <c r="D151" s="27"/>
      <c r="E151" s="12"/>
      <c r="F151" s="12"/>
      <c r="G151" s="12"/>
      <c r="H151" s="12"/>
      <c r="I151" s="25"/>
      <c r="J151" s="16"/>
    </row>
    <row r="152" spans="2:10" ht="11.5" customHeight="1">
      <c r="B152" s="27"/>
      <c r="C152" s="27"/>
      <c r="D152" s="27"/>
      <c r="E152" s="12"/>
      <c r="F152" s="12"/>
      <c r="G152" s="12"/>
      <c r="H152" s="12"/>
      <c r="I152" s="25"/>
      <c r="J152" s="16"/>
    </row>
    <row r="153" spans="2:10" ht="11.5" customHeight="1">
      <c r="B153" s="27"/>
      <c r="C153" s="27"/>
      <c r="D153" s="27"/>
      <c r="E153" s="12"/>
      <c r="F153" s="12"/>
      <c r="G153" s="12"/>
      <c r="H153" s="12"/>
      <c r="I153" s="25"/>
      <c r="J153" s="16"/>
    </row>
    <row r="154" spans="2:10" ht="11.5" customHeight="1">
      <c r="B154" s="27"/>
      <c r="C154" s="27"/>
      <c r="D154" s="27"/>
      <c r="E154" s="12"/>
      <c r="F154" s="12"/>
      <c r="G154" s="12"/>
      <c r="H154" s="12"/>
      <c r="I154" s="25"/>
      <c r="J154" s="16"/>
    </row>
    <row r="155" spans="2:10" ht="11.5" customHeight="1">
      <c r="B155" s="27"/>
      <c r="C155" s="27"/>
      <c r="D155" s="27"/>
      <c r="E155" s="12"/>
      <c r="F155" s="12"/>
      <c r="G155" s="12"/>
      <c r="H155" s="12"/>
      <c r="I155" s="25"/>
      <c r="J155" s="16"/>
    </row>
    <row r="156" spans="2:10" ht="11.5" customHeight="1">
      <c r="B156" s="27"/>
      <c r="C156" s="27"/>
      <c r="D156" s="27"/>
      <c r="E156" s="12"/>
      <c r="F156" s="12"/>
      <c r="G156" s="12"/>
      <c r="H156" s="12"/>
      <c r="I156" s="25"/>
      <c r="J156" s="16"/>
    </row>
    <row r="157" spans="2:10" ht="11.5" customHeight="1">
      <c r="B157" s="27"/>
      <c r="C157" s="27"/>
      <c r="D157" s="27"/>
      <c r="E157" s="12"/>
      <c r="F157" s="12"/>
      <c r="G157" s="12"/>
      <c r="H157" s="12"/>
      <c r="I157" s="25"/>
      <c r="J157" s="16"/>
    </row>
    <row r="158" spans="2:10" ht="17" customHeight="1">
      <c r="B158" s="27"/>
      <c r="C158" s="27"/>
      <c r="D158" s="27"/>
      <c r="E158" s="12"/>
      <c r="F158" s="12"/>
      <c r="G158" s="12"/>
      <c r="H158" s="12"/>
      <c r="I158" s="25"/>
      <c r="J158" s="16"/>
    </row>
    <row r="159" spans="2:10" ht="17" customHeight="1">
      <c r="B159" s="27"/>
      <c r="C159" s="27"/>
      <c r="D159" s="27"/>
      <c r="E159" s="12"/>
      <c r="F159" s="12"/>
      <c r="G159" s="12"/>
      <c r="H159" s="12"/>
      <c r="I159" s="25"/>
      <c r="J159" s="16"/>
    </row>
  </sheetData>
  <phoneticPr fontId="2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F418-C846-4939-AD08-2FE86EDE6457}">
  <sheetPr>
    <tabColor rgb="FF0066FF"/>
  </sheetPr>
  <dimension ref="A1:AA53"/>
  <sheetViews>
    <sheetView tabSelected="1" workbookViewId="0">
      <selection activeCell="K14" sqref="K14"/>
    </sheetView>
  </sheetViews>
  <sheetFormatPr defaultRowHeight="14.5"/>
  <cols>
    <col min="1" max="1" width="37.54296875" customWidth="1"/>
    <col min="2" max="2" width="13.36328125" customWidth="1"/>
    <col min="3" max="3" width="11.26953125" customWidth="1"/>
    <col min="4" max="4" width="11.7265625" customWidth="1"/>
    <col min="5" max="5" width="13.1796875" customWidth="1"/>
    <col min="6" max="6" width="12.36328125" customWidth="1"/>
    <col min="7" max="7" width="12.6328125" customWidth="1"/>
    <col min="8" max="8" width="12.26953125" customWidth="1"/>
    <col min="9" max="9" width="11.90625" customWidth="1"/>
    <col min="10" max="10" width="7.36328125" customWidth="1"/>
    <col min="11" max="11" width="12.54296875" bestFit="1" customWidth="1"/>
    <col min="12" max="12" width="2.7265625" customWidth="1"/>
    <col min="13" max="13" width="12.26953125" style="38" customWidth="1"/>
    <col min="14" max="14" width="10.90625" customWidth="1"/>
    <col min="15" max="19" width="12.26953125" customWidth="1"/>
    <col min="20" max="21" width="10.36328125" customWidth="1"/>
    <col min="22" max="22" width="12.36328125" customWidth="1"/>
    <col min="23" max="27" width="10.90625" customWidth="1"/>
    <col min="28" max="28" width="12.36328125" bestFit="1" customWidth="1"/>
  </cols>
  <sheetData>
    <row r="1" spans="1:27" ht="28.75" customHeight="1" thickBot="1">
      <c r="A1" s="77" t="s">
        <v>67</v>
      </c>
      <c r="B1" s="75" t="s">
        <v>68</v>
      </c>
      <c r="C1" s="72" t="s">
        <v>69</v>
      </c>
      <c r="D1" s="73"/>
      <c r="E1" s="73"/>
      <c r="F1" s="74"/>
      <c r="G1" s="34" t="s">
        <v>70</v>
      </c>
      <c r="H1" s="35">
        <v>44444</v>
      </c>
      <c r="U1" s="36" t="s">
        <v>71</v>
      </c>
      <c r="V1" s="36"/>
      <c r="W1" s="37"/>
      <c r="X1" s="37"/>
      <c r="Y1" s="37"/>
      <c r="Z1" s="37"/>
      <c r="AA1" s="37"/>
    </row>
    <row r="2" spans="1:27" ht="18" customHeight="1" thickBot="1">
      <c r="A2" s="79" t="s">
        <v>146</v>
      </c>
      <c r="B2" s="39"/>
      <c r="G2" s="40" t="s">
        <v>144</v>
      </c>
      <c r="H2" s="35">
        <v>44742</v>
      </c>
      <c r="U2" s="41" t="s">
        <v>72</v>
      </c>
    </row>
    <row r="3" spans="1:27" ht="10.5" customHeight="1" thickBot="1"/>
    <row r="4" spans="1:27" ht="16" thickBot="1">
      <c r="A4" s="91" t="s">
        <v>73</v>
      </c>
      <c r="B4" s="92"/>
      <c r="C4" s="92"/>
      <c r="D4" s="92"/>
      <c r="E4" s="92"/>
      <c r="F4" s="92"/>
      <c r="G4" s="92"/>
      <c r="H4" s="93"/>
      <c r="I4" s="92"/>
      <c r="J4" s="92"/>
      <c r="U4" s="42" t="s">
        <v>74</v>
      </c>
      <c r="V4" s="42"/>
      <c r="W4" s="43" t="s">
        <v>75</v>
      </c>
      <c r="X4" s="44"/>
      <c r="Y4" s="44"/>
      <c r="Z4" s="44"/>
      <c r="AA4" s="44"/>
    </row>
    <row r="5" spans="1:27" s="209" customFormat="1" ht="44.5" customHeight="1" thickBot="1">
      <c r="A5" s="205"/>
      <c r="B5" s="206"/>
      <c r="C5" s="207" t="s">
        <v>76</v>
      </c>
      <c r="D5" s="207" t="s">
        <v>77</v>
      </c>
      <c r="E5" s="207" t="s">
        <v>78</v>
      </c>
      <c r="F5" s="207" t="s">
        <v>79</v>
      </c>
      <c r="G5" s="207" t="s">
        <v>80</v>
      </c>
      <c r="H5" s="208" t="s">
        <v>81</v>
      </c>
      <c r="I5" s="207" t="s">
        <v>385</v>
      </c>
      <c r="J5" s="184" t="s">
        <v>386</v>
      </c>
      <c r="M5" s="78"/>
      <c r="U5" s="45" t="s">
        <v>82</v>
      </c>
      <c r="V5" s="45"/>
      <c r="W5" s="46">
        <v>44012</v>
      </c>
      <c r="X5" s="47">
        <v>43830</v>
      </c>
      <c r="Y5" s="47">
        <v>43465</v>
      </c>
      <c r="Z5" s="47">
        <v>43100</v>
      </c>
      <c r="AA5" s="47">
        <v>42735</v>
      </c>
    </row>
    <row r="6" spans="1:27">
      <c r="A6" s="185" t="s">
        <v>387</v>
      </c>
      <c r="B6" s="186"/>
      <c r="C6" s="186">
        <f>+F6+D6-E6</f>
        <v>13177020</v>
      </c>
      <c r="D6" s="186">
        <f>+'Historical Analysis'!C49+'Historical Analysis'!C53</f>
        <v>4097000</v>
      </c>
      <c r="E6" s="186">
        <f>'Historical Analysis'!C24</f>
        <v>1223000</v>
      </c>
      <c r="F6" s="186">
        <f>+H6*G6</f>
        <v>10303020</v>
      </c>
      <c r="G6" s="217">
        <v>109200</v>
      </c>
      <c r="H6" s="218">
        <f>+C25</f>
        <v>94.35</v>
      </c>
      <c r="I6" s="187"/>
      <c r="J6" s="187"/>
      <c r="K6" s="209"/>
      <c r="U6" s="48" t="s">
        <v>84</v>
      </c>
      <c r="W6" s="68">
        <f>+'Historical Analysis'!D7</f>
        <v>3028000</v>
      </c>
      <c r="X6" s="61">
        <f>+'Historical Analysis'!E7</f>
        <v>2066000</v>
      </c>
      <c r="Y6" s="61">
        <f>+'Historical Analysis'!F7</f>
        <v>5020000</v>
      </c>
      <c r="Z6" s="61">
        <f>+'Historical Analysis'!G7</f>
        <v>4454000</v>
      </c>
      <c r="AA6" s="61">
        <f>+'Historical Analysis'!H7</f>
        <v>4685000</v>
      </c>
    </row>
    <row r="7" spans="1:27">
      <c r="A7" s="188"/>
      <c r="B7" s="189"/>
      <c r="C7" s="189"/>
      <c r="D7" s="189"/>
      <c r="E7" s="189"/>
      <c r="F7" s="189"/>
      <c r="G7" s="189"/>
      <c r="H7" s="190"/>
      <c r="I7" s="191"/>
      <c r="J7" s="191"/>
      <c r="K7" s="209"/>
      <c r="U7" t="s">
        <v>3</v>
      </c>
      <c r="W7" s="68">
        <f>+'Historical Analysis'!D8</f>
        <v>2603000</v>
      </c>
      <c r="X7" s="61">
        <f>+'Historical Analysis'!E8</f>
        <v>2067000</v>
      </c>
      <c r="Y7" s="61">
        <f>+'Historical Analysis'!F8</f>
        <v>4077000</v>
      </c>
      <c r="Z7" s="61">
        <f>+'Historical Analysis'!G8</f>
        <v>3475000</v>
      </c>
      <c r="AA7" s="61">
        <f>+'Historical Analysis'!H8</f>
        <v>3638000</v>
      </c>
    </row>
    <row r="8" spans="1:27" ht="15" thickBot="1">
      <c r="A8" s="188" t="s">
        <v>388</v>
      </c>
      <c r="B8" s="189"/>
      <c r="C8" s="189">
        <f>+D8+F8-E8</f>
        <v>13370675.261229474</v>
      </c>
      <c r="D8" s="189">
        <f>+D6</f>
        <v>4097000</v>
      </c>
      <c r="E8" s="189">
        <f>+E6</f>
        <v>1223000</v>
      </c>
      <c r="F8" s="189">
        <f>+G8*H8</f>
        <v>10496675.261229474</v>
      </c>
      <c r="G8" s="189">
        <f>+G6</f>
        <v>109200</v>
      </c>
      <c r="H8" s="190">
        <f>+E34</f>
        <v>96.123399828108745</v>
      </c>
      <c r="I8" s="191" t="s">
        <v>384</v>
      </c>
      <c r="J8" s="202">
        <f>+H8/$H$6-1</f>
        <v>1.8795970621184432E-2</v>
      </c>
      <c r="K8" s="209"/>
      <c r="U8" s="48" t="s">
        <v>85</v>
      </c>
      <c r="W8" s="69">
        <f>+W6-W7</f>
        <v>425000</v>
      </c>
      <c r="X8" s="50">
        <f>+X6-X7</f>
        <v>-1000</v>
      </c>
      <c r="Y8" s="50">
        <f>+Y6-Y7</f>
        <v>943000</v>
      </c>
      <c r="Z8" s="50">
        <f>+Z6-Z7</f>
        <v>979000</v>
      </c>
      <c r="AA8" s="50">
        <f>+AA6-AA7</f>
        <v>1047000</v>
      </c>
    </row>
    <row r="9" spans="1:27" ht="15" thickTop="1">
      <c r="A9" s="192" t="s">
        <v>389</v>
      </c>
      <c r="B9" s="189"/>
      <c r="C9" s="193">
        <f>+B52</f>
        <v>12403887.681366023</v>
      </c>
      <c r="D9" s="189">
        <f>+D8</f>
        <v>4097000</v>
      </c>
      <c r="E9" s="189">
        <f>+E8</f>
        <v>1223000</v>
      </c>
      <c r="F9" s="189">
        <f>+C9-D9+E9</f>
        <v>9529887.6813660227</v>
      </c>
      <c r="G9" s="189">
        <f>+G8</f>
        <v>109200</v>
      </c>
      <c r="H9" s="190">
        <f>+F9/G9</f>
        <v>87.270033712143061</v>
      </c>
      <c r="I9" s="191" t="s">
        <v>145</v>
      </c>
      <c r="J9" s="202">
        <f>+H9/$H$6-1</f>
        <v>-7.503938831856849E-2</v>
      </c>
      <c r="U9" s="48" t="s">
        <v>141</v>
      </c>
      <c r="W9" s="68" t="e">
        <f>+W8-#REF!</f>
        <v>#REF!</v>
      </c>
      <c r="X9" s="51" t="e">
        <f>+X8-#REF!</f>
        <v>#REF!</v>
      </c>
      <c r="Y9" s="51" t="e">
        <f>+Y8-#REF!</f>
        <v>#REF!</v>
      </c>
      <c r="Z9" s="51" t="e">
        <f>+Z8-#REF!</f>
        <v>#REF!</v>
      </c>
      <c r="AA9" s="51" t="e">
        <f>+AA8-#REF!</f>
        <v>#REF!</v>
      </c>
    </row>
    <row r="10" spans="1:27">
      <c r="A10" s="194"/>
      <c r="B10" s="98"/>
      <c r="C10" s="99"/>
      <c r="D10" s="99"/>
      <c r="E10" s="99"/>
      <c r="F10" s="99"/>
      <c r="G10" s="99"/>
      <c r="H10" s="195"/>
      <c r="I10" s="196"/>
      <c r="J10" s="203"/>
      <c r="U10" s="48" t="s">
        <v>142</v>
      </c>
      <c r="W10" s="70">
        <f>+'Historical Analysis'!D14</f>
        <v>-458000</v>
      </c>
      <c r="X10" s="62">
        <f>+'Historical Analysis'!E14</f>
        <v>200000</v>
      </c>
      <c r="Y10" s="62">
        <f>+'Historical Analysis'!F14</f>
        <v>-884000</v>
      </c>
      <c r="Z10" s="62">
        <f>+'Historical Analysis'!G14</f>
        <v>-695000</v>
      </c>
      <c r="AA10" s="62">
        <f>+'Historical Analysis'!H14</f>
        <v>-351000</v>
      </c>
    </row>
    <row r="11" spans="1:27" ht="15" thickBot="1">
      <c r="A11" s="197" t="s">
        <v>86</v>
      </c>
      <c r="B11" s="111"/>
      <c r="C11" s="198">
        <f>AVERAGE(C8:C9)</f>
        <v>12887281.471297748</v>
      </c>
      <c r="D11" s="198"/>
      <c r="E11" s="198"/>
      <c r="F11" s="198">
        <f>AVERAGE(F8:F9)</f>
        <v>10013281.471297748</v>
      </c>
      <c r="G11" s="198"/>
      <c r="H11" s="236">
        <f>AVERAGE(H8:H9)</f>
        <v>91.696716770125903</v>
      </c>
      <c r="I11" s="199" t="s">
        <v>145</v>
      </c>
      <c r="J11" s="204">
        <f>+H11/$H$6-1</f>
        <v>-2.8121708848692029E-2</v>
      </c>
      <c r="U11" s="48" t="s">
        <v>10</v>
      </c>
      <c r="W11" s="68" t="e">
        <f>+W10+#REF!</f>
        <v>#REF!</v>
      </c>
      <c r="X11" s="63" t="e">
        <f>+X10+#REF!</f>
        <v>#REF!</v>
      </c>
      <c r="Y11" s="63" t="e">
        <f>+Y10+#REF!</f>
        <v>#REF!</v>
      </c>
      <c r="Z11" s="63" t="e">
        <f>+Z10+#REF!</f>
        <v>#REF!</v>
      </c>
      <c r="AA11" s="63" t="e">
        <f>+AA10+#REF!</f>
        <v>#REF!</v>
      </c>
    </row>
    <row r="12" spans="1:27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U12" s="48" t="s">
        <v>143</v>
      </c>
      <c r="W12" s="71">
        <f>+'Historical Analysis'!D16</f>
        <v>266000</v>
      </c>
      <c r="X12" s="61">
        <f>+'Historical Analysis'!E16</f>
        <v>-257000</v>
      </c>
      <c r="Y12" s="61">
        <f>+'Historical Analysis'!F16</f>
        <v>240000</v>
      </c>
      <c r="Z12" s="61">
        <f>+'Historical Analysis'!G16</f>
        <v>182000</v>
      </c>
      <c r="AA12" s="61">
        <f>+'Historical Analysis'!H16</f>
        <v>323000</v>
      </c>
    </row>
    <row r="13" spans="1:27" ht="15" thickBot="1">
      <c r="U13" s="48" t="s">
        <v>12</v>
      </c>
      <c r="W13" s="69" t="e">
        <f>+W11-W12</f>
        <v>#REF!</v>
      </c>
      <c r="X13" s="50" t="e">
        <f>+X11-X12</f>
        <v>#REF!</v>
      </c>
      <c r="Y13" s="50" t="e">
        <f>+Y11-Y12</f>
        <v>#REF!</v>
      </c>
      <c r="Z13" s="50" t="e">
        <f>+Z11-Z12</f>
        <v>#REF!</v>
      </c>
      <c r="AA13" s="50" t="e">
        <f>+AA11-AA12</f>
        <v>#REF!</v>
      </c>
    </row>
    <row r="14" spans="1:27" ht="16" thickTop="1">
      <c r="A14" s="94" t="s">
        <v>83</v>
      </c>
      <c r="B14" s="95"/>
      <c r="C14" s="89"/>
      <c r="D14" s="89"/>
      <c r="E14" s="89"/>
      <c r="F14" s="89"/>
      <c r="G14" s="89"/>
      <c r="H14" s="89"/>
      <c r="U14" s="48" t="s">
        <v>87</v>
      </c>
      <c r="W14" s="49">
        <v>103329.27324401138</v>
      </c>
    </row>
    <row r="15" spans="1:27" ht="7.5" customHeight="1" thickBot="1">
      <c r="U15" s="48" t="s">
        <v>88</v>
      </c>
      <c r="W15" s="53" t="e">
        <f>+W13/W14</f>
        <v>#REF!</v>
      </c>
      <c r="X15" s="52"/>
      <c r="Y15" s="52"/>
      <c r="Z15" s="52"/>
      <c r="AA15" s="52"/>
    </row>
    <row r="16" spans="1:27" ht="44" thickBot="1">
      <c r="A16" s="104" t="s">
        <v>90</v>
      </c>
      <c r="B16" s="105" t="s">
        <v>91</v>
      </c>
      <c r="C16" s="106" t="s">
        <v>392</v>
      </c>
      <c r="D16" s="106" t="s">
        <v>92</v>
      </c>
      <c r="E16" s="106" t="s">
        <v>93</v>
      </c>
      <c r="F16" s="107" t="s">
        <v>393</v>
      </c>
      <c r="G16" s="108" t="s">
        <v>394</v>
      </c>
      <c r="H16" s="109" t="s">
        <v>94</v>
      </c>
      <c r="U16" s="45" t="s">
        <v>82</v>
      </c>
      <c r="V16" s="45"/>
      <c r="W16" s="46">
        <f>+W5</f>
        <v>44012</v>
      </c>
      <c r="X16" s="47">
        <v>43830</v>
      </c>
      <c r="Y16" s="47">
        <v>43465</v>
      </c>
      <c r="Z16" s="47">
        <v>43100</v>
      </c>
      <c r="AA16" s="47">
        <v>42735</v>
      </c>
    </row>
    <row r="17" spans="1:27" ht="20" hidden="1" customHeight="1">
      <c r="A17" s="146" t="s">
        <v>95</v>
      </c>
      <c r="B17" s="147" t="s">
        <v>96</v>
      </c>
      <c r="C17" s="148">
        <v>64.37</v>
      </c>
      <c r="D17" s="149">
        <v>32.695999999999998</v>
      </c>
      <c r="E17" s="150">
        <v>2104.6415200000001</v>
      </c>
      <c r="F17" s="151">
        <v>328.71</v>
      </c>
      <c r="G17" s="152"/>
      <c r="H17" s="153">
        <v>2433.3515200000002</v>
      </c>
      <c r="W17" s="54"/>
    </row>
    <row r="18" spans="1:27" ht="30" hidden="1" customHeight="1">
      <c r="A18" s="154" t="s">
        <v>97</v>
      </c>
      <c r="B18" s="155" t="s">
        <v>98</v>
      </c>
      <c r="C18" s="156">
        <v>30.76</v>
      </c>
      <c r="D18" s="157">
        <v>74.518000000000001</v>
      </c>
      <c r="E18" s="150">
        <v>2292.1736800000003</v>
      </c>
      <c r="F18" s="158">
        <v>402.1</v>
      </c>
      <c r="G18" s="159"/>
      <c r="H18" s="160">
        <v>2694.2736800000002</v>
      </c>
      <c r="W18" s="54"/>
    </row>
    <row r="19" spans="1:27" ht="15.75" hidden="1" customHeight="1">
      <c r="A19" s="154" t="s">
        <v>99</v>
      </c>
      <c r="B19" s="155" t="s">
        <v>100</v>
      </c>
      <c r="C19" s="156">
        <v>24.35</v>
      </c>
      <c r="D19" s="157">
        <v>380.96499999999997</v>
      </c>
      <c r="E19" s="150">
        <v>9276.4977500000005</v>
      </c>
      <c r="F19" s="158">
        <v>3647</v>
      </c>
      <c r="G19" s="159"/>
      <c r="H19" s="160">
        <v>12923.49775</v>
      </c>
      <c r="W19" s="54"/>
    </row>
    <row r="20" spans="1:27" ht="30" hidden="1" customHeight="1">
      <c r="A20" s="154" t="s">
        <v>101</v>
      </c>
      <c r="B20" s="155" t="s">
        <v>102</v>
      </c>
      <c r="C20" s="156">
        <v>23.6</v>
      </c>
      <c r="D20" s="157">
        <v>5.2530000000000001</v>
      </c>
      <c r="E20" s="150">
        <v>123.97080000000001</v>
      </c>
      <c r="F20" s="158">
        <v>765.2</v>
      </c>
      <c r="G20" s="159"/>
      <c r="H20" s="160">
        <v>889.1708000000001</v>
      </c>
      <c r="W20" s="54"/>
    </row>
    <row r="21" spans="1:27" ht="20" hidden="1" customHeight="1">
      <c r="A21" s="154" t="s">
        <v>103</v>
      </c>
      <c r="B21" s="155" t="s">
        <v>104</v>
      </c>
      <c r="C21" s="156">
        <v>8.52</v>
      </c>
      <c r="D21" s="157">
        <v>201.8</v>
      </c>
      <c r="E21" s="150">
        <v>1719.336</v>
      </c>
      <c r="F21" s="158">
        <v>925.61</v>
      </c>
      <c r="G21" s="159"/>
      <c r="H21" s="160">
        <v>2644.9459999999999</v>
      </c>
      <c r="W21" s="54"/>
    </row>
    <row r="22" spans="1:27" ht="20" hidden="1" customHeight="1">
      <c r="A22" s="154" t="s">
        <v>105</v>
      </c>
      <c r="B22" s="156" t="s">
        <v>106</v>
      </c>
      <c r="C22" s="156">
        <v>19.920000000000002</v>
      </c>
      <c r="D22" s="157">
        <v>21.282</v>
      </c>
      <c r="E22" s="150">
        <v>423.93744000000004</v>
      </c>
      <c r="F22" s="158">
        <v>198.43</v>
      </c>
      <c r="G22" s="159"/>
      <c r="H22" s="160">
        <v>622.36743999999999</v>
      </c>
      <c r="W22" s="54"/>
    </row>
    <row r="23" spans="1:27" ht="20" hidden="1" customHeight="1">
      <c r="A23" s="154" t="s">
        <v>107</v>
      </c>
      <c r="B23" s="156" t="s">
        <v>108</v>
      </c>
      <c r="C23" s="156">
        <v>67.510000000000005</v>
      </c>
      <c r="D23" s="157">
        <v>216.71100000000001</v>
      </c>
      <c r="E23" s="150">
        <v>14630.159610000002</v>
      </c>
      <c r="F23" s="158">
        <v>1325</v>
      </c>
      <c r="G23" s="159"/>
      <c r="H23" s="160">
        <v>15955.159610000002</v>
      </c>
      <c r="W23" s="54"/>
    </row>
    <row r="24" spans="1:27" ht="20" hidden="1" customHeight="1">
      <c r="A24" s="154" t="s">
        <v>109</v>
      </c>
      <c r="B24" s="161" t="s">
        <v>110</v>
      </c>
      <c r="C24" s="156">
        <v>28.92</v>
      </c>
      <c r="D24" s="157">
        <v>31.791</v>
      </c>
      <c r="E24" s="150">
        <v>919.3957200000001</v>
      </c>
      <c r="F24" s="158">
        <v>626.63</v>
      </c>
      <c r="G24" s="159"/>
      <c r="H24" s="160">
        <v>1546.0257200000001</v>
      </c>
      <c r="W24" s="54"/>
    </row>
    <row r="25" spans="1:27" ht="31" customHeight="1">
      <c r="A25" s="110" t="s">
        <v>111</v>
      </c>
      <c r="B25" s="162" t="s">
        <v>112</v>
      </c>
      <c r="C25" s="162">
        <v>94.35</v>
      </c>
      <c r="D25" s="163">
        <f>+G6</f>
        <v>109200</v>
      </c>
      <c r="E25" s="164">
        <f>+D25*C25</f>
        <v>10303020</v>
      </c>
      <c r="F25" s="165">
        <f>'Historical Analysis'!C53+'Historical Analysis'!C49</f>
        <v>4097000</v>
      </c>
      <c r="G25" s="165">
        <f>'Historical Analysis'!C24</f>
        <v>1223000</v>
      </c>
      <c r="H25" s="166">
        <f>+E25+F25-G25</f>
        <v>13177020</v>
      </c>
      <c r="U25" t="s">
        <v>113</v>
      </c>
      <c r="W25" s="55">
        <f>+'Historical Analysis'!E24</f>
        <v>1207000</v>
      </c>
      <c r="X25" s="51">
        <f>+'Historical Analysis'!F24</f>
        <v>893000</v>
      </c>
      <c r="Y25" s="51">
        <f>+'Historical Analysis'!G24</f>
        <v>570000</v>
      </c>
      <c r="Z25" s="51">
        <f>+'Historical Analysis'!H24</f>
        <v>503000</v>
      </c>
      <c r="AA25" s="51">
        <f>+'Historical Analysis'!I24</f>
        <v>482000</v>
      </c>
    </row>
    <row r="26" spans="1:27" ht="15" thickBot="1">
      <c r="U26" s="56" t="s">
        <v>30</v>
      </c>
      <c r="V26" s="67"/>
      <c r="W26" s="57">
        <f>+'Historical Analysis'!E42</f>
        <v>9129000</v>
      </c>
      <c r="X26" s="58">
        <f>+'Historical Analysis'!F42</f>
        <v>8417000</v>
      </c>
      <c r="Y26" s="58">
        <f>+'Historical Analysis'!G42</f>
        <v>7643000</v>
      </c>
      <c r="Z26" s="58">
        <f>+'Historical Analysis'!H42</f>
        <v>7672000</v>
      </c>
      <c r="AA26" s="58">
        <f>+'Historical Analysis'!I42</f>
        <v>7749000</v>
      </c>
    </row>
    <row r="27" spans="1:27" ht="16" thickTop="1">
      <c r="A27" s="94" t="s">
        <v>388</v>
      </c>
      <c r="B27" s="89"/>
      <c r="C27" s="89"/>
      <c r="D27" s="89"/>
      <c r="E27" s="89"/>
      <c r="F27" s="89"/>
      <c r="G27" s="89"/>
      <c r="H27" s="96"/>
      <c r="U27" t="s">
        <v>114</v>
      </c>
      <c r="W27" s="55">
        <f>+'Historical Analysis'!E37</f>
        <v>980000</v>
      </c>
      <c r="X27" s="51">
        <f>+'Historical Analysis'!F37</f>
        <v>843000</v>
      </c>
      <c r="Y27" s="51">
        <f>+'Historical Analysis'!G37</f>
        <v>735000</v>
      </c>
      <c r="Z27" s="51">
        <f>+'Historical Analysis'!H37</f>
        <v>211000</v>
      </c>
      <c r="AA27" s="51">
        <f>+'Historical Analysis'!I37</f>
        <v>186000</v>
      </c>
    </row>
    <row r="28" spans="1:27">
      <c r="A28" s="167"/>
      <c r="B28" s="100"/>
      <c r="C28" s="100"/>
      <c r="D28" s="100"/>
      <c r="E28" s="100"/>
      <c r="F28" s="100"/>
      <c r="G28" s="100"/>
      <c r="H28" s="111"/>
      <c r="U28" t="s">
        <v>41</v>
      </c>
      <c r="W28" s="55">
        <f>+'Historical Analysis'!E57</f>
        <v>5915000</v>
      </c>
      <c r="X28" s="51">
        <f>+'Historical Analysis'!F57</f>
        <v>4450000</v>
      </c>
      <c r="Y28" s="51">
        <f>+'Historical Analysis'!G57</f>
        <v>3966000</v>
      </c>
      <c r="Z28" s="51">
        <f>+'Historical Analysis'!H57</f>
        <v>4131000</v>
      </c>
      <c r="AA28" s="51">
        <f>+'Historical Analysis'!I57</f>
        <v>3841000</v>
      </c>
    </row>
    <row r="29" spans="1:27" ht="16.5" customHeight="1">
      <c r="A29" s="168" t="s">
        <v>115</v>
      </c>
      <c r="B29" s="111"/>
      <c r="C29" s="100"/>
      <c r="D29" s="168" t="s">
        <v>116</v>
      </c>
      <c r="E29" s="111"/>
      <c r="F29" s="100"/>
      <c r="G29" s="100"/>
      <c r="H29" s="100"/>
      <c r="U29" t="s">
        <v>43</v>
      </c>
      <c r="W29" s="55">
        <f>+W26-W28</f>
        <v>3214000</v>
      </c>
      <c r="X29" s="51">
        <f>+X26-X28</f>
        <v>3967000</v>
      </c>
      <c r="Y29" s="51">
        <f>+Y26-Y28</f>
        <v>3677000</v>
      </c>
      <c r="Z29" s="51">
        <f>+Z26-Z28</f>
        <v>3541000</v>
      </c>
      <c r="AA29" s="51">
        <f>+AA26-AA28</f>
        <v>3908000</v>
      </c>
    </row>
    <row r="30" spans="1:27" ht="16.5" customHeight="1">
      <c r="A30" s="111" t="s">
        <v>382</v>
      </c>
      <c r="B30" s="219">
        <v>0.03</v>
      </c>
      <c r="C30" s="111"/>
      <c r="D30" s="111" t="s">
        <v>117</v>
      </c>
      <c r="E30" s="220">
        <v>0</v>
      </c>
      <c r="F30" s="100"/>
      <c r="G30" s="100"/>
      <c r="H30" s="100"/>
      <c r="W30" s="51"/>
      <c r="X30" s="51"/>
      <c r="Y30" s="51"/>
      <c r="Z30" s="51"/>
      <c r="AA30" s="51"/>
    </row>
    <row r="31" spans="1:27" ht="16.5" customHeight="1">
      <c r="A31" s="111" t="s">
        <v>118</v>
      </c>
      <c r="B31" s="237">
        <v>1.37</v>
      </c>
      <c r="C31" s="111"/>
      <c r="D31" s="111" t="s">
        <v>120</v>
      </c>
      <c r="E31" s="220">
        <v>106.25</v>
      </c>
      <c r="F31" s="172" t="s">
        <v>390</v>
      </c>
      <c r="G31" s="100"/>
      <c r="H31" s="100"/>
      <c r="U31" s="42" t="s">
        <v>119</v>
      </c>
      <c r="V31" s="42"/>
      <c r="W31" s="43" t="s">
        <v>75</v>
      </c>
      <c r="X31" s="44"/>
      <c r="Y31" s="44"/>
      <c r="Z31" s="44"/>
      <c r="AA31" s="44"/>
    </row>
    <row r="32" spans="1:27" ht="16.5" customHeight="1" thickBot="1">
      <c r="A32" s="111" t="s">
        <v>372</v>
      </c>
      <c r="B32" s="219">
        <v>5.5E-2</v>
      </c>
      <c r="C32" s="111"/>
      <c r="D32" s="111" t="s">
        <v>122</v>
      </c>
      <c r="E32" s="171">
        <f>+B34</f>
        <v>0.10535</v>
      </c>
      <c r="F32" s="100"/>
      <c r="G32" s="100"/>
      <c r="H32" s="100"/>
      <c r="U32" s="45" t="s">
        <v>82</v>
      </c>
      <c r="V32" s="45"/>
      <c r="W32" s="46">
        <f>+W16</f>
        <v>44012</v>
      </c>
      <c r="X32" s="47">
        <v>43830</v>
      </c>
      <c r="Y32" s="47">
        <v>43465</v>
      </c>
      <c r="Z32" s="47">
        <v>43100</v>
      </c>
      <c r="AA32" s="47">
        <v>42735</v>
      </c>
    </row>
    <row r="33" spans="1:27" ht="16.5" customHeight="1" thickBot="1">
      <c r="A33" s="111" t="s">
        <v>121</v>
      </c>
      <c r="B33" s="171">
        <f>+B32+B30</f>
        <v>8.4999999999999992E-2</v>
      </c>
      <c r="C33" s="111"/>
      <c r="D33" s="111"/>
      <c r="E33" s="111"/>
      <c r="F33" s="111"/>
      <c r="G33" s="100"/>
      <c r="H33" s="100"/>
      <c r="U33" s="48" t="s">
        <v>123</v>
      </c>
      <c r="W33" s="66">
        <v>-358000</v>
      </c>
      <c r="X33" s="51">
        <v>-369000</v>
      </c>
      <c r="Y33" s="51">
        <v>-297000</v>
      </c>
      <c r="Z33" s="51">
        <v>-298000</v>
      </c>
      <c r="AA33" s="51">
        <v>-211000</v>
      </c>
    </row>
    <row r="34" spans="1:27" ht="16.5" customHeight="1" thickBot="1">
      <c r="A34" s="173" t="s">
        <v>124</v>
      </c>
      <c r="B34" s="174">
        <f>+B30+B31*B32</f>
        <v>0.10535</v>
      </c>
      <c r="C34" s="111"/>
      <c r="D34" s="169" t="s">
        <v>371</v>
      </c>
      <c r="E34" s="170">
        <f>+(E31+E30)/(1+(E32))</f>
        <v>96.123399828108745</v>
      </c>
      <c r="F34" s="172"/>
      <c r="G34" s="100"/>
      <c r="H34" s="100"/>
      <c r="U34" s="48" t="s">
        <v>125</v>
      </c>
      <c r="W34" s="66">
        <v>363000</v>
      </c>
      <c r="X34" s="51">
        <v>364000</v>
      </c>
      <c r="Y34" s="51">
        <v>327000</v>
      </c>
      <c r="Z34" s="51">
        <v>366000</v>
      </c>
      <c r="AA34" s="51">
        <v>342000</v>
      </c>
    </row>
    <row r="35" spans="1:27" ht="16.5" customHeight="1">
      <c r="A35" s="175"/>
      <c r="B35" s="175"/>
      <c r="C35" s="100"/>
      <c r="D35" s="100"/>
      <c r="E35" s="100"/>
      <c r="F35" s="100"/>
      <c r="G35" s="100"/>
      <c r="H35" s="100"/>
    </row>
    <row r="36" spans="1:27" ht="16.5" customHeight="1">
      <c r="A36" s="175"/>
      <c r="B36" s="175"/>
      <c r="C36" s="100"/>
      <c r="D36" s="100"/>
      <c r="E36" s="100"/>
      <c r="F36" s="100"/>
      <c r="G36" s="100"/>
      <c r="H36" s="100"/>
    </row>
    <row r="37" spans="1:27" ht="15.5">
      <c r="A37" s="94" t="s">
        <v>389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</row>
    <row r="38" spans="1:27" ht="8.25" customHeight="1" thickBot="1">
      <c r="A38" s="210"/>
      <c r="B38" s="98"/>
      <c r="C38" s="98"/>
      <c r="D38" s="98"/>
      <c r="E38" s="98"/>
      <c r="F38" s="98"/>
      <c r="G38" s="98"/>
      <c r="H38" s="98"/>
      <c r="I38" s="98"/>
      <c r="J38" s="98"/>
      <c r="K38" s="98"/>
    </row>
    <row r="39" spans="1:27" ht="57.75" customHeight="1" thickBot="1">
      <c r="A39" s="177" t="s">
        <v>90</v>
      </c>
      <c r="B39" s="178" t="s">
        <v>91</v>
      </c>
      <c r="C39" s="179" t="str">
        <f>+C16</f>
        <v xml:space="preserve">Stock Price
11/14/2022 </v>
      </c>
      <c r="D39" s="180" t="s">
        <v>92</v>
      </c>
      <c r="E39" s="180" t="s">
        <v>126</v>
      </c>
      <c r="F39" s="181" t="str">
        <f>+F16</f>
        <v>Debt (ST&amp;LT)
($000)
9/30/2022</v>
      </c>
      <c r="G39" s="182" t="str">
        <f>+G16</f>
        <v>Cash
 ($000)
9/30/2022</v>
      </c>
      <c r="H39" s="183" t="s">
        <v>94</v>
      </c>
      <c r="I39" s="180" t="s">
        <v>395</v>
      </c>
      <c r="J39" s="183" t="s">
        <v>127</v>
      </c>
      <c r="K39" s="182" t="s">
        <v>128</v>
      </c>
    </row>
    <row r="40" spans="1:27" ht="15.65" customHeight="1">
      <c r="A40" s="112" t="s">
        <v>95</v>
      </c>
      <c r="B40" s="113" t="s">
        <v>96</v>
      </c>
      <c r="C40" s="221">
        <v>121.39</v>
      </c>
      <c r="D40" s="224">
        <v>53300</v>
      </c>
      <c r="E40" s="114">
        <f t="shared" ref="E40:E46" si="0">+D40*C40</f>
        <v>6470087</v>
      </c>
      <c r="F40" s="227">
        <v>1230000</v>
      </c>
      <c r="G40" s="230">
        <v>52540</v>
      </c>
      <c r="H40" s="115">
        <f t="shared" ref="H40:H46" si="1">+E40+F40-G40</f>
        <v>7647547</v>
      </c>
      <c r="I40" s="224">
        <v>565080</v>
      </c>
      <c r="J40" s="116">
        <f t="shared" ref="J40:J46" si="2">+H40/I40</f>
        <v>13.533565158915552</v>
      </c>
      <c r="K40" s="233">
        <v>1.3</v>
      </c>
    </row>
    <row r="41" spans="1:27" ht="15.65" customHeight="1">
      <c r="A41" s="112" t="s">
        <v>129</v>
      </c>
      <c r="B41" s="113" t="s">
        <v>100</v>
      </c>
      <c r="C41" s="221">
        <v>140.35</v>
      </c>
      <c r="D41" s="224">
        <v>270460</v>
      </c>
      <c r="E41" s="114">
        <f t="shared" si="0"/>
        <v>37959061</v>
      </c>
      <c r="F41" s="227">
        <v>9520000</v>
      </c>
      <c r="G41" s="230">
        <v>1280000</v>
      </c>
      <c r="H41" s="115">
        <f t="shared" si="1"/>
        <v>46199061</v>
      </c>
      <c r="I41" s="224">
        <v>2110000</v>
      </c>
      <c r="J41" s="116">
        <f t="shared" si="2"/>
        <v>21.895289573459717</v>
      </c>
      <c r="K41" s="233" t="s">
        <v>396</v>
      </c>
    </row>
    <row r="42" spans="1:27" ht="15.65" customHeight="1">
      <c r="A42" s="117" t="s">
        <v>130</v>
      </c>
      <c r="B42" s="118" t="s">
        <v>131</v>
      </c>
      <c r="C42" s="222">
        <v>56.73</v>
      </c>
      <c r="D42" s="225">
        <v>175630</v>
      </c>
      <c r="E42" s="114">
        <f t="shared" si="0"/>
        <v>9963489.9000000004</v>
      </c>
      <c r="F42" s="228">
        <v>3080000</v>
      </c>
      <c r="G42" s="231">
        <v>1360000</v>
      </c>
      <c r="H42" s="115">
        <f t="shared" si="1"/>
        <v>11683489.9</v>
      </c>
      <c r="I42" s="225">
        <v>749000</v>
      </c>
      <c r="J42" s="116">
        <f t="shared" si="2"/>
        <v>15.598784913217624</v>
      </c>
      <c r="K42" s="234">
        <v>0.98</v>
      </c>
    </row>
    <row r="43" spans="1:27" ht="15.65" customHeight="1">
      <c r="A43" s="117" t="s">
        <v>105</v>
      </c>
      <c r="B43" s="119" t="s">
        <v>106</v>
      </c>
      <c r="C43" s="222">
        <v>15.87</v>
      </c>
      <c r="D43" s="225">
        <v>24400</v>
      </c>
      <c r="E43" s="114">
        <f t="shared" si="0"/>
        <v>387228</v>
      </c>
      <c r="F43" s="228">
        <v>461240</v>
      </c>
      <c r="G43" s="231">
        <v>14310</v>
      </c>
      <c r="H43" s="115">
        <f t="shared" si="1"/>
        <v>834158</v>
      </c>
      <c r="I43" s="225">
        <v>98080</v>
      </c>
      <c r="J43" s="116">
        <f t="shared" si="2"/>
        <v>8.5048735725938016</v>
      </c>
      <c r="K43" s="234">
        <v>1.54</v>
      </c>
    </row>
    <row r="44" spans="1:27" ht="15.65" customHeight="1">
      <c r="A44" s="117" t="s">
        <v>107</v>
      </c>
      <c r="B44" s="119" t="s">
        <v>108</v>
      </c>
      <c r="C44" s="222">
        <v>161.56</v>
      </c>
      <c r="D44" s="225">
        <v>316540</v>
      </c>
      <c r="E44" s="114">
        <f>+D44*C44</f>
        <v>51140202.399999999</v>
      </c>
      <c r="F44" s="228">
        <v>10420000</v>
      </c>
      <c r="G44" s="231">
        <v>1040000</v>
      </c>
      <c r="H44" s="115">
        <f>+E44+F44-G44</f>
        <v>60520202.399999999</v>
      </c>
      <c r="I44" s="225">
        <v>3350000</v>
      </c>
      <c r="J44" s="116">
        <f t="shared" si="2"/>
        <v>18.065732059701492</v>
      </c>
      <c r="K44" s="234">
        <v>1.58</v>
      </c>
    </row>
    <row r="45" spans="1:27" ht="15.65" customHeight="1">
      <c r="A45" s="117" t="s">
        <v>132</v>
      </c>
      <c r="B45" s="119" t="s">
        <v>133</v>
      </c>
      <c r="C45" s="222">
        <v>12.47</v>
      </c>
      <c r="D45" s="225">
        <v>224840</v>
      </c>
      <c r="E45" s="114">
        <f t="shared" si="0"/>
        <v>2803754.8000000003</v>
      </c>
      <c r="F45" s="228">
        <v>4910000</v>
      </c>
      <c r="G45" s="231">
        <v>971000</v>
      </c>
      <c r="H45" s="115">
        <f t="shared" si="1"/>
        <v>6742754.8000000007</v>
      </c>
      <c r="I45" s="225">
        <v>484000</v>
      </c>
      <c r="J45" s="116">
        <f t="shared" si="2"/>
        <v>13.931311570247935</v>
      </c>
      <c r="K45" s="234">
        <v>1.98</v>
      </c>
    </row>
    <row r="46" spans="1:27" ht="15.65" customHeight="1" thickBot="1">
      <c r="A46" s="120" t="s">
        <v>134</v>
      </c>
      <c r="B46" s="121" t="s">
        <v>135</v>
      </c>
      <c r="C46" s="223">
        <v>73.14</v>
      </c>
      <c r="D46" s="226">
        <v>88320</v>
      </c>
      <c r="E46" s="122">
        <f t="shared" si="0"/>
        <v>6459724.7999999998</v>
      </c>
      <c r="F46" s="229">
        <v>2080000</v>
      </c>
      <c r="G46" s="232">
        <v>286000</v>
      </c>
      <c r="H46" s="123">
        <f t="shared" si="1"/>
        <v>8253724.8000000007</v>
      </c>
      <c r="I46" s="226">
        <v>607000</v>
      </c>
      <c r="J46" s="124">
        <f t="shared" si="2"/>
        <v>13.597569686985175</v>
      </c>
      <c r="K46" s="235">
        <v>1.49</v>
      </c>
    </row>
    <row r="47" spans="1:27" ht="9.5" customHeight="1" thickBot="1">
      <c r="A47" s="97"/>
      <c r="B47" s="97"/>
      <c r="C47" s="97"/>
      <c r="D47" s="97"/>
      <c r="E47" s="97"/>
      <c r="F47" s="97"/>
      <c r="G47" s="97"/>
      <c r="H47" s="97"/>
      <c r="I47" s="97"/>
      <c r="J47" s="125"/>
      <c r="K47" s="126"/>
      <c r="L47" s="48"/>
    </row>
    <row r="48" spans="1:27" ht="15.65" customHeight="1" thickBot="1">
      <c r="A48" s="127" t="s">
        <v>111</v>
      </c>
      <c r="B48" s="128" t="s">
        <v>112</v>
      </c>
      <c r="C48" s="129">
        <f>+C25</f>
        <v>94.35</v>
      </c>
      <c r="D48" s="130">
        <f>D25</f>
        <v>109200</v>
      </c>
      <c r="E48" s="130">
        <f>+D48*C48</f>
        <v>10303020</v>
      </c>
      <c r="F48" s="131">
        <f>+F25</f>
        <v>4097000</v>
      </c>
      <c r="G48" s="132">
        <f>+G25</f>
        <v>1223000</v>
      </c>
      <c r="H48" s="133">
        <f>+F48+E48-G48</f>
        <v>13177020</v>
      </c>
      <c r="I48" s="131">
        <f>+B50</f>
        <v>747000</v>
      </c>
      <c r="J48" s="134">
        <f>+H48/I48</f>
        <v>17.639919678714861</v>
      </c>
      <c r="K48" s="135">
        <f>+B31</f>
        <v>1.37</v>
      </c>
      <c r="L48" s="48"/>
    </row>
    <row r="49" spans="1:12">
      <c r="A49" s="101"/>
      <c r="B49" s="136"/>
      <c r="C49" s="137"/>
      <c r="D49" s="137"/>
      <c r="E49" s="136"/>
      <c r="F49" s="136"/>
      <c r="G49" s="136"/>
      <c r="H49" s="136"/>
      <c r="I49" s="136"/>
      <c r="J49" s="138"/>
      <c r="K49" s="136"/>
    </row>
    <row r="50" spans="1:12">
      <c r="A50" s="101" t="s">
        <v>136</v>
      </c>
      <c r="B50" s="139">
        <f>+'Historical Analysis'!C76</f>
        <v>747000</v>
      </c>
      <c r="C50" s="140">
        <f>+J51</f>
        <v>16.604936655108464</v>
      </c>
      <c r="D50" s="141"/>
      <c r="E50" s="136"/>
      <c r="F50" s="136"/>
      <c r="G50" s="136"/>
      <c r="H50" s="136"/>
      <c r="I50" s="176" t="s">
        <v>137</v>
      </c>
      <c r="J50" s="140">
        <f>AVERAGE(J40:J46)</f>
        <v>15.018160933588758</v>
      </c>
      <c r="K50" s="140">
        <f>AVERAGE(K40:K48)</f>
        <v>1.4628571428571431</v>
      </c>
      <c r="L50" s="59"/>
    </row>
    <row r="51" spans="1:12" ht="15" thickBot="1">
      <c r="A51" s="101"/>
      <c r="B51" s="101"/>
      <c r="C51" s="101"/>
      <c r="D51" s="101"/>
      <c r="E51" s="101"/>
      <c r="F51" s="142"/>
      <c r="G51" s="142"/>
      <c r="H51" s="136"/>
      <c r="I51" s="176" t="s">
        <v>383</v>
      </c>
      <c r="J51" s="140">
        <f>AVERAGE(J40,J41,J42,J44,J45)</f>
        <v>16.604936655108464</v>
      </c>
      <c r="K51" s="140"/>
    </row>
    <row r="52" spans="1:12" ht="15" thickBot="1">
      <c r="A52" s="102" t="s">
        <v>138</v>
      </c>
      <c r="B52" s="103">
        <f>+B50*C50</f>
        <v>12403887.681366023</v>
      </c>
      <c r="C52" s="143" t="s">
        <v>370</v>
      </c>
      <c r="D52" s="144">
        <f>+H9</f>
        <v>87.270033712143061</v>
      </c>
      <c r="E52" s="101"/>
      <c r="F52" s="142"/>
      <c r="G52" s="142"/>
      <c r="H52" s="136"/>
      <c r="I52" s="136"/>
      <c r="J52" s="145"/>
      <c r="K52" s="145"/>
    </row>
    <row r="53" spans="1:12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</row>
  </sheetData>
  <hyperlinks>
    <hyperlink ref="C1" r:id="rId1" xr:uid="{C7AEFBB4-87F0-41DD-8CB5-3721A78EFE8B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064F-496F-4672-A27B-C24FAFADFE9A}">
  <sheetPr>
    <tabColor rgb="FFFF0000"/>
  </sheetPr>
  <dimension ref="A1:Q55"/>
  <sheetViews>
    <sheetView workbookViewId="0">
      <selection activeCell="B1" sqref="B1"/>
    </sheetView>
  </sheetViews>
  <sheetFormatPr defaultRowHeight="14.5"/>
  <cols>
    <col min="1" max="1" width="51" bestFit="1" customWidth="1"/>
    <col min="2" max="2" width="13.36328125" bestFit="1" customWidth="1"/>
    <col min="3" max="14" width="12.1796875" bestFit="1" customWidth="1"/>
    <col min="15" max="15" width="13" bestFit="1" customWidth="1"/>
    <col min="16" max="17" width="12.1796875" bestFit="1" customWidth="1"/>
  </cols>
  <sheetData>
    <row r="1" spans="1:17">
      <c r="A1" t="s">
        <v>147</v>
      </c>
      <c r="B1" t="s">
        <v>148</v>
      </c>
      <c r="C1" s="64">
        <v>44561</v>
      </c>
      <c r="D1" s="64">
        <v>44196</v>
      </c>
      <c r="E1" s="64">
        <v>43830</v>
      </c>
      <c r="F1" s="64">
        <v>43465</v>
      </c>
      <c r="G1" s="64">
        <v>43100</v>
      </c>
      <c r="H1" s="64">
        <v>42735</v>
      </c>
      <c r="I1" s="64">
        <v>42369</v>
      </c>
      <c r="J1" s="64">
        <v>42004</v>
      </c>
      <c r="K1" s="64">
        <v>41639</v>
      </c>
      <c r="L1" s="64">
        <v>41274</v>
      </c>
      <c r="M1" s="64">
        <v>40908</v>
      </c>
      <c r="N1" s="64">
        <v>40543</v>
      </c>
      <c r="O1" s="64">
        <v>40178</v>
      </c>
      <c r="P1" s="64">
        <v>39813</v>
      </c>
      <c r="Q1" s="64">
        <v>39447</v>
      </c>
    </row>
    <row r="2" spans="1:17">
      <c r="A2" t="s">
        <v>149</v>
      </c>
      <c r="B2" s="48">
        <v>5379000000</v>
      </c>
      <c r="C2" s="48">
        <v>3028000000</v>
      </c>
      <c r="D2" s="48">
        <v>2066000000</v>
      </c>
      <c r="E2" s="48">
        <v>5020000000</v>
      </c>
      <c r="F2" s="48">
        <v>4454000000</v>
      </c>
      <c r="G2" s="48">
        <v>4685000000</v>
      </c>
      <c r="H2" s="48">
        <v>4429000000</v>
      </c>
      <c r="I2" s="48">
        <v>4328000000</v>
      </c>
      <c r="J2" s="48">
        <v>4415000000</v>
      </c>
      <c r="K2" s="48">
        <v>4184000000</v>
      </c>
      <c r="L2" s="48">
        <v>3949000000</v>
      </c>
      <c r="M2" s="48">
        <v>3698000000</v>
      </c>
      <c r="N2" s="48">
        <v>3527000000</v>
      </c>
      <c r="O2" s="48">
        <v>3332000000</v>
      </c>
      <c r="P2" s="48">
        <v>3837000000</v>
      </c>
      <c r="Q2" s="48">
        <v>3738000000</v>
      </c>
    </row>
    <row r="3" spans="1:17">
      <c r="A3" t="s">
        <v>150</v>
      </c>
      <c r="B3" s="48">
        <v>2783000000</v>
      </c>
      <c r="C3" s="48">
        <v>1371000000</v>
      </c>
      <c r="D3" s="48">
        <v>752000000</v>
      </c>
      <c r="E3" s="48">
        <v>2456000000</v>
      </c>
      <c r="F3" s="48">
        <v>2470000000</v>
      </c>
      <c r="G3" s="48">
        <v>2697000000</v>
      </c>
      <c r="H3" s="48">
        <v>2556000000</v>
      </c>
      <c r="I3" s="48">
        <v>2506000000</v>
      </c>
      <c r="J3" s="48">
        <v>2633000000</v>
      </c>
      <c r="K3" s="48">
        <v>2484000000</v>
      </c>
      <c r="L3" s="48">
        <v>2328000000</v>
      </c>
      <c r="M3" s="48">
        <v>3698000000</v>
      </c>
      <c r="N3" s="48">
        <v>3527000000</v>
      </c>
      <c r="O3" s="48">
        <v>3332000000</v>
      </c>
      <c r="P3" s="48">
        <v>3837000000</v>
      </c>
      <c r="Q3" s="48">
        <v>3738000000</v>
      </c>
    </row>
    <row r="4" spans="1:17">
      <c r="A4" t="s">
        <v>151</v>
      </c>
      <c r="B4" s="48">
        <v>4253000000</v>
      </c>
      <c r="C4" s="48">
        <v>2603000000</v>
      </c>
      <c r="D4" s="48">
        <v>2067000000</v>
      </c>
      <c r="E4" s="48">
        <v>4077000000</v>
      </c>
      <c r="F4" s="48">
        <v>3475000000</v>
      </c>
      <c r="G4" s="48">
        <v>3638000000</v>
      </c>
      <c r="H4" s="48">
        <v>3473000000</v>
      </c>
      <c r="I4" s="48">
        <v>3377000000</v>
      </c>
      <c r="J4" s="48">
        <v>3433000000</v>
      </c>
      <c r="K4" s="48">
        <v>3283000000</v>
      </c>
      <c r="L4" s="48">
        <v>3121000000</v>
      </c>
      <c r="M4" s="48">
        <v>2957000000</v>
      </c>
      <c r="N4" s="48">
        <v>2864000000</v>
      </c>
      <c r="O4" s="48">
        <v>2753000000</v>
      </c>
      <c r="P4" s="48">
        <v>2934000000</v>
      </c>
      <c r="Q4" s="48">
        <v>2847000000</v>
      </c>
    </row>
    <row r="5" spans="1:17">
      <c r="A5" t="s">
        <v>152</v>
      </c>
      <c r="B5" s="48">
        <v>1126000000</v>
      </c>
      <c r="C5" s="48">
        <v>425000000</v>
      </c>
      <c r="D5" s="48">
        <v>-1000000</v>
      </c>
      <c r="E5" s="48">
        <v>943000000</v>
      </c>
      <c r="F5" s="48">
        <v>979000000</v>
      </c>
      <c r="G5" s="48">
        <v>1047000000</v>
      </c>
      <c r="H5" s="48">
        <v>956000000</v>
      </c>
      <c r="I5" s="48">
        <v>951000000</v>
      </c>
      <c r="J5" s="48">
        <v>982000000</v>
      </c>
      <c r="K5" s="48">
        <v>901000000</v>
      </c>
      <c r="L5" s="48">
        <v>828000000</v>
      </c>
      <c r="M5" s="48">
        <v>741000000</v>
      </c>
      <c r="N5" s="48">
        <v>663000000</v>
      </c>
      <c r="O5" s="48">
        <v>579000000</v>
      </c>
      <c r="P5" s="48">
        <v>903000000</v>
      </c>
      <c r="Q5" s="48">
        <v>891000000</v>
      </c>
    </row>
    <row r="6" spans="1:17">
      <c r="A6" t="s">
        <v>153</v>
      </c>
      <c r="B6" s="48">
        <v>822000000</v>
      </c>
      <c r="C6" s="48">
        <v>676000000</v>
      </c>
      <c r="D6" s="48">
        <v>631000000</v>
      </c>
      <c r="E6" s="48">
        <v>746000000</v>
      </c>
      <c r="F6" s="48">
        <v>647000000</v>
      </c>
      <c r="G6" s="48">
        <v>745000000</v>
      </c>
      <c r="H6" s="48">
        <v>657000000</v>
      </c>
      <c r="I6" s="48">
        <v>628000000</v>
      </c>
      <c r="J6" s="48">
        <v>703000000</v>
      </c>
      <c r="K6" s="48">
        <v>668000000</v>
      </c>
      <c r="L6" s="48">
        <v>669000000</v>
      </c>
      <c r="M6" s="48">
        <v>588000000</v>
      </c>
      <c r="N6" s="48">
        <v>555000000</v>
      </c>
      <c r="O6" s="48">
        <v>531000000</v>
      </c>
      <c r="P6" s="48">
        <v>539000000</v>
      </c>
      <c r="Q6" s="48">
        <v>506000000</v>
      </c>
    </row>
    <row r="7" spans="1:17">
      <c r="A7" t="s">
        <v>154</v>
      </c>
      <c r="B7" s="48">
        <v>411000000</v>
      </c>
      <c r="C7" s="48">
        <v>366000000</v>
      </c>
      <c r="D7" s="48">
        <v>321000000</v>
      </c>
      <c r="E7" s="48">
        <v>417000000</v>
      </c>
      <c r="F7" s="48">
        <v>320000000</v>
      </c>
      <c r="G7" s="48">
        <v>379000000</v>
      </c>
      <c r="H7" s="48">
        <v>315000000</v>
      </c>
      <c r="I7" s="48">
        <v>308000000</v>
      </c>
      <c r="J7" s="48">
        <v>349000000</v>
      </c>
      <c r="K7" s="48">
        <v>323000000</v>
      </c>
      <c r="L7" s="48">
        <v>316000000</v>
      </c>
      <c r="M7" s="48">
        <v>283000000</v>
      </c>
      <c r="N7" s="48">
        <v>276000000</v>
      </c>
      <c r="O7" s="48">
        <v>261000000</v>
      </c>
      <c r="P7" s="48">
        <v>290000000</v>
      </c>
      <c r="Q7" s="48">
        <v>292000000</v>
      </c>
    </row>
    <row r="8" spans="1:17">
      <c r="A8" t="s">
        <v>155</v>
      </c>
      <c r="B8" s="48">
        <v>411000000</v>
      </c>
      <c r="C8" s="48">
        <v>310000000</v>
      </c>
      <c r="D8" s="48">
        <v>310000000</v>
      </c>
      <c r="E8" s="48">
        <v>329000000</v>
      </c>
      <c r="F8" s="48">
        <v>327000000</v>
      </c>
      <c r="G8" s="48">
        <v>366000000</v>
      </c>
      <c r="H8" s="48">
        <v>342000000</v>
      </c>
      <c r="I8" s="48">
        <v>320000000</v>
      </c>
      <c r="J8" s="48">
        <v>354000000</v>
      </c>
      <c r="K8" s="48">
        <v>345000000</v>
      </c>
      <c r="L8" s="48">
        <v>353000000</v>
      </c>
      <c r="M8" s="48">
        <v>305000000</v>
      </c>
      <c r="N8" s="48">
        <v>279000000</v>
      </c>
      <c r="O8" s="48">
        <v>270000000</v>
      </c>
      <c r="P8" s="48">
        <v>249000000</v>
      </c>
      <c r="Q8" s="48">
        <v>214000000</v>
      </c>
    </row>
    <row r="9" spans="1:17">
      <c r="A9" t="s">
        <v>156</v>
      </c>
      <c r="B9" s="48">
        <v>411000000</v>
      </c>
      <c r="C9" s="48">
        <v>310000000</v>
      </c>
      <c r="D9" s="48">
        <v>310000000</v>
      </c>
      <c r="E9" s="48">
        <v>329000000</v>
      </c>
      <c r="F9" s="48">
        <v>327000000</v>
      </c>
      <c r="G9" s="48">
        <v>366000000</v>
      </c>
      <c r="H9" s="48">
        <v>342000000</v>
      </c>
      <c r="I9" s="48">
        <v>320000000</v>
      </c>
      <c r="J9" s="48">
        <v>354000000</v>
      </c>
      <c r="K9" s="48">
        <v>345000000</v>
      </c>
      <c r="L9" s="48">
        <v>353000000</v>
      </c>
      <c r="M9" s="48">
        <v>305000000</v>
      </c>
      <c r="N9" s="48">
        <v>279000000</v>
      </c>
      <c r="O9" s="48">
        <v>270000000</v>
      </c>
      <c r="P9" s="48">
        <v>249000000</v>
      </c>
      <c r="Q9" s="48">
        <v>214000000</v>
      </c>
    </row>
    <row r="10" spans="1:17">
      <c r="A10" t="s">
        <v>157</v>
      </c>
      <c r="B10" s="48">
        <v>304000000</v>
      </c>
      <c r="C10" s="48">
        <v>-251000000</v>
      </c>
      <c r="D10" s="48">
        <v>-632000000</v>
      </c>
      <c r="E10" s="48">
        <v>197000000</v>
      </c>
      <c r="F10" s="48">
        <v>332000000</v>
      </c>
      <c r="G10" s="48">
        <v>302000000</v>
      </c>
      <c r="H10" s="48">
        <v>299000000</v>
      </c>
      <c r="I10" s="48">
        <v>323000000</v>
      </c>
      <c r="J10" s="48">
        <v>279000000</v>
      </c>
      <c r="K10" s="48">
        <v>233000000</v>
      </c>
      <c r="L10" s="48">
        <v>159000000</v>
      </c>
      <c r="M10" s="48">
        <v>153000000</v>
      </c>
      <c r="N10" s="48">
        <v>108000000</v>
      </c>
      <c r="O10" s="48">
        <v>48000000</v>
      </c>
      <c r="P10" s="48">
        <v>364000000</v>
      </c>
      <c r="Q10" s="48">
        <v>385000000</v>
      </c>
    </row>
    <row r="11" spans="1:17">
      <c r="A11" t="s">
        <v>158</v>
      </c>
      <c r="B11" s="48">
        <v>-120000000</v>
      </c>
      <c r="C11" s="48">
        <v>-135000000</v>
      </c>
      <c r="D11" s="48">
        <v>-98000000</v>
      </c>
      <c r="E11" s="48">
        <v>-50000000</v>
      </c>
      <c r="F11" s="48">
        <v>-48000000</v>
      </c>
      <c r="G11" s="48">
        <v>21000000</v>
      </c>
      <c r="H11" s="48">
        <v>-57000000</v>
      </c>
      <c r="I11" s="48">
        <v>-60000000</v>
      </c>
      <c r="J11" s="48">
        <v>-60000000</v>
      </c>
      <c r="K11" s="48">
        <v>-48000000</v>
      </c>
      <c r="L11" s="48">
        <v>-47000000</v>
      </c>
      <c r="M11" s="48">
        <v>-57000000</v>
      </c>
      <c r="N11" s="48">
        <v>-54000000</v>
      </c>
      <c r="O11" s="48">
        <v>-56000000</v>
      </c>
      <c r="P11" s="48">
        <v>-75000000</v>
      </c>
      <c r="Q11" s="48">
        <v>-43000000</v>
      </c>
    </row>
    <row r="12" spans="1:17">
      <c r="A12" t="s">
        <v>159</v>
      </c>
      <c r="B12" s="48">
        <v>36000000</v>
      </c>
      <c r="C12" s="48">
        <v>28000000</v>
      </c>
      <c r="D12" s="48">
        <v>30000000</v>
      </c>
      <c r="E12" s="48">
        <v>25000000</v>
      </c>
      <c r="F12" s="48">
        <v>28000000</v>
      </c>
      <c r="G12" s="48">
        <v>101000000</v>
      </c>
      <c r="H12" s="48">
        <v>19000000</v>
      </c>
      <c r="I12" s="48">
        <v>8000000</v>
      </c>
      <c r="J12" s="48">
        <v>11000000</v>
      </c>
      <c r="K12" s="48">
        <v>17000000</v>
      </c>
      <c r="L12" s="48">
        <v>23000000</v>
      </c>
    </row>
    <row r="13" spans="1:17">
      <c r="A13" t="s">
        <v>160</v>
      </c>
      <c r="B13" s="48">
        <v>156000000</v>
      </c>
      <c r="C13" s="48">
        <v>163000000</v>
      </c>
      <c r="D13" s="48">
        <v>128000000</v>
      </c>
      <c r="E13" s="48">
        <v>75000000</v>
      </c>
      <c r="F13" s="48">
        <v>76000000</v>
      </c>
      <c r="G13" s="48">
        <v>80000000</v>
      </c>
      <c r="H13" s="48">
        <v>76000000</v>
      </c>
      <c r="I13" s="48">
        <v>68000000</v>
      </c>
      <c r="J13" s="48">
        <v>71000000</v>
      </c>
      <c r="K13" s="48">
        <v>65000000</v>
      </c>
      <c r="L13" s="48">
        <v>70000000</v>
      </c>
      <c r="M13" s="48">
        <v>57000000</v>
      </c>
      <c r="N13" s="48">
        <v>54000000</v>
      </c>
      <c r="O13" s="48">
        <v>56000000</v>
      </c>
      <c r="P13" s="48">
        <v>75000000</v>
      </c>
      <c r="Q13" s="48">
        <v>43000000</v>
      </c>
    </row>
    <row r="14" spans="1:17">
      <c r="A14" t="s">
        <v>161</v>
      </c>
      <c r="E14" s="48">
        <v>-18000000</v>
      </c>
      <c r="F14" s="48">
        <v>-11000000</v>
      </c>
      <c r="G14" s="48">
        <v>-10000000</v>
      </c>
    </row>
    <row r="15" spans="1:17">
      <c r="A15" t="s">
        <v>162</v>
      </c>
      <c r="B15" s="48">
        <v>18000000</v>
      </c>
      <c r="C15" s="48">
        <v>430000000</v>
      </c>
      <c r="D15" s="48">
        <v>-230000000</v>
      </c>
      <c r="E15" s="48">
        <v>859000000</v>
      </c>
      <c r="F15" s="48">
        <v>667000000</v>
      </c>
      <c r="G15" s="48">
        <v>250000000</v>
      </c>
      <c r="H15" s="48">
        <v>47000000</v>
      </c>
      <c r="I15" s="48">
        <v>-69000000</v>
      </c>
      <c r="J15" s="48">
        <v>306000000</v>
      </c>
      <c r="K15" s="48">
        <v>136000000</v>
      </c>
      <c r="L15" s="48">
        <v>-17000000</v>
      </c>
      <c r="M15" s="48">
        <v>-13000000</v>
      </c>
      <c r="N15" s="48">
        <v>34000000</v>
      </c>
      <c r="O15" s="48">
        <v>-47000000</v>
      </c>
      <c r="P15" s="48">
        <v>-85000000</v>
      </c>
      <c r="Q15" s="48">
        <v>132000000</v>
      </c>
    </row>
    <row r="16" spans="1:17">
      <c r="A16" t="s">
        <v>163</v>
      </c>
      <c r="B16" s="48">
        <v>78000000</v>
      </c>
      <c r="C16" s="48">
        <v>471000000</v>
      </c>
      <c r="D16" s="48">
        <v>17000000</v>
      </c>
      <c r="E16" s="48">
        <v>814000000</v>
      </c>
      <c r="F16" s="48">
        <v>715000000</v>
      </c>
      <c r="G16" s="48">
        <v>56000000</v>
      </c>
      <c r="H16" s="48">
        <v>-9000000</v>
      </c>
      <c r="I16" s="48">
        <v>-1000000</v>
      </c>
      <c r="J16" s="48">
        <v>324000000</v>
      </c>
      <c r="K16" s="48">
        <v>206000000</v>
      </c>
      <c r="L16" s="48">
        <v>35000000</v>
      </c>
      <c r="N16" s="48">
        <v>21000000</v>
      </c>
      <c r="O16" s="48">
        <v>29000000</v>
      </c>
      <c r="P16" s="48">
        <v>-36000000</v>
      </c>
      <c r="Q16" s="48">
        <v>15000000</v>
      </c>
    </row>
    <row r="17" spans="1:17">
      <c r="A17" t="s">
        <v>164</v>
      </c>
      <c r="B17" s="48">
        <v>14000000</v>
      </c>
      <c r="C17" s="48">
        <v>28000000</v>
      </c>
      <c r="D17" s="48">
        <v>-70000000</v>
      </c>
      <c r="E17" s="48">
        <v>-10000000</v>
      </c>
      <c r="F17" s="48">
        <v>8000000</v>
      </c>
      <c r="G17" s="48">
        <v>220000000</v>
      </c>
      <c r="H17" s="48">
        <v>68000000</v>
      </c>
      <c r="I17" s="48">
        <v>-64000000</v>
      </c>
      <c r="J17" s="48">
        <v>25000000</v>
      </c>
      <c r="K17" s="48">
        <v>-1000000</v>
      </c>
      <c r="L17" s="48">
        <v>-22000000</v>
      </c>
      <c r="M17" s="48">
        <v>4000000</v>
      </c>
      <c r="N17" s="48">
        <v>-40000000</v>
      </c>
      <c r="O17" s="48">
        <v>-13000000</v>
      </c>
      <c r="P17" s="48">
        <v>14000000</v>
      </c>
      <c r="Q17" s="48">
        <v>11000000</v>
      </c>
    </row>
    <row r="18" spans="1:17">
      <c r="A18" t="s">
        <v>165</v>
      </c>
      <c r="B18" s="48">
        <v>-64000000</v>
      </c>
      <c r="C18" s="48">
        <v>-62000000</v>
      </c>
      <c r="D18" s="48">
        <v>-140000000</v>
      </c>
      <c r="E18" s="48">
        <v>52000000</v>
      </c>
      <c r="F18" s="48">
        <v>-38000000</v>
      </c>
      <c r="G18" s="48">
        <v>24000000</v>
      </c>
      <c r="H18" s="48">
        <v>-4000000</v>
      </c>
      <c r="I18" s="48">
        <v>25000000</v>
      </c>
      <c r="J18" s="48">
        <v>-23000000</v>
      </c>
      <c r="K18" s="48">
        <v>-58000000</v>
      </c>
      <c r="L18" s="48">
        <v>-27000000</v>
      </c>
      <c r="M18" s="48">
        <v>-17000000</v>
      </c>
      <c r="N18" s="48">
        <v>53000000</v>
      </c>
      <c r="O18" s="48">
        <v>-63000000</v>
      </c>
      <c r="P18" s="48">
        <v>-63000000</v>
      </c>
      <c r="Q18" s="48">
        <v>106000000</v>
      </c>
    </row>
    <row r="19" spans="1:17">
      <c r="A19" t="s">
        <v>166</v>
      </c>
      <c r="B19" s="48">
        <v>54000000</v>
      </c>
      <c r="C19" s="48">
        <v>49000000</v>
      </c>
      <c r="D19" s="48">
        <v>72000000</v>
      </c>
      <c r="E19" s="48">
        <v>-29000000</v>
      </c>
      <c r="F19" s="48">
        <v>10000000</v>
      </c>
      <c r="I19">
        <v>0</v>
      </c>
      <c r="J19" s="48">
        <v>13000000</v>
      </c>
      <c r="K19" s="48">
        <v>10000000</v>
      </c>
      <c r="L19" s="48">
        <v>23000000</v>
      </c>
    </row>
    <row r="20" spans="1:17">
      <c r="A20" t="s">
        <v>167</v>
      </c>
      <c r="B20" s="48">
        <v>25000000</v>
      </c>
      <c r="C20" s="48">
        <v>8000000</v>
      </c>
      <c r="D20" s="48">
        <v>62000000</v>
      </c>
      <c r="E20" s="48">
        <v>18000000</v>
      </c>
      <c r="F20" s="48">
        <v>25000000</v>
      </c>
      <c r="G20">
        <v>0</v>
      </c>
      <c r="H20">
        <v>0</v>
      </c>
      <c r="I20" s="48">
        <v>5000000</v>
      </c>
      <c r="J20" s="48">
        <v>17000000</v>
      </c>
      <c r="K20" s="48">
        <v>22000000</v>
      </c>
      <c r="L20">
        <v>0</v>
      </c>
      <c r="M20" s="48">
        <v>6000000</v>
      </c>
      <c r="N20" s="48">
        <v>44000000</v>
      </c>
      <c r="O20" s="48">
        <v>15000000</v>
      </c>
      <c r="P20" s="48">
        <v>86000000</v>
      </c>
      <c r="Q20" s="48">
        <v>61000000</v>
      </c>
    </row>
    <row r="21" spans="1:17">
      <c r="A21" t="s">
        <v>168</v>
      </c>
      <c r="B21" s="48">
        <v>-7000000</v>
      </c>
      <c r="C21" s="48">
        <v>22000000</v>
      </c>
      <c r="D21" s="48">
        <v>29000000</v>
      </c>
      <c r="E21">
        <v>0</v>
      </c>
      <c r="F21" s="48">
        <v>22000000</v>
      </c>
      <c r="J21">
        <v>0</v>
      </c>
      <c r="K21">
        <v>0</v>
      </c>
      <c r="L21" s="48">
        <v>4000000</v>
      </c>
    </row>
    <row r="22" spans="1:17">
      <c r="A22" t="s">
        <v>169</v>
      </c>
      <c r="B22" s="48">
        <v>-8000000</v>
      </c>
      <c r="C22" s="48">
        <v>-17000000</v>
      </c>
      <c r="D22" s="48">
        <v>-23000000</v>
      </c>
      <c r="E22" s="48">
        <v>-25000000</v>
      </c>
      <c r="F22" s="48">
        <v>-19000000</v>
      </c>
      <c r="G22" s="48">
        <v>-24000000</v>
      </c>
      <c r="H22" s="48">
        <v>4000000</v>
      </c>
      <c r="I22" s="48">
        <v>-30000000</v>
      </c>
      <c r="J22" s="48">
        <v>-7000000</v>
      </c>
      <c r="K22" s="48">
        <v>55000000</v>
      </c>
      <c r="M22" s="48">
        <v>9000000</v>
      </c>
      <c r="N22" s="48">
        <v>-71000000</v>
      </c>
      <c r="O22" s="48">
        <v>48000000</v>
      </c>
      <c r="P22" s="48">
        <v>-23000000</v>
      </c>
      <c r="Q22" s="48">
        <v>-145000000</v>
      </c>
    </row>
    <row r="23" spans="1:17">
      <c r="A23" t="s">
        <v>170</v>
      </c>
      <c r="C23">
        <v>0</v>
      </c>
      <c r="D23">
        <v>0</v>
      </c>
      <c r="E23" s="48">
        <v>16000000</v>
      </c>
      <c r="F23" s="48">
        <v>772000000</v>
      </c>
      <c r="G23" s="48">
        <v>51000000</v>
      </c>
      <c r="H23" s="48">
        <v>-23000000</v>
      </c>
      <c r="I23">
        <v>0</v>
      </c>
      <c r="J23">
        <v>0</v>
      </c>
      <c r="K23" s="48">
        <v>29000000</v>
      </c>
      <c r="L23">
        <v>0</v>
      </c>
      <c r="M23" s="48">
        <v>-2000000</v>
      </c>
      <c r="N23" s="48">
        <v>26000000</v>
      </c>
      <c r="O23">
        <v>0</v>
      </c>
      <c r="P23">
        <v>0</v>
      </c>
      <c r="Q23" s="48">
        <v>22000000</v>
      </c>
    </row>
    <row r="24" spans="1:17">
      <c r="A24" t="s">
        <v>171</v>
      </c>
      <c r="B24" s="48">
        <v>-10000000</v>
      </c>
      <c r="C24" s="48">
        <v>-7000000</v>
      </c>
      <c r="D24" s="48">
        <v>-37000000</v>
      </c>
      <c r="E24" s="48">
        <v>3000000</v>
      </c>
      <c r="F24" s="48">
        <v>-18000000</v>
      </c>
      <c r="G24" s="48">
        <v>-50000000</v>
      </c>
      <c r="H24" s="48">
        <v>-8000000</v>
      </c>
      <c r="I24" s="48">
        <v>-29000000</v>
      </c>
      <c r="J24" s="48">
        <v>-20000000</v>
      </c>
      <c r="K24" s="48">
        <v>-11000000</v>
      </c>
      <c r="L24" s="48">
        <v>-3000000</v>
      </c>
    </row>
    <row r="25" spans="1:17">
      <c r="A25" t="s">
        <v>172</v>
      </c>
      <c r="B25" s="48">
        <v>202000000</v>
      </c>
      <c r="C25" s="48">
        <v>44000000</v>
      </c>
      <c r="D25" s="48">
        <v>-960000000</v>
      </c>
      <c r="E25" s="48">
        <v>1006000000</v>
      </c>
      <c r="F25" s="48">
        <v>951000000</v>
      </c>
      <c r="G25" s="48">
        <v>573000000</v>
      </c>
      <c r="H25" s="48">
        <v>289000000</v>
      </c>
      <c r="I25" s="48">
        <v>194000000</v>
      </c>
      <c r="J25" s="48">
        <v>525000000</v>
      </c>
      <c r="K25" s="48">
        <v>321000000</v>
      </c>
      <c r="L25" s="48">
        <v>95000000</v>
      </c>
      <c r="M25" s="48">
        <v>83000000</v>
      </c>
      <c r="N25" s="48">
        <v>88000000</v>
      </c>
      <c r="O25" s="48">
        <v>-55000000</v>
      </c>
      <c r="P25" s="48">
        <v>204000000</v>
      </c>
      <c r="Q25" s="48">
        <v>474000000</v>
      </c>
    </row>
    <row r="26" spans="1:17">
      <c r="A26" t="s">
        <v>173</v>
      </c>
      <c r="B26" s="48">
        <v>70000000</v>
      </c>
      <c r="C26" s="48">
        <v>266000000</v>
      </c>
      <c r="D26" s="48">
        <v>-257000000</v>
      </c>
      <c r="E26" s="48">
        <v>240000000</v>
      </c>
      <c r="F26" s="48">
        <v>182000000</v>
      </c>
      <c r="G26" s="48">
        <v>323000000</v>
      </c>
      <c r="H26" s="48">
        <v>85000000</v>
      </c>
      <c r="I26" s="48">
        <v>70000000</v>
      </c>
      <c r="J26" s="48">
        <v>179000000</v>
      </c>
      <c r="K26" s="48">
        <v>116000000</v>
      </c>
      <c r="L26" s="48">
        <v>8000000</v>
      </c>
      <c r="M26" s="48">
        <v>-28000000</v>
      </c>
      <c r="N26" s="48">
        <v>37000000</v>
      </c>
      <c r="O26" s="48">
        <v>-10000000</v>
      </c>
      <c r="P26" s="48">
        <v>90000000</v>
      </c>
      <c r="Q26" s="48">
        <v>208000000</v>
      </c>
    </row>
    <row r="27" spans="1:17">
      <c r="A27" t="s">
        <v>174</v>
      </c>
      <c r="B27" s="48">
        <v>132000000</v>
      </c>
      <c r="C27" s="48">
        <v>-222000000</v>
      </c>
      <c r="D27" s="48">
        <v>-703000000</v>
      </c>
      <c r="E27" s="48">
        <v>766000000</v>
      </c>
      <c r="F27" s="48">
        <v>769000000</v>
      </c>
      <c r="G27" s="48">
        <v>249000000</v>
      </c>
      <c r="H27" s="48">
        <v>204000000</v>
      </c>
      <c r="I27" s="48">
        <v>124000000</v>
      </c>
      <c r="J27" s="48">
        <v>344000000</v>
      </c>
      <c r="K27" s="48">
        <v>207000000</v>
      </c>
      <c r="L27" s="48">
        <v>88000000</v>
      </c>
      <c r="M27" s="48">
        <v>113000000</v>
      </c>
      <c r="N27" s="48">
        <v>66000000</v>
      </c>
      <c r="O27" s="48">
        <v>-43000000</v>
      </c>
      <c r="P27" s="48">
        <v>170000000</v>
      </c>
      <c r="Q27" s="48">
        <v>271000000</v>
      </c>
    </row>
    <row r="28" spans="1:17">
      <c r="A28" t="s">
        <v>175</v>
      </c>
      <c r="B28" s="48">
        <v>132000000</v>
      </c>
      <c r="C28" s="48">
        <v>-222000000</v>
      </c>
      <c r="D28" s="48">
        <v>-703000000</v>
      </c>
      <c r="E28" s="48">
        <v>766000000</v>
      </c>
      <c r="F28" s="48">
        <v>769000000</v>
      </c>
      <c r="G28" s="48">
        <v>249000000</v>
      </c>
      <c r="H28" s="48">
        <v>204000000</v>
      </c>
      <c r="I28" s="48">
        <v>124000000</v>
      </c>
      <c r="J28" s="48">
        <v>344000000</v>
      </c>
      <c r="K28" s="48">
        <v>207000000</v>
      </c>
      <c r="L28" s="48">
        <v>88000000</v>
      </c>
      <c r="M28" s="48">
        <v>113000000</v>
      </c>
      <c r="N28" s="48">
        <v>66000000</v>
      </c>
      <c r="O28" s="48">
        <v>-43000000</v>
      </c>
      <c r="P28" s="48">
        <v>170000000</v>
      </c>
      <c r="Q28" s="48">
        <v>271000000</v>
      </c>
    </row>
    <row r="29" spans="1:17">
      <c r="A29" t="s">
        <v>176</v>
      </c>
      <c r="B29" s="48">
        <v>132000000</v>
      </c>
      <c r="C29" s="48">
        <v>-222000000</v>
      </c>
      <c r="D29" s="48">
        <v>-703000000</v>
      </c>
      <c r="E29" s="48">
        <v>766000000</v>
      </c>
      <c r="F29" s="48">
        <v>769000000</v>
      </c>
      <c r="G29" s="48">
        <v>250000000</v>
      </c>
      <c r="H29" s="48">
        <v>204000000</v>
      </c>
      <c r="I29" s="48">
        <v>124000000</v>
      </c>
      <c r="J29" s="48">
        <v>346000000</v>
      </c>
      <c r="K29" s="48">
        <v>205000000</v>
      </c>
      <c r="L29" s="48">
        <v>87000000</v>
      </c>
      <c r="M29" s="48">
        <v>111000000</v>
      </c>
      <c r="N29" s="48">
        <v>55000000</v>
      </c>
      <c r="O29" s="48">
        <v>-46000000</v>
      </c>
      <c r="P29" s="48">
        <v>168000000</v>
      </c>
      <c r="Q29" s="48">
        <v>270000000</v>
      </c>
    </row>
    <row r="30" spans="1:17">
      <c r="A30" t="s">
        <v>177</v>
      </c>
      <c r="B30" s="48">
        <v>132000000</v>
      </c>
      <c r="C30" s="48">
        <v>-222000000</v>
      </c>
      <c r="D30" s="48">
        <v>-703000000</v>
      </c>
      <c r="E30" s="48">
        <v>766000000</v>
      </c>
      <c r="F30" s="48">
        <v>769000000</v>
      </c>
      <c r="G30" s="48">
        <v>250000000</v>
      </c>
      <c r="H30" s="48">
        <v>204000000</v>
      </c>
      <c r="I30" s="48">
        <v>124000000</v>
      </c>
      <c r="J30" s="48">
        <v>346000000</v>
      </c>
      <c r="K30" s="48">
        <v>205000000</v>
      </c>
      <c r="L30" s="48">
        <v>87000000</v>
      </c>
      <c r="M30" s="48">
        <v>111000000</v>
      </c>
      <c r="N30" s="48">
        <v>51000000</v>
      </c>
      <c r="O30" s="48">
        <v>-45000000</v>
      </c>
      <c r="P30" s="48">
        <v>114000000</v>
      </c>
      <c r="Q30" s="48">
        <v>266000000</v>
      </c>
    </row>
    <row r="31" spans="1:17">
      <c r="A31" t="s">
        <v>178</v>
      </c>
      <c r="L31">
        <v>0</v>
      </c>
      <c r="M31">
        <v>0</v>
      </c>
      <c r="N31" s="48">
        <v>4000000</v>
      </c>
      <c r="O31" s="48">
        <v>-1000000</v>
      </c>
      <c r="P31" s="48">
        <v>56000000</v>
      </c>
      <c r="Q31" s="48">
        <v>5000000</v>
      </c>
    </row>
    <row r="32" spans="1:17">
      <c r="A32" t="s">
        <v>179</v>
      </c>
      <c r="P32">
        <v>0</v>
      </c>
      <c r="Q32">
        <v>0</v>
      </c>
    </row>
    <row r="33" spans="1:17">
      <c r="A33" t="s">
        <v>180</v>
      </c>
      <c r="P33" s="48">
        <v>-2000000</v>
      </c>
      <c r="Q33" s="48">
        <v>-1000000</v>
      </c>
    </row>
    <row r="34" spans="1:17">
      <c r="A34" t="s">
        <v>181</v>
      </c>
      <c r="B34">
        <v>0</v>
      </c>
      <c r="C34">
        <v>0</v>
      </c>
      <c r="D34">
        <v>0</v>
      </c>
      <c r="E34">
        <v>0</v>
      </c>
      <c r="F34">
        <v>0</v>
      </c>
      <c r="G34" s="48">
        <v>-1000000</v>
      </c>
      <c r="H34">
        <v>0</v>
      </c>
      <c r="J34" s="48">
        <v>-2000000</v>
      </c>
      <c r="K34" s="48">
        <v>2000000</v>
      </c>
      <c r="L34" s="48">
        <v>1000000</v>
      </c>
      <c r="M34" s="48">
        <v>2000000</v>
      </c>
      <c r="N34" s="48">
        <v>11000000</v>
      </c>
      <c r="O34" s="48">
        <v>3000000</v>
      </c>
      <c r="P34" s="48">
        <v>-2000000</v>
      </c>
      <c r="Q34" s="48">
        <v>-1000000</v>
      </c>
    </row>
    <row r="35" spans="1:17">
      <c r="A35" t="s">
        <v>182</v>
      </c>
      <c r="B35" s="48">
        <v>132000000</v>
      </c>
      <c r="C35" s="48">
        <v>-222000000</v>
      </c>
      <c r="D35" s="48">
        <v>-703000000</v>
      </c>
      <c r="E35" s="48">
        <v>766000000</v>
      </c>
      <c r="F35" s="48">
        <v>769000000</v>
      </c>
      <c r="G35" s="48">
        <v>249000000</v>
      </c>
      <c r="H35" s="48">
        <v>204000000</v>
      </c>
      <c r="I35" s="48">
        <v>124000000</v>
      </c>
      <c r="J35" s="48">
        <v>344000000</v>
      </c>
      <c r="K35" s="48">
        <v>207000000</v>
      </c>
      <c r="L35" s="48">
        <v>88000000</v>
      </c>
      <c r="M35" s="48">
        <v>113000000</v>
      </c>
      <c r="N35" s="48">
        <v>66000000</v>
      </c>
      <c r="O35" s="48">
        <v>-43000000</v>
      </c>
      <c r="P35" s="48">
        <v>170000000</v>
      </c>
      <c r="Q35" s="48">
        <v>271000000</v>
      </c>
    </row>
    <row r="36" spans="1:17">
      <c r="A36" t="s">
        <v>183</v>
      </c>
      <c r="C36">
        <v>-2.13</v>
      </c>
      <c r="D36">
        <v>-6.93</v>
      </c>
      <c r="E36">
        <v>7.33</v>
      </c>
      <c r="F36">
        <v>6.79</v>
      </c>
      <c r="G36">
        <v>1.99</v>
      </c>
      <c r="H36">
        <v>1.53</v>
      </c>
      <c r="I36">
        <v>0.87</v>
      </c>
      <c r="J36">
        <v>2.25</v>
      </c>
      <c r="K36">
        <v>1.3</v>
      </c>
      <c r="L36">
        <v>0.53</v>
      </c>
      <c r="M36">
        <v>0.67</v>
      </c>
      <c r="N36">
        <v>0.38</v>
      </c>
      <c r="O36">
        <v>-0.28000000000000003</v>
      </c>
      <c r="P36">
        <v>1.31</v>
      </c>
      <c r="Q36">
        <v>2.0099999999999998</v>
      </c>
    </row>
    <row r="37" spans="1:17">
      <c r="A37" t="s">
        <v>184</v>
      </c>
      <c r="C37">
        <v>-2.13</v>
      </c>
      <c r="D37">
        <v>-6.93</v>
      </c>
      <c r="E37">
        <v>7.21</v>
      </c>
      <c r="F37">
        <v>6.68</v>
      </c>
      <c r="G37">
        <v>1.97</v>
      </c>
      <c r="H37">
        <v>1.52</v>
      </c>
      <c r="I37">
        <v>0.86</v>
      </c>
      <c r="J37">
        <v>2.23</v>
      </c>
      <c r="K37">
        <v>1.3</v>
      </c>
      <c r="L37">
        <v>0.53</v>
      </c>
      <c r="M37">
        <v>0.67</v>
      </c>
      <c r="N37">
        <v>0.38</v>
      </c>
      <c r="O37">
        <v>-0.28000000000000003</v>
      </c>
      <c r="P37">
        <v>1.31</v>
      </c>
      <c r="Q37">
        <v>2.0099999999999998</v>
      </c>
    </row>
    <row r="38" spans="1:17">
      <c r="A38" t="s">
        <v>185</v>
      </c>
      <c r="C38" s="48">
        <v>103970738</v>
      </c>
      <c r="D38" s="48">
        <v>101300000</v>
      </c>
      <c r="E38" s="48">
        <v>104590383</v>
      </c>
      <c r="F38" s="48">
        <v>113259113</v>
      </c>
      <c r="G38" s="48">
        <v>124800000</v>
      </c>
      <c r="H38" s="48">
        <v>132930578</v>
      </c>
      <c r="I38" s="48">
        <v>142800000</v>
      </c>
      <c r="J38" s="48">
        <v>153136511</v>
      </c>
      <c r="K38" s="48">
        <v>158544930</v>
      </c>
      <c r="L38" s="48">
        <v>165017485</v>
      </c>
      <c r="M38" s="48">
        <v>168800000</v>
      </c>
      <c r="N38" s="48">
        <v>174115200</v>
      </c>
      <c r="O38" s="48">
        <v>153571429</v>
      </c>
      <c r="P38" s="48">
        <v>128037000</v>
      </c>
      <c r="Q38" s="48">
        <v>134585000</v>
      </c>
    </row>
    <row r="39" spans="1:17">
      <c r="A39" t="s">
        <v>186</v>
      </c>
      <c r="C39" s="48">
        <v>103970738</v>
      </c>
      <c r="D39" s="48">
        <v>101300000</v>
      </c>
      <c r="E39" s="48">
        <v>106292404</v>
      </c>
      <c r="F39" s="48">
        <v>115125017</v>
      </c>
      <c r="G39" s="48">
        <v>126300000</v>
      </c>
      <c r="H39" s="48">
        <v>133939331</v>
      </c>
      <c r="I39" s="48">
        <v>144000000</v>
      </c>
      <c r="J39" s="48">
        <v>154350452</v>
      </c>
      <c r="K39" s="48">
        <v>159189079</v>
      </c>
      <c r="L39" s="48">
        <v>165377328</v>
      </c>
      <c r="M39" s="48">
        <v>169200000</v>
      </c>
      <c r="N39" s="48">
        <v>174354202</v>
      </c>
      <c r="O39" s="48">
        <v>153571429</v>
      </c>
      <c r="P39" s="48">
        <v>128061000</v>
      </c>
      <c r="Q39" s="48">
        <v>134634000</v>
      </c>
    </row>
    <row r="40" spans="1:17">
      <c r="A40" t="s">
        <v>187</v>
      </c>
      <c r="B40" s="48">
        <v>5075000000</v>
      </c>
      <c r="C40" s="48">
        <v>3279000000</v>
      </c>
      <c r="D40" s="48">
        <v>2698000000</v>
      </c>
      <c r="E40" s="48">
        <v>4823000000</v>
      </c>
      <c r="F40" s="48">
        <v>4122000000</v>
      </c>
      <c r="G40" s="48">
        <v>4383000000</v>
      </c>
      <c r="H40" s="48">
        <v>4130000000</v>
      </c>
      <c r="I40" s="48">
        <v>4005000000</v>
      </c>
      <c r="J40" s="48">
        <v>4136000000</v>
      </c>
      <c r="K40" s="48">
        <v>3951000000</v>
      </c>
      <c r="L40" s="48">
        <v>3790000000</v>
      </c>
      <c r="M40" s="48">
        <v>3545000000</v>
      </c>
      <c r="N40" s="48">
        <v>3419000000</v>
      </c>
      <c r="O40" s="48">
        <v>3284000000</v>
      </c>
      <c r="P40" s="48">
        <v>3473000000</v>
      </c>
      <c r="Q40" s="48">
        <v>3353000000</v>
      </c>
    </row>
    <row r="41" spans="1:17">
      <c r="A41" t="s">
        <v>188</v>
      </c>
      <c r="B41" s="48">
        <v>132000000</v>
      </c>
      <c r="C41" s="48">
        <v>-222000000</v>
      </c>
      <c r="D41" s="48">
        <v>-703000000</v>
      </c>
      <c r="E41" s="48">
        <v>766000000</v>
      </c>
      <c r="F41" s="48">
        <v>769000000</v>
      </c>
      <c r="G41" s="48">
        <v>249000000</v>
      </c>
      <c r="H41" s="48">
        <v>204000000</v>
      </c>
      <c r="I41" s="48">
        <v>124000000</v>
      </c>
      <c r="J41" s="48">
        <v>344000000</v>
      </c>
      <c r="K41" s="48">
        <v>207000000</v>
      </c>
      <c r="L41" s="48">
        <v>88000000</v>
      </c>
      <c r="M41" s="48">
        <v>113000000</v>
      </c>
      <c r="N41" s="48">
        <v>66000000</v>
      </c>
      <c r="O41" s="48">
        <v>-43000000</v>
      </c>
      <c r="P41" s="48">
        <v>172000000</v>
      </c>
      <c r="Q41" s="48">
        <v>272000000</v>
      </c>
    </row>
    <row r="42" spans="1:17">
      <c r="A42" t="s">
        <v>189</v>
      </c>
      <c r="B42" s="80">
        <v>122851485.149</v>
      </c>
      <c r="C42" s="48">
        <v>-520570000</v>
      </c>
      <c r="D42" s="48">
        <v>-612964000</v>
      </c>
      <c r="E42" s="48">
        <v>106974000</v>
      </c>
      <c r="F42" s="48">
        <v>221307000</v>
      </c>
      <c r="G42" s="48">
        <v>201000000</v>
      </c>
      <c r="H42" s="48">
        <v>213165000</v>
      </c>
      <c r="I42" s="48">
        <v>108688000</v>
      </c>
      <c r="J42" s="48">
        <v>145641000</v>
      </c>
      <c r="K42" s="48">
        <v>112576000</v>
      </c>
      <c r="L42" s="48">
        <v>80664000</v>
      </c>
      <c r="M42" s="48">
        <v>124050000</v>
      </c>
      <c r="N42" s="48">
        <v>13900000</v>
      </c>
      <c r="O42" s="80">
        <v>-14181818.182</v>
      </c>
      <c r="P42" s="48">
        <v>180350000</v>
      </c>
      <c r="Q42" s="48">
        <v>188350000</v>
      </c>
    </row>
    <row r="43" spans="1:17">
      <c r="A43" t="s">
        <v>190</v>
      </c>
      <c r="B43" s="48">
        <v>36000000</v>
      </c>
      <c r="C43" s="48">
        <v>28000000</v>
      </c>
      <c r="D43" s="48">
        <v>30000000</v>
      </c>
      <c r="E43" s="48">
        <v>25000000</v>
      </c>
      <c r="F43" s="48">
        <v>28000000</v>
      </c>
      <c r="G43" s="48">
        <v>101000000</v>
      </c>
      <c r="H43" s="48">
        <v>19000000</v>
      </c>
      <c r="I43" s="48">
        <v>8000000</v>
      </c>
      <c r="J43" s="48">
        <v>11000000</v>
      </c>
      <c r="K43" s="48">
        <v>17000000</v>
      </c>
      <c r="L43" s="48">
        <v>23000000</v>
      </c>
    </row>
    <row r="44" spans="1:17">
      <c r="A44" t="s">
        <v>191</v>
      </c>
      <c r="B44" s="48">
        <v>156000000</v>
      </c>
      <c r="C44" s="48">
        <v>163000000</v>
      </c>
      <c r="D44" s="48">
        <v>128000000</v>
      </c>
      <c r="E44" s="48">
        <v>75000000</v>
      </c>
      <c r="F44" s="48">
        <v>76000000</v>
      </c>
      <c r="G44" s="48">
        <v>80000000</v>
      </c>
      <c r="H44" s="48">
        <v>76000000</v>
      </c>
      <c r="I44" s="48">
        <v>68000000</v>
      </c>
      <c r="J44" s="48">
        <v>71000000</v>
      </c>
      <c r="K44" s="48">
        <v>65000000</v>
      </c>
      <c r="L44" s="48">
        <v>70000000</v>
      </c>
      <c r="M44" s="48">
        <v>57000000</v>
      </c>
      <c r="N44" s="48">
        <v>54000000</v>
      </c>
      <c r="O44" s="48">
        <v>56000000</v>
      </c>
      <c r="P44" s="48">
        <v>75000000</v>
      </c>
      <c r="Q44" s="48">
        <v>43000000</v>
      </c>
    </row>
    <row r="45" spans="1:17">
      <c r="A45" t="s">
        <v>192</v>
      </c>
      <c r="B45" s="48">
        <v>-120000000</v>
      </c>
      <c r="C45" s="48">
        <v>-135000000</v>
      </c>
      <c r="D45" s="48">
        <v>-98000000</v>
      </c>
      <c r="E45" s="48">
        <v>-50000000</v>
      </c>
      <c r="F45" s="48">
        <v>-48000000</v>
      </c>
      <c r="G45" s="48">
        <v>21000000</v>
      </c>
      <c r="H45" s="48">
        <v>-57000000</v>
      </c>
      <c r="I45" s="48">
        <v>-60000000</v>
      </c>
      <c r="J45" s="48">
        <v>-60000000</v>
      </c>
      <c r="K45" s="48">
        <v>-48000000</v>
      </c>
      <c r="L45" s="48">
        <v>-47000000</v>
      </c>
      <c r="M45" s="48">
        <v>-57000000</v>
      </c>
      <c r="N45" s="48">
        <v>-54000000</v>
      </c>
      <c r="O45" s="48">
        <v>-56000000</v>
      </c>
      <c r="P45" s="48">
        <v>-75000000</v>
      </c>
      <c r="Q45" s="48">
        <v>-43000000</v>
      </c>
    </row>
    <row r="46" spans="1:17">
      <c r="A46" t="s">
        <v>193</v>
      </c>
      <c r="B46" s="48">
        <v>358000000</v>
      </c>
      <c r="C46" s="48">
        <v>207000000</v>
      </c>
      <c r="D46" s="48">
        <v>-832000000</v>
      </c>
      <c r="E46" s="48">
        <v>1081000000</v>
      </c>
      <c r="F46" s="48">
        <v>1027000000</v>
      </c>
      <c r="G46" s="48">
        <v>653000000</v>
      </c>
      <c r="H46" s="48">
        <v>365000000</v>
      </c>
      <c r="I46" s="48">
        <v>262000000</v>
      </c>
      <c r="J46" s="48">
        <v>596000000</v>
      </c>
      <c r="K46" s="48">
        <v>386000000</v>
      </c>
      <c r="L46" s="48">
        <v>165000000</v>
      </c>
      <c r="M46" s="48">
        <v>140000000</v>
      </c>
      <c r="N46" s="48">
        <v>142000000</v>
      </c>
      <c r="O46" s="48">
        <v>1000000</v>
      </c>
      <c r="P46" s="48">
        <v>279000000</v>
      </c>
      <c r="Q46" s="48">
        <v>517000000</v>
      </c>
    </row>
    <row r="47" spans="1:17">
      <c r="A47" t="s">
        <v>89</v>
      </c>
      <c r="B47" s="48">
        <v>801000000</v>
      </c>
    </row>
    <row r="48" spans="1:17">
      <c r="A48" t="s">
        <v>194</v>
      </c>
      <c r="B48" s="48">
        <v>4221000000</v>
      </c>
      <c r="C48" s="48">
        <v>2576000000</v>
      </c>
      <c r="D48" s="48">
        <v>2036000000</v>
      </c>
      <c r="E48" s="48">
        <v>4042000000</v>
      </c>
      <c r="F48" s="48">
        <v>3475000000</v>
      </c>
      <c r="G48" s="48">
        <v>3638000000</v>
      </c>
      <c r="H48" s="48">
        <v>3473000000</v>
      </c>
      <c r="I48" s="48">
        <v>3377000000</v>
      </c>
      <c r="J48" s="48">
        <v>3433000000</v>
      </c>
      <c r="K48" s="48">
        <v>3283000000</v>
      </c>
      <c r="L48" s="48">
        <v>3121000000</v>
      </c>
      <c r="M48" s="48">
        <v>2957000000</v>
      </c>
      <c r="N48" s="48">
        <v>2864000000</v>
      </c>
      <c r="O48" s="48">
        <v>2753000000</v>
      </c>
      <c r="P48" s="48">
        <v>2934000000</v>
      </c>
      <c r="Q48" s="48">
        <v>2847000000</v>
      </c>
    </row>
    <row r="49" spans="1:17">
      <c r="A49" t="s">
        <v>195</v>
      </c>
      <c r="B49" s="48">
        <v>443000000</v>
      </c>
      <c r="C49" s="48">
        <v>337000000</v>
      </c>
      <c r="D49" s="48">
        <v>341000000</v>
      </c>
      <c r="E49" s="48">
        <v>364000000</v>
      </c>
      <c r="F49" s="48">
        <v>327000000</v>
      </c>
      <c r="G49" s="48">
        <v>366000000</v>
      </c>
      <c r="H49" s="48">
        <v>342000000</v>
      </c>
      <c r="I49" s="48">
        <v>320000000</v>
      </c>
      <c r="J49" s="48">
        <v>354000000</v>
      </c>
      <c r="K49" s="48">
        <v>345000000</v>
      </c>
      <c r="L49" s="48">
        <v>353000000</v>
      </c>
      <c r="M49" s="48">
        <v>305000000</v>
      </c>
      <c r="N49" s="48">
        <v>279000000</v>
      </c>
      <c r="O49" s="48">
        <v>270000000</v>
      </c>
      <c r="P49" s="48">
        <v>249000000</v>
      </c>
      <c r="Q49" s="48">
        <v>214000000</v>
      </c>
    </row>
    <row r="50" spans="1:17">
      <c r="A50" t="s">
        <v>196</v>
      </c>
      <c r="B50" s="48">
        <v>132000000</v>
      </c>
      <c r="C50" s="48">
        <v>-222000000</v>
      </c>
      <c r="D50" s="48">
        <v>-703000000</v>
      </c>
      <c r="E50" s="48">
        <v>766000000</v>
      </c>
      <c r="F50" s="48">
        <v>769000000</v>
      </c>
      <c r="G50" s="48">
        <v>249000000</v>
      </c>
      <c r="H50" s="48">
        <v>204000000</v>
      </c>
      <c r="I50" s="48">
        <v>124000000</v>
      </c>
      <c r="J50" s="48">
        <v>344000000</v>
      </c>
      <c r="K50" s="48">
        <v>207000000</v>
      </c>
      <c r="L50" s="48">
        <v>88000000</v>
      </c>
      <c r="M50" s="48">
        <v>113000000</v>
      </c>
      <c r="N50" s="48">
        <v>62000000</v>
      </c>
      <c r="O50" s="48">
        <v>-42000000</v>
      </c>
      <c r="P50" s="48">
        <v>116000000</v>
      </c>
      <c r="Q50" s="48">
        <v>267000000</v>
      </c>
    </row>
    <row r="51" spans="1:17">
      <c r="A51" t="s">
        <v>197</v>
      </c>
      <c r="B51" s="48">
        <v>14000000</v>
      </c>
      <c r="C51" s="48">
        <v>409000000</v>
      </c>
      <c r="D51" s="48">
        <v>-123000000</v>
      </c>
      <c r="E51" s="48">
        <v>866000000</v>
      </c>
      <c r="F51" s="48">
        <v>677000000</v>
      </c>
      <c r="G51" s="48">
        <v>80000000</v>
      </c>
      <c r="H51" s="48">
        <v>-13000000</v>
      </c>
      <c r="I51" s="48">
        <v>24000000</v>
      </c>
      <c r="J51" s="48">
        <v>301000000</v>
      </c>
      <c r="K51" s="48">
        <v>148000000</v>
      </c>
      <c r="L51" s="48">
        <v>8000000</v>
      </c>
      <c r="M51" s="48">
        <v>-17000000</v>
      </c>
      <c r="N51" s="48">
        <v>74000000</v>
      </c>
      <c r="O51" s="48">
        <v>-34000000</v>
      </c>
      <c r="P51" s="48">
        <v>-99000000</v>
      </c>
      <c r="Q51" s="48">
        <v>121000000</v>
      </c>
    </row>
    <row r="52" spans="1:17">
      <c r="A52" t="s">
        <v>198</v>
      </c>
      <c r="B52" s="48">
        <v>14000000</v>
      </c>
      <c r="C52" s="48">
        <v>409000000</v>
      </c>
      <c r="D52" s="48">
        <v>-123000000</v>
      </c>
      <c r="E52" s="48">
        <v>866000000</v>
      </c>
      <c r="F52" s="48">
        <v>677000000</v>
      </c>
      <c r="G52" s="48">
        <v>80000000</v>
      </c>
      <c r="H52" s="48">
        <v>-13000000</v>
      </c>
      <c r="I52" s="48">
        <v>24000000</v>
      </c>
      <c r="J52" s="48">
        <v>301000000</v>
      </c>
      <c r="K52" s="48">
        <v>148000000</v>
      </c>
      <c r="L52" s="48">
        <v>8000000</v>
      </c>
      <c r="M52" s="48">
        <v>-17000000</v>
      </c>
      <c r="N52" s="48">
        <v>74000000</v>
      </c>
      <c r="O52" s="48">
        <v>-34000000</v>
      </c>
      <c r="P52" s="48">
        <v>-99000000</v>
      </c>
      <c r="Q52" s="48">
        <v>121000000</v>
      </c>
    </row>
    <row r="53" spans="1:17">
      <c r="A53" t="s">
        <v>199</v>
      </c>
      <c r="B53" s="48">
        <v>787000000</v>
      </c>
      <c r="C53" s="48">
        <v>135000000</v>
      </c>
      <c r="D53" s="48">
        <v>-368000000</v>
      </c>
      <c r="E53" s="48">
        <v>579000000</v>
      </c>
      <c r="F53" s="48">
        <v>677000000</v>
      </c>
      <c r="G53" s="48">
        <v>939000000</v>
      </c>
      <c r="H53" s="48">
        <v>720000000</v>
      </c>
      <c r="I53" s="48">
        <v>558000000</v>
      </c>
      <c r="J53" s="48">
        <v>649000000</v>
      </c>
      <c r="K53" s="48">
        <v>583000000</v>
      </c>
      <c r="L53" s="48">
        <v>510000000</v>
      </c>
      <c r="M53" s="48">
        <v>462000000</v>
      </c>
      <c r="N53" s="48">
        <v>347000000</v>
      </c>
      <c r="O53" s="48">
        <v>305000000</v>
      </c>
      <c r="P53" s="48">
        <v>627000000</v>
      </c>
      <c r="Q53" s="48">
        <v>610000000</v>
      </c>
    </row>
    <row r="54" spans="1:17">
      <c r="A54" t="s">
        <v>200</v>
      </c>
      <c r="B54">
        <v>0.34699999999999998</v>
      </c>
      <c r="C54">
        <v>0.27</v>
      </c>
      <c r="D54">
        <v>0.26800000000000002</v>
      </c>
      <c r="E54">
        <v>0.23899999999999999</v>
      </c>
      <c r="F54">
        <v>0.191</v>
      </c>
      <c r="G54">
        <v>0.4</v>
      </c>
      <c r="H54">
        <v>0.29499999999999998</v>
      </c>
      <c r="I54">
        <v>0.36199999999999999</v>
      </c>
      <c r="J54">
        <v>0.34100000000000003</v>
      </c>
      <c r="K54">
        <v>0.36199999999999999</v>
      </c>
      <c r="L54">
        <v>8.3000000000000004E-2</v>
      </c>
      <c r="M54">
        <v>0.35</v>
      </c>
      <c r="N54">
        <v>0.35</v>
      </c>
      <c r="O54">
        <v>0.182</v>
      </c>
      <c r="P54">
        <v>0.35</v>
      </c>
      <c r="Q54">
        <v>0.35</v>
      </c>
    </row>
    <row r="55" spans="1:17">
      <c r="A55" t="s">
        <v>201</v>
      </c>
      <c r="B55" s="80">
        <v>4851485.1490000002</v>
      </c>
      <c r="C55" s="48">
        <v>110430000</v>
      </c>
      <c r="D55" s="48">
        <v>-32964000</v>
      </c>
      <c r="E55" s="48">
        <v>206974000</v>
      </c>
      <c r="F55" s="48">
        <v>129307000</v>
      </c>
      <c r="G55" s="48">
        <v>32000000</v>
      </c>
      <c r="H55" s="48">
        <v>-3835000</v>
      </c>
      <c r="I55" s="48">
        <v>8688000</v>
      </c>
      <c r="J55" s="48">
        <v>102641000</v>
      </c>
      <c r="K55" s="48">
        <v>53576000</v>
      </c>
      <c r="L55" s="48">
        <v>664000</v>
      </c>
      <c r="M55" s="48">
        <v>-5950000</v>
      </c>
      <c r="N55" s="48">
        <v>25900000</v>
      </c>
      <c r="O55" s="80">
        <v>-6181818.182</v>
      </c>
      <c r="P55" s="48">
        <v>-34650000</v>
      </c>
      <c r="Q55" s="48">
        <v>42350000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9EFE-3EEB-4FED-9CA7-42023775A597}">
  <sheetPr>
    <tabColor rgb="FFFF0000"/>
  </sheetPr>
  <dimension ref="A1:Q92"/>
  <sheetViews>
    <sheetView topLeftCell="A49" workbookViewId="0">
      <selection activeCell="D14" sqref="D14"/>
    </sheetView>
  </sheetViews>
  <sheetFormatPr defaultRowHeight="14.5"/>
  <cols>
    <col min="1" max="1" width="52.90625" bestFit="1" customWidth="1"/>
    <col min="2" max="2" width="13.26953125" bestFit="1" customWidth="1"/>
    <col min="3" max="3" width="14.36328125" customWidth="1"/>
    <col min="4" max="17" width="12.81640625" bestFit="1" customWidth="1"/>
  </cols>
  <sheetData>
    <row r="1" spans="1:17">
      <c r="A1" t="s">
        <v>147</v>
      </c>
      <c r="B1" s="64">
        <v>44834</v>
      </c>
      <c r="C1" s="64">
        <v>44561</v>
      </c>
      <c r="D1" s="64">
        <v>44196</v>
      </c>
      <c r="E1" s="64">
        <v>43830</v>
      </c>
      <c r="F1" s="64">
        <v>43465</v>
      </c>
      <c r="G1" s="64">
        <v>43100</v>
      </c>
      <c r="H1" s="64">
        <v>42735</v>
      </c>
      <c r="I1" s="64">
        <v>42369</v>
      </c>
      <c r="J1" s="64">
        <v>42004</v>
      </c>
      <c r="K1" s="64">
        <v>41639</v>
      </c>
      <c r="L1" s="64">
        <v>41274</v>
      </c>
      <c r="M1" s="64">
        <v>40908</v>
      </c>
      <c r="N1" s="64">
        <v>40543</v>
      </c>
      <c r="O1" s="64">
        <v>40178</v>
      </c>
      <c r="P1" s="64">
        <v>39813</v>
      </c>
      <c r="Q1" s="64">
        <v>39447</v>
      </c>
    </row>
    <row r="2" spans="1:17">
      <c r="A2" s="37" t="s">
        <v>202</v>
      </c>
      <c r="B2" s="81">
        <v>12402000000</v>
      </c>
      <c r="C2" s="81">
        <v>12603000000</v>
      </c>
      <c r="D2" s="81">
        <v>9129000000</v>
      </c>
      <c r="E2" s="81">
        <v>8417000000</v>
      </c>
      <c r="F2" s="81">
        <v>7643000000</v>
      </c>
      <c r="G2" s="81">
        <v>7672000000</v>
      </c>
      <c r="H2" s="48">
        <v>7749000000</v>
      </c>
      <c r="I2" s="48">
        <v>7596000000</v>
      </c>
      <c r="J2" s="48">
        <v>8143000000</v>
      </c>
      <c r="K2" s="48">
        <v>8177000000</v>
      </c>
      <c r="L2" s="48">
        <v>7640000000</v>
      </c>
      <c r="M2" s="48">
        <v>7507000000</v>
      </c>
      <c r="N2" s="48">
        <v>7243000000</v>
      </c>
      <c r="O2" s="48">
        <v>7155000000</v>
      </c>
      <c r="P2" s="48">
        <v>6119000000</v>
      </c>
      <c r="Q2" s="48">
        <v>6248000000</v>
      </c>
    </row>
    <row r="3" spans="1:17">
      <c r="A3" s="37" t="s">
        <v>203</v>
      </c>
      <c r="B3" s="81">
        <v>2634000000</v>
      </c>
      <c r="C3" s="81">
        <v>2062000000</v>
      </c>
      <c r="D3" s="81">
        <v>2563000000</v>
      </c>
      <c r="E3" s="81">
        <v>1706000000</v>
      </c>
      <c r="F3" s="81">
        <v>1345000000</v>
      </c>
      <c r="G3" s="48">
        <v>1327000000</v>
      </c>
      <c r="H3" s="48">
        <v>1139000000</v>
      </c>
      <c r="I3" s="48">
        <v>1124000000</v>
      </c>
      <c r="J3" s="48">
        <v>1709000000</v>
      </c>
      <c r="K3" s="48">
        <v>1163000000</v>
      </c>
      <c r="L3" s="48">
        <v>1758000000</v>
      </c>
      <c r="M3" s="48">
        <v>1591000000</v>
      </c>
      <c r="N3" s="48">
        <v>2165000000</v>
      </c>
      <c r="O3" s="48">
        <v>1989000000</v>
      </c>
      <c r="P3" s="48">
        <v>1057000000</v>
      </c>
      <c r="Q3" s="48">
        <v>1065000000</v>
      </c>
    </row>
    <row r="4" spans="1:17">
      <c r="A4" s="37" t="s">
        <v>204</v>
      </c>
      <c r="B4" s="81">
        <v>1374000000</v>
      </c>
      <c r="C4" s="81">
        <v>1187000000</v>
      </c>
      <c r="D4" s="81">
        <v>1882000000</v>
      </c>
      <c r="E4" s="81">
        <v>961000000</v>
      </c>
      <c r="F4" s="81">
        <v>686000000</v>
      </c>
      <c r="G4" s="48">
        <v>552000000</v>
      </c>
      <c r="H4" s="48">
        <v>538000000</v>
      </c>
      <c r="I4" s="48">
        <v>503000000</v>
      </c>
      <c r="J4" s="48">
        <v>815000000</v>
      </c>
      <c r="K4" s="48">
        <v>484000000</v>
      </c>
      <c r="L4" s="48">
        <v>927000000</v>
      </c>
      <c r="M4" s="48">
        <v>1122000000</v>
      </c>
      <c r="N4" s="48">
        <v>1634000000</v>
      </c>
      <c r="O4" s="48">
        <v>1327000000</v>
      </c>
      <c r="P4" s="48">
        <v>428000000</v>
      </c>
      <c r="Q4" s="48">
        <v>409000000</v>
      </c>
    </row>
    <row r="5" spans="1:17">
      <c r="A5" s="37" t="s">
        <v>205</v>
      </c>
      <c r="B5" s="81">
        <v>1223000000</v>
      </c>
      <c r="C5" s="81">
        <v>960000000</v>
      </c>
      <c r="D5" s="81">
        <v>1207000000</v>
      </c>
      <c r="E5" s="81">
        <v>893000000</v>
      </c>
      <c r="F5" s="81">
        <v>570000000</v>
      </c>
      <c r="G5" s="48">
        <v>503000000</v>
      </c>
      <c r="H5" s="48">
        <v>482000000</v>
      </c>
      <c r="I5" s="48">
        <v>457000000</v>
      </c>
      <c r="J5" s="48">
        <v>685000000</v>
      </c>
      <c r="K5" s="48">
        <v>454000000</v>
      </c>
      <c r="L5" s="48">
        <v>413000000</v>
      </c>
      <c r="M5" s="48">
        <v>534000000</v>
      </c>
      <c r="N5" s="48">
        <v>1110000000</v>
      </c>
      <c r="O5" s="48">
        <v>1327000000</v>
      </c>
      <c r="P5" s="48">
        <v>428000000</v>
      </c>
      <c r="Q5" s="48">
        <v>409000000</v>
      </c>
    </row>
    <row r="6" spans="1:17">
      <c r="A6" t="s">
        <v>206</v>
      </c>
      <c r="B6" s="48">
        <v>151000000</v>
      </c>
      <c r="C6" s="48">
        <v>227000000</v>
      </c>
      <c r="D6" s="48">
        <v>675000000</v>
      </c>
      <c r="E6" s="48">
        <v>68000000</v>
      </c>
      <c r="F6" s="48">
        <v>116000000</v>
      </c>
      <c r="G6" s="48">
        <v>49000000</v>
      </c>
      <c r="H6" s="48">
        <v>56000000</v>
      </c>
      <c r="I6" s="48">
        <v>46000000</v>
      </c>
      <c r="J6" s="48">
        <v>130000000</v>
      </c>
      <c r="K6" s="48">
        <v>30000000</v>
      </c>
      <c r="L6" s="48">
        <v>514000000</v>
      </c>
      <c r="M6" s="48">
        <v>588000000</v>
      </c>
      <c r="N6" s="48">
        <v>524000000</v>
      </c>
    </row>
    <row r="7" spans="1:17">
      <c r="A7" t="s">
        <v>207</v>
      </c>
      <c r="B7" s="48">
        <v>702000000</v>
      </c>
      <c r="C7" s="48">
        <v>633000000</v>
      </c>
      <c r="D7" s="48">
        <v>316000000</v>
      </c>
      <c r="E7" s="48">
        <v>421000000</v>
      </c>
      <c r="F7" s="48">
        <v>427000000</v>
      </c>
      <c r="G7" s="48">
        <v>350000000</v>
      </c>
      <c r="H7" s="48">
        <v>304000000</v>
      </c>
      <c r="I7" s="48">
        <v>298000000</v>
      </c>
      <c r="J7" s="48">
        <v>274000000</v>
      </c>
      <c r="K7" s="48">
        <v>273000000</v>
      </c>
      <c r="L7" s="48">
        <v>531000000</v>
      </c>
      <c r="M7" s="48">
        <v>225000000</v>
      </c>
      <c r="N7" s="48">
        <v>272000000</v>
      </c>
      <c r="O7" s="48">
        <v>410000000</v>
      </c>
      <c r="P7" s="48">
        <v>353000000</v>
      </c>
      <c r="Q7" s="48">
        <v>391000000</v>
      </c>
    </row>
    <row r="8" spans="1:17">
      <c r="A8" s="37" t="s">
        <v>208</v>
      </c>
      <c r="B8" s="81">
        <v>702000000</v>
      </c>
      <c r="C8" s="81">
        <v>633000000</v>
      </c>
      <c r="D8" s="81">
        <v>316000000</v>
      </c>
      <c r="E8" s="81">
        <v>421000000</v>
      </c>
      <c r="F8" s="81">
        <v>427000000</v>
      </c>
      <c r="G8" s="81">
        <v>350000000</v>
      </c>
      <c r="H8" s="48">
        <v>304000000</v>
      </c>
      <c r="I8" s="48">
        <v>298000000</v>
      </c>
      <c r="J8" s="48">
        <v>274000000</v>
      </c>
      <c r="K8" s="48">
        <v>273000000</v>
      </c>
      <c r="L8" s="48">
        <v>531000000</v>
      </c>
      <c r="M8" s="48">
        <v>225000000</v>
      </c>
    </row>
    <row r="9" spans="1:17">
      <c r="A9" t="s">
        <v>209</v>
      </c>
      <c r="B9" s="48">
        <v>760000000</v>
      </c>
      <c r="C9" s="48">
        <v>686000000</v>
      </c>
      <c r="D9" s="48">
        <v>372000000</v>
      </c>
      <c r="E9" s="48">
        <v>453000000</v>
      </c>
      <c r="F9" s="48">
        <v>453000000</v>
      </c>
      <c r="G9" s="48">
        <v>371000000</v>
      </c>
      <c r="H9" s="48">
        <v>322000000</v>
      </c>
      <c r="I9" s="48">
        <v>313000000</v>
      </c>
      <c r="J9" s="48">
        <v>287000000</v>
      </c>
      <c r="K9" s="48">
        <v>284000000</v>
      </c>
      <c r="L9" s="48">
        <v>542000000</v>
      </c>
      <c r="M9" s="48">
        <v>235000000</v>
      </c>
    </row>
    <row r="10" spans="1:17">
      <c r="A10" t="s">
        <v>210</v>
      </c>
      <c r="B10" s="48">
        <v>-58000000</v>
      </c>
      <c r="C10" s="48">
        <v>-53000000</v>
      </c>
      <c r="D10" s="48">
        <v>-56000000</v>
      </c>
      <c r="E10" s="48">
        <v>-32000000</v>
      </c>
      <c r="F10" s="48">
        <v>-26000000</v>
      </c>
      <c r="G10" s="48">
        <v>-21000000</v>
      </c>
      <c r="H10" s="48">
        <v>-18000000</v>
      </c>
      <c r="I10" s="48">
        <v>-15000000</v>
      </c>
      <c r="J10" s="48">
        <v>-13000000</v>
      </c>
      <c r="K10" s="48">
        <v>-11000000</v>
      </c>
      <c r="L10" s="48">
        <v>-11000000</v>
      </c>
      <c r="M10" s="48">
        <v>-10000000</v>
      </c>
    </row>
    <row r="11" spans="1:17">
      <c r="A11" t="s">
        <v>211</v>
      </c>
      <c r="B11" s="48"/>
      <c r="C11">
        <v>10000000</v>
      </c>
      <c r="D11" s="48">
        <v>9000000</v>
      </c>
      <c r="E11" s="48">
        <v>12000000</v>
      </c>
      <c r="F11" s="48">
        <v>14000000</v>
      </c>
      <c r="G11" s="48">
        <v>14000000</v>
      </c>
      <c r="H11" s="48">
        <v>28000000</v>
      </c>
      <c r="I11" s="48">
        <v>12000000</v>
      </c>
      <c r="J11" s="48">
        <v>17000000</v>
      </c>
      <c r="K11" s="48">
        <v>77000000</v>
      </c>
      <c r="L11" s="48">
        <v>80000000</v>
      </c>
      <c r="M11" s="48">
        <v>87000000</v>
      </c>
      <c r="N11" s="48">
        <v>100000000</v>
      </c>
      <c r="O11" s="48">
        <v>133000000</v>
      </c>
      <c r="P11" s="48">
        <v>170000000</v>
      </c>
      <c r="Q11" s="48">
        <v>150000000</v>
      </c>
    </row>
    <row r="12" spans="1:17">
      <c r="A12" t="s">
        <v>212</v>
      </c>
      <c r="B12" s="48">
        <v>9000000</v>
      </c>
      <c r="C12" s="48">
        <v>175000000</v>
      </c>
      <c r="D12" s="48">
        <v>345000000</v>
      </c>
      <c r="E12" s="48">
        <v>162000000</v>
      </c>
      <c r="F12" s="48">
        <v>185000000</v>
      </c>
      <c r="G12" s="48">
        <v>177000000</v>
      </c>
      <c r="H12" s="48">
        <v>193000000</v>
      </c>
      <c r="I12" s="48">
        <v>215000000</v>
      </c>
      <c r="J12" s="48">
        <v>155000000</v>
      </c>
      <c r="K12" s="48">
        <v>134000000</v>
      </c>
      <c r="L12" s="48">
        <v>95000000</v>
      </c>
      <c r="M12" s="48">
        <v>107000000</v>
      </c>
      <c r="N12" s="48">
        <v>6000000</v>
      </c>
      <c r="O12" s="48">
        <v>85000000</v>
      </c>
      <c r="P12" s="48">
        <v>18000000</v>
      </c>
      <c r="Q12" s="48">
        <v>3000000</v>
      </c>
    </row>
    <row r="13" spans="1:17">
      <c r="A13" t="s">
        <v>213</v>
      </c>
      <c r="B13" s="48">
        <v>163000000</v>
      </c>
      <c r="C13" s="48">
        <v>57000000</v>
      </c>
      <c r="D13" s="48">
        <v>11000000</v>
      </c>
      <c r="E13" s="48">
        <v>150000000</v>
      </c>
      <c r="F13" s="48">
        <v>33000000</v>
      </c>
      <c r="G13" s="48">
        <v>234000000</v>
      </c>
      <c r="H13" s="48">
        <v>76000000</v>
      </c>
      <c r="I13" s="48">
        <v>96000000</v>
      </c>
      <c r="J13" s="48">
        <v>359000000</v>
      </c>
      <c r="K13" s="48">
        <v>184000000</v>
      </c>
      <c r="L13" s="48">
        <v>72000000</v>
      </c>
      <c r="M13" s="48">
        <v>27000000</v>
      </c>
      <c r="N13" s="48">
        <v>106000000</v>
      </c>
      <c r="O13" s="48">
        <v>11000000</v>
      </c>
      <c r="P13" s="48">
        <v>37000000</v>
      </c>
      <c r="Q13" s="48">
        <v>20000000</v>
      </c>
    </row>
    <row r="14" spans="1:17">
      <c r="A14" t="s">
        <v>214</v>
      </c>
      <c r="B14">
        <v>356000000</v>
      </c>
      <c r="C14" s="48"/>
      <c r="J14" s="48">
        <v>26000000</v>
      </c>
      <c r="K14" s="48">
        <v>11000000</v>
      </c>
      <c r="L14" s="48">
        <v>19000000</v>
      </c>
      <c r="M14" s="48">
        <v>23000000</v>
      </c>
      <c r="N14" s="48">
        <v>29000000</v>
      </c>
      <c r="O14" s="48">
        <v>23000000</v>
      </c>
      <c r="P14" s="48">
        <v>51000000</v>
      </c>
      <c r="Q14" s="48">
        <v>25000000</v>
      </c>
    </row>
    <row r="15" spans="1:17">
      <c r="A15" t="s">
        <v>215</v>
      </c>
      <c r="J15" s="48">
        <v>26000000</v>
      </c>
      <c r="K15" s="48">
        <v>11000000</v>
      </c>
      <c r="L15" s="48">
        <v>19000000</v>
      </c>
      <c r="M15" s="48">
        <v>23000000</v>
      </c>
      <c r="N15" s="48">
        <v>29000000</v>
      </c>
      <c r="O15" s="48">
        <v>23000000</v>
      </c>
      <c r="P15" s="48">
        <v>51000000</v>
      </c>
      <c r="Q15" s="48">
        <v>25000000</v>
      </c>
    </row>
    <row r="16" spans="1:17">
      <c r="A16" t="s">
        <v>216</v>
      </c>
      <c r="J16" s="48">
        <v>63000000</v>
      </c>
      <c r="K16">
        <v>0</v>
      </c>
      <c r="L16" s="48">
        <v>34000000</v>
      </c>
      <c r="M16">
        <v>0</v>
      </c>
    </row>
    <row r="17" spans="1:17">
      <c r="A17" t="s">
        <v>217</v>
      </c>
      <c r="B17">
        <v>30000000</v>
      </c>
      <c r="N17" s="48">
        <v>18000000</v>
      </c>
      <c r="Q17" s="48">
        <v>67000000</v>
      </c>
    </row>
    <row r="18" spans="1:17">
      <c r="A18" t="s">
        <v>218</v>
      </c>
      <c r="B18" s="48"/>
      <c r="C18">
        <v>10541000000</v>
      </c>
      <c r="D18" s="48">
        <v>6566000000</v>
      </c>
      <c r="E18" s="48">
        <v>6711000000</v>
      </c>
      <c r="F18" s="48">
        <v>6298000000</v>
      </c>
      <c r="G18" s="48">
        <v>6345000000</v>
      </c>
      <c r="H18" s="48">
        <v>6610000000</v>
      </c>
      <c r="I18" s="48">
        <v>6472000000</v>
      </c>
      <c r="J18" s="48">
        <v>6434000000</v>
      </c>
      <c r="K18" s="48">
        <v>7014000000</v>
      </c>
      <c r="L18" s="48">
        <v>5882000000</v>
      </c>
      <c r="M18" s="48">
        <v>5916000000</v>
      </c>
      <c r="N18" s="48">
        <v>5078000000</v>
      </c>
      <c r="O18" s="48">
        <v>5166000000</v>
      </c>
      <c r="P18" s="48">
        <v>5062000000</v>
      </c>
      <c r="Q18" s="48">
        <v>5183000000</v>
      </c>
    </row>
    <row r="19" spans="1:17">
      <c r="A19" t="s">
        <v>219</v>
      </c>
      <c r="B19" s="48">
        <v>9768000000</v>
      </c>
      <c r="C19" s="48">
        <v>3294000000</v>
      </c>
      <c r="D19" s="48">
        <v>3600000000</v>
      </c>
      <c r="E19" s="48">
        <v>3949000000</v>
      </c>
      <c r="F19" s="48">
        <v>3608000000</v>
      </c>
      <c r="G19" s="48">
        <v>4034000000</v>
      </c>
      <c r="H19" s="48">
        <v>4270000000</v>
      </c>
      <c r="I19" s="48">
        <v>4031000000</v>
      </c>
      <c r="J19" s="48">
        <v>4186000000</v>
      </c>
      <c r="K19" s="48">
        <v>4671000000</v>
      </c>
      <c r="L19" s="48">
        <v>4139000000</v>
      </c>
      <c r="M19" s="48">
        <v>4043000000</v>
      </c>
      <c r="N19" s="48">
        <v>3453000000</v>
      </c>
      <c r="O19" s="48">
        <v>3605000000</v>
      </c>
      <c r="P19" s="48">
        <v>3616000000</v>
      </c>
      <c r="Q19" s="48">
        <v>3495000000</v>
      </c>
    </row>
    <row r="20" spans="1:17">
      <c r="A20" t="s">
        <v>220</v>
      </c>
      <c r="B20" s="48">
        <v>2731000000</v>
      </c>
      <c r="C20" s="48">
        <v>5612000000</v>
      </c>
      <c r="D20" s="48">
        <v>5948000000</v>
      </c>
      <c r="E20" s="48">
        <v>6098000000</v>
      </c>
      <c r="F20" s="48">
        <v>5847000000</v>
      </c>
      <c r="G20" s="48">
        <v>6332000000</v>
      </c>
      <c r="H20" s="48">
        <v>6634000000</v>
      </c>
      <c r="I20" s="48">
        <v>6252000000</v>
      </c>
      <c r="J20" s="48">
        <v>6208000000</v>
      </c>
      <c r="K20" s="48">
        <v>7016000000</v>
      </c>
      <c r="L20" s="48">
        <v>6351000000</v>
      </c>
      <c r="M20" s="48">
        <v>6083000000</v>
      </c>
      <c r="N20" s="48">
        <v>5437000000</v>
      </c>
      <c r="O20" s="48">
        <v>5527000000</v>
      </c>
      <c r="P20" s="48">
        <v>5412000000</v>
      </c>
      <c r="Q20" s="48">
        <v>5211000000</v>
      </c>
    </row>
    <row r="21" spans="1:17">
      <c r="A21" t="s">
        <v>221</v>
      </c>
      <c r="B21">
        <v>2731000000</v>
      </c>
      <c r="C21" s="48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1:17">
      <c r="A22" t="s">
        <v>222</v>
      </c>
      <c r="C22">
        <v>676000000</v>
      </c>
      <c r="D22" s="48">
        <v>658000000</v>
      </c>
      <c r="E22" s="48">
        <v>690000000</v>
      </c>
      <c r="F22" s="48">
        <v>713000000</v>
      </c>
      <c r="G22" s="48">
        <v>916000000</v>
      </c>
      <c r="H22" s="48">
        <v>901000000</v>
      </c>
      <c r="I22" s="48">
        <v>674000000</v>
      </c>
      <c r="J22" s="48">
        <v>710000000</v>
      </c>
      <c r="K22" s="48">
        <v>672000000</v>
      </c>
      <c r="L22" s="48">
        <v>688000000</v>
      </c>
      <c r="M22" s="48">
        <v>666000000</v>
      </c>
      <c r="N22" s="48">
        <v>621000000</v>
      </c>
      <c r="O22" s="48">
        <v>562000000</v>
      </c>
      <c r="P22" s="48">
        <v>560000000</v>
      </c>
      <c r="Q22" s="48">
        <v>560000000</v>
      </c>
    </row>
    <row r="23" spans="1:17">
      <c r="A23" t="s">
        <v>223</v>
      </c>
      <c r="C23">
        <v>3065000000</v>
      </c>
      <c r="D23" s="48">
        <v>3381000000</v>
      </c>
      <c r="E23" s="48">
        <v>3285000000</v>
      </c>
      <c r="F23" s="48">
        <v>3583000000</v>
      </c>
      <c r="G23" s="48">
        <v>3880000000</v>
      </c>
      <c r="H23" s="48">
        <v>4125000000</v>
      </c>
      <c r="I23" s="48">
        <v>3898000000</v>
      </c>
      <c r="J23" s="48">
        <v>3948000000</v>
      </c>
      <c r="K23" s="48">
        <v>4628000000</v>
      </c>
      <c r="L23" s="48">
        <v>4062000000</v>
      </c>
      <c r="M23" s="48">
        <v>3878000000</v>
      </c>
      <c r="N23" s="48">
        <v>3365000000</v>
      </c>
      <c r="O23" s="48">
        <v>3331000000</v>
      </c>
      <c r="P23" s="48">
        <v>3276000000</v>
      </c>
      <c r="Q23" s="48">
        <v>3158000000</v>
      </c>
    </row>
    <row r="24" spans="1:17">
      <c r="A24" t="s">
        <v>224</v>
      </c>
      <c r="C24">
        <v>1186000000</v>
      </c>
      <c r="D24" s="48">
        <v>1216000000</v>
      </c>
      <c r="E24" s="48">
        <v>1183000000</v>
      </c>
      <c r="F24" s="48">
        <v>1178000000</v>
      </c>
      <c r="G24" s="48">
        <v>1204000000</v>
      </c>
      <c r="H24" s="48">
        <v>1316000000</v>
      </c>
      <c r="I24" s="48">
        <v>1209000000</v>
      </c>
      <c r="J24" s="48">
        <v>1173000000</v>
      </c>
      <c r="K24" s="48">
        <v>1376000000</v>
      </c>
      <c r="L24" s="48">
        <v>1288000000</v>
      </c>
      <c r="M24" s="48">
        <v>1243000000</v>
      </c>
      <c r="N24" s="48">
        <v>1106000000</v>
      </c>
      <c r="O24" s="48">
        <v>1125000000</v>
      </c>
      <c r="P24" s="48">
        <v>1077000000</v>
      </c>
      <c r="Q24" s="48">
        <v>1057000000</v>
      </c>
    </row>
    <row r="25" spans="1:17">
      <c r="A25" t="s">
        <v>225</v>
      </c>
      <c r="B25" s="48"/>
      <c r="C25">
        <v>446000000</v>
      </c>
      <c r="D25" s="48">
        <v>474000000</v>
      </c>
      <c r="E25" s="48">
        <v>493000000</v>
      </c>
    </row>
    <row r="26" spans="1:17">
      <c r="A26" t="s">
        <v>226</v>
      </c>
      <c r="B26">
        <v>2731000000</v>
      </c>
      <c r="C26" s="48">
        <v>47000000</v>
      </c>
      <c r="D26" s="48">
        <v>32000000</v>
      </c>
      <c r="E26" s="48">
        <v>253000000</v>
      </c>
      <c r="F26" s="48">
        <v>158000000</v>
      </c>
      <c r="G26" s="48">
        <v>122000000</v>
      </c>
      <c r="H26" s="48">
        <v>90000000</v>
      </c>
      <c r="I26" s="48">
        <v>251000000</v>
      </c>
      <c r="J26" s="48">
        <v>151000000</v>
      </c>
      <c r="K26" s="48">
        <v>86000000</v>
      </c>
      <c r="L26" s="48">
        <v>65000000</v>
      </c>
      <c r="M26" s="48">
        <v>56000000</v>
      </c>
      <c r="N26" s="48">
        <v>84000000</v>
      </c>
      <c r="O26" s="48">
        <v>246000000</v>
      </c>
      <c r="P26" s="48">
        <v>235000000</v>
      </c>
      <c r="Q26" s="48">
        <v>202000000</v>
      </c>
    </row>
    <row r="27" spans="1:17">
      <c r="A27" t="s">
        <v>227</v>
      </c>
      <c r="C27">
        <v>192000000</v>
      </c>
      <c r="D27" s="48">
        <v>187000000</v>
      </c>
      <c r="E27" s="48">
        <v>194000000</v>
      </c>
      <c r="F27" s="48">
        <v>215000000</v>
      </c>
      <c r="G27" s="48">
        <v>210000000</v>
      </c>
      <c r="H27" s="48">
        <v>202000000</v>
      </c>
      <c r="I27" s="48">
        <v>220000000</v>
      </c>
      <c r="J27" s="48">
        <v>226000000</v>
      </c>
      <c r="K27" s="48">
        <v>254000000</v>
      </c>
      <c r="L27" s="48">
        <v>248000000</v>
      </c>
      <c r="M27" s="48">
        <v>240000000</v>
      </c>
      <c r="N27" s="48">
        <v>261000000</v>
      </c>
      <c r="O27" s="48">
        <v>263000000</v>
      </c>
      <c r="P27" s="48">
        <v>264000000</v>
      </c>
      <c r="Q27" s="48">
        <v>234000000</v>
      </c>
    </row>
    <row r="28" spans="1:17">
      <c r="A28" t="s">
        <v>228</v>
      </c>
      <c r="C28">
        <v>-2318000000</v>
      </c>
      <c r="D28" s="48">
        <v>-2348000000</v>
      </c>
      <c r="E28" s="48">
        <v>-2149000000</v>
      </c>
      <c r="F28" s="48">
        <v>-2239000000</v>
      </c>
      <c r="G28" s="48">
        <v>-2298000000</v>
      </c>
      <c r="H28" s="48">
        <v>-2364000000</v>
      </c>
      <c r="I28" s="48">
        <v>-2221000000</v>
      </c>
      <c r="J28" s="48">
        <v>-2022000000</v>
      </c>
      <c r="K28" s="48">
        <v>-2345000000</v>
      </c>
      <c r="L28" s="48">
        <v>-2212000000</v>
      </c>
      <c r="M28" s="48">
        <v>-2040000000</v>
      </c>
      <c r="N28" s="48">
        <v>-1984000000</v>
      </c>
      <c r="O28" s="48">
        <v>-1922000000</v>
      </c>
      <c r="P28" s="48">
        <v>-1796000000</v>
      </c>
      <c r="Q28" s="48">
        <v>-1716000000</v>
      </c>
    </row>
    <row r="29" spans="1:17">
      <c r="A29" t="s">
        <v>229</v>
      </c>
      <c r="B29" s="48"/>
      <c r="C29">
        <v>4942000000</v>
      </c>
      <c r="D29" s="48">
        <v>673000000</v>
      </c>
      <c r="E29" s="48">
        <v>763000000</v>
      </c>
      <c r="F29" s="48">
        <v>911000000</v>
      </c>
      <c r="G29" s="48">
        <v>833000000</v>
      </c>
      <c r="H29" s="48">
        <v>724000000</v>
      </c>
      <c r="I29" s="48">
        <v>676000000</v>
      </c>
      <c r="J29" s="48">
        <v>685000000</v>
      </c>
      <c r="K29" s="48">
        <v>738000000</v>
      </c>
      <c r="L29" s="48">
        <v>521000000</v>
      </c>
      <c r="M29" s="48">
        <v>461000000</v>
      </c>
      <c r="N29" s="48">
        <v>382000000</v>
      </c>
      <c r="O29" s="48">
        <v>397000000</v>
      </c>
      <c r="P29" s="48">
        <v>376000000</v>
      </c>
      <c r="Q29" s="48">
        <v>562000000</v>
      </c>
    </row>
    <row r="30" spans="1:17">
      <c r="A30" t="s">
        <v>230</v>
      </c>
      <c r="B30" s="48">
        <v>4869000000</v>
      </c>
      <c r="C30" s="48">
        <v>2965000000</v>
      </c>
      <c r="D30" s="48">
        <v>288000000</v>
      </c>
      <c r="E30" s="48">
        <v>326000000</v>
      </c>
      <c r="F30" s="48">
        <v>283000000</v>
      </c>
      <c r="G30" s="48">
        <v>150000000</v>
      </c>
      <c r="H30" s="48">
        <v>125000000</v>
      </c>
      <c r="I30" s="48">
        <v>129000000</v>
      </c>
      <c r="J30" s="48">
        <v>133000000</v>
      </c>
      <c r="K30" s="48">
        <v>147000000</v>
      </c>
      <c r="L30" s="48">
        <v>133000000</v>
      </c>
      <c r="M30" s="48">
        <v>102000000</v>
      </c>
      <c r="N30" s="48">
        <v>102000000</v>
      </c>
      <c r="O30" s="48">
        <v>113000000</v>
      </c>
      <c r="P30" s="48">
        <v>120000000</v>
      </c>
      <c r="Q30" s="48">
        <v>203000000</v>
      </c>
    </row>
    <row r="31" spans="1:17">
      <c r="A31" t="s">
        <v>231</v>
      </c>
      <c r="B31" s="48">
        <v>3120000000</v>
      </c>
      <c r="C31" s="48">
        <v>1977000000</v>
      </c>
      <c r="D31" s="48">
        <v>385000000</v>
      </c>
      <c r="E31" s="48">
        <v>437000000</v>
      </c>
      <c r="F31" s="48">
        <v>628000000</v>
      </c>
      <c r="G31" s="48">
        <v>683000000</v>
      </c>
      <c r="H31" s="48">
        <v>599000000</v>
      </c>
      <c r="I31" s="48">
        <v>547000000</v>
      </c>
      <c r="J31" s="48">
        <v>552000000</v>
      </c>
      <c r="K31" s="48">
        <v>591000000</v>
      </c>
      <c r="L31" s="48">
        <v>388000000</v>
      </c>
      <c r="M31" s="48">
        <v>359000000</v>
      </c>
      <c r="N31" s="48">
        <v>280000000</v>
      </c>
      <c r="O31" s="48">
        <v>284000000</v>
      </c>
      <c r="P31" s="48">
        <v>256000000</v>
      </c>
      <c r="Q31" s="48">
        <v>359000000</v>
      </c>
    </row>
    <row r="32" spans="1:17">
      <c r="A32" t="s">
        <v>232</v>
      </c>
      <c r="B32" s="48">
        <v>1749000000</v>
      </c>
      <c r="C32" s="48">
        <v>954000000</v>
      </c>
      <c r="D32" s="48">
        <v>980000000</v>
      </c>
      <c r="E32" s="48">
        <v>843000000</v>
      </c>
      <c r="F32" s="48">
        <v>735000000</v>
      </c>
      <c r="G32" s="48">
        <v>211000000</v>
      </c>
      <c r="H32" s="48">
        <v>186000000</v>
      </c>
      <c r="I32" s="48">
        <v>327000000</v>
      </c>
      <c r="J32" s="48">
        <v>334000000</v>
      </c>
      <c r="K32" s="48">
        <v>329000000</v>
      </c>
      <c r="L32" s="48">
        <v>293000000</v>
      </c>
      <c r="M32" s="48">
        <v>280000000</v>
      </c>
      <c r="N32" s="48">
        <v>245000000</v>
      </c>
      <c r="O32" s="48">
        <v>223000000</v>
      </c>
      <c r="P32" s="48">
        <v>204000000</v>
      </c>
      <c r="Q32" s="48">
        <v>324000000</v>
      </c>
    </row>
    <row r="33" spans="1:17">
      <c r="A33" t="s">
        <v>233</v>
      </c>
      <c r="B33" s="48">
        <v>830000000</v>
      </c>
      <c r="C33" s="48">
        <v>216000000</v>
      </c>
      <c r="D33" s="48">
        <v>260000000</v>
      </c>
      <c r="E33" s="48">
        <v>232000000</v>
      </c>
      <c r="F33">
        <v>233000000</v>
      </c>
    </row>
    <row r="34" spans="1:17">
      <c r="A34" t="s">
        <v>234</v>
      </c>
      <c r="B34" s="48">
        <v>182000000</v>
      </c>
      <c r="C34" s="48">
        <v>673000000</v>
      </c>
      <c r="D34" s="48">
        <v>627000000</v>
      </c>
      <c r="E34" s="48">
        <v>449000000</v>
      </c>
      <c r="F34" s="48">
        <v>390000000</v>
      </c>
    </row>
    <row r="35" spans="1:17">
      <c r="A35" t="s">
        <v>235</v>
      </c>
      <c r="B35" s="48">
        <v>572000000</v>
      </c>
      <c r="C35" s="48">
        <v>673000000</v>
      </c>
      <c r="D35" s="48">
        <v>627000000</v>
      </c>
      <c r="E35" s="48">
        <v>449000000</v>
      </c>
      <c r="F35" s="48">
        <v>390000000</v>
      </c>
    </row>
    <row r="36" spans="1:17">
      <c r="A36" t="s">
        <v>236</v>
      </c>
      <c r="B36" s="48">
        <v>572000000</v>
      </c>
      <c r="C36" s="48">
        <v>65000000</v>
      </c>
      <c r="D36" s="48">
        <v>93000000</v>
      </c>
      <c r="E36" s="48">
        <v>162000000</v>
      </c>
      <c r="F36" s="48">
        <v>112000000</v>
      </c>
    </row>
    <row r="37" spans="1:17">
      <c r="A37" t="s">
        <v>237</v>
      </c>
      <c r="B37">
        <v>76000000</v>
      </c>
      <c r="C37" s="48"/>
      <c r="E37" s="48">
        <v>35000000</v>
      </c>
      <c r="F37" s="48">
        <v>13000000</v>
      </c>
      <c r="G37" s="48">
        <v>19000000</v>
      </c>
      <c r="H37" s="48">
        <v>19000000</v>
      </c>
      <c r="I37" s="48">
        <v>20000000</v>
      </c>
      <c r="J37" s="48">
        <v>40000000</v>
      </c>
      <c r="K37" s="48">
        <v>119000000</v>
      </c>
      <c r="L37" s="48">
        <v>126000000</v>
      </c>
    </row>
    <row r="38" spans="1:17">
      <c r="A38" t="s">
        <v>238</v>
      </c>
      <c r="B38" s="48"/>
      <c r="C38">
        <v>41000000</v>
      </c>
      <c r="D38" s="48">
        <v>29000000</v>
      </c>
      <c r="E38" s="48">
        <v>35000000</v>
      </c>
      <c r="F38" s="48">
        <v>13000000</v>
      </c>
      <c r="G38" s="48">
        <v>19000000</v>
      </c>
      <c r="H38" s="48">
        <v>19000000</v>
      </c>
      <c r="I38" s="48">
        <v>20000000</v>
      </c>
      <c r="J38" s="48">
        <v>40000000</v>
      </c>
      <c r="K38" s="48">
        <v>119000000</v>
      </c>
      <c r="L38" s="48">
        <v>126000000</v>
      </c>
      <c r="O38" s="48">
        <v>385000000</v>
      </c>
      <c r="P38" s="48">
        <v>410000000</v>
      </c>
      <c r="Q38" s="48">
        <v>160000000</v>
      </c>
    </row>
    <row r="39" spans="1:17">
      <c r="A39" t="s">
        <v>239</v>
      </c>
      <c r="B39" s="48">
        <v>63000000</v>
      </c>
      <c r="C39" s="48">
        <v>14000000</v>
      </c>
      <c r="D39" s="48">
        <v>207000000</v>
      </c>
      <c r="E39" s="48">
        <v>144000000</v>
      </c>
      <c r="F39" s="48">
        <v>180000000</v>
      </c>
      <c r="G39" s="48">
        <v>242000000</v>
      </c>
      <c r="H39" s="48">
        <v>313000000</v>
      </c>
      <c r="I39" s="48">
        <v>301000000</v>
      </c>
      <c r="J39" s="48">
        <v>196000000</v>
      </c>
      <c r="K39" s="48">
        <v>198000000</v>
      </c>
      <c r="L39" s="48">
        <v>183000000</v>
      </c>
      <c r="M39" s="48">
        <v>197000000</v>
      </c>
      <c r="N39" s="48">
        <v>62000000</v>
      </c>
      <c r="O39" s="48">
        <v>74000000</v>
      </c>
      <c r="P39" s="48">
        <v>126000000</v>
      </c>
      <c r="Q39" s="48">
        <v>151000000</v>
      </c>
    </row>
    <row r="40" spans="1:17">
      <c r="A40" t="s">
        <v>240</v>
      </c>
      <c r="B40" s="48">
        <v>96000000</v>
      </c>
      <c r="C40" s="48">
        <v>14000000</v>
      </c>
      <c r="D40" s="48">
        <v>207000000</v>
      </c>
      <c r="E40" s="48">
        <v>144000000</v>
      </c>
      <c r="F40" s="48">
        <v>180000000</v>
      </c>
      <c r="G40" s="48">
        <v>242000000</v>
      </c>
      <c r="H40" s="48">
        <v>313000000</v>
      </c>
      <c r="I40" s="48">
        <v>301000000</v>
      </c>
      <c r="J40" s="48">
        <v>196000000</v>
      </c>
      <c r="K40" s="48">
        <v>198000000</v>
      </c>
      <c r="L40" s="48">
        <v>183000000</v>
      </c>
      <c r="M40" s="48">
        <v>197000000</v>
      </c>
      <c r="N40" s="48">
        <v>62000000</v>
      </c>
      <c r="O40" s="48">
        <v>74000000</v>
      </c>
      <c r="P40" s="48">
        <v>126000000</v>
      </c>
      <c r="Q40" s="48">
        <v>151000000</v>
      </c>
    </row>
    <row r="41" spans="1:17">
      <c r="A41" t="s">
        <v>241</v>
      </c>
      <c r="B41" s="48">
        <v>11000000</v>
      </c>
      <c r="C41" s="48">
        <v>1296000000</v>
      </c>
      <c r="D41" s="48">
        <v>1077000000</v>
      </c>
      <c r="E41" s="48">
        <v>977000000</v>
      </c>
      <c r="F41" s="48">
        <v>851000000</v>
      </c>
      <c r="G41" s="48">
        <v>1006000000</v>
      </c>
      <c r="H41" s="48">
        <v>1098000000</v>
      </c>
      <c r="I41" s="48">
        <v>1117000000</v>
      </c>
      <c r="J41" s="48">
        <v>993000000</v>
      </c>
      <c r="K41" s="48">
        <v>959000000</v>
      </c>
      <c r="L41" s="48">
        <v>620000000</v>
      </c>
      <c r="M41" s="48">
        <v>935000000</v>
      </c>
      <c r="N41" s="48">
        <v>936000000</v>
      </c>
      <c r="O41" s="48">
        <v>482000000</v>
      </c>
      <c r="P41" s="48">
        <v>330000000</v>
      </c>
      <c r="Q41" s="48">
        <v>491000000</v>
      </c>
    </row>
    <row r="42" spans="1:17">
      <c r="A42" t="s">
        <v>242</v>
      </c>
      <c r="B42" s="48">
        <v>1179000000</v>
      </c>
      <c r="C42" s="48">
        <v>9037000000</v>
      </c>
      <c r="D42" s="48">
        <v>5915000000</v>
      </c>
      <c r="E42" s="48">
        <v>4450000000</v>
      </c>
      <c r="F42" s="48">
        <v>3966000000</v>
      </c>
      <c r="G42" s="48">
        <v>4131000000</v>
      </c>
      <c r="H42" s="48">
        <v>3841000000</v>
      </c>
      <c r="I42" s="48">
        <v>3601000000</v>
      </c>
      <c r="J42" s="48">
        <v>3512000000</v>
      </c>
      <c r="K42" s="48">
        <v>3400000000</v>
      </c>
      <c r="L42" s="48">
        <v>2809000000</v>
      </c>
      <c r="M42" s="48">
        <v>2679000000</v>
      </c>
      <c r="N42" s="48">
        <v>2112000000</v>
      </c>
      <c r="O42" s="48">
        <v>2115000000</v>
      </c>
      <c r="P42" s="48">
        <v>2527000000</v>
      </c>
      <c r="Q42" s="48">
        <v>2779000000</v>
      </c>
    </row>
    <row r="43" spans="1:17">
      <c r="A43" t="s">
        <v>243</v>
      </c>
      <c r="B43" s="48">
        <v>8956000000</v>
      </c>
      <c r="C43" s="48">
        <v>2232000000</v>
      </c>
      <c r="D43" s="48">
        <v>984000000</v>
      </c>
      <c r="E43" s="48">
        <v>1086000000</v>
      </c>
      <c r="F43" s="48">
        <v>1061000000</v>
      </c>
      <c r="G43" s="48">
        <v>966000000</v>
      </c>
      <c r="H43" s="48">
        <v>924000000</v>
      </c>
      <c r="I43" s="48">
        <v>1107000000</v>
      </c>
      <c r="J43" s="48">
        <v>730000000</v>
      </c>
      <c r="K43" s="48">
        <v>871000000</v>
      </c>
      <c r="L43" s="48">
        <v>618000000</v>
      </c>
      <c r="M43" s="48">
        <v>568000000</v>
      </c>
      <c r="N43" s="48">
        <v>596000000</v>
      </c>
      <c r="O43" s="48">
        <v>495000000</v>
      </c>
      <c r="P43" s="48">
        <v>653000000</v>
      </c>
      <c r="Q43" s="48">
        <v>697000000</v>
      </c>
    </row>
    <row r="44" spans="1:17">
      <c r="A44" t="s">
        <v>244</v>
      </c>
      <c r="B44" s="48">
        <v>2957000000</v>
      </c>
      <c r="C44" s="48">
        <v>822000000</v>
      </c>
      <c r="D44" s="48">
        <v>302000000</v>
      </c>
      <c r="E44" s="48">
        <v>454000000</v>
      </c>
      <c r="F44" s="48">
        <v>512000000</v>
      </c>
      <c r="G44" s="48">
        <v>810000000</v>
      </c>
      <c r="H44" s="48">
        <v>676000000</v>
      </c>
      <c r="I44" s="48">
        <v>657000000</v>
      </c>
      <c r="J44" s="48">
        <v>598000000</v>
      </c>
      <c r="K44" s="48">
        <v>544000000</v>
      </c>
      <c r="L44" s="48">
        <v>476000000</v>
      </c>
      <c r="M44" s="48">
        <v>450000000</v>
      </c>
      <c r="N44" s="48">
        <v>539000000</v>
      </c>
      <c r="O44" s="48">
        <v>483000000</v>
      </c>
      <c r="P44" s="48">
        <v>615000000</v>
      </c>
      <c r="Q44" s="48">
        <v>663000000</v>
      </c>
    </row>
    <row r="45" spans="1:17">
      <c r="A45" t="s">
        <v>245</v>
      </c>
      <c r="B45" s="48">
        <v>847000000</v>
      </c>
      <c r="C45" s="48">
        <v>523000000</v>
      </c>
      <c r="D45" s="48">
        <v>102000000</v>
      </c>
      <c r="E45" s="48">
        <v>150000000</v>
      </c>
      <c r="F45" s="48">
        <v>151000000</v>
      </c>
      <c r="G45" s="48">
        <v>175000000</v>
      </c>
      <c r="H45" s="48">
        <v>162000000</v>
      </c>
      <c r="I45" s="48">
        <v>141000000</v>
      </c>
      <c r="J45" s="48">
        <v>130000000</v>
      </c>
      <c r="K45" s="48">
        <v>133000000</v>
      </c>
      <c r="L45" s="48">
        <v>138000000</v>
      </c>
      <c r="M45" s="48">
        <v>144000000</v>
      </c>
      <c r="N45" s="48">
        <v>145000000</v>
      </c>
      <c r="O45" s="48">
        <v>201000000</v>
      </c>
      <c r="P45" s="48">
        <v>341000000</v>
      </c>
      <c r="Q45" s="48">
        <v>357000000</v>
      </c>
    </row>
    <row r="46" spans="1:17">
      <c r="A46" t="s">
        <v>246</v>
      </c>
      <c r="B46" s="48">
        <v>402000000</v>
      </c>
      <c r="C46" s="48">
        <v>523000000</v>
      </c>
      <c r="D46" s="48">
        <v>102000000</v>
      </c>
      <c r="E46" s="48">
        <v>150000000</v>
      </c>
      <c r="F46" s="48">
        <v>151000000</v>
      </c>
      <c r="G46" s="48">
        <v>175000000</v>
      </c>
      <c r="H46" s="48">
        <v>162000000</v>
      </c>
      <c r="I46" s="48">
        <v>141000000</v>
      </c>
      <c r="J46" s="48">
        <v>130000000</v>
      </c>
      <c r="K46" s="48">
        <v>133000000</v>
      </c>
      <c r="L46" s="48">
        <v>138000000</v>
      </c>
      <c r="M46" s="48">
        <v>144000000</v>
      </c>
      <c r="N46" s="48">
        <v>145000000</v>
      </c>
      <c r="O46" s="48">
        <v>196000000</v>
      </c>
      <c r="P46" s="48">
        <v>318000000</v>
      </c>
      <c r="Q46" s="48">
        <v>303000000</v>
      </c>
    </row>
    <row r="47" spans="1:17">
      <c r="A47" t="s">
        <v>247</v>
      </c>
      <c r="B47">
        <v>402000000</v>
      </c>
      <c r="C47" s="48"/>
      <c r="O47" s="48">
        <v>5000000</v>
      </c>
      <c r="P47" s="48">
        <v>23000000</v>
      </c>
      <c r="Q47" s="48">
        <v>54000000</v>
      </c>
    </row>
    <row r="48" spans="1:17">
      <c r="A48" t="s">
        <v>248</v>
      </c>
      <c r="O48" s="48">
        <v>5000000</v>
      </c>
      <c r="P48" s="48">
        <v>23000000</v>
      </c>
      <c r="Q48" s="48">
        <v>54000000</v>
      </c>
    </row>
    <row r="49" spans="1:17">
      <c r="A49" t="s">
        <v>249</v>
      </c>
      <c r="B49" s="48"/>
      <c r="C49">
        <v>299000000</v>
      </c>
      <c r="D49" s="48">
        <v>200000000</v>
      </c>
      <c r="E49" s="48">
        <v>304000000</v>
      </c>
      <c r="F49" s="48">
        <v>361000000</v>
      </c>
      <c r="G49" s="48">
        <v>635000000</v>
      </c>
      <c r="H49" s="48">
        <v>514000000</v>
      </c>
      <c r="I49" s="48">
        <v>516000000</v>
      </c>
      <c r="J49" s="48">
        <v>468000000</v>
      </c>
      <c r="K49" s="48">
        <v>411000000</v>
      </c>
      <c r="L49" s="48">
        <v>338000000</v>
      </c>
      <c r="M49" s="48">
        <v>306000000</v>
      </c>
      <c r="N49" s="48">
        <v>394000000</v>
      </c>
      <c r="O49" s="48">
        <v>282000000</v>
      </c>
      <c r="P49" s="48">
        <v>274000000</v>
      </c>
      <c r="Q49" s="48">
        <v>306000000</v>
      </c>
    </row>
    <row r="50" spans="1:17">
      <c r="A50" t="s">
        <v>250</v>
      </c>
      <c r="B50" s="48">
        <v>445000000</v>
      </c>
      <c r="C50" s="48">
        <v>187000000</v>
      </c>
      <c r="D50" s="48">
        <v>111000000</v>
      </c>
      <c r="E50" s="48">
        <v>144000000</v>
      </c>
      <c r="F50" s="48">
        <v>150000000</v>
      </c>
      <c r="G50" s="48">
        <v>145000000</v>
      </c>
      <c r="H50" s="48">
        <v>129000000</v>
      </c>
      <c r="I50" s="48">
        <v>122000000</v>
      </c>
      <c r="J50" s="48">
        <v>120000000</v>
      </c>
      <c r="K50" s="48">
        <v>133000000</v>
      </c>
      <c r="L50" s="48">
        <v>137000000</v>
      </c>
      <c r="M50" s="48">
        <v>114000000</v>
      </c>
    </row>
    <row r="51" spans="1:17">
      <c r="A51" t="s">
        <v>251</v>
      </c>
      <c r="B51" s="48">
        <v>195000000</v>
      </c>
      <c r="C51" s="48">
        <v>45000000</v>
      </c>
      <c r="D51" s="48">
        <v>289000000</v>
      </c>
      <c r="E51" s="48">
        <v>43000000</v>
      </c>
      <c r="F51" s="48">
        <v>11000000</v>
      </c>
      <c r="G51" s="48">
        <v>11000000</v>
      </c>
      <c r="H51" s="48">
        <v>119000000</v>
      </c>
      <c r="I51" s="48">
        <v>328000000</v>
      </c>
      <c r="J51" s="48">
        <v>9000000</v>
      </c>
      <c r="K51" s="48">
        <v>194000000</v>
      </c>
      <c r="L51" s="48">
        <v>4000000</v>
      </c>
      <c r="M51" s="48">
        <v>4000000</v>
      </c>
      <c r="N51" s="48">
        <v>57000000</v>
      </c>
      <c r="O51" s="48">
        <v>12000000</v>
      </c>
      <c r="P51" s="48">
        <v>38000000</v>
      </c>
      <c r="Q51" s="48">
        <v>26000000</v>
      </c>
    </row>
    <row r="52" spans="1:17">
      <c r="A52" t="s">
        <v>252</v>
      </c>
      <c r="B52" s="48">
        <v>690000000</v>
      </c>
      <c r="C52" s="48">
        <v>10000000</v>
      </c>
      <c r="D52" s="48">
        <v>260000000</v>
      </c>
      <c r="E52" s="48">
        <v>11000000</v>
      </c>
      <c r="F52" s="48">
        <v>11000000</v>
      </c>
      <c r="G52" s="48">
        <v>11000000</v>
      </c>
      <c r="H52" s="48">
        <v>119000000</v>
      </c>
      <c r="I52" s="48">
        <v>328000000</v>
      </c>
      <c r="J52" s="48">
        <v>9000000</v>
      </c>
      <c r="K52" s="48">
        <v>194000000</v>
      </c>
      <c r="L52" s="48">
        <v>4000000</v>
      </c>
      <c r="M52" s="48">
        <v>4000000</v>
      </c>
      <c r="N52" s="48">
        <v>57000000</v>
      </c>
      <c r="O52" s="48">
        <v>12000000</v>
      </c>
      <c r="P52" s="48">
        <v>38000000</v>
      </c>
      <c r="Q52" s="48">
        <v>26000000</v>
      </c>
    </row>
    <row r="53" spans="1:17">
      <c r="A53" t="s">
        <v>253</v>
      </c>
      <c r="B53" s="48">
        <v>654000000</v>
      </c>
      <c r="C53" s="48">
        <v>10000000</v>
      </c>
      <c r="D53" s="48">
        <v>260000000</v>
      </c>
      <c r="E53" s="48">
        <v>11000000</v>
      </c>
    </row>
    <row r="54" spans="1:17">
      <c r="A54" t="s">
        <v>254</v>
      </c>
      <c r="B54" s="48">
        <v>654000000</v>
      </c>
      <c r="C54" s="48">
        <v>35000000</v>
      </c>
      <c r="D54" s="48">
        <v>29000000</v>
      </c>
      <c r="E54" s="48">
        <v>32000000</v>
      </c>
    </row>
    <row r="55" spans="1:17">
      <c r="A55" t="s">
        <v>255</v>
      </c>
      <c r="B55" s="48">
        <v>36000000</v>
      </c>
      <c r="C55" s="48">
        <v>1178000000</v>
      </c>
      <c r="D55" s="48">
        <v>282000000</v>
      </c>
      <c r="E55" s="48">
        <v>445000000</v>
      </c>
      <c r="F55" s="48">
        <v>388000000</v>
      </c>
    </row>
    <row r="56" spans="1:17">
      <c r="A56" t="s">
        <v>256</v>
      </c>
      <c r="B56" s="48">
        <v>1219000000</v>
      </c>
      <c r="C56" s="48">
        <v>1178000000</v>
      </c>
      <c r="D56" s="48">
        <v>282000000</v>
      </c>
      <c r="E56" s="48">
        <v>445000000</v>
      </c>
      <c r="F56" s="48">
        <v>388000000</v>
      </c>
    </row>
    <row r="57" spans="1:17">
      <c r="A57" t="s">
        <v>257</v>
      </c>
      <c r="B57">
        <v>1219000000</v>
      </c>
      <c r="C57" s="48"/>
      <c r="J57" s="48">
        <v>3000000</v>
      </c>
      <c r="L57" s="48">
        <v>1000000</v>
      </c>
      <c r="Q57" s="48">
        <v>8000000</v>
      </c>
    </row>
    <row r="58" spans="1:17">
      <c r="A58" t="s">
        <v>258</v>
      </c>
      <c r="B58" s="48">
        <v>6000000</v>
      </c>
      <c r="C58">
        <v>6805000000</v>
      </c>
      <c r="D58" s="48">
        <v>4931000000</v>
      </c>
      <c r="E58" s="48">
        <v>3364000000</v>
      </c>
      <c r="F58" s="48">
        <v>2905000000</v>
      </c>
      <c r="G58" s="48">
        <v>3165000000</v>
      </c>
      <c r="H58" s="48">
        <v>2917000000</v>
      </c>
      <c r="I58" s="48">
        <v>2494000000</v>
      </c>
      <c r="J58" s="48">
        <v>2782000000</v>
      </c>
      <c r="K58" s="48">
        <v>2529000000</v>
      </c>
      <c r="L58" s="48">
        <v>2191000000</v>
      </c>
      <c r="M58" s="48">
        <v>2111000000</v>
      </c>
      <c r="N58" s="48">
        <v>1516000000</v>
      </c>
      <c r="O58" s="48">
        <v>1620000000</v>
      </c>
      <c r="P58" s="48">
        <v>1874000000</v>
      </c>
      <c r="Q58" s="48">
        <v>2082000000</v>
      </c>
    </row>
    <row r="59" spans="1:17">
      <c r="A59" t="s">
        <v>259</v>
      </c>
      <c r="B59">
        <v>5999000000</v>
      </c>
      <c r="C59" s="48"/>
      <c r="H59" s="48">
        <v>296000000</v>
      </c>
      <c r="I59" s="48">
        <v>280000000</v>
      </c>
      <c r="J59" s="48">
        <v>284000000</v>
      </c>
      <c r="K59" s="48">
        <v>262000000</v>
      </c>
      <c r="L59" s="48">
        <v>267000000</v>
      </c>
    </row>
    <row r="60" spans="1:17">
      <c r="A60" t="s">
        <v>260</v>
      </c>
      <c r="B60" s="48"/>
      <c r="C60">
        <v>4317000000</v>
      </c>
      <c r="D60" s="48">
        <v>3361000000</v>
      </c>
      <c r="E60" s="48">
        <v>2005000000</v>
      </c>
      <c r="F60" s="48">
        <v>1623000000</v>
      </c>
      <c r="G60" s="48">
        <v>1440000000</v>
      </c>
      <c r="H60" s="48">
        <v>1445000000</v>
      </c>
      <c r="I60" s="48">
        <v>1047000000</v>
      </c>
      <c r="J60" s="48">
        <v>1381000000</v>
      </c>
      <c r="K60" s="48">
        <v>1289000000</v>
      </c>
      <c r="L60" s="48">
        <v>1229000000</v>
      </c>
      <c r="M60" s="48">
        <v>1221000000</v>
      </c>
      <c r="N60" s="48">
        <v>1516000000</v>
      </c>
      <c r="O60" s="48">
        <v>1620000000</v>
      </c>
      <c r="P60" s="48">
        <v>665000000</v>
      </c>
      <c r="Q60" s="48">
        <v>794000000</v>
      </c>
    </row>
    <row r="61" spans="1:17">
      <c r="A61" t="s">
        <v>261</v>
      </c>
      <c r="B61" s="48">
        <v>3443000000</v>
      </c>
      <c r="C61" s="48">
        <v>3968000000</v>
      </c>
      <c r="D61" s="48">
        <v>2984000000</v>
      </c>
      <c r="E61" s="48">
        <v>1612000000</v>
      </c>
      <c r="F61" s="48">
        <v>1623000000</v>
      </c>
      <c r="G61" s="48">
        <v>1440000000</v>
      </c>
      <c r="H61" s="48">
        <v>1445000000</v>
      </c>
      <c r="I61" s="48">
        <v>1047000000</v>
      </c>
      <c r="J61" s="48">
        <v>1381000000</v>
      </c>
      <c r="K61" s="48">
        <v>1289000000</v>
      </c>
      <c r="L61" s="48">
        <v>1229000000</v>
      </c>
      <c r="M61" s="48">
        <v>1221000000</v>
      </c>
      <c r="N61" s="48">
        <v>1516000000</v>
      </c>
      <c r="O61" s="48">
        <v>1620000000</v>
      </c>
      <c r="P61" s="48">
        <v>665000000</v>
      </c>
      <c r="Q61" s="48">
        <v>794000000</v>
      </c>
    </row>
    <row r="62" spans="1:17">
      <c r="A62" t="s">
        <v>262</v>
      </c>
      <c r="B62" s="48">
        <v>3150000000</v>
      </c>
      <c r="C62" s="48">
        <v>349000000</v>
      </c>
      <c r="D62" s="48">
        <v>377000000</v>
      </c>
      <c r="E62" s="48">
        <v>393000000</v>
      </c>
    </row>
    <row r="63" spans="1:17">
      <c r="A63" t="s">
        <v>263</v>
      </c>
      <c r="B63" s="48">
        <v>293000000</v>
      </c>
      <c r="C63" s="48">
        <v>1985000000</v>
      </c>
      <c r="D63" s="48">
        <v>1218000000</v>
      </c>
      <c r="E63" s="48">
        <v>972000000</v>
      </c>
      <c r="F63" s="48">
        <v>863000000</v>
      </c>
      <c r="G63" s="48">
        <v>987000000</v>
      </c>
      <c r="H63" s="48">
        <v>772000000</v>
      </c>
      <c r="I63" s="48">
        <v>759000000</v>
      </c>
      <c r="J63" s="48">
        <v>793000000</v>
      </c>
      <c r="K63" s="48">
        <v>604000000</v>
      </c>
      <c r="L63" s="48">
        <v>453000000</v>
      </c>
    </row>
    <row r="64" spans="1:17">
      <c r="A64" t="s">
        <v>264</v>
      </c>
      <c r="B64" s="48">
        <v>1958000000</v>
      </c>
      <c r="C64" s="48">
        <v>93000000</v>
      </c>
      <c r="D64" s="48">
        <v>48000000</v>
      </c>
      <c r="E64" s="48">
        <v>47000000</v>
      </c>
      <c r="F64" s="48">
        <v>54000000</v>
      </c>
      <c r="G64" s="48">
        <v>62000000</v>
      </c>
      <c r="H64" s="48">
        <v>57000000</v>
      </c>
      <c r="I64" s="48">
        <v>59000000</v>
      </c>
      <c r="J64" s="48">
        <v>66000000</v>
      </c>
      <c r="K64" s="48">
        <v>74000000</v>
      </c>
      <c r="L64" s="48">
        <v>80000000</v>
      </c>
    </row>
    <row r="65" spans="1:17">
      <c r="A65" t="s">
        <v>265</v>
      </c>
      <c r="B65" s="48">
        <v>76000000</v>
      </c>
      <c r="C65" s="48">
        <v>1349000000</v>
      </c>
      <c r="D65" s="48">
        <v>659000000</v>
      </c>
      <c r="E65" s="48">
        <v>475000000</v>
      </c>
      <c r="F65" s="48">
        <v>442000000</v>
      </c>
      <c r="G65" s="48">
        <v>523000000</v>
      </c>
      <c r="H65" s="48">
        <v>363000000</v>
      </c>
      <c r="I65" s="48">
        <v>367000000</v>
      </c>
      <c r="J65" s="48">
        <v>383000000</v>
      </c>
      <c r="K65" s="48">
        <v>192000000</v>
      </c>
      <c r="L65" s="48">
        <v>93000000</v>
      </c>
    </row>
    <row r="66" spans="1:17">
      <c r="A66" t="s">
        <v>266</v>
      </c>
      <c r="B66" s="48">
        <v>1481000000</v>
      </c>
      <c r="C66" s="48">
        <v>281000000</v>
      </c>
      <c r="D66" s="48">
        <v>166000000</v>
      </c>
      <c r="E66" s="48">
        <v>147000000</v>
      </c>
      <c r="F66" s="48">
        <v>131000000</v>
      </c>
      <c r="G66" s="48">
        <v>107000000</v>
      </c>
      <c r="H66" s="48">
        <v>100000000</v>
      </c>
      <c r="I66" s="48">
        <v>127000000</v>
      </c>
      <c r="J66" s="48">
        <v>62000000</v>
      </c>
      <c r="K66" s="48">
        <v>90000000</v>
      </c>
      <c r="L66" s="48">
        <v>91000000</v>
      </c>
    </row>
    <row r="67" spans="1:17">
      <c r="A67" t="s">
        <v>267</v>
      </c>
      <c r="B67" s="48">
        <v>353000000</v>
      </c>
      <c r="C67" s="48">
        <v>66000000</v>
      </c>
      <c r="D67" s="48">
        <v>67000000</v>
      </c>
      <c r="E67" s="48">
        <v>80000000</v>
      </c>
      <c r="F67" s="48">
        <v>78000000</v>
      </c>
      <c r="H67" s="48">
        <v>20000000</v>
      </c>
      <c r="I67" s="48">
        <v>20000000</v>
      </c>
      <c r="J67" s="48">
        <v>19000000</v>
      </c>
      <c r="K67" s="48">
        <v>18000000</v>
      </c>
      <c r="L67" s="48">
        <v>20000000</v>
      </c>
    </row>
    <row r="68" spans="1:17">
      <c r="A68" t="s">
        <v>268</v>
      </c>
      <c r="B68">
        <v>64000000</v>
      </c>
      <c r="C68" s="48"/>
      <c r="H68" s="48">
        <v>20000000</v>
      </c>
      <c r="I68" s="48">
        <v>20000000</v>
      </c>
      <c r="J68" s="48">
        <v>19000000</v>
      </c>
      <c r="K68" s="48">
        <v>18000000</v>
      </c>
      <c r="L68" s="48">
        <v>20000000</v>
      </c>
    </row>
    <row r="69" spans="1:17">
      <c r="A69" t="s">
        <v>269</v>
      </c>
      <c r="B69" s="48"/>
      <c r="C69">
        <v>156000000</v>
      </c>
      <c r="D69" s="48">
        <v>119000000</v>
      </c>
      <c r="E69" s="48">
        <v>160000000</v>
      </c>
      <c r="F69" s="48">
        <v>210000000</v>
      </c>
      <c r="G69" s="48">
        <v>631000000</v>
      </c>
      <c r="H69" s="48">
        <v>284000000</v>
      </c>
      <c r="I69" s="48">
        <v>261000000</v>
      </c>
      <c r="J69" s="48">
        <v>243000000</v>
      </c>
      <c r="K69" s="48">
        <v>266000000</v>
      </c>
      <c r="L69" s="48">
        <v>131000000</v>
      </c>
      <c r="M69" s="48">
        <v>890000000</v>
      </c>
      <c r="P69" s="48">
        <v>1209000000</v>
      </c>
      <c r="Q69" s="48">
        <v>1288000000</v>
      </c>
    </row>
    <row r="70" spans="1:17">
      <c r="A70" t="s">
        <v>270</v>
      </c>
      <c r="B70" s="48">
        <v>181000000</v>
      </c>
      <c r="C70" s="48">
        <v>3566000000</v>
      </c>
      <c r="D70" s="48">
        <v>3214000000</v>
      </c>
      <c r="E70" s="48">
        <v>3967000000</v>
      </c>
      <c r="F70" s="48">
        <v>3677000000</v>
      </c>
      <c r="G70" s="48">
        <v>3541000000</v>
      </c>
      <c r="H70" s="48">
        <v>3908000000</v>
      </c>
      <c r="I70" s="48">
        <v>3995000000</v>
      </c>
      <c r="J70" s="48">
        <v>4631000000</v>
      </c>
      <c r="K70" s="48">
        <v>4777000000</v>
      </c>
      <c r="L70" s="48">
        <v>4831000000</v>
      </c>
      <c r="M70" s="48">
        <v>4828000000</v>
      </c>
      <c r="N70" s="48">
        <v>5131000000</v>
      </c>
      <c r="O70" s="48">
        <v>5040000000</v>
      </c>
      <c r="P70" s="48">
        <v>3592000000</v>
      </c>
      <c r="Q70" s="48">
        <v>3469000000</v>
      </c>
    </row>
    <row r="71" spans="1:17">
      <c r="A71" t="s">
        <v>271</v>
      </c>
      <c r="B71" s="48">
        <v>3446000000</v>
      </c>
      <c r="C71" s="48">
        <v>3563000000</v>
      </c>
      <c r="D71" s="48">
        <v>3211000000</v>
      </c>
      <c r="E71" s="48">
        <v>3962000000</v>
      </c>
      <c r="F71" s="48">
        <v>3670000000</v>
      </c>
      <c r="G71" s="48">
        <v>3525000000</v>
      </c>
      <c r="H71" s="48">
        <v>3903000000</v>
      </c>
      <c r="I71" s="48">
        <v>3991000000</v>
      </c>
      <c r="J71" s="48">
        <v>4627000000</v>
      </c>
      <c r="K71" s="48">
        <v>4769000000</v>
      </c>
      <c r="L71" s="48">
        <v>4821000000</v>
      </c>
      <c r="M71" s="48">
        <v>4818000000</v>
      </c>
      <c r="N71" s="48">
        <v>5118000000</v>
      </c>
      <c r="O71" s="48">
        <v>5016000000</v>
      </c>
      <c r="P71" s="48">
        <v>3564000000</v>
      </c>
      <c r="Q71" s="48">
        <v>3434000000</v>
      </c>
    </row>
    <row r="72" spans="1:17">
      <c r="A72" t="s">
        <v>272</v>
      </c>
      <c r="B72" s="48">
        <v>3443000000</v>
      </c>
      <c r="C72" s="48">
        <v>1000000</v>
      </c>
      <c r="D72" s="48">
        <v>1000000</v>
      </c>
      <c r="E72" s="48">
        <v>1000000</v>
      </c>
      <c r="F72" s="48">
        <v>1000000</v>
      </c>
      <c r="G72" s="48">
        <v>1000000</v>
      </c>
      <c r="H72" s="48">
        <v>1000000</v>
      </c>
      <c r="I72" s="48">
        <v>1000000</v>
      </c>
      <c r="J72" s="48">
        <v>2000000</v>
      </c>
      <c r="K72" s="48">
        <v>2000000</v>
      </c>
      <c r="L72" s="48">
        <v>2000000</v>
      </c>
      <c r="M72" s="48">
        <v>2000000</v>
      </c>
      <c r="N72" s="48">
        <v>2000000</v>
      </c>
      <c r="O72" s="48">
        <v>2000000</v>
      </c>
      <c r="P72" s="48">
        <v>1000000</v>
      </c>
      <c r="Q72" s="48">
        <v>1000000</v>
      </c>
    </row>
    <row r="73" spans="1:17">
      <c r="A73" t="s">
        <v>273</v>
      </c>
      <c r="B73">
        <v>1000000</v>
      </c>
      <c r="C73" s="48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P73">
        <v>0</v>
      </c>
      <c r="Q73">
        <v>0</v>
      </c>
    </row>
    <row r="74" spans="1:17">
      <c r="A74" t="s">
        <v>274</v>
      </c>
      <c r="B74" s="48">
        <v>0</v>
      </c>
      <c r="C74">
        <v>1000000</v>
      </c>
      <c r="D74" s="48">
        <v>1000000</v>
      </c>
      <c r="E74" s="48">
        <v>1000000</v>
      </c>
      <c r="F74" s="48">
        <v>1000000</v>
      </c>
      <c r="G74" s="48">
        <v>1000000</v>
      </c>
      <c r="H74" s="48">
        <v>1000000</v>
      </c>
      <c r="I74" s="48">
        <v>1000000</v>
      </c>
      <c r="J74" s="48">
        <v>2000000</v>
      </c>
      <c r="K74" s="48">
        <v>2000000</v>
      </c>
      <c r="L74" s="48">
        <v>2000000</v>
      </c>
      <c r="M74" s="48">
        <v>2000000</v>
      </c>
      <c r="N74" s="48">
        <v>2000000</v>
      </c>
      <c r="O74" s="48">
        <v>2000000</v>
      </c>
      <c r="P74" s="48">
        <v>1000000</v>
      </c>
      <c r="Q74" s="48">
        <v>1000000</v>
      </c>
    </row>
    <row r="75" spans="1:17">
      <c r="A75" t="s">
        <v>275</v>
      </c>
      <c r="B75" s="48">
        <v>1000000</v>
      </c>
      <c r="C75" s="48">
        <v>640000000</v>
      </c>
      <c r="D75" s="48">
        <v>13000000</v>
      </c>
      <c r="E75">
        <v>0</v>
      </c>
      <c r="F75" s="48">
        <v>50000000</v>
      </c>
      <c r="G75" s="48">
        <v>967000000</v>
      </c>
      <c r="H75" s="48">
        <v>1686000000</v>
      </c>
      <c r="I75" s="48">
        <v>1931000000</v>
      </c>
      <c r="J75" s="48">
        <v>2621000000</v>
      </c>
      <c r="K75" s="48">
        <v>3015000000</v>
      </c>
      <c r="L75" s="48">
        <v>3263000000</v>
      </c>
      <c r="M75" s="48">
        <v>3380000000</v>
      </c>
      <c r="N75" s="48">
        <v>3751000000</v>
      </c>
      <c r="O75" s="48">
        <v>3731000000</v>
      </c>
      <c r="P75" s="48">
        <v>2242000000</v>
      </c>
      <c r="Q75" s="48">
        <v>3325000000</v>
      </c>
    </row>
    <row r="76" spans="1:17">
      <c r="A76" t="s">
        <v>276</v>
      </c>
      <c r="B76" s="48">
        <v>404000000</v>
      </c>
      <c r="C76" s="48">
        <v>3167000000</v>
      </c>
      <c r="D76" s="48">
        <v>3389000000</v>
      </c>
      <c r="E76" s="48">
        <v>4170000000</v>
      </c>
      <c r="F76" s="48">
        <v>3819000000</v>
      </c>
      <c r="G76" s="48">
        <v>2742000000</v>
      </c>
      <c r="H76" s="48">
        <v>2493000000</v>
      </c>
      <c r="I76" s="48">
        <v>2289000000</v>
      </c>
      <c r="J76" s="48">
        <v>2165000000</v>
      </c>
      <c r="K76" s="48">
        <v>1821000000</v>
      </c>
      <c r="L76" s="48">
        <v>1605000000</v>
      </c>
      <c r="M76" s="48">
        <v>1517000000</v>
      </c>
      <c r="N76" s="48">
        <v>1404000000</v>
      </c>
      <c r="O76" s="48">
        <v>1338000000</v>
      </c>
      <c r="P76" s="48">
        <v>1381000000</v>
      </c>
      <c r="Q76" s="48">
        <v>1213000000</v>
      </c>
    </row>
    <row r="77" spans="1:17">
      <c r="A77" t="s">
        <v>277</v>
      </c>
      <c r="B77">
        <v>3328000000</v>
      </c>
      <c r="C77" s="48"/>
      <c r="I77">
        <v>0</v>
      </c>
      <c r="J77" s="48">
        <v>1000000</v>
      </c>
      <c r="K77" s="48">
        <v>1000000</v>
      </c>
      <c r="L77" s="48">
        <v>1000000</v>
      </c>
      <c r="M77" s="48">
        <v>1000000</v>
      </c>
      <c r="N77" s="48">
        <v>1000000</v>
      </c>
      <c r="O77" s="48">
        <v>2000000</v>
      </c>
      <c r="P77">
        <v>0</v>
      </c>
      <c r="Q77" s="48">
        <v>1101000000</v>
      </c>
    </row>
    <row r="78" spans="1:17">
      <c r="A78" t="s">
        <v>278</v>
      </c>
      <c r="B78" s="48"/>
      <c r="C78">
        <v>-245000000</v>
      </c>
      <c r="D78" s="48">
        <v>-192000000</v>
      </c>
      <c r="E78" s="48">
        <v>-209000000</v>
      </c>
      <c r="F78" s="48">
        <v>-200000000</v>
      </c>
      <c r="G78" s="48">
        <v>-185000000</v>
      </c>
      <c r="H78" s="48">
        <v>-277000000</v>
      </c>
      <c r="I78" s="48">
        <v>-230000000</v>
      </c>
      <c r="J78" s="48">
        <v>-160000000</v>
      </c>
      <c r="K78" s="48">
        <v>-68000000</v>
      </c>
      <c r="L78" s="48">
        <v>-48000000</v>
      </c>
      <c r="M78" s="48">
        <v>-80000000</v>
      </c>
      <c r="N78" s="48">
        <v>-38000000</v>
      </c>
      <c r="O78" s="48">
        <v>-53000000</v>
      </c>
      <c r="P78" s="48">
        <v>-60000000</v>
      </c>
      <c r="Q78" s="48">
        <v>-4000000</v>
      </c>
    </row>
    <row r="79" spans="1:17">
      <c r="A79" t="s">
        <v>279</v>
      </c>
      <c r="B79" s="48">
        <v>-290000000</v>
      </c>
      <c r="C79" s="48">
        <v>-245000000</v>
      </c>
      <c r="D79" s="48">
        <v>-192000000</v>
      </c>
      <c r="E79" s="48">
        <v>-209000000</v>
      </c>
      <c r="F79" s="48">
        <v>-200000000</v>
      </c>
      <c r="G79" s="48">
        <v>-185000000</v>
      </c>
      <c r="H79" s="48">
        <v>-277000000</v>
      </c>
      <c r="I79" s="48">
        <v>-230000000</v>
      </c>
      <c r="J79" s="48">
        <v>-160000000</v>
      </c>
      <c r="K79" s="48">
        <v>-68000000</v>
      </c>
      <c r="L79" s="48">
        <v>-48000000</v>
      </c>
    </row>
    <row r="80" spans="1:17">
      <c r="A80" t="s">
        <v>280</v>
      </c>
      <c r="B80" s="48">
        <v>-290000000</v>
      </c>
      <c r="C80" s="48">
        <v>3000000</v>
      </c>
      <c r="D80" s="48">
        <v>3000000</v>
      </c>
      <c r="E80" s="48">
        <v>5000000</v>
      </c>
      <c r="F80" s="48">
        <v>7000000</v>
      </c>
      <c r="G80" s="48">
        <v>16000000</v>
      </c>
      <c r="H80" s="48">
        <v>5000000</v>
      </c>
      <c r="I80" s="48">
        <v>4000000</v>
      </c>
      <c r="J80" s="48">
        <v>4000000</v>
      </c>
      <c r="K80" s="48">
        <v>8000000</v>
      </c>
      <c r="L80" s="48">
        <v>10000000</v>
      </c>
      <c r="M80" s="48">
        <v>10000000</v>
      </c>
      <c r="N80" s="48">
        <v>13000000</v>
      </c>
      <c r="O80" s="48">
        <v>24000000</v>
      </c>
      <c r="P80" s="48">
        <v>28000000</v>
      </c>
      <c r="Q80" s="48">
        <v>35000000</v>
      </c>
    </row>
    <row r="81" spans="1:17">
      <c r="A81" t="s">
        <v>281</v>
      </c>
      <c r="B81" s="48">
        <v>3000000</v>
      </c>
      <c r="C81" s="48">
        <v>7531000000</v>
      </c>
      <c r="D81" s="48">
        <v>6195000000</v>
      </c>
      <c r="E81" s="48">
        <v>5574000000</v>
      </c>
      <c r="F81" s="48">
        <v>5293000000</v>
      </c>
      <c r="G81" s="48">
        <v>4965000000</v>
      </c>
      <c r="H81" s="48">
        <v>5348000000</v>
      </c>
      <c r="I81" s="48">
        <v>5038000000</v>
      </c>
      <c r="J81" s="48">
        <v>6008000000</v>
      </c>
      <c r="K81" s="48">
        <v>6058000000</v>
      </c>
      <c r="L81" s="48">
        <v>6050000000</v>
      </c>
      <c r="M81" s="48">
        <v>6039000000</v>
      </c>
      <c r="N81" s="48">
        <v>6634000000</v>
      </c>
      <c r="O81" s="48">
        <v>6636000000</v>
      </c>
      <c r="P81" s="48">
        <v>4229000000</v>
      </c>
      <c r="Q81" s="48">
        <v>4228000000</v>
      </c>
    </row>
    <row r="82" spans="1:17">
      <c r="A82" t="s">
        <v>282</v>
      </c>
      <c r="B82" s="48">
        <v>6593000000</v>
      </c>
      <c r="C82" s="48">
        <v>3563000000</v>
      </c>
      <c r="D82" s="48">
        <v>3211000000</v>
      </c>
      <c r="E82" s="48">
        <v>3962000000</v>
      </c>
      <c r="F82" s="48">
        <v>3670000000</v>
      </c>
      <c r="G82" s="48">
        <v>3525000000</v>
      </c>
      <c r="H82" s="48">
        <v>3903000000</v>
      </c>
      <c r="I82" s="48">
        <v>3991000000</v>
      </c>
      <c r="J82" s="48">
        <v>4627000000</v>
      </c>
      <c r="K82" s="48">
        <v>4769000000</v>
      </c>
      <c r="L82" s="48">
        <v>4821000000</v>
      </c>
      <c r="M82" s="48">
        <v>4818000000</v>
      </c>
      <c r="N82" s="48">
        <v>5118000000</v>
      </c>
      <c r="O82" s="48">
        <v>5016000000</v>
      </c>
      <c r="P82" s="48">
        <v>3564000000</v>
      </c>
      <c r="Q82" s="48">
        <v>3434000000</v>
      </c>
    </row>
    <row r="83" spans="1:17">
      <c r="A83" t="s">
        <v>283</v>
      </c>
      <c r="B83" s="48">
        <v>3443000000</v>
      </c>
      <c r="C83" s="48">
        <v>384000000</v>
      </c>
      <c r="D83" s="48">
        <v>406000000</v>
      </c>
      <c r="E83" s="48">
        <v>425000000</v>
      </c>
    </row>
    <row r="84" spans="1:17">
      <c r="A84" t="s">
        <v>284</v>
      </c>
      <c r="B84" s="48">
        <v>329000000</v>
      </c>
      <c r="C84" s="48">
        <v>-1379000000</v>
      </c>
      <c r="D84" s="48">
        <v>2538000000</v>
      </c>
      <c r="E84" s="48">
        <v>3199000000</v>
      </c>
      <c r="F84" s="48">
        <v>2759000000</v>
      </c>
      <c r="G84" s="48">
        <v>2692000000</v>
      </c>
      <c r="H84" s="48">
        <v>3179000000</v>
      </c>
      <c r="I84" s="48">
        <v>3315000000</v>
      </c>
      <c r="J84" s="48">
        <v>3942000000</v>
      </c>
      <c r="K84" s="48">
        <v>4031000000</v>
      </c>
      <c r="L84" s="48">
        <v>4300000000</v>
      </c>
      <c r="M84" s="48">
        <v>4357000000</v>
      </c>
      <c r="N84" s="48">
        <v>4736000000</v>
      </c>
      <c r="O84" s="48">
        <v>4619000000</v>
      </c>
      <c r="P84" s="48">
        <v>3188000000</v>
      </c>
      <c r="Q84" s="48">
        <v>2872000000</v>
      </c>
    </row>
    <row r="85" spans="1:17">
      <c r="A85" t="s">
        <v>285</v>
      </c>
      <c r="B85" s="48">
        <v>-1426000000</v>
      </c>
      <c r="C85" s="48">
        <v>-170000000</v>
      </c>
      <c r="D85" s="48">
        <v>1579000000</v>
      </c>
      <c r="E85" s="48">
        <v>620000000</v>
      </c>
      <c r="F85" s="48">
        <v>284000000</v>
      </c>
      <c r="G85" s="48">
        <v>361000000</v>
      </c>
      <c r="H85" s="48">
        <v>215000000</v>
      </c>
      <c r="I85" s="48">
        <v>17000000</v>
      </c>
      <c r="J85" s="48">
        <v>979000000</v>
      </c>
      <c r="K85" s="48">
        <v>292000000</v>
      </c>
      <c r="L85" s="48">
        <v>1140000000</v>
      </c>
      <c r="M85" s="48">
        <v>1023000000</v>
      </c>
      <c r="N85" s="48">
        <v>1569000000</v>
      </c>
      <c r="O85" s="48">
        <v>1494000000</v>
      </c>
      <c r="P85" s="48">
        <v>404000000</v>
      </c>
      <c r="Q85" s="48">
        <v>368000000</v>
      </c>
    </row>
    <row r="86" spans="1:17">
      <c r="A86" t="s">
        <v>286</v>
      </c>
      <c r="B86" s="48">
        <v>-323000000</v>
      </c>
      <c r="C86" s="48">
        <v>7541000000</v>
      </c>
      <c r="D86" s="48">
        <v>6455000000</v>
      </c>
      <c r="E86" s="48">
        <v>5585000000</v>
      </c>
      <c r="F86" s="48">
        <v>5304000000</v>
      </c>
      <c r="G86" s="48">
        <v>4976000000</v>
      </c>
      <c r="H86" s="48">
        <v>5467000000</v>
      </c>
      <c r="I86" s="48">
        <v>5366000000</v>
      </c>
      <c r="J86" s="48">
        <v>6017000000</v>
      </c>
      <c r="K86" s="48">
        <v>6252000000</v>
      </c>
      <c r="L86" s="48">
        <v>6054000000</v>
      </c>
      <c r="M86" s="48">
        <v>6043000000</v>
      </c>
      <c r="N86" s="48">
        <v>6691000000</v>
      </c>
      <c r="O86" s="48">
        <v>6648000000</v>
      </c>
      <c r="P86" s="48">
        <v>4267000000</v>
      </c>
      <c r="Q86" s="48">
        <v>4254000000</v>
      </c>
    </row>
    <row r="87" spans="1:17">
      <c r="A87" t="s">
        <v>287</v>
      </c>
      <c r="B87" s="48">
        <v>7247000000</v>
      </c>
      <c r="C87" s="48">
        <v>-1379000000</v>
      </c>
      <c r="D87" s="48">
        <v>2538000000</v>
      </c>
      <c r="E87" s="48">
        <v>3199000000</v>
      </c>
      <c r="F87" s="48">
        <v>2759000000</v>
      </c>
      <c r="G87" s="48">
        <v>2692000000</v>
      </c>
      <c r="H87" s="48">
        <v>3179000000</v>
      </c>
      <c r="I87" s="48">
        <v>3315000000</v>
      </c>
      <c r="J87" s="48">
        <v>3942000000</v>
      </c>
      <c r="K87" s="48">
        <v>4031000000</v>
      </c>
      <c r="L87" s="48">
        <v>4300000000</v>
      </c>
      <c r="M87" s="48">
        <v>4357000000</v>
      </c>
      <c r="N87" s="48">
        <v>4736000000</v>
      </c>
      <c r="O87" s="48">
        <v>4619000000</v>
      </c>
      <c r="P87" s="48">
        <v>3188000000</v>
      </c>
      <c r="Q87" s="48">
        <v>2872000000</v>
      </c>
    </row>
    <row r="88" spans="1:17">
      <c r="A88" t="s">
        <v>288</v>
      </c>
      <c r="B88" s="48">
        <v>-1426000000</v>
      </c>
      <c r="C88" s="48">
        <v>4362000000</v>
      </c>
      <c r="D88" s="48">
        <v>3650000000</v>
      </c>
      <c r="E88" s="48">
        <v>2048000000</v>
      </c>
      <c r="F88" s="48">
        <v>1634000000</v>
      </c>
      <c r="G88" s="48">
        <v>1451000000</v>
      </c>
      <c r="H88" s="48">
        <v>1564000000</v>
      </c>
      <c r="I88" s="48">
        <v>1375000000</v>
      </c>
      <c r="J88" s="48">
        <v>1390000000</v>
      </c>
      <c r="K88" s="48">
        <v>1483000000</v>
      </c>
      <c r="L88" s="48">
        <v>1233000000</v>
      </c>
      <c r="M88" s="48">
        <v>1225000000</v>
      </c>
      <c r="N88" s="48">
        <v>1573000000</v>
      </c>
      <c r="O88" s="48">
        <v>1632000000</v>
      </c>
      <c r="P88" s="48">
        <v>703000000</v>
      </c>
      <c r="Q88" s="48">
        <v>820000000</v>
      </c>
    </row>
    <row r="89" spans="1:17">
      <c r="A89" t="s">
        <v>289</v>
      </c>
      <c r="B89" s="48">
        <v>4133000000</v>
      </c>
      <c r="C89" s="48">
        <v>3018000000</v>
      </c>
      <c r="D89" s="48">
        <v>2037000000</v>
      </c>
      <c r="E89" s="48">
        <v>730000000</v>
      </c>
      <c r="F89" s="48">
        <v>1064000000</v>
      </c>
      <c r="G89" s="48">
        <v>948000000</v>
      </c>
      <c r="H89" s="48">
        <v>1082000000</v>
      </c>
      <c r="I89" s="48">
        <v>918000000</v>
      </c>
      <c r="J89" s="48">
        <v>705000000</v>
      </c>
      <c r="K89" s="48">
        <v>1029000000</v>
      </c>
      <c r="L89" s="48">
        <v>820000000</v>
      </c>
      <c r="M89" s="48">
        <v>691000000</v>
      </c>
      <c r="N89" s="48">
        <v>463000000</v>
      </c>
      <c r="O89" s="48">
        <v>305000000</v>
      </c>
      <c r="P89" s="48">
        <v>275000000</v>
      </c>
      <c r="Q89" s="48">
        <v>411000000</v>
      </c>
    </row>
    <row r="90" spans="1:17">
      <c r="A90" t="s">
        <v>290</v>
      </c>
      <c r="B90" s="48">
        <v>2581000000</v>
      </c>
      <c r="C90" s="48">
        <v>109975321</v>
      </c>
      <c r="D90" s="48">
        <v>101289159</v>
      </c>
      <c r="E90" s="48">
        <v>101572453</v>
      </c>
      <c r="F90" s="48">
        <v>106623645</v>
      </c>
      <c r="G90" s="48">
        <v>118984986</v>
      </c>
      <c r="H90" s="48">
        <v>130815270</v>
      </c>
      <c r="I90" s="48">
        <v>136233649</v>
      </c>
      <c r="J90" s="48">
        <v>149118226</v>
      </c>
      <c r="K90" s="48">
        <v>156147880</v>
      </c>
      <c r="L90" s="48">
        <v>162102393</v>
      </c>
      <c r="M90" s="48">
        <v>165198512</v>
      </c>
      <c r="N90" s="48">
        <v>173989470</v>
      </c>
      <c r="O90" s="48">
        <v>173942263</v>
      </c>
      <c r="P90" s="48">
        <v>168039995</v>
      </c>
      <c r="Q90" s="48">
        <v>168039995</v>
      </c>
    </row>
    <row r="91" spans="1:17">
      <c r="A91" t="s">
        <v>291</v>
      </c>
      <c r="B91" s="48">
        <v>107430177</v>
      </c>
      <c r="C91" s="48">
        <v>109975321</v>
      </c>
      <c r="D91" s="48">
        <v>101289159</v>
      </c>
      <c r="E91" s="48">
        <v>101572453</v>
      </c>
      <c r="F91" s="48">
        <v>106623645</v>
      </c>
      <c r="G91" s="48">
        <v>118984986</v>
      </c>
      <c r="H91" s="48">
        <v>130815270</v>
      </c>
      <c r="I91" s="48">
        <v>136233649</v>
      </c>
      <c r="J91" s="48">
        <v>149081953</v>
      </c>
      <c r="K91" s="48">
        <v>156111607</v>
      </c>
      <c r="L91" s="48">
        <v>162066120</v>
      </c>
      <c r="M91" s="48">
        <v>165162239</v>
      </c>
      <c r="N91" s="48">
        <v>173953197</v>
      </c>
      <c r="O91" s="48">
        <v>173875185</v>
      </c>
      <c r="P91" s="48">
        <v>168039995</v>
      </c>
      <c r="Q91" s="48">
        <v>168039995</v>
      </c>
    </row>
    <row r="92" spans="1:17">
      <c r="A92" t="s">
        <v>292</v>
      </c>
      <c r="B92" s="48">
        <v>107430177</v>
      </c>
      <c r="C92" s="48"/>
      <c r="J92" s="48">
        <v>36273</v>
      </c>
      <c r="K92" s="48">
        <v>36273</v>
      </c>
      <c r="L92" s="48">
        <v>36273</v>
      </c>
      <c r="M92" s="48">
        <v>36273</v>
      </c>
      <c r="N92" s="48">
        <v>36273</v>
      </c>
      <c r="O92" s="48">
        <v>67078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1511-9D76-4F9E-861A-C90CD6C9E8DE}">
  <sheetPr>
    <tabColor rgb="FFFF0000"/>
  </sheetPr>
  <dimension ref="A1:Q78"/>
  <sheetViews>
    <sheetView workbookViewId="0">
      <selection activeCell="B1" sqref="B1"/>
    </sheetView>
  </sheetViews>
  <sheetFormatPr defaultRowHeight="14.5"/>
  <cols>
    <col min="1" max="1" width="39.90625" bestFit="1" customWidth="1"/>
    <col min="2" max="3" width="12.81640625" bestFit="1" customWidth="1"/>
    <col min="4" max="5" width="12.1796875" bestFit="1" customWidth="1"/>
    <col min="6" max="8" width="11.26953125" bestFit="1" customWidth="1"/>
    <col min="9" max="9" width="12.1796875" bestFit="1" customWidth="1"/>
    <col min="10" max="11" width="11.26953125" bestFit="1" customWidth="1"/>
    <col min="12" max="14" width="12.81640625" bestFit="1" customWidth="1"/>
    <col min="15" max="15" width="11.26953125" bestFit="1" customWidth="1"/>
    <col min="16" max="16" width="12.81640625" bestFit="1" customWidth="1"/>
  </cols>
  <sheetData>
    <row r="1" spans="1:17">
      <c r="A1" t="s">
        <v>147</v>
      </c>
      <c r="B1" t="s">
        <v>148</v>
      </c>
      <c r="C1" s="64">
        <v>44561</v>
      </c>
      <c r="D1" s="64">
        <v>44196</v>
      </c>
      <c r="E1" s="64">
        <v>43830</v>
      </c>
      <c r="F1" s="64">
        <v>43465</v>
      </c>
      <c r="G1" s="64">
        <v>43100</v>
      </c>
      <c r="H1" s="64">
        <v>42735</v>
      </c>
      <c r="I1" s="64">
        <v>42369</v>
      </c>
      <c r="J1" s="64">
        <v>42004</v>
      </c>
      <c r="K1" s="64">
        <v>41639</v>
      </c>
      <c r="L1" s="64">
        <v>41274</v>
      </c>
      <c r="M1" s="64">
        <v>40908</v>
      </c>
      <c r="N1" s="64">
        <v>40543</v>
      </c>
      <c r="O1" s="64">
        <v>40178</v>
      </c>
      <c r="P1" s="64">
        <v>39813</v>
      </c>
      <c r="Q1">
        <v>39447</v>
      </c>
    </row>
    <row r="2" spans="1:17">
      <c r="A2" t="s">
        <v>293</v>
      </c>
      <c r="B2" s="48">
        <v>509000000</v>
      </c>
      <c r="C2" s="48">
        <v>315000000</v>
      </c>
      <c r="D2" s="48">
        <v>-611000000</v>
      </c>
      <c r="E2" s="48">
        <v>396000000</v>
      </c>
      <c r="F2" s="48">
        <v>341000000</v>
      </c>
      <c r="G2" s="48">
        <v>620000000</v>
      </c>
      <c r="H2" s="48">
        <v>489000000</v>
      </c>
      <c r="I2" s="48">
        <v>538000000</v>
      </c>
      <c r="J2" s="48">
        <v>473000000</v>
      </c>
      <c r="K2" s="48">
        <v>456000000</v>
      </c>
      <c r="L2" s="48">
        <v>499000000</v>
      </c>
      <c r="M2" s="48">
        <v>393000000</v>
      </c>
      <c r="N2" s="48">
        <v>450000000</v>
      </c>
      <c r="O2" s="48">
        <v>276000000</v>
      </c>
      <c r="P2" s="48">
        <v>291000000</v>
      </c>
      <c r="Q2">
        <v>386000000</v>
      </c>
    </row>
    <row r="3" spans="1:17">
      <c r="A3" t="s">
        <v>294</v>
      </c>
      <c r="B3" s="48">
        <v>509000000</v>
      </c>
      <c r="C3" s="48">
        <v>315000000</v>
      </c>
      <c r="D3" s="48">
        <v>-611000000</v>
      </c>
      <c r="E3" s="48">
        <v>396000000</v>
      </c>
      <c r="F3" s="48">
        <v>341000000</v>
      </c>
      <c r="G3" s="48">
        <v>620000000</v>
      </c>
      <c r="H3" s="48">
        <v>489000000</v>
      </c>
      <c r="I3" s="48">
        <v>538000000</v>
      </c>
      <c r="J3" s="48">
        <v>473000000</v>
      </c>
      <c r="K3" s="48">
        <v>456000000</v>
      </c>
      <c r="L3" s="48">
        <v>499000000</v>
      </c>
      <c r="M3" s="48">
        <v>393000000</v>
      </c>
      <c r="N3" s="48">
        <v>450000000</v>
      </c>
      <c r="O3" s="48">
        <v>276000000</v>
      </c>
      <c r="P3" s="48">
        <v>287000000</v>
      </c>
      <c r="Q3">
        <v>362000000</v>
      </c>
    </row>
    <row r="4" spans="1:17">
      <c r="A4" t="s">
        <v>295</v>
      </c>
      <c r="B4" s="48">
        <v>132000000</v>
      </c>
      <c r="C4" s="48">
        <v>-222000000</v>
      </c>
      <c r="D4" s="48">
        <v>-703000000</v>
      </c>
      <c r="E4" s="48">
        <v>766000000</v>
      </c>
      <c r="F4" s="48">
        <v>769000000</v>
      </c>
      <c r="G4" s="48">
        <v>250000000</v>
      </c>
      <c r="H4" s="48">
        <v>204000000</v>
      </c>
      <c r="I4" s="48">
        <v>124000000</v>
      </c>
      <c r="J4" s="48">
        <v>346000000</v>
      </c>
      <c r="K4" s="48">
        <v>205000000</v>
      </c>
      <c r="L4" s="48">
        <v>87000000</v>
      </c>
      <c r="M4" s="48">
        <v>111000000</v>
      </c>
      <c r="N4" s="48">
        <v>51000000</v>
      </c>
      <c r="O4" s="48">
        <v>-45000000</v>
      </c>
      <c r="P4" s="48">
        <v>114000000</v>
      </c>
      <c r="Q4">
        <v>266000000</v>
      </c>
    </row>
    <row r="5" spans="1:17">
      <c r="A5" t="s">
        <v>296</v>
      </c>
      <c r="B5" s="48">
        <v>-258000000</v>
      </c>
      <c r="C5" s="48">
        <v>-442000000</v>
      </c>
      <c r="D5" s="48">
        <v>106000000</v>
      </c>
      <c r="E5" s="48">
        <v>-731000000</v>
      </c>
      <c r="F5" s="48">
        <v>-780000000</v>
      </c>
      <c r="G5" s="48">
        <v>-231000000</v>
      </c>
      <c r="H5" s="48">
        <v>-10000000</v>
      </c>
      <c r="I5" s="48">
        <v>105000000</v>
      </c>
      <c r="J5" s="48">
        <v>-254000000</v>
      </c>
      <c r="K5" s="48">
        <v>-72000000</v>
      </c>
      <c r="L5" s="48">
        <v>29000000</v>
      </c>
      <c r="M5" s="48">
        <v>24000000</v>
      </c>
      <c r="N5" s="48">
        <v>-23000000</v>
      </c>
      <c r="O5" s="48">
        <v>-9000000</v>
      </c>
      <c r="P5" s="48">
        <v>56000000</v>
      </c>
      <c r="Q5">
        <v>-50000000</v>
      </c>
    </row>
    <row r="6" spans="1:17">
      <c r="A6" t="s">
        <v>297</v>
      </c>
      <c r="B6" s="48">
        <v>-730000000</v>
      </c>
      <c r="D6" s="48"/>
      <c r="E6" s="48">
        <v>-723000000</v>
      </c>
      <c r="F6" s="48">
        <v>-772000000</v>
      </c>
      <c r="G6" s="48">
        <v>-51000000</v>
      </c>
      <c r="H6" s="48">
        <v>23000000</v>
      </c>
      <c r="I6" s="48">
        <v>-9000000</v>
      </c>
      <c r="J6" s="48">
        <v>-311000000</v>
      </c>
      <c r="K6">
        <v>-125000000</v>
      </c>
      <c r="L6">
        <v>0</v>
      </c>
    </row>
    <row r="7" spans="1:17">
      <c r="A7" t="s">
        <v>298</v>
      </c>
      <c r="B7">
        <v>-252000000</v>
      </c>
      <c r="C7" s="48">
        <v>-414000000</v>
      </c>
      <c r="D7" s="48">
        <v>36000000</v>
      </c>
      <c r="E7" s="48">
        <v>-739000000</v>
      </c>
      <c r="F7" s="48">
        <v>-772000000</v>
      </c>
      <c r="G7" s="48">
        <v>-51000000</v>
      </c>
      <c r="H7" s="48">
        <v>23000000</v>
      </c>
      <c r="I7" s="48">
        <v>-9000000</v>
      </c>
      <c r="J7" s="48">
        <v>-311000000</v>
      </c>
      <c r="K7">
        <v>-125000000</v>
      </c>
      <c r="L7" s="48">
        <v>0</v>
      </c>
      <c r="M7" s="48">
        <v>2000000</v>
      </c>
      <c r="N7">
        <v>-26000000</v>
      </c>
      <c r="O7">
        <v>0</v>
      </c>
      <c r="P7" s="48">
        <v>0</v>
      </c>
      <c r="Q7">
        <v>-22000000</v>
      </c>
    </row>
    <row r="8" spans="1:17">
      <c r="A8" t="s">
        <v>299</v>
      </c>
      <c r="H8" s="48"/>
      <c r="I8" s="48">
        <v>14000000</v>
      </c>
      <c r="J8" s="48">
        <v>3000000</v>
      </c>
      <c r="K8" s="48">
        <v>5000000</v>
      </c>
      <c r="L8" s="48">
        <v>3000000</v>
      </c>
      <c r="M8" s="48">
        <v>5000000</v>
      </c>
      <c r="N8" s="48">
        <v>3000000</v>
      </c>
      <c r="O8" s="48">
        <v>-5000000</v>
      </c>
      <c r="P8" s="48">
        <v>24000000</v>
      </c>
      <c r="Q8">
        <v>-17000000</v>
      </c>
    </row>
    <row r="9" spans="1:17">
      <c r="A9" t="s">
        <v>300</v>
      </c>
      <c r="E9">
        <v>-2000000</v>
      </c>
      <c r="F9" s="48"/>
      <c r="G9">
        <v>40000000</v>
      </c>
      <c r="J9" s="48"/>
      <c r="K9" s="48">
        <v>-2000000</v>
      </c>
      <c r="L9">
        <v>-18000000</v>
      </c>
      <c r="M9" s="48"/>
      <c r="N9" s="48">
        <v>-19000000</v>
      </c>
      <c r="O9" s="48">
        <v>-10000000</v>
      </c>
      <c r="P9" s="48">
        <v>37000000</v>
      </c>
      <c r="Q9">
        <v>-12000000</v>
      </c>
    </row>
    <row r="10" spans="1:17">
      <c r="A10" t="s">
        <v>301</v>
      </c>
      <c r="B10" s="48">
        <v>-14000000</v>
      </c>
      <c r="C10" s="48">
        <v>-28000000</v>
      </c>
      <c r="D10" s="48">
        <v>70000000</v>
      </c>
      <c r="E10" s="48">
        <v>10000000</v>
      </c>
      <c r="F10" s="48">
        <v>-8000000</v>
      </c>
      <c r="G10" s="48">
        <v>-220000000</v>
      </c>
      <c r="H10" s="48">
        <v>-33000000</v>
      </c>
      <c r="I10" s="48">
        <v>100000000</v>
      </c>
      <c r="J10" s="48">
        <v>54000000</v>
      </c>
      <c r="K10" s="48">
        <v>50000000</v>
      </c>
      <c r="L10" s="48">
        <v>44000000</v>
      </c>
      <c r="M10" s="48">
        <v>17000000</v>
      </c>
      <c r="N10" s="48">
        <v>54000000</v>
      </c>
      <c r="O10" s="48">
        <v>28000000</v>
      </c>
      <c r="P10" s="48">
        <v>-5000000</v>
      </c>
      <c r="Q10">
        <v>1000000</v>
      </c>
    </row>
    <row r="11" spans="1:17">
      <c r="A11" s="37" t="s">
        <v>302</v>
      </c>
      <c r="B11" s="81">
        <v>443000000</v>
      </c>
      <c r="C11" s="81">
        <v>337000000</v>
      </c>
      <c r="D11" s="81">
        <v>341000000</v>
      </c>
      <c r="E11" s="81">
        <v>364000000</v>
      </c>
      <c r="F11" s="81">
        <v>327000000</v>
      </c>
      <c r="G11" s="81">
        <v>366000000</v>
      </c>
      <c r="H11" s="81">
        <v>342000000</v>
      </c>
      <c r="I11" s="81">
        <v>320000000</v>
      </c>
      <c r="J11" s="81">
        <v>354000000</v>
      </c>
      <c r="K11" s="81">
        <v>345000000</v>
      </c>
      <c r="L11" s="48">
        <v>353000000</v>
      </c>
      <c r="M11" s="48">
        <v>305000000</v>
      </c>
      <c r="N11" s="48">
        <v>279000000</v>
      </c>
      <c r="O11" s="48">
        <v>270000000</v>
      </c>
      <c r="P11" s="48">
        <v>249000000</v>
      </c>
      <c r="Q11">
        <v>214000000</v>
      </c>
    </row>
    <row r="12" spans="1:17">
      <c r="A12" t="s">
        <v>303</v>
      </c>
      <c r="B12" s="48">
        <v>443000000</v>
      </c>
      <c r="C12" s="48">
        <v>337000000</v>
      </c>
      <c r="D12" s="48">
        <v>341000000</v>
      </c>
      <c r="E12" s="48">
        <v>364000000</v>
      </c>
      <c r="F12" s="48">
        <v>327000000</v>
      </c>
      <c r="G12" s="48">
        <v>366000000</v>
      </c>
      <c r="H12" s="48">
        <v>342000000</v>
      </c>
      <c r="I12" s="48">
        <v>320000000</v>
      </c>
      <c r="J12" s="48">
        <v>354000000</v>
      </c>
      <c r="K12" s="48">
        <v>345000000</v>
      </c>
      <c r="L12" s="48">
        <v>353000000</v>
      </c>
      <c r="M12" s="48">
        <v>305000000</v>
      </c>
      <c r="N12" s="48">
        <v>279000000</v>
      </c>
      <c r="O12" s="48">
        <v>270000000</v>
      </c>
      <c r="P12" s="48">
        <v>249000000</v>
      </c>
      <c r="Q12">
        <v>214000000</v>
      </c>
    </row>
    <row r="13" spans="1:17">
      <c r="A13" t="s">
        <v>304</v>
      </c>
      <c r="B13" s="48">
        <v>443000000</v>
      </c>
      <c r="C13" s="48">
        <v>337000000</v>
      </c>
      <c r="D13" s="48">
        <v>341000000</v>
      </c>
      <c r="E13">
        <v>364000000</v>
      </c>
    </row>
    <row r="14" spans="1:17">
      <c r="A14" t="s">
        <v>305</v>
      </c>
      <c r="B14" s="48">
        <v>-17000000</v>
      </c>
      <c r="C14" s="48">
        <v>200000000</v>
      </c>
      <c r="D14" s="48">
        <v>-59000000</v>
      </c>
      <c r="E14" s="48">
        <v>28000000</v>
      </c>
      <c r="F14" s="48">
        <v>-33000000</v>
      </c>
      <c r="G14" s="48">
        <v>47000000</v>
      </c>
      <c r="H14" s="48">
        <v>-3000000</v>
      </c>
      <c r="I14" s="48">
        <v>-103000000</v>
      </c>
      <c r="J14" s="48">
        <v>-28000000</v>
      </c>
      <c r="K14" s="48">
        <v>-7000000</v>
      </c>
      <c r="L14" s="48">
        <v>65000000</v>
      </c>
      <c r="M14" s="48">
        <v>-137000000</v>
      </c>
      <c r="N14" s="48">
        <v>-8000000</v>
      </c>
      <c r="O14" s="48">
        <v>73000000</v>
      </c>
      <c r="P14" s="48">
        <v>5000000</v>
      </c>
      <c r="Q14">
        <v>-100000000</v>
      </c>
    </row>
    <row r="15" spans="1:17">
      <c r="A15" t="s">
        <v>306</v>
      </c>
      <c r="B15" s="48">
        <v>-17000000</v>
      </c>
      <c r="C15" s="48">
        <v>200000000</v>
      </c>
      <c r="D15" s="48">
        <v>-59000000</v>
      </c>
      <c r="E15" s="48">
        <v>28000000</v>
      </c>
      <c r="F15" s="48">
        <v>-33000000</v>
      </c>
      <c r="G15" s="48">
        <v>47000000</v>
      </c>
      <c r="H15" s="48">
        <v>-3000000</v>
      </c>
      <c r="I15" s="48">
        <v>-103000000</v>
      </c>
      <c r="J15" s="48">
        <v>-28000000</v>
      </c>
      <c r="K15" s="48">
        <v>-7000000</v>
      </c>
      <c r="L15" s="48">
        <v>65000000</v>
      </c>
      <c r="M15" s="48">
        <v>-137000000</v>
      </c>
      <c r="N15" s="48">
        <v>-8000000</v>
      </c>
      <c r="O15" s="48">
        <v>73000000</v>
      </c>
      <c r="P15" s="48">
        <v>5000000</v>
      </c>
      <c r="Q15">
        <v>-100000000</v>
      </c>
    </row>
    <row r="16" spans="1:17">
      <c r="A16" t="s">
        <v>307</v>
      </c>
      <c r="B16" s="48">
        <v>25000000</v>
      </c>
      <c r="C16" s="48">
        <v>8000000</v>
      </c>
      <c r="D16" s="48">
        <v>62000000</v>
      </c>
      <c r="E16" s="48">
        <v>18000000</v>
      </c>
      <c r="F16">
        <v>47000000</v>
      </c>
      <c r="H16" s="48"/>
      <c r="I16" s="48">
        <v>5000000</v>
      </c>
      <c r="J16" s="48">
        <v>17000000</v>
      </c>
      <c r="K16">
        <v>22000000</v>
      </c>
      <c r="L16" s="48">
        <v>0</v>
      </c>
      <c r="M16" s="48">
        <v>6000000</v>
      </c>
      <c r="N16" s="48">
        <v>44000000</v>
      </c>
      <c r="O16" s="48">
        <v>15000000</v>
      </c>
      <c r="P16" s="48">
        <v>86000000</v>
      </c>
      <c r="Q16">
        <v>61000000</v>
      </c>
    </row>
    <row r="17" spans="1:17">
      <c r="A17" t="s">
        <v>308</v>
      </c>
      <c r="H17" s="48"/>
      <c r="I17">
        <v>-6000000</v>
      </c>
      <c r="J17" s="48">
        <v>0</v>
      </c>
      <c r="K17" s="48">
        <v>6000000</v>
      </c>
      <c r="L17">
        <v>4000000</v>
      </c>
    </row>
    <row r="18" spans="1:17">
      <c r="A18" t="s">
        <v>309</v>
      </c>
      <c r="B18">
        <v>74000000</v>
      </c>
      <c r="C18" s="48">
        <v>-14000000</v>
      </c>
      <c r="D18" s="48">
        <v>13000000</v>
      </c>
      <c r="E18">
        <v>-26000000</v>
      </c>
      <c r="K18">
        <v>0</v>
      </c>
      <c r="L18">
        <v>0</v>
      </c>
    </row>
    <row r="19" spans="1:17">
      <c r="A19" t="s">
        <v>310</v>
      </c>
      <c r="B19" s="48">
        <v>57000000</v>
      </c>
      <c r="C19" s="48">
        <v>59000000</v>
      </c>
      <c r="D19" s="48">
        <v>28000000</v>
      </c>
      <c r="E19" s="48">
        <v>35000000</v>
      </c>
      <c r="F19" s="48">
        <v>28000000</v>
      </c>
      <c r="G19" s="48">
        <v>32000000</v>
      </c>
      <c r="H19" s="48">
        <v>26000000</v>
      </c>
      <c r="I19" s="48">
        <v>26000000</v>
      </c>
      <c r="J19">
        <v>52000000</v>
      </c>
    </row>
    <row r="20" spans="1:17">
      <c r="A20" t="s">
        <v>311</v>
      </c>
      <c r="B20" s="48">
        <v>2000000</v>
      </c>
      <c r="C20" s="48">
        <v>1000000</v>
      </c>
      <c r="D20" s="48">
        <v>2000000</v>
      </c>
      <c r="E20" s="48">
        <v>-63000000</v>
      </c>
      <c r="F20" s="48">
        <v>45000000</v>
      </c>
      <c r="G20" s="48">
        <v>1000000</v>
      </c>
      <c r="H20" s="48">
        <v>-38000000</v>
      </c>
      <c r="I20" s="48">
        <v>42000000</v>
      </c>
      <c r="J20" s="48">
        <v>-38000000</v>
      </c>
      <c r="K20" s="48">
        <v>-12000000</v>
      </c>
      <c r="L20" s="48">
        <v>28000000</v>
      </c>
      <c r="M20" s="48">
        <v>49000000</v>
      </c>
      <c r="N20" s="48">
        <v>37000000</v>
      </c>
      <c r="O20" s="48">
        <v>56000000</v>
      </c>
      <c r="P20" s="48">
        <v>-44000000</v>
      </c>
      <c r="Q20">
        <v>-76000000</v>
      </c>
    </row>
    <row r="21" spans="1:17">
      <c r="A21" s="37" t="s">
        <v>312</v>
      </c>
      <c r="B21" s="81">
        <v>40000000</v>
      </c>
      <c r="C21" s="81">
        <v>388000000</v>
      </c>
      <c r="D21" s="81">
        <v>-404000000</v>
      </c>
      <c r="E21" s="81">
        <v>-8000000</v>
      </c>
      <c r="F21" s="81">
        <v>-79000000</v>
      </c>
      <c r="G21" s="81">
        <v>126000000</v>
      </c>
      <c r="H21" s="81">
        <v>-32000000</v>
      </c>
      <c r="I21" s="81">
        <v>25000000</v>
      </c>
      <c r="J21" s="81">
        <v>24000000</v>
      </c>
      <c r="K21" s="81">
        <v>-31000000</v>
      </c>
      <c r="L21" s="81">
        <v>-67000000</v>
      </c>
      <c r="M21" s="81">
        <v>35000000</v>
      </c>
      <c r="N21" s="48">
        <v>70000000</v>
      </c>
      <c r="O21" s="48">
        <v>-84000000</v>
      </c>
      <c r="P21" s="48">
        <v>-179000000</v>
      </c>
      <c r="Q21">
        <v>47000000</v>
      </c>
    </row>
    <row r="22" spans="1:17">
      <c r="A22" t="s">
        <v>313</v>
      </c>
      <c r="C22" s="48">
        <v>-85000000</v>
      </c>
      <c r="D22" s="48">
        <v>133000000</v>
      </c>
      <c r="E22" s="48">
        <v>-29000000</v>
      </c>
      <c r="F22" s="48">
        <v>14000000</v>
      </c>
      <c r="G22" s="48">
        <v>-37000000</v>
      </c>
      <c r="H22" s="48">
        <v>-14000000</v>
      </c>
      <c r="I22" s="48">
        <v>29000000</v>
      </c>
      <c r="J22" s="48">
        <v>-28000000</v>
      </c>
      <c r="K22" s="48">
        <v>-9000000</v>
      </c>
      <c r="L22" s="48">
        <v>-33000000</v>
      </c>
      <c r="M22" s="48">
        <v>-17000000</v>
      </c>
      <c r="N22" s="48">
        <v>22000000</v>
      </c>
      <c r="O22" s="48">
        <v>57000000</v>
      </c>
      <c r="P22" s="48">
        <v>4000000</v>
      </c>
      <c r="Q22">
        <v>-19000000</v>
      </c>
    </row>
    <row r="23" spans="1:17">
      <c r="A23" t="s">
        <v>314</v>
      </c>
      <c r="D23" s="48"/>
      <c r="E23">
        <v>1000000</v>
      </c>
      <c r="F23" s="48">
        <v>0</v>
      </c>
      <c r="G23" s="48">
        <v>12000000</v>
      </c>
      <c r="H23" s="48">
        <v>2000000</v>
      </c>
      <c r="I23" s="48">
        <v>1000000</v>
      </c>
      <c r="J23" s="48">
        <v>8000000</v>
      </c>
      <c r="K23" s="48">
        <v>3000000</v>
      </c>
      <c r="L23" s="48">
        <v>8000000</v>
      </c>
      <c r="M23" s="48">
        <v>7000000</v>
      </c>
      <c r="N23" s="48">
        <v>4000000</v>
      </c>
      <c r="O23" s="48">
        <v>-10000000</v>
      </c>
      <c r="P23" s="48">
        <v>-21000000</v>
      </c>
      <c r="Q23">
        <v>14000000</v>
      </c>
    </row>
    <row r="24" spans="1:17">
      <c r="A24" t="s">
        <v>315</v>
      </c>
      <c r="C24" s="48">
        <v>201000000</v>
      </c>
      <c r="D24" s="48">
        <v>-241000000</v>
      </c>
      <c r="E24" s="48">
        <v>10000000</v>
      </c>
      <c r="F24" s="48">
        <v>-5000000</v>
      </c>
      <c r="G24" s="48">
        <v>14000000</v>
      </c>
      <c r="H24" s="48">
        <v>21000000</v>
      </c>
      <c r="I24" s="48">
        <v>-16000000</v>
      </c>
      <c r="J24" s="48">
        <v>-53000000</v>
      </c>
      <c r="K24" s="48">
        <v>16000000</v>
      </c>
      <c r="L24" s="48">
        <v>8000000</v>
      </c>
      <c r="M24" s="48">
        <v>-6000000</v>
      </c>
      <c r="N24" s="48">
        <v>76000000</v>
      </c>
      <c r="O24">
        <v>-67000000</v>
      </c>
    </row>
    <row r="25" spans="1:17">
      <c r="A25" t="s">
        <v>316</v>
      </c>
      <c r="C25" s="48">
        <v>87000000</v>
      </c>
      <c r="D25" s="48">
        <v>-249000000</v>
      </c>
      <c r="E25" s="48">
        <v>26000000</v>
      </c>
      <c r="F25" s="48">
        <v>-80000000</v>
      </c>
      <c r="G25" s="48">
        <v>95000000</v>
      </c>
      <c r="H25" s="48">
        <v>7000000</v>
      </c>
      <c r="I25" s="48">
        <v>-7000000</v>
      </c>
      <c r="J25" s="48">
        <v>186000000</v>
      </c>
      <c r="K25" s="48">
        <v>71000000</v>
      </c>
      <c r="L25" s="48">
        <v>81000000</v>
      </c>
      <c r="M25" s="48">
        <v>15000000</v>
      </c>
      <c r="N25" s="48">
        <v>22000000</v>
      </c>
      <c r="O25" s="48">
        <v>-42000000</v>
      </c>
      <c r="P25" s="48">
        <v>-136000000</v>
      </c>
      <c r="Q25">
        <v>75000000</v>
      </c>
    </row>
    <row r="26" spans="1:17">
      <c r="A26" t="s">
        <v>317</v>
      </c>
      <c r="C26">
        <v>87000000</v>
      </c>
      <c r="D26">
        <v>-249000000</v>
      </c>
      <c r="E26">
        <v>26000000</v>
      </c>
      <c r="F26">
        <v>-80000000</v>
      </c>
      <c r="G26">
        <v>95000000</v>
      </c>
      <c r="H26">
        <v>7000000</v>
      </c>
      <c r="I26">
        <v>-7000000</v>
      </c>
      <c r="J26">
        <v>186000000</v>
      </c>
      <c r="K26">
        <v>71000000</v>
      </c>
      <c r="L26">
        <v>81000000</v>
      </c>
      <c r="N26" s="48"/>
      <c r="O26" s="48">
        <v>-42000000</v>
      </c>
      <c r="P26" s="48">
        <v>-136000000</v>
      </c>
      <c r="Q26">
        <v>75000000</v>
      </c>
    </row>
    <row r="27" spans="1:17">
      <c r="A27" t="s">
        <v>318</v>
      </c>
      <c r="C27">
        <v>87000000</v>
      </c>
      <c r="D27">
        <v>-249000000</v>
      </c>
      <c r="E27">
        <v>26000000</v>
      </c>
      <c r="F27">
        <v>-80000000</v>
      </c>
      <c r="G27">
        <v>95000000</v>
      </c>
      <c r="H27">
        <v>7000000</v>
      </c>
      <c r="I27">
        <v>-7000000</v>
      </c>
      <c r="J27">
        <v>186000000</v>
      </c>
      <c r="K27">
        <v>71000000</v>
      </c>
      <c r="L27">
        <v>81000000</v>
      </c>
      <c r="N27" s="48"/>
      <c r="O27" s="48">
        <v>-19000000</v>
      </c>
      <c r="P27" s="48">
        <v>-10000000</v>
      </c>
      <c r="Q27">
        <v>-19000000</v>
      </c>
    </row>
    <row r="28" spans="1:17">
      <c r="A28" t="s">
        <v>319</v>
      </c>
      <c r="F28" s="48"/>
      <c r="G28" s="48">
        <v>13000000</v>
      </c>
      <c r="H28" s="48">
        <v>-4000000</v>
      </c>
      <c r="I28" s="48">
        <v>78000000</v>
      </c>
      <c r="J28" s="48">
        <v>-18000000</v>
      </c>
      <c r="K28">
        <v>-73000000</v>
      </c>
    </row>
    <row r="29" spans="1:17">
      <c r="A29" t="s">
        <v>320</v>
      </c>
      <c r="C29" s="48">
        <v>-50000000</v>
      </c>
      <c r="D29" s="48">
        <v>-50000000</v>
      </c>
      <c r="E29">
        <v>39000000</v>
      </c>
      <c r="F29">
        <v>51000000</v>
      </c>
      <c r="G29">
        <v>24000000</v>
      </c>
      <c r="H29">
        <v>10000000</v>
      </c>
      <c r="I29">
        <v>1000000</v>
      </c>
      <c r="J29">
        <v>-19000000</v>
      </c>
      <c r="K29">
        <v>-6000000</v>
      </c>
      <c r="L29">
        <v>-118000000</v>
      </c>
    </row>
    <row r="30" spans="1:17">
      <c r="A30" t="s">
        <v>321</v>
      </c>
      <c r="C30" s="48">
        <v>235000000</v>
      </c>
      <c r="D30" s="48">
        <v>3000000</v>
      </c>
      <c r="E30" s="48">
        <v>-55000000</v>
      </c>
      <c r="F30" s="48">
        <v>-59000000</v>
      </c>
      <c r="G30" s="48">
        <v>18000000</v>
      </c>
      <c r="H30" s="48">
        <v>-58000000</v>
      </c>
      <c r="I30" s="48">
        <v>17000000</v>
      </c>
      <c r="J30" s="48">
        <v>-70000000</v>
      </c>
      <c r="K30" s="48">
        <v>-106000000</v>
      </c>
      <c r="L30" s="48">
        <v>-13000000</v>
      </c>
      <c r="M30" s="48">
        <v>36000000</v>
      </c>
      <c r="N30" s="48">
        <v>-54000000</v>
      </c>
      <c r="O30" s="48">
        <v>-22000000</v>
      </c>
      <c r="P30" s="48">
        <v>-26000000</v>
      </c>
      <c r="Q30">
        <v>-23000000</v>
      </c>
    </row>
    <row r="31" spans="1:17">
      <c r="A31" t="s">
        <v>322</v>
      </c>
      <c r="C31" s="48"/>
      <c r="D31" s="48">
        <v>3000000</v>
      </c>
      <c r="E31" s="48">
        <v>13000000</v>
      </c>
      <c r="F31" s="48">
        <v>17000000</v>
      </c>
      <c r="G31">
        <v>29000000</v>
      </c>
    </row>
    <row r="32" spans="1:17">
      <c r="A32" t="s">
        <v>323</v>
      </c>
      <c r="N32">
        <v>0</v>
      </c>
      <c r="O32" s="48">
        <v>0</v>
      </c>
      <c r="P32" s="48">
        <v>4000000</v>
      </c>
      <c r="Q32">
        <v>24000000</v>
      </c>
    </row>
    <row r="33" spans="1:17">
      <c r="A33" t="s">
        <v>324</v>
      </c>
      <c r="B33" s="48">
        <v>-2080000000</v>
      </c>
      <c r="C33" s="48">
        <v>-1772000000</v>
      </c>
      <c r="D33" s="48">
        <v>-736000000</v>
      </c>
      <c r="E33" s="48">
        <v>585000000</v>
      </c>
      <c r="F33" s="48">
        <v>374000000</v>
      </c>
      <c r="G33" s="48">
        <v>266000000</v>
      </c>
      <c r="H33" s="48">
        <v>-380000000</v>
      </c>
      <c r="I33" s="48">
        <v>-47000000</v>
      </c>
      <c r="J33" s="48">
        <v>373000000</v>
      </c>
      <c r="K33" s="48">
        <v>-147000000</v>
      </c>
      <c r="L33" s="48">
        <v>-489000000</v>
      </c>
      <c r="M33" s="48">
        <v>-1015000000</v>
      </c>
      <c r="N33" s="48">
        <v>-636000000</v>
      </c>
      <c r="O33" s="48">
        <v>-427000000</v>
      </c>
      <c r="P33" s="48">
        <v>-284000000</v>
      </c>
      <c r="Q33">
        <v>-389000000</v>
      </c>
    </row>
    <row r="34" spans="1:17">
      <c r="A34" t="s">
        <v>325</v>
      </c>
      <c r="B34" s="48">
        <v>-2080000000</v>
      </c>
      <c r="C34" s="48">
        <v>-1772000000</v>
      </c>
      <c r="D34" s="48">
        <v>-736000000</v>
      </c>
      <c r="E34" s="48">
        <v>585000000</v>
      </c>
      <c r="F34" s="48">
        <v>374000000</v>
      </c>
      <c r="G34" s="48">
        <v>266000000</v>
      </c>
      <c r="H34" s="48">
        <v>-380000000</v>
      </c>
      <c r="I34" s="48">
        <v>-47000000</v>
      </c>
      <c r="J34" s="48">
        <v>373000000</v>
      </c>
      <c r="K34" s="48">
        <v>-147000000</v>
      </c>
      <c r="L34" s="48">
        <v>-489000000</v>
      </c>
      <c r="M34" s="48">
        <v>-1015000000</v>
      </c>
      <c r="N34" s="48">
        <v>-663000000</v>
      </c>
      <c r="O34" s="48">
        <v>-427000000</v>
      </c>
      <c r="P34" s="48">
        <v>-423000000</v>
      </c>
      <c r="Q34">
        <v>-396000000</v>
      </c>
    </row>
    <row r="35" spans="1:17">
      <c r="A35" s="37" t="s">
        <v>326</v>
      </c>
      <c r="B35" s="48">
        <v>-188000000</v>
      </c>
      <c r="C35" s="81">
        <v>-111000000</v>
      </c>
      <c r="D35" s="81">
        <v>-122000000</v>
      </c>
      <c r="E35" s="81">
        <v>-369000000</v>
      </c>
      <c r="F35" s="81">
        <v>-297000000</v>
      </c>
      <c r="G35" s="81">
        <v>-298000000</v>
      </c>
      <c r="H35" s="81">
        <v>-211000000</v>
      </c>
      <c r="I35" s="81">
        <v>-269000000</v>
      </c>
      <c r="J35" s="81">
        <v>-253000000</v>
      </c>
      <c r="K35" s="81">
        <v>-232000000</v>
      </c>
      <c r="L35" s="81">
        <v>-301000000</v>
      </c>
      <c r="M35" s="48">
        <v>-331000000</v>
      </c>
      <c r="N35" s="48">
        <v>-310000000</v>
      </c>
      <c r="O35">
        <v>-216000000</v>
      </c>
    </row>
    <row r="36" spans="1:17">
      <c r="A36" t="s">
        <v>327</v>
      </c>
      <c r="B36" s="48">
        <v>589000000</v>
      </c>
      <c r="C36" s="48">
        <v>758000000</v>
      </c>
      <c r="D36" s="48">
        <v>85000000</v>
      </c>
      <c r="E36" s="48">
        <v>940000000</v>
      </c>
      <c r="F36" s="48">
        <v>1382000000</v>
      </c>
      <c r="G36" s="48">
        <v>489000000</v>
      </c>
      <c r="H36" s="48">
        <v>318000000</v>
      </c>
      <c r="I36" s="48">
        <v>231000000</v>
      </c>
      <c r="J36" s="48">
        <v>1311000000</v>
      </c>
      <c r="K36" s="48">
        <v>569000000</v>
      </c>
      <c r="L36" s="48">
        <v>43000000</v>
      </c>
      <c r="M36" s="48">
        <v>90000000</v>
      </c>
      <c r="N36" s="48">
        <v>136000000</v>
      </c>
      <c r="O36" s="48">
        <v>-109000000</v>
      </c>
      <c r="P36" s="48">
        <v>-286000000</v>
      </c>
      <c r="Q36">
        <v>-519000000</v>
      </c>
    </row>
    <row r="37" spans="1:17">
      <c r="A37" t="s">
        <v>328</v>
      </c>
      <c r="M37" s="48"/>
      <c r="N37" s="48">
        <v>-210000000</v>
      </c>
      <c r="O37" s="48">
        <v>-109000000</v>
      </c>
      <c r="P37" s="48">
        <v>-286000000</v>
      </c>
      <c r="Q37">
        <v>-617000000</v>
      </c>
    </row>
    <row r="38" spans="1:17">
      <c r="A38" t="s">
        <v>329</v>
      </c>
      <c r="B38" s="48">
        <v>589000000</v>
      </c>
      <c r="C38" s="48">
        <v>758000000</v>
      </c>
      <c r="D38" s="48">
        <v>85000000</v>
      </c>
      <c r="E38" s="48">
        <v>940000000</v>
      </c>
      <c r="F38" s="48">
        <v>1382000000</v>
      </c>
      <c r="G38" s="48">
        <v>489000000</v>
      </c>
      <c r="H38" s="48">
        <v>318000000</v>
      </c>
      <c r="I38" s="48">
        <v>231000000</v>
      </c>
      <c r="J38" s="48">
        <v>1311000000</v>
      </c>
      <c r="K38" s="48">
        <v>569000000</v>
      </c>
      <c r="L38" s="48">
        <v>43000000</v>
      </c>
      <c r="M38" s="48">
        <v>90000000</v>
      </c>
      <c r="N38">
        <v>346000000</v>
      </c>
      <c r="O38">
        <v>0</v>
      </c>
      <c r="P38" s="48">
        <v>0</v>
      </c>
      <c r="Q38">
        <v>98000000</v>
      </c>
    </row>
    <row r="39" spans="1:17">
      <c r="A39" t="s">
        <v>330</v>
      </c>
      <c r="C39">
        <v>0</v>
      </c>
      <c r="D39" s="48">
        <v>0</v>
      </c>
      <c r="E39">
        <v>21000000</v>
      </c>
    </row>
    <row r="40" spans="1:17">
      <c r="A40" t="s">
        <v>331</v>
      </c>
      <c r="C40">
        <v>0</v>
      </c>
      <c r="D40" s="48">
        <v>0</v>
      </c>
      <c r="E40">
        <v>21000000</v>
      </c>
    </row>
    <row r="41" spans="1:17">
      <c r="A41" t="s">
        <v>332</v>
      </c>
      <c r="B41" s="48">
        <v>-2750000000</v>
      </c>
      <c r="C41" s="48">
        <v>-2847000000</v>
      </c>
      <c r="D41" s="48">
        <v>-60000000</v>
      </c>
      <c r="E41" s="48">
        <v>-38000000</v>
      </c>
      <c r="F41" s="48">
        <v>-687000000</v>
      </c>
      <c r="G41" s="48">
        <v>-259000000</v>
      </c>
      <c r="H41" s="48">
        <v>-492000000</v>
      </c>
      <c r="I41" s="48">
        <v>-3000000</v>
      </c>
      <c r="J41" s="48">
        <v>-548000000</v>
      </c>
      <c r="K41" s="48">
        <v>-814000000</v>
      </c>
      <c r="L41" s="48">
        <v>-233000000</v>
      </c>
      <c r="M41">
        <v>-716000000</v>
      </c>
    </row>
    <row r="42" spans="1:17">
      <c r="A42" t="s">
        <v>333</v>
      </c>
      <c r="B42" s="48">
        <v>-2861000000</v>
      </c>
      <c r="C42" s="48">
        <v>-2945000000</v>
      </c>
      <c r="D42" s="48">
        <v>-65000000</v>
      </c>
      <c r="E42" s="48">
        <v>-66000000</v>
      </c>
      <c r="F42" s="48">
        <v>-738000000</v>
      </c>
      <c r="G42" s="48">
        <v>-259000000</v>
      </c>
      <c r="H42" s="48">
        <v>-492000000</v>
      </c>
      <c r="I42" s="48">
        <v>-3000000</v>
      </c>
      <c r="J42" s="48">
        <v>-548000000</v>
      </c>
      <c r="K42" s="48">
        <v>-814000000</v>
      </c>
      <c r="L42" s="48">
        <v>-233000000</v>
      </c>
      <c r="M42">
        <v>-716000000</v>
      </c>
    </row>
    <row r="43" spans="1:17">
      <c r="A43" t="s">
        <v>334</v>
      </c>
      <c r="B43" s="48">
        <v>111000000</v>
      </c>
      <c r="C43" s="48">
        <v>98000000</v>
      </c>
      <c r="D43" s="48">
        <v>5000000</v>
      </c>
      <c r="E43" s="48">
        <v>28000000</v>
      </c>
      <c r="F43">
        <v>51000000</v>
      </c>
    </row>
    <row r="44" spans="1:17">
      <c r="A44" t="s">
        <v>335</v>
      </c>
      <c r="B44" s="48">
        <v>244000000</v>
      </c>
      <c r="C44" s="48">
        <v>447000000</v>
      </c>
      <c r="D44" s="48">
        <v>-601000000</v>
      </c>
      <c r="E44" s="48">
        <v>-1000000</v>
      </c>
      <c r="F44" s="48">
        <v>-41000000</v>
      </c>
      <c r="G44" s="48">
        <v>347000000</v>
      </c>
      <c r="H44" s="48">
        <v>18000000</v>
      </c>
      <c r="I44" s="48">
        <v>-24000000</v>
      </c>
      <c r="J44" s="48">
        <v>-158000000</v>
      </c>
      <c r="K44" s="48">
        <v>98000000</v>
      </c>
      <c r="L44" s="48">
        <v>59000000</v>
      </c>
      <c r="M44" s="48">
        <v>-112000000</v>
      </c>
      <c r="N44" s="48">
        <v>-482000000</v>
      </c>
      <c r="O44" s="48">
        <v>-101000000</v>
      </c>
      <c r="P44" s="48">
        <v>-132000000</v>
      </c>
      <c r="Q44">
        <v>80000000</v>
      </c>
    </row>
    <row r="45" spans="1:17">
      <c r="A45" t="s">
        <v>336</v>
      </c>
      <c r="B45" s="48">
        <v>-880000000</v>
      </c>
      <c r="C45" s="48">
        <v>-793000000</v>
      </c>
      <c r="D45" s="48">
        <v>-1143000000</v>
      </c>
      <c r="E45" s="48">
        <v>-350000000</v>
      </c>
      <c r="F45" s="48">
        <v>-665000000</v>
      </c>
      <c r="G45" s="48">
        <v>-558000000</v>
      </c>
      <c r="H45" s="48">
        <v>-571000000</v>
      </c>
      <c r="I45" s="48">
        <v>-567000000</v>
      </c>
      <c r="J45" s="48">
        <v>-535000000</v>
      </c>
      <c r="K45" s="48">
        <v>-729000000</v>
      </c>
      <c r="L45" s="48">
        <v>-460000000</v>
      </c>
      <c r="M45" s="48">
        <v>-547000000</v>
      </c>
      <c r="N45" s="48">
        <v>-1825000000</v>
      </c>
      <c r="O45" s="48">
        <v>-139000000</v>
      </c>
      <c r="P45" s="48">
        <v>-368000000</v>
      </c>
      <c r="Q45">
        <v>-55000000</v>
      </c>
    </row>
    <row r="46" spans="1:17">
      <c r="A46" t="s">
        <v>337</v>
      </c>
      <c r="B46" s="48">
        <v>1124000000</v>
      </c>
      <c r="C46" s="48">
        <v>1240000000</v>
      </c>
      <c r="D46" s="48">
        <v>542000000</v>
      </c>
      <c r="E46" s="48">
        <v>349000000</v>
      </c>
      <c r="F46" s="48">
        <v>624000000</v>
      </c>
      <c r="G46" s="48">
        <v>905000000</v>
      </c>
      <c r="H46" s="48">
        <v>589000000</v>
      </c>
      <c r="I46" s="48">
        <v>543000000</v>
      </c>
      <c r="J46" s="48">
        <v>377000000</v>
      </c>
      <c r="K46" s="48">
        <v>827000000</v>
      </c>
      <c r="L46" s="48">
        <v>519000000</v>
      </c>
      <c r="M46" s="48">
        <v>435000000</v>
      </c>
      <c r="N46" s="48">
        <v>1343000000</v>
      </c>
      <c r="O46" s="48">
        <v>38000000</v>
      </c>
      <c r="P46" s="48">
        <v>236000000</v>
      </c>
      <c r="Q46">
        <v>135000000</v>
      </c>
    </row>
    <row r="47" spans="1:17">
      <c r="A47" t="s">
        <v>338</v>
      </c>
      <c r="B47" s="48">
        <v>25000000</v>
      </c>
      <c r="C47" s="48">
        <v>-19000000</v>
      </c>
      <c r="D47" s="48">
        <v>-38000000</v>
      </c>
      <c r="E47" s="48">
        <v>32000000</v>
      </c>
      <c r="F47" s="48">
        <v>17000000</v>
      </c>
      <c r="G47" s="48">
        <v>-13000000</v>
      </c>
      <c r="H47" s="48">
        <v>-13000000</v>
      </c>
      <c r="I47" s="48">
        <v>18000000</v>
      </c>
      <c r="J47" s="48">
        <v>21000000</v>
      </c>
      <c r="K47" s="48">
        <v>232000000</v>
      </c>
      <c r="L47" s="48">
        <v>-57000000</v>
      </c>
      <c r="M47" s="48">
        <v>54000000</v>
      </c>
      <c r="N47" s="48">
        <v>-7000000</v>
      </c>
      <c r="O47" s="48">
        <v>-1000000</v>
      </c>
      <c r="P47" s="48">
        <v>-5000000</v>
      </c>
      <c r="Q47">
        <v>43000000</v>
      </c>
    </row>
    <row r="48" spans="1:17">
      <c r="A48" t="s">
        <v>339</v>
      </c>
      <c r="M48" s="48">
        <v>0</v>
      </c>
      <c r="N48">
        <v>27000000</v>
      </c>
      <c r="O48" s="48">
        <v>0</v>
      </c>
      <c r="P48" s="48">
        <v>139000000</v>
      </c>
      <c r="Q48">
        <v>7000000</v>
      </c>
    </row>
    <row r="49" spans="1:17">
      <c r="A49" t="s">
        <v>340</v>
      </c>
      <c r="B49" s="48">
        <v>683000000</v>
      </c>
      <c r="C49" s="48">
        <v>1288000000</v>
      </c>
      <c r="D49" s="48">
        <v>1525000000</v>
      </c>
      <c r="E49" s="48">
        <v>-541000000</v>
      </c>
      <c r="F49" s="48">
        <v>-850000000</v>
      </c>
      <c r="G49" s="48">
        <v>-858000000</v>
      </c>
      <c r="H49" s="48">
        <v>-96000000</v>
      </c>
      <c r="I49" s="48">
        <v>-715000000</v>
      </c>
      <c r="J49" s="48">
        <v>-607000000</v>
      </c>
      <c r="K49" s="48">
        <v>-264000000</v>
      </c>
      <c r="L49" s="48">
        <v>-124000000</v>
      </c>
      <c r="M49" s="48">
        <v>56000000</v>
      </c>
      <c r="N49" s="48">
        <v>-39000000</v>
      </c>
      <c r="O49" s="48">
        <v>1056000000</v>
      </c>
      <c r="P49" s="48">
        <v>-20000000</v>
      </c>
      <c r="Q49">
        <v>-374000000</v>
      </c>
    </row>
    <row r="50" spans="1:17">
      <c r="A50" t="s">
        <v>341</v>
      </c>
      <c r="B50" s="48">
        <v>683000000</v>
      </c>
      <c r="C50" s="48">
        <v>1288000000</v>
      </c>
      <c r="D50" s="48">
        <v>1525000000</v>
      </c>
      <c r="E50" s="48">
        <v>-541000000</v>
      </c>
      <c r="F50" s="48">
        <v>-850000000</v>
      </c>
      <c r="G50" s="48">
        <v>-858000000</v>
      </c>
      <c r="H50" s="48">
        <v>-96000000</v>
      </c>
      <c r="I50" s="48">
        <v>-715000000</v>
      </c>
      <c r="J50" s="48">
        <v>-607000000</v>
      </c>
      <c r="K50" s="48">
        <v>-264000000</v>
      </c>
      <c r="L50" s="48">
        <v>-124000000</v>
      </c>
      <c r="M50" s="48">
        <v>56000000</v>
      </c>
      <c r="N50" s="48">
        <v>-39000000</v>
      </c>
      <c r="O50" s="48">
        <v>1056000000</v>
      </c>
      <c r="P50" s="48">
        <v>-20000000</v>
      </c>
      <c r="Q50">
        <v>-374000000</v>
      </c>
    </row>
    <row r="51" spans="1:17">
      <c r="A51" t="s">
        <v>342</v>
      </c>
      <c r="B51" s="48">
        <v>972000000</v>
      </c>
      <c r="C51" s="48">
        <v>731000000</v>
      </c>
      <c r="D51" s="48">
        <v>1629000000</v>
      </c>
      <c r="E51" s="48">
        <v>-9000000</v>
      </c>
      <c r="F51" s="48">
        <v>185000000</v>
      </c>
      <c r="G51" s="48">
        <v>-112000000</v>
      </c>
      <c r="H51" s="48">
        <v>182000000</v>
      </c>
      <c r="I51" s="48">
        <v>7000000</v>
      </c>
      <c r="J51" s="48">
        <v>-150000000</v>
      </c>
      <c r="K51" s="48">
        <v>17000000</v>
      </c>
      <c r="L51" s="48">
        <v>10000000</v>
      </c>
      <c r="M51" s="48">
        <v>465000000</v>
      </c>
      <c r="N51" s="48">
        <v>-39000000</v>
      </c>
      <c r="O51" s="48">
        <v>-413000000</v>
      </c>
      <c r="P51" s="48">
        <v>-11000000</v>
      </c>
      <c r="Q51">
        <v>228000000</v>
      </c>
    </row>
    <row r="52" spans="1:17">
      <c r="A52" t="s">
        <v>343</v>
      </c>
      <c r="B52" s="48">
        <v>972000000</v>
      </c>
      <c r="C52" s="48">
        <v>731000000</v>
      </c>
      <c r="D52" s="48">
        <v>1629000000</v>
      </c>
      <c r="E52" s="48">
        <v>-9000000</v>
      </c>
      <c r="F52" s="48">
        <v>185000000</v>
      </c>
      <c r="G52" s="48">
        <v>-112000000</v>
      </c>
      <c r="H52" s="48">
        <v>182000000</v>
      </c>
      <c r="I52" s="48">
        <v>7000000</v>
      </c>
      <c r="J52" s="48">
        <v>-150000000</v>
      </c>
      <c r="K52" s="48">
        <v>17000000</v>
      </c>
      <c r="L52" s="48">
        <v>10000000</v>
      </c>
      <c r="M52" s="48">
        <v>465000000</v>
      </c>
      <c r="N52" s="48">
        <v>-39000000</v>
      </c>
      <c r="O52" s="48">
        <v>-383000000</v>
      </c>
      <c r="P52" s="48">
        <v>-11000000</v>
      </c>
      <c r="Q52">
        <v>228000000</v>
      </c>
    </row>
    <row r="53" spans="1:17">
      <c r="A53" t="s">
        <v>344</v>
      </c>
      <c r="B53" s="48"/>
      <c r="C53" s="48">
        <v>1949000000</v>
      </c>
      <c r="D53" s="48">
        <v>2035000000</v>
      </c>
      <c r="E53" s="48">
        <v>400000000</v>
      </c>
      <c r="F53" s="48">
        <v>416000000</v>
      </c>
      <c r="G53" s="48">
        <v>670000000</v>
      </c>
      <c r="H53" s="48">
        <v>620000000</v>
      </c>
      <c r="I53" s="48">
        <v>12000000</v>
      </c>
      <c r="J53" s="48">
        <v>249000000</v>
      </c>
      <c r="K53" s="48">
        <v>385000000</v>
      </c>
      <c r="L53" s="48">
        <v>10000000</v>
      </c>
      <c r="M53">
        <v>519000000</v>
      </c>
      <c r="N53" s="48">
        <v>0</v>
      </c>
      <c r="O53" s="48">
        <v>498000000</v>
      </c>
      <c r="P53" s="48">
        <v>175000000</v>
      </c>
      <c r="Q53">
        <v>1386000000</v>
      </c>
    </row>
    <row r="54" spans="1:17">
      <c r="A54" t="s">
        <v>345</v>
      </c>
      <c r="B54" s="48">
        <v>-977000000</v>
      </c>
      <c r="C54" s="48">
        <v>-1218000000</v>
      </c>
      <c r="D54" s="48">
        <v>-406000000</v>
      </c>
      <c r="E54" s="48">
        <v>-409000000</v>
      </c>
      <c r="F54" s="48">
        <v>-231000000</v>
      </c>
      <c r="G54" s="48">
        <v>-782000000</v>
      </c>
      <c r="H54" s="48">
        <v>-438000000</v>
      </c>
      <c r="I54" s="48">
        <v>-5000000</v>
      </c>
      <c r="J54" s="48">
        <v>-399000000</v>
      </c>
      <c r="K54">
        <v>-368000000</v>
      </c>
      <c r="L54" s="48">
        <v>0</v>
      </c>
      <c r="M54" s="48">
        <v>-54000000</v>
      </c>
      <c r="N54" s="48">
        <v>-39000000</v>
      </c>
      <c r="O54" s="48">
        <v>-881000000</v>
      </c>
      <c r="P54" s="48">
        <v>-186000000</v>
      </c>
      <c r="Q54">
        <v>-1158000000</v>
      </c>
    </row>
    <row r="55" spans="1:17">
      <c r="A55" t="s">
        <v>346</v>
      </c>
      <c r="M55">
        <v>0</v>
      </c>
      <c r="N55" s="48">
        <v>0</v>
      </c>
      <c r="O55">
        <v>-30000000</v>
      </c>
    </row>
    <row r="56" spans="1:17">
      <c r="A56" t="s">
        <v>347</v>
      </c>
      <c r="M56">
        <v>0</v>
      </c>
      <c r="N56" s="48">
        <v>0</v>
      </c>
      <c r="O56">
        <v>675000000</v>
      </c>
    </row>
    <row r="57" spans="1:17">
      <c r="A57" t="s">
        <v>348</v>
      </c>
      <c r="M57">
        <v>0</v>
      </c>
      <c r="N57" s="48">
        <v>0</v>
      </c>
      <c r="O57">
        <v>-705000000</v>
      </c>
    </row>
    <row r="58" spans="1:17">
      <c r="A58" t="s">
        <v>349</v>
      </c>
      <c r="B58">
        <v>-263000000</v>
      </c>
      <c r="C58" s="48">
        <v>575000000</v>
      </c>
      <c r="D58" s="48">
        <v>-69000000</v>
      </c>
      <c r="E58" s="48">
        <v>-421000000</v>
      </c>
      <c r="F58" s="48">
        <v>-946000000</v>
      </c>
      <c r="G58" s="48">
        <v>-743000000</v>
      </c>
      <c r="H58" s="48">
        <v>-272000000</v>
      </c>
      <c r="I58" s="48">
        <v>-715000000</v>
      </c>
      <c r="J58" s="48">
        <v>-443000000</v>
      </c>
      <c r="K58" s="48">
        <v>-275000000</v>
      </c>
      <c r="L58" s="48">
        <v>-136000000</v>
      </c>
      <c r="M58">
        <v>-396000000</v>
      </c>
      <c r="N58" s="48"/>
      <c r="O58">
        <v>1482000000</v>
      </c>
      <c r="P58" s="48"/>
      <c r="Q58">
        <v>-1101000000</v>
      </c>
    </row>
    <row r="59" spans="1:17">
      <c r="A59" t="s">
        <v>350</v>
      </c>
      <c r="B59">
        <v>0</v>
      </c>
      <c r="C59">
        <v>575000000</v>
      </c>
      <c r="M59">
        <v>0</v>
      </c>
      <c r="N59" s="48">
        <v>0</v>
      </c>
      <c r="O59">
        <v>1482000000</v>
      </c>
    </row>
    <row r="60" spans="1:17">
      <c r="A60" t="s">
        <v>351</v>
      </c>
      <c r="B60">
        <v>-263000000</v>
      </c>
      <c r="C60" s="48">
        <v>0</v>
      </c>
      <c r="D60" s="48">
        <v>-69000000</v>
      </c>
      <c r="E60" s="48">
        <v>-421000000</v>
      </c>
      <c r="F60" s="48">
        <v>-946000000</v>
      </c>
      <c r="G60" s="48">
        <v>-743000000</v>
      </c>
      <c r="H60" s="48">
        <v>-272000000</v>
      </c>
      <c r="I60" s="48">
        <v>-715000000</v>
      </c>
      <c r="J60" s="48">
        <v>-443000000</v>
      </c>
      <c r="K60" s="48">
        <v>-275000000</v>
      </c>
      <c r="L60" s="48">
        <v>-136000000</v>
      </c>
      <c r="M60">
        <v>-396000000</v>
      </c>
      <c r="O60">
        <v>0</v>
      </c>
      <c r="P60" s="48">
        <v>0</v>
      </c>
      <c r="Q60">
        <v>-1101000000</v>
      </c>
    </row>
    <row r="61" spans="1:17">
      <c r="A61" t="s">
        <v>352</v>
      </c>
      <c r="O61">
        <v>0</v>
      </c>
      <c r="P61" s="48">
        <v>0</v>
      </c>
      <c r="Q61">
        <v>500000000</v>
      </c>
    </row>
    <row r="62" spans="1:17">
      <c r="A62" t="s">
        <v>353</v>
      </c>
      <c r="O62">
        <v>0</v>
      </c>
      <c r="P62" s="48">
        <v>0</v>
      </c>
      <c r="Q62">
        <v>500000000</v>
      </c>
    </row>
    <row r="63" spans="1:17">
      <c r="A63" t="s">
        <v>354</v>
      </c>
      <c r="C63" s="48">
        <v>0</v>
      </c>
      <c r="D63" s="48">
        <v>-20000000</v>
      </c>
      <c r="E63" s="48">
        <v>-80000000</v>
      </c>
      <c r="F63">
        <v>-68000000</v>
      </c>
      <c r="N63" s="48"/>
      <c r="O63" s="48">
        <v>-1000000</v>
      </c>
      <c r="P63" s="48">
        <v>-2000000</v>
      </c>
      <c r="Q63">
        <v>-1000000</v>
      </c>
    </row>
    <row r="64" spans="1:17">
      <c r="A64" t="s">
        <v>355</v>
      </c>
      <c r="C64" s="48"/>
      <c r="D64" s="48">
        <v>-20000000</v>
      </c>
      <c r="E64" s="48">
        <v>-80000000</v>
      </c>
      <c r="F64">
        <v>-68000000</v>
      </c>
    </row>
    <row r="65" spans="1:17">
      <c r="A65" t="s">
        <v>356</v>
      </c>
      <c r="B65" s="48">
        <v>-26000000</v>
      </c>
      <c r="C65" s="48">
        <v>-18000000</v>
      </c>
      <c r="D65" s="48">
        <v>-15000000</v>
      </c>
      <c r="E65" s="48">
        <v>-31000000</v>
      </c>
      <c r="F65" s="48">
        <v>-21000000</v>
      </c>
      <c r="G65" s="48">
        <v>-3000000</v>
      </c>
      <c r="H65" s="48">
        <v>-6000000</v>
      </c>
      <c r="I65" s="48">
        <v>-7000000</v>
      </c>
      <c r="J65" s="48">
        <v>-14000000</v>
      </c>
      <c r="K65" s="48">
        <v>-6000000</v>
      </c>
      <c r="L65" s="48">
        <v>2000000</v>
      </c>
      <c r="M65">
        <v>-13000000</v>
      </c>
      <c r="N65" s="48"/>
      <c r="O65" s="48">
        <v>-12000000</v>
      </c>
      <c r="P65">
        <v>-7000000</v>
      </c>
    </row>
    <row r="66" spans="1:17">
      <c r="A66" t="s">
        <v>357</v>
      </c>
      <c r="L66">
        <v>0</v>
      </c>
    </row>
    <row r="67" spans="1:17">
      <c r="A67" t="s">
        <v>358</v>
      </c>
      <c r="B67" s="48">
        <v>1591000000</v>
      </c>
      <c r="C67" s="48">
        <v>1065000000</v>
      </c>
      <c r="D67" s="48">
        <v>1237000000</v>
      </c>
      <c r="E67" s="48">
        <v>1063000000</v>
      </c>
      <c r="F67" s="48">
        <v>622000000</v>
      </c>
      <c r="G67" s="48">
        <v>503000000</v>
      </c>
      <c r="H67" s="48">
        <v>482000000</v>
      </c>
      <c r="I67" s="48">
        <v>457000000</v>
      </c>
      <c r="J67" s="48">
        <v>685000000</v>
      </c>
      <c r="K67" s="48">
        <v>454000000</v>
      </c>
      <c r="L67" s="48">
        <v>413000000</v>
      </c>
      <c r="M67" s="48">
        <v>534000000</v>
      </c>
      <c r="N67" s="48">
        <v>1110000000</v>
      </c>
      <c r="O67" s="48">
        <v>1327000000</v>
      </c>
      <c r="P67" s="48">
        <v>428000000</v>
      </c>
      <c r="Q67">
        <v>416000000</v>
      </c>
    </row>
    <row r="68" spans="1:17">
      <c r="A68" t="s">
        <v>359</v>
      </c>
      <c r="B68" s="48">
        <v>-890000000</v>
      </c>
      <c r="C68" s="48">
        <v>-169000000</v>
      </c>
      <c r="D68" s="48">
        <v>178000000</v>
      </c>
      <c r="E68" s="48">
        <v>440000000</v>
      </c>
      <c r="F68" s="48">
        <v>-135000000</v>
      </c>
      <c r="G68" s="48">
        <v>28000000</v>
      </c>
      <c r="H68" s="48">
        <v>13000000</v>
      </c>
      <c r="I68" s="48">
        <v>-224000000</v>
      </c>
      <c r="J68" s="48">
        <v>239000000</v>
      </c>
      <c r="K68" s="48">
        <v>45000000</v>
      </c>
      <c r="L68" s="48">
        <v>-114000000</v>
      </c>
      <c r="M68" s="48">
        <v>-566000000</v>
      </c>
      <c r="N68" s="48">
        <v>-225000000</v>
      </c>
      <c r="O68" s="48">
        <v>905000000</v>
      </c>
      <c r="P68" s="48">
        <v>-13000000</v>
      </c>
      <c r="Q68">
        <v>-377000000</v>
      </c>
    </row>
    <row r="69" spans="1:17">
      <c r="A69" t="s">
        <v>360</v>
      </c>
      <c r="B69" s="48">
        <v>26000000</v>
      </c>
      <c r="C69" s="48">
        <v>-3000000</v>
      </c>
      <c r="D69" s="48">
        <v>-4000000</v>
      </c>
      <c r="E69" s="48">
        <v>1000000</v>
      </c>
      <c r="F69" s="48">
        <v>5000000</v>
      </c>
      <c r="G69" s="48">
        <v>-7000000</v>
      </c>
      <c r="H69" s="48">
        <v>12000000</v>
      </c>
      <c r="I69" s="48">
        <v>-4000000</v>
      </c>
      <c r="J69" s="48">
        <v>-8000000</v>
      </c>
      <c r="K69" s="48">
        <v>-4000000</v>
      </c>
      <c r="L69" s="48">
        <v>-7000000</v>
      </c>
      <c r="M69" s="48">
        <v>-10000000</v>
      </c>
      <c r="N69" s="48">
        <v>8000000</v>
      </c>
      <c r="O69" s="48">
        <v>-6000000</v>
      </c>
      <c r="P69" s="48">
        <v>25000000</v>
      </c>
      <c r="Q69">
        <v>-14000000</v>
      </c>
    </row>
    <row r="70" spans="1:17">
      <c r="A70" t="s">
        <v>361</v>
      </c>
      <c r="B70" s="48">
        <v>2481000000</v>
      </c>
      <c r="C70" s="48">
        <v>1237000000</v>
      </c>
      <c r="D70" s="48">
        <v>1063000000</v>
      </c>
      <c r="E70" s="48">
        <v>622000000</v>
      </c>
      <c r="F70" s="48">
        <v>752000000</v>
      </c>
      <c r="G70" s="48">
        <v>482000000</v>
      </c>
      <c r="H70" s="48">
        <v>457000000</v>
      </c>
      <c r="I70" s="48">
        <v>685000000</v>
      </c>
      <c r="J70" s="48">
        <v>454000000</v>
      </c>
      <c r="K70" s="48">
        <v>413000000</v>
      </c>
      <c r="L70" s="48">
        <v>534000000</v>
      </c>
      <c r="M70" s="48">
        <v>1110000000</v>
      </c>
      <c r="N70" s="48">
        <v>1327000000</v>
      </c>
      <c r="O70" s="48">
        <v>428000000</v>
      </c>
      <c r="P70" s="48">
        <v>416000000</v>
      </c>
      <c r="Q70">
        <v>807000000</v>
      </c>
    </row>
    <row r="71" spans="1:17">
      <c r="A71" t="s">
        <v>362</v>
      </c>
      <c r="B71" s="48"/>
      <c r="C71" s="48"/>
      <c r="D71" s="48">
        <v>63000000</v>
      </c>
      <c r="E71" s="48">
        <v>175000000</v>
      </c>
      <c r="F71" s="48">
        <v>292000000</v>
      </c>
      <c r="G71" s="48">
        <v>175000000</v>
      </c>
      <c r="H71" s="48">
        <v>95000000</v>
      </c>
      <c r="I71" s="48">
        <v>145000000</v>
      </c>
      <c r="J71" s="48">
        <v>267000000</v>
      </c>
      <c r="K71" s="48">
        <v>119000000</v>
      </c>
      <c r="L71" s="48">
        <v>50000000</v>
      </c>
      <c r="M71">
        <v>60000000</v>
      </c>
      <c r="N71" s="48"/>
      <c r="O71">
        <v>60000000</v>
      </c>
    </row>
    <row r="72" spans="1:17">
      <c r="A72" t="s">
        <v>363</v>
      </c>
      <c r="B72" s="48">
        <v>124000000</v>
      </c>
      <c r="C72" s="48">
        <v>145000000</v>
      </c>
      <c r="D72" s="48">
        <v>105000000</v>
      </c>
      <c r="E72" s="48">
        <v>79000000</v>
      </c>
      <c r="F72" s="48">
        <v>73000000</v>
      </c>
      <c r="G72" s="48">
        <v>80000000</v>
      </c>
      <c r="H72" s="48">
        <v>75000000</v>
      </c>
      <c r="I72" s="48">
        <v>69000000</v>
      </c>
      <c r="J72" s="48">
        <v>71000000</v>
      </c>
      <c r="K72" s="48">
        <v>66000000</v>
      </c>
      <c r="L72" s="48">
        <v>68000000</v>
      </c>
      <c r="M72">
        <v>49000000</v>
      </c>
      <c r="N72" s="48"/>
      <c r="O72">
        <v>50000000</v>
      </c>
    </row>
    <row r="73" spans="1:17">
      <c r="A73" t="s">
        <v>364</v>
      </c>
      <c r="B73" s="48">
        <v>-188000000</v>
      </c>
      <c r="C73" s="48">
        <v>-111000000</v>
      </c>
      <c r="D73" s="48">
        <v>-122000000</v>
      </c>
      <c r="E73" s="48">
        <v>-369000000</v>
      </c>
      <c r="F73" s="48">
        <v>-297000000</v>
      </c>
      <c r="G73" s="48">
        <v>-298000000</v>
      </c>
      <c r="H73" s="48">
        <v>-211000000</v>
      </c>
      <c r="I73" s="48">
        <v>-269000000</v>
      </c>
      <c r="J73" s="48">
        <v>-253000000</v>
      </c>
      <c r="K73" s="48">
        <v>-232000000</v>
      </c>
      <c r="L73" s="48">
        <v>-301000000</v>
      </c>
      <c r="M73" s="48">
        <v>-331000000</v>
      </c>
      <c r="N73" s="48">
        <v>-520000000</v>
      </c>
      <c r="O73" s="48">
        <v>-325000000</v>
      </c>
      <c r="P73" s="48">
        <v>-286000000</v>
      </c>
      <c r="Q73">
        <v>-617000000</v>
      </c>
    </row>
    <row r="74" spans="1:17">
      <c r="A74" t="s">
        <v>365</v>
      </c>
      <c r="B74">
        <v>0</v>
      </c>
      <c r="C74">
        <v>575000000</v>
      </c>
      <c r="M74">
        <v>0</v>
      </c>
      <c r="N74" s="48">
        <v>0</v>
      </c>
      <c r="O74">
        <v>1482000000</v>
      </c>
      <c r="P74" s="48">
        <v>0</v>
      </c>
      <c r="Q74">
        <v>500000000</v>
      </c>
    </row>
    <row r="75" spans="1:17">
      <c r="A75" t="s">
        <v>366</v>
      </c>
      <c r="B75" s="48"/>
      <c r="C75" s="48">
        <v>1949000000</v>
      </c>
      <c r="D75" s="48">
        <v>2035000000</v>
      </c>
      <c r="E75" s="48">
        <v>400000000</v>
      </c>
      <c r="F75" s="48">
        <v>416000000</v>
      </c>
      <c r="G75" s="48">
        <v>670000000</v>
      </c>
      <c r="H75" s="48">
        <v>620000000</v>
      </c>
      <c r="I75" s="48">
        <v>12000000</v>
      </c>
      <c r="J75" s="48">
        <v>249000000</v>
      </c>
      <c r="K75" s="48">
        <v>385000000</v>
      </c>
      <c r="L75" s="48">
        <v>10000000</v>
      </c>
      <c r="M75">
        <v>519000000</v>
      </c>
      <c r="N75" s="48">
        <v>0</v>
      </c>
      <c r="O75" s="48">
        <v>1173000000</v>
      </c>
      <c r="P75" s="48">
        <v>175000000</v>
      </c>
      <c r="Q75">
        <v>1386000000</v>
      </c>
    </row>
    <row r="76" spans="1:17">
      <c r="A76" t="s">
        <v>367</v>
      </c>
      <c r="B76" s="48">
        <v>-977000000</v>
      </c>
      <c r="C76" s="48">
        <v>-1218000000</v>
      </c>
      <c r="D76" s="48">
        <v>-406000000</v>
      </c>
      <c r="E76" s="48">
        <v>-409000000</v>
      </c>
      <c r="F76" s="48">
        <v>-231000000</v>
      </c>
      <c r="G76" s="48">
        <v>-782000000</v>
      </c>
      <c r="H76" s="48">
        <v>-438000000</v>
      </c>
      <c r="I76" s="48">
        <v>-5000000</v>
      </c>
      <c r="J76" s="48">
        <v>-399000000</v>
      </c>
      <c r="K76">
        <v>-368000000</v>
      </c>
      <c r="L76" s="48">
        <v>0</v>
      </c>
      <c r="M76" s="48">
        <v>-54000000</v>
      </c>
      <c r="N76" s="48">
        <v>-39000000</v>
      </c>
      <c r="O76" s="48">
        <v>-1586000000</v>
      </c>
      <c r="P76" s="48">
        <v>-186000000</v>
      </c>
      <c r="Q76">
        <v>-1158000000</v>
      </c>
    </row>
    <row r="77" spans="1:17">
      <c r="A77" t="s">
        <v>368</v>
      </c>
      <c r="B77">
        <v>-263000000</v>
      </c>
      <c r="C77" s="48">
        <v>0</v>
      </c>
      <c r="D77" s="48">
        <v>-69000000</v>
      </c>
      <c r="E77" s="48">
        <v>-421000000</v>
      </c>
      <c r="F77" s="48">
        <v>-946000000</v>
      </c>
      <c r="G77" s="48">
        <v>-743000000</v>
      </c>
      <c r="H77" s="48">
        <v>-272000000</v>
      </c>
      <c r="I77" s="48">
        <v>-715000000</v>
      </c>
      <c r="J77" s="48">
        <v>-443000000</v>
      </c>
      <c r="K77" s="48">
        <v>-275000000</v>
      </c>
      <c r="L77" s="48">
        <v>-136000000</v>
      </c>
      <c r="M77">
        <v>-396000000</v>
      </c>
      <c r="O77">
        <v>0</v>
      </c>
      <c r="P77" s="48">
        <v>0</v>
      </c>
      <c r="Q77">
        <v>-1101000000</v>
      </c>
    </row>
    <row r="78" spans="1:17">
      <c r="A78" t="s">
        <v>369</v>
      </c>
      <c r="B78" s="48">
        <v>321000000</v>
      </c>
      <c r="C78" s="48">
        <v>204000000</v>
      </c>
      <c r="D78" s="48">
        <v>-733000000</v>
      </c>
      <c r="E78" s="48">
        <v>27000000</v>
      </c>
      <c r="F78" s="48">
        <v>44000000</v>
      </c>
      <c r="G78" s="48">
        <v>322000000</v>
      </c>
      <c r="H78" s="48">
        <v>278000000</v>
      </c>
      <c r="I78" s="48">
        <v>269000000</v>
      </c>
      <c r="J78" s="48">
        <v>220000000</v>
      </c>
      <c r="K78" s="48">
        <v>224000000</v>
      </c>
      <c r="L78" s="48">
        <v>198000000</v>
      </c>
      <c r="M78" s="48">
        <v>62000000</v>
      </c>
      <c r="N78" s="48">
        <v>-70000000</v>
      </c>
      <c r="O78" s="48">
        <v>-49000000</v>
      </c>
      <c r="P78" s="48">
        <v>5000000</v>
      </c>
      <c r="Q78">
        <v>-231000000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Historical Analysis</vt:lpstr>
      <vt:lpstr>Valuation Analysis</vt:lpstr>
      <vt:lpstr>Income Stat Yahoo Input</vt:lpstr>
      <vt:lpstr>Balance Sheet Yahoo Input</vt:lpstr>
      <vt:lpstr>Cash Flow Yahoo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2020-10-05T00:37:32Z</dcterms:created>
  <dcterms:modified xsi:type="dcterms:W3CDTF">2022-11-14T19:46:32Z</dcterms:modified>
</cp:coreProperties>
</file>