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oussch\Dropbox\File requests\INVESTMENTS FINANCE CREDIT\Chapters\ACTIVE LEARNING\PART V - FINANCIAL MODELS\Financial Models\"/>
    </mc:Choice>
  </mc:AlternateContent>
  <xr:revisionPtr revIDLastSave="0" documentId="13_ncr:1_{6D255F17-E4EC-4152-B2D0-4183AB0F0D0A}" xr6:coauthVersionLast="47" xr6:coauthVersionMax="47" xr10:uidLastSave="{00000000-0000-0000-0000-000000000000}"/>
  <bookViews>
    <workbookView xWindow="-25320" yWindow="960" windowWidth="25440" windowHeight="15270" activeTab="2" xr2:uid="{9EF70BA9-A403-4443-BD38-55D9BF21EDC3}"/>
  </bookViews>
  <sheets>
    <sheet name="Historical Analysis" sheetId="1" r:id="rId1"/>
    <sheet name="Projections" sheetId="3" r:id="rId2"/>
    <sheet name="Valuation Analysis" sheetId="2" r:id="rId3"/>
    <sheet name="DCF" sheetId="13" r:id="rId4"/>
    <sheet name="Technical Analysis" sheetId="4" r:id="rId5"/>
    <sheet name="Yahoo Input Val" sheetId="12" r:id="rId6"/>
    <sheet name="S&amp;P ETF Yahoo" sheetId="11" r:id="rId7"/>
    <sheet name="Income Stat Yahoo Input" sheetId="5" r:id="rId8"/>
    <sheet name="Balance Sheet Yahoo Input" sheetId="6" r:id="rId9"/>
    <sheet name="Cash Flow Yahoo Input" sheetId="7" r:id="rId10"/>
    <sheet name="Balance Sheet - Quarterly" sheetId="14" r:id="rId11"/>
    <sheet name="Stock Historical Yahoo" sheetId="10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6" i="2" l="1"/>
  <c r="F45" i="2"/>
  <c r="B45" i="2" s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C25" i="3"/>
  <c r="B99" i="2"/>
  <c r="C101" i="2"/>
  <c r="B101" i="2"/>
  <c r="C100" i="2"/>
  <c r="B100" i="2"/>
  <c r="C98" i="2"/>
  <c r="C99" i="2" s="1"/>
  <c r="C102" i="2" s="1"/>
  <c r="B98" i="2"/>
  <c r="D101" i="2"/>
  <c r="D100" i="2"/>
  <c r="D98" i="2"/>
  <c r="H12" i="12"/>
  <c r="H7" i="12"/>
  <c r="H8" i="12" s="1"/>
  <c r="I75" i="2"/>
  <c r="G75" i="2"/>
  <c r="E75" i="2"/>
  <c r="H76" i="2"/>
  <c r="J76" i="2" s="1"/>
  <c r="G76" i="2"/>
  <c r="F76" i="2"/>
  <c r="E57" i="2"/>
  <c r="H57" i="2" s="1"/>
  <c r="J57" i="2" s="1"/>
  <c r="V9" i="3"/>
  <c r="H6" i="2"/>
  <c r="C31" i="2" s="1"/>
  <c r="F30" i="2"/>
  <c r="G30" i="2"/>
  <c r="E38" i="2"/>
  <c r="B39" i="2"/>
  <c r="G6" i="2"/>
  <c r="T6" i="3"/>
  <c r="B102" i="2" l="1"/>
  <c r="D31" i="2"/>
  <c r="E31" i="2" s="1"/>
  <c r="G8" i="2"/>
  <c r="F6" i="2"/>
  <c r="C50" i="13"/>
  <c r="B45" i="13"/>
  <c r="B44" i="13"/>
  <c r="B43" i="13"/>
  <c r="B42" i="13"/>
  <c r="F38" i="13"/>
  <c r="C78" i="1"/>
  <c r="T27" i="3" s="1"/>
  <c r="C75" i="1"/>
  <c r="T26" i="3" s="1"/>
  <c r="T25" i="3"/>
  <c r="C72" i="1"/>
  <c r="C90" i="1" s="1"/>
  <c r="C71" i="1"/>
  <c r="C89" i="1" s="1"/>
  <c r="C65" i="1"/>
  <c r="C64" i="1"/>
  <c r="C62" i="1"/>
  <c r="C59" i="1"/>
  <c r="C57" i="1"/>
  <c r="C54" i="1"/>
  <c r="C53" i="1"/>
  <c r="F31" i="2" s="1"/>
  <c r="C50" i="1"/>
  <c r="C49" i="1"/>
  <c r="T29" i="3" s="1"/>
  <c r="C47" i="1"/>
  <c r="C46" i="1"/>
  <c r="C42" i="1"/>
  <c r="C39" i="1"/>
  <c r="C38" i="1"/>
  <c r="C37" i="1"/>
  <c r="C36" i="1"/>
  <c r="C34" i="1"/>
  <c r="C30" i="1"/>
  <c r="C29" i="1"/>
  <c r="C28" i="1"/>
  <c r="C27" i="1"/>
  <c r="C25" i="1"/>
  <c r="C24" i="1"/>
  <c r="G31" i="2" s="1"/>
  <c r="C21" i="1"/>
  <c r="C20" i="1"/>
  <c r="C16" i="1"/>
  <c r="T22" i="3" s="1"/>
  <c r="C15" i="1"/>
  <c r="C17" i="1" s="1"/>
  <c r="C12" i="1"/>
  <c r="T18" i="3" s="1"/>
  <c r="C10" i="1"/>
  <c r="T15" i="3" s="1"/>
  <c r="C8" i="1"/>
  <c r="T11" i="3" s="1"/>
  <c r="C7" i="1"/>
  <c r="B1" i="13"/>
  <c r="H31" i="2" l="1"/>
  <c r="C56" i="1"/>
  <c r="G10" i="2"/>
  <c r="G9" i="2"/>
  <c r="C35" i="1"/>
  <c r="C55" i="1"/>
  <c r="C67" i="1"/>
  <c r="C68" i="1" s="1"/>
  <c r="T30" i="3"/>
  <c r="T31" i="3" s="1"/>
  <c r="C26" i="1"/>
  <c r="C98" i="1" s="1"/>
  <c r="C48" i="1"/>
  <c r="T8" i="3"/>
  <c r="N46" i="13"/>
  <c r="C9" i="1"/>
  <c r="C103" i="1"/>
  <c r="C63" i="1"/>
  <c r="F52" i="13"/>
  <c r="F50" i="13"/>
  <c r="P39" i="13"/>
  <c r="P38" i="13"/>
  <c r="O40" i="13"/>
  <c r="H28" i="13"/>
  <c r="I28" i="13"/>
  <c r="J28" i="13"/>
  <c r="K28" i="13"/>
  <c r="G28" i="13"/>
  <c r="G11" i="2" l="1"/>
  <c r="G12" i="2"/>
  <c r="G13" i="2" s="1"/>
  <c r="G14" i="2" s="1"/>
  <c r="C31" i="1"/>
  <c r="T12" i="3"/>
  <c r="C108" i="1"/>
  <c r="C11" i="1"/>
  <c r="C97" i="1" l="1"/>
  <c r="C40" i="1"/>
  <c r="C41" i="1" s="1"/>
  <c r="T13" i="3"/>
  <c r="T16" i="3"/>
  <c r="C91" i="1"/>
  <c r="I64" i="2" s="1"/>
  <c r="C13" i="1"/>
  <c r="C14" i="1" s="1"/>
  <c r="T20" i="3" s="1"/>
  <c r="B124" i="2"/>
  <c r="H1" i="2"/>
  <c r="C27" i="3"/>
  <c r="C22" i="3"/>
  <c r="D18" i="3"/>
  <c r="B136" i="2"/>
  <c r="O175" i="2"/>
  <c r="N175" i="2"/>
  <c r="D62" i="2"/>
  <c r="K62" i="2"/>
  <c r="K61" i="2"/>
  <c r="K60" i="2"/>
  <c r="K59" i="2"/>
  <c r="K58" i="2"/>
  <c r="I62" i="2"/>
  <c r="I61" i="2"/>
  <c r="I60" i="2"/>
  <c r="I59" i="2"/>
  <c r="I58" i="2"/>
  <c r="G62" i="2"/>
  <c r="G61" i="2"/>
  <c r="G60" i="2"/>
  <c r="G59" i="2"/>
  <c r="G58" i="2"/>
  <c r="F62" i="2"/>
  <c r="F61" i="2"/>
  <c r="F60" i="2"/>
  <c r="F59" i="2"/>
  <c r="F58" i="2"/>
  <c r="D61" i="2"/>
  <c r="D60" i="2"/>
  <c r="D59" i="2"/>
  <c r="D58" i="2"/>
  <c r="C62" i="2"/>
  <c r="C61" i="2"/>
  <c r="C60" i="2"/>
  <c r="C59" i="2"/>
  <c r="C58" i="2"/>
  <c r="C56" i="2"/>
  <c r="K56" i="2"/>
  <c r="I56" i="2"/>
  <c r="G56" i="2"/>
  <c r="F56" i="2"/>
  <c r="D56" i="2"/>
  <c r="I55" i="2"/>
  <c r="G55" i="2"/>
  <c r="F55" i="2"/>
  <c r="K55" i="2"/>
  <c r="D55" i="2"/>
  <c r="C55" i="2"/>
  <c r="I7" i="12"/>
  <c r="I8" i="12" s="1"/>
  <c r="I12" i="12" s="1"/>
  <c r="E7" i="12"/>
  <c r="E8" i="12" s="1"/>
  <c r="E12" i="12" s="1"/>
  <c r="J7" i="12"/>
  <c r="J8" i="12" s="1"/>
  <c r="J12" i="12" s="1"/>
  <c r="F7" i="12"/>
  <c r="F8" i="12" s="1"/>
  <c r="F12" i="12" s="1"/>
  <c r="G7" i="12"/>
  <c r="G8" i="12" s="1"/>
  <c r="G12" i="12" s="1"/>
  <c r="D7" i="12"/>
  <c r="D8" i="12" s="1"/>
  <c r="D12" i="12" s="1"/>
  <c r="C7" i="12"/>
  <c r="C8" i="12" s="1"/>
  <c r="C12" i="12" s="1"/>
  <c r="G77" i="2"/>
  <c r="F77" i="2"/>
  <c r="T78" i="1"/>
  <c r="T75" i="1"/>
  <c r="C26" i="3" s="1"/>
  <c r="T71" i="1"/>
  <c r="T65" i="1"/>
  <c r="T64" i="1"/>
  <c r="T62" i="1"/>
  <c r="T59" i="1"/>
  <c r="T57" i="1"/>
  <c r="T54" i="1"/>
  <c r="T53" i="1"/>
  <c r="T82" i="1" s="1"/>
  <c r="T50" i="1"/>
  <c r="T49" i="1"/>
  <c r="T81" i="1" s="1"/>
  <c r="T47" i="1"/>
  <c r="T46" i="1"/>
  <c r="T42" i="1"/>
  <c r="T39" i="1"/>
  <c r="T38" i="1"/>
  <c r="T37" i="1"/>
  <c r="T36" i="1"/>
  <c r="T34" i="1"/>
  <c r="T30" i="1"/>
  <c r="T29" i="1"/>
  <c r="T28" i="1"/>
  <c r="T27" i="1"/>
  <c r="T25" i="1"/>
  <c r="T24" i="1"/>
  <c r="T20" i="1"/>
  <c r="T16" i="1"/>
  <c r="T15" i="1"/>
  <c r="C21" i="3" s="1"/>
  <c r="T12" i="1"/>
  <c r="C18" i="3" s="1"/>
  <c r="T10" i="1"/>
  <c r="C15" i="3" s="1"/>
  <c r="T8" i="1"/>
  <c r="C11" i="3" s="1"/>
  <c r="T7" i="1"/>
  <c r="C8" i="3" s="1"/>
  <c r="S78" i="1"/>
  <c r="D27" i="3" s="1"/>
  <c r="S75" i="1"/>
  <c r="D26" i="3" s="1"/>
  <c r="D25" i="3"/>
  <c r="S71" i="1"/>
  <c r="S65" i="1"/>
  <c r="S64" i="1"/>
  <c r="S62" i="1"/>
  <c r="S59" i="1"/>
  <c r="S57" i="1"/>
  <c r="S54" i="1"/>
  <c r="S53" i="1"/>
  <c r="S82" i="1" s="1"/>
  <c r="S50" i="1"/>
  <c r="S49" i="1"/>
  <c r="S81" i="1" s="1"/>
  <c r="S47" i="1"/>
  <c r="S46" i="1"/>
  <c r="S42" i="1"/>
  <c r="S39" i="1"/>
  <c r="S38" i="1"/>
  <c r="S37" i="1"/>
  <c r="S36" i="1"/>
  <c r="S34" i="1"/>
  <c r="S30" i="1"/>
  <c r="S29" i="1"/>
  <c r="S28" i="1"/>
  <c r="S27" i="1"/>
  <c r="S25" i="1"/>
  <c r="S24" i="1"/>
  <c r="S20" i="1"/>
  <c r="S16" i="1"/>
  <c r="D22" i="3" s="1"/>
  <c r="S15" i="1"/>
  <c r="D21" i="3" s="1"/>
  <c r="S12" i="1"/>
  <c r="S10" i="1"/>
  <c r="D15" i="3" s="1"/>
  <c r="S8" i="1"/>
  <c r="D11" i="3" s="1"/>
  <c r="S7" i="1"/>
  <c r="Q7" i="1"/>
  <c r="R7" i="1"/>
  <c r="Q8" i="1"/>
  <c r="F11" i="3" s="1"/>
  <c r="R8" i="1"/>
  <c r="E11" i="3" s="1"/>
  <c r="Q10" i="1"/>
  <c r="F15" i="3" s="1"/>
  <c r="R10" i="1"/>
  <c r="E15" i="3" s="1"/>
  <c r="Q12" i="1"/>
  <c r="F18" i="3" s="1"/>
  <c r="R12" i="1"/>
  <c r="E18" i="3" s="1"/>
  <c r="Q15" i="1"/>
  <c r="F21" i="3" s="1"/>
  <c r="R15" i="1"/>
  <c r="E21" i="3" s="1"/>
  <c r="Q16" i="1"/>
  <c r="F22" i="3" s="1"/>
  <c r="R16" i="1"/>
  <c r="E22" i="3" s="1"/>
  <c r="Q20" i="1"/>
  <c r="R20" i="1"/>
  <c r="Q24" i="1"/>
  <c r="R24" i="1"/>
  <c r="Q25" i="1"/>
  <c r="R25" i="1"/>
  <c r="Q27" i="1"/>
  <c r="R27" i="1"/>
  <c r="Q28" i="1"/>
  <c r="R28" i="1"/>
  <c r="Q29" i="1"/>
  <c r="R29" i="1"/>
  <c r="Q30" i="1"/>
  <c r="R30" i="1"/>
  <c r="Q34" i="1"/>
  <c r="R34" i="1"/>
  <c r="Q36" i="1"/>
  <c r="R36" i="1"/>
  <c r="Q37" i="1"/>
  <c r="R37" i="1"/>
  <c r="Q38" i="1"/>
  <c r="R38" i="1"/>
  <c r="Q39" i="1"/>
  <c r="R39" i="1"/>
  <c r="Q42" i="1"/>
  <c r="R42" i="1"/>
  <c r="Q46" i="1"/>
  <c r="R46" i="1"/>
  <c r="Q47" i="1"/>
  <c r="R47" i="1"/>
  <c r="Q49" i="1"/>
  <c r="F29" i="3" s="1"/>
  <c r="R49" i="1"/>
  <c r="E29" i="3" s="1"/>
  <c r="Q50" i="1"/>
  <c r="R50" i="1"/>
  <c r="Q53" i="1"/>
  <c r="Q82" i="1" s="1"/>
  <c r="R53" i="1"/>
  <c r="R82" i="1" s="1"/>
  <c r="Q54" i="1"/>
  <c r="R54" i="1"/>
  <c r="Q57" i="1"/>
  <c r="R57" i="1"/>
  <c r="Q59" i="1"/>
  <c r="R59" i="1"/>
  <c r="Q62" i="1"/>
  <c r="R62" i="1"/>
  <c r="Q64" i="1"/>
  <c r="R64" i="1"/>
  <c r="Q65" i="1"/>
  <c r="R65" i="1"/>
  <c r="Q71" i="1"/>
  <c r="R71" i="1"/>
  <c r="F25" i="3"/>
  <c r="E25" i="3"/>
  <c r="Q75" i="1"/>
  <c r="F26" i="3" s="1"/>
  <c r="R75" i="1"/>
  <c r="E26" i="3" s="1"/>
  <c r="Q78" i="1"/>
  <c r="F27" i="3" s="1"/>
  <c r="R78" i="1"/>
  <c r="E27" i="3" s="1"/>
  <c r="I25" i="3"/>
  <c r="H25" i="3"/>
  <c r="G25" i="3"/>
  <c r="E75" i="1"/>
  <c r="F75" i="1"/>
  <c r="G75" i="1"/>
  <c r="H75" i="1"/>
  <c r="I75" i="1"/>
  <c r="J75" i="1"/>
  <c r="K75" i="1"/>
  <c r="L75" i="1"/>
  <c r="M75" i="1"/>
  <c r="N75" i="1"/>
  <c r="I26" i="3" s="1"/>
  <c r="O75" i="1"/>
  <c r="H26" i="3" s="1"/>
  <c r="P75" i="1"/>
  <c r="G26" i="3" s="1"/>
  <c r="E78" i="1"/>
  <c r="F78" i="1"/>
  <c r="G78" i="1"/>
  <c r="H78" i="1"/>
  <c r="I78" i="1"/>
  <c r="J78" i="1"/>
  <c r="K78" i="1"/>
  <c r="L78" i="1"/>
  <c r="M78" i="1"/>
  <c r="N78" i="1"/>
  <c r="I27" i="3" s="1"/>
  <c r="O78" i="1"/>
  <c r="H27" i="3" s="1"/>
  <c r="P78" i="1"/>
  <c r="G27" i="3" s="1"/>
  <c r="E59" i="1"/>
  <c r="F59" i="1"/>
  <c r="G59" i="1"/>
  <c r="H59" i="1"/>
  <c r="I59" i="1"/>
  <c r="J59" i="1"/>
  <c r="K59" i="1"/>
  <c r="L59" i="1"/>
  <c r="M59" i="1"/>
  <c r="N59" i="1"/>
  <c r="O59" i="1"/>
  <c r="P59" i="1"/>
  <c r="E62" i="1"/>
  <c r="F62" i="1"/>
  <c r="G62" i="1"/>
  <c r="H62" i="1"/>
  <c r="I62" i="1"/>
  <c r="J62" i="1"/>
  <c r="K62" i="1"/>
  <c r="L62" i="1"/>
  <c r="M62" i="1"/>
  <c r="N62" i="1"/>
  <c r="O62" i="1"/>
  <c r="P62" i="1"/>
  <c r="E64" i="1"/>
  <c r="F64" i="1"/>
  <c r="G64" i="1"/>
  <c r="H64" i="1"/>
  <c r="I64" i="1"/>
  <c r="J64" i="1"/>
  <c r="K64" i="1"/>
  <c r="L64" i="1"/>
  <c r="M64" i="1"/>
  <c r="N64" i="1"/>
  <c r="O64" i="1"/>
  <c r="P64" i="1"/>
  <c r="E65" i="1"/>
  <c r="F65" i="1"/>
  <c r="G65" i="1"/>
  <c r="H65" i="1"/>
  <c r="I65" i="1"/>
  <c r="J65" i="1"/>
  <c r="K65" i="1"/>
  <c r="L65" i="1"/>
  <c r="M65" i="1"/>
  <c r="N65" i="1"/>
  <c r="O65" i="1"/>
  <c r="P65" i="1"/>
  <c r="D65" i="1"/>
  <c r="C111" i="1" s="1"/>
  <c r="D64" i="1"/>
  <c r="D62" i="1"/>
  <c r="D59" i="1"/>
  <c r="E46" i="1"/>
  <c r="F46" i="1"/>
  <c r="G46" i="1"/>
  <c r="H46" i="1"/>
  <c r="I46" i="1"/>
  <c r="J46" i="1"/>
  <c r="K46" i="1"/>
  <c r="L46" i="1"/>
  <c r="M46" i="1"/>
  <c r="N46" i="1"/>
  <c r="O46" i="1"/>
  <c r="P46" i="1"/>
  <c r="E47" i="1"/>
  <c r="F47" i="1"/>
  <c r="G47" i="1"/>
  <c r="H47" i="1"/>
  <c r="I47" i="1"/>
  <c r="J47" i="1"/>
  <c r="K47" i="1"/>
  <c r="L47" i="1"/>
  <c r="M47" i="1"/>
  <c r="N47" i="1"/>
  <c r="O47" i="1"/>
  <c r="P47" i="1"/>
  <c r="E49" i="1"/>
  <c r="F49" i="1"/>
  <c r="G49" i="1"/>
  <c r="H49" i="1"/>
  <c r="I49" i="1"/>
  <c r="J49" i="1"/>
  <c r="K49" i="1"/>
  <c r="L49" i="1"/>
  <c r="M49" i="1"/>
  <c r="N49" i="1"/>
  <c r="O49" i="1"/>
  <c r="P49" i="1"/>
  <c r="E50" i="1"/>
  <c r="F50" i="1"/>
  <c r="G50" i="1"/>
  <c r="H50" i="1"/>
  <c r="I50" i="1"/>
  <c r="J50" i="1"/>
  <c r="K50" i="1"/>
  <c r="L50" i="1"/>
  <c r="M50" i="1"/>
  <c r="N50" i="1"/>
  <c r="O50" i="1"/>
  <c r="P50" i="1"/>
  <c r="D50" i="1"/>
  <c r="E53" i="1"/>
  <c r="F53" i="1"/>
  <c r="G53" i="1"/>
  <c r="H53" i="1"/>
  <c r="I53" i="1"/>
  <c r="J53" i="1"/>
  <c r="K53" i="1"/>
  <c r="L53" i="1"/>
  <c r="M53" i="1"/>
  <c r="N53" i="1"/>
  <c r="O53" i="1"/>
  <c r="P53" i="1"/>
  <c r="E54" i="1"/>
  <c r="F54" i="1"/>
  <c r="G54" i="1"/>
  <c r="H54" i="1"/>
  <c r="I54" i="1"/>
  <c r="J54" i="1"/>
  <c r="K54" i="1"/>
  <c r="L54" i="1"/>
  <c r="M54" i="1"/>
  <c r="N54" i="1"/>
  <c r="O54" i="1"/>
  <c r="P54" i="1"/>
  <c r="E57" i="1"/>
  <c r="F57" i="1"/>
  <c r="G57" i="1"/>
  <c r="H57" i="1"/>
  <c r="I57" i="1"/>
  <c r="J57" i="1"/>
  <c r="K57" i="1"/>
  <c r="L57" i="1"/>
  <c r="M57" i="1"/>
  <c r="N57" i="1"/>
  <c r="O57" i="1"/>
  <c r="P57" i="1"/>
  <c r="D54" i="1"/>
  <c r="D53" i="1"/>
  <c r="C82" i="1" s="1"/>
  <c r="D57" i="1"/>
  <c r="D49" i="1"/>
  <c r="D6" i="2" s="1"/>
  <c r="D47" i="1"/>
  <c r="D46" i="1"/>
  <c r="E24" i="1"/>
  <c r="F24" i="1"/>
  <c r="G24" i="1"/>
  <c r="H24" i="1"/>
  <c r="I24" i="1"/>
  <c r="J24" i="1"/>
  <c r="K24" i="1"/>
  <c r="L24" i="1"/>
  <c r="M24" i="1"/>
  <c r="N24" i="1"/>
  <c r="O24" i="1"/>
  <c r="P24" i="1"/>
  <c r="E25" i="1"/>
  <c r="F25" i="1"/>
  <c r="G25" i="1"/>
  <c r="H25" i="1"/>
  <c r="I25" i="1"/>
  <c r="J25" i="1"/>
  <c r="K25" i="1"/>
  <c r="L25" i="1"/>
  <c r="M25" i="1"/>
  <c r="N25" i="1"/>
  <c r="O25" i="1"/>
  <c r="P25" i="1"/>
  <c r="E27" i="1"/>
  <c r="F27" i="1"/>
  <c r="G27" i="1"/>
  <c r="H27" i="1"/>
  <c r="I27" i="1"/>
  <c r="J27" i="1"/>
  <c r="K27" i="1"/>
  <c r="L27" i="1"/>
  <c r="M27" i="1"/>
  <c r="N27" i="1"/>
  <c r="O27" i="1"/>
  <c r="P27" i="1"/>
  <c r="E28" i="1"/>
  <c r="F28" i="1"/>
  <c r="G28" i="1"/>
  <c r="H28" i="1"/>
  <c r="I28" i="1"/>
  <c r="J28" i="1"/>
  <c r="K28" i="1"/>
  <c r="L28" i="1"/>
  <c r="M28" i="1"/>
  <c r="N28" i="1"/>
  <c r="O28" i="1"/>
  <c r="P28" i="1"/>
  <c r="E29" i="1"/>
  <c r="F29" i="1"/>
  <c r="G29" i="1"/>
  <c r="H29" i="1"/>
  <c r="I29" i="1"/>
  <c r="J29" i="1"/>
  <c r="K29" i="1"/>
  <c r="L29" i="1"/>
  <c r="M29" i="1"/>
  <c r="N29" i="1"/>
  <c r="O29" i="1"/>
  <c r="P29" i="1"/>
  <c r="E30" i="1"/>
  <c r="F30" i="1"/>
  <c r="G30" i="1"/>
  <c r="H30" i="1"/>
  <c r="I30" i="1"/>
  <c r="J30" i="1"/>
  <c r="K30" i="1"/>
  <c r="L30" i="1"/>
  <c r="M30" i="1"/>
  <c r="N30" i="1"/>
  <c r="O30" i="1"/>
  <c r="P30" i="1"/>
  <c r="E34" i="1"/>
  <c r="F34" i="1"/>
  <c r="G34" i="1"/>
  <c r="H34" i="1"/>
  <c r="I34" i="1"/>
  <c r="J34" i="1"/>
  <c r="K34" i="1"/>
  <c r="L34" i="1"/>
  <c r="M34" i="1"/>
  <c r="N34" i="1"/>
  <c r="O34" i="1"/>
  <c r="P34" i="1"/>
  <c r="E36" i="1"/>
  <c r="F36" i="1"/>
  <c r="G36" i="1"/>
  <c r="G35" i="1" s="1"/>
  <c r="H36" i="1"/>
  <c r="I36" i="1"/>
  <c r="J36" i="1"/>
  <c r="K36" i="1"/>
  <c r="L36" i="1"/>
  <c r="M36" i="1"/>
  <c r="N36" i="1"/>
  <c r="N35" i="1" s="1"/>
  <c r="O36" i="1"/>
  <c r="O35" i="1" s="1"/>
  <c r="P36" i="1"/>
  <c r="E37" i="1"/>
  <c r="F37" i="1"/>
  <c r="G37" i="1"/>
  <c r="H37" i="1"/>
  <c r="I37" i="1"/>
  <c r="J37" i="1"/>
  <c r="K37" i="1"/>
  <c r="L37" i="1"/>
  <c r="M37" i="1"/>
  <c r="N37" i="1"/>
  <c r="O37" i="1"/>
  <c r="P37" i="1"/>
  <c r="E38" i="1"/>
  <c r="F38" i="1"/>
  <c r="G38" i="1"/>
  <c r="H38" i="1"/>
  <c r="I38" i="1"/>
  <c r="J38" i="1"/>
  <c r="K38" i="1"/>
  <c r="L38" i="1"/>
  <c r="M38" i="1"/>
  <c r="N38" i="1"/>
  <c r="O38" i="1"/>
  <c r="P38" i="1"/>
  <c r="E39" i="1"/>
  <c r="F39" i="1"/>
  <c r="G39" i="1"/>
  <c r="H39" i="1"/>
  <c r="I39" i="1"/>
  <c r="J39" i="1"/>
  <c r="K39" i="1"/>
  <c r="L39" i="1"/>
  <c r="M39" i="1"/>
  <c r="N39" i="1"/>
  <c r="O39" i="1"/>
  <c r="P39" i="1"/>
  <c r="E42" i="1"/>
  <c r="F42" i="1"/>
  <c r="G42" i="1"/>
  <c r="H42" i="1"/>
  <c r="I42" i="1"/>
  <c r="J42" i="1"/>
  <c r="K42" i="1"/>
  <c r="L42" i="1"/>
  <c r="M42" i="1"/>
  <c r="N42" i="1"/>
  <c r="O42" i="1"/>
  <c r="P42" i="1"/>
  <c r="D42" i="1"/>
  <c r="C110" i="1" s="1"/>
  <c r="D39" i="1"/>
  <c r="D38" i="1"/>
  <c r="D37" i="1"/>
  <c r="D36" i="1"/>
  <c r="D34" i="1"/>
  <c r="D30" i="1"/>
  <c r="D29" i="1"/>
  <c r="D28" i="1"/>
  <c r="D27" i="1"/>
  <c r="C99" i="1" s="1"/>
  <c r="C100" i="1" s="1"/>
  <c r="D25" i="1"/>
  <c r="D24" i="1"/>
  <c r="E20" i="1"/>
  <c r="F20" i="1"/>
  <c r="G20" i="1"/>
  <c r="H20" i="1"/>
  <c r="I20" i="1"/>
  <c r="J20" i="1"/>
  <c r="K20" i="1"/>
  <c r="L20" i="1"/>
  <c r="M20" i="1"/>
  <c r="N20" i="1"/>
  <c r="O20" i="1"/>
  <c r="P20" i="1"/>
  <c r="D20" i="1"/>
  <c r="E6" i="1"/>
  <c r="F6" i="1" s="1"/>
  <c r="G6" i="1" s="1"/>
  <c r="J78" i="2"/>
  <c r="I54" i="2"/>
  <c r="G54" i="2"/>
  <c r="F54" i="2"/>
  <c r="I23" i="4"/>
  <c r="J23" i="4"/>
  <c r="K23" i="4"/>
  <c r="L23" i="4"/>
  <c r="I24" i="4"/>
  <c r="J24" i="4"/>
  <c r="K24" i="4"/>
  <c r="L24" i="4"/>
  <c r="I25" i="4"/>
  <c r="J25" i="4"/>
  <c r="K25" i="4"/>
  <c r="L25" i="4"/>
  <c r="I26" i="4"/>
  <c r="J26" i="4"/>
  <c r="K26" i="4"/>
  <c r="L26" i="4"/>
  <c r="I27" i="4"/>
  <c r="J27" i="4"/>
  <c r="K27" i="4"/>
  <c r="L27" i="4"/>
  <c r="I28" i="4"/>
  <c r="J28" i="4"/>
  <c r="K28" i="4"/>
  <c r="L28" i="4"/>
  <c r="I29" i="4"/>
  <c r="J29" i="4"/>
  <c r="K29" i="4"/>
  <c r="L29" i="4"/>
  <c r="I30" i="4"/>
  <c r="J30" i="4"/>
  <c r="K30" i="4"/>
  <c r="L30" i="4"/>
  <c r="I31" i="4"/>
  <c r="J31" i="4"/>
  <c r="K31" i="4"/>
  <c r="L31" i="4"/>
  <c r="I32" i="4"/>
  <c r="J32" i="4"/>
  <c r="K32" i="4"/>
  <c r="L32" i="4"/>
  <c r="I33" i="4"/>
  <c r="J33" i="4"/>
  <c r="K33" i="4"/>
  <c r="L33" i="4"/>
  <c r="I34" i="4"/>
  <c r="J34" i="4"/>
  <c r="K34" i="4"/>
  <c r="L34" i="4"/>
  <c r="I35" i="4"/>
  <c r="J35" i="4"/>
  <c r="K35" i="4"/>
  <c r="L35" i="4"/>
  <c r="I36" i="4"/>
  <c r="J36" i="4"/>
  <c r="K36" i="4"/>
  <c r="L36" i="4"/>
  <c r="I37" i="4"/>
  <c r="J37" i="4"/>
  <c r="K37" i="4"/>
  <c r="L37" i="4"/>
  <c r="I38" i="4"/>
  <c r="J38" i="4"/>
  <c r="K38" i="4"/>
  <c r="L38" i="4"/>
  <c r="I39" i="4"/>
  <c r="J39" i="4"/>
  <c r="K39" i="4"/>
  <c r="L39" i="4"/>
  <c r="I40" i="4"/>
  <c r="J40" i="4"/>
  <c r="K40" i="4"/>
  <c r="L40" i="4"/>
  <c r="I41" i="4"/>
  <c r="J41" i="4"/>
  <c r="K41" i="4"/>
  <c r="L41" i="4"/>
  <c r="I42" i="4"/>
  <c r="J42" i="4"/>
  <c r="K42" i="4"/>
  <c r="L42" i="4"/>
  <c r="I43" i="4"/>
  <c r="J43" i="4"/>
  <c r="K43" i="4"/>
  <c r="L43" i="4"/>
  <c r="I44" i="4"/>
  <c r="J44" i="4"/>
  <c r="K44" i="4"/>
  <c r="L44" i="4"/>
  <c r="I45" i="4"/>
  <c r="J45" i="4"/>
  <c r="K45" i="4"/>
  <c r="L45" i="4"/>
  <c r="I46" i="4"/>
  <c r="J46" i="4"/>
  <c r="K46" i="4"/>
  <c r="L46" i="4"/>
  <c r="I47" i="4"/>
  <c r="J47" i="4"/>
  <c r="K47" i="4"/>
  <c r="L47" i="4"/>
  <c r="I48" i="4"/>
  <c r="J48" i="4"/>
  <c r="K48" i="4"/>
  <c r="L48" i="4"/>
  <c r="I49" i="4"/>
  <c r="J49" i="4"/>
  <c r="K49" i="4"/>
  <c r="L49" i="4"/>
  <c r="I50" i="4"/>
  <c r="J50" i="4"/>
  <c r="K50" i="4"/>
  <c r="L50" i="4"/>
  <c r="I51" i="4"/>
  <c r="J51" i="4"/>
  <c r="K51" i="4"/>
  <c r="L51" i="4"/>
  <c r="I52" i="4"/>
  <c r="J52" i="4"/>
  <c r="K52" i="4"/>
  <c r="L52" i="4"/>
  <c r="I53" i="4"/>
  <c r="J53" i="4"/>
  <c r="K53" i="4"/>
  <c r="L53" i="4"/>
  <c r="I54" i="4"/>
  <c r="J54" i="4"/>
  <c r="K54" i="4"/>
  <c r="L54" i="4"/>
  <c r="I55" i="4"/>
  <c r="J55" i="4"/>
  <c r="K55" i="4"/>
  <c r="L55" i="4"/>
  <c r="I56" i="4"/>
  <c r="J56" i="4"/>
  <c r="K56" i="4"/>
  <c r="L56" i="4"/>
  <c r="I57" i="4"/>
  <c r="J57" i="4"/>
  <c r="K57" i="4"/>
  <c r="L57" i="4"/>
  <c r="I58" i="4"/>
  <c r="J58" i="4"/>
  <c r="K58" i="4"/>
  <c r="L58" i="4"/>
  <c r="I59" i="4"/>
  <c r="J59" i="4"/>
  <c r="K59" i="4"/>
  <c r="L59" i="4"/>
  <c r="I60" i="4"/>
  <c r="J60" i="4"/>
  <c r="K60" i="4"/>
  <c r="L60" i="4"/>
  <c r="I61" i="4"/>
  <c r="J61" i="4"/>
  <c r="K61" i="4"/>
  <c r="L61" i="4"/>
  <c r="I62" i="4"/>
  <c r="J62" i="4"/>
  <c r="K62" i="4"/>
  <c r="L62" i="4"/>
  <c r="I63" i="4"/>
  <c r="J63" i="4"/>
  <c r="K63" i="4"/>
  <c r="L63" i="4"/>
  <c r="I64" i="4"/>
  <c r="J64" i="4"/>
  <c r="K64" i="4"/>
  <c r="L64" i="4"/>
  <c r="I65" i="4"/>
  <c r="J65" i="4"/>
  <c r="K65" i="4"/>
  <c r="L65" i="4"/>
  <c r="I66" i="4"/>
  <c r="J66" i="4"/>
  <c r="K66" i="4"/>
  <c r="L66" i="4"/>
  <c r="I67" i="4"/>
  <c r="J67" i="4"/>
  <c r="K67" i="4"/>
  <c r="L67" i="4"/>
  <c r="I68" i="4"/>
  <c r="J68" i="4"/>
  <c r="K68" i="4"/>
  <c r="L68" i="4"/>
  <c r="I69" i="4"/>
  <c r="J69" i="4"/>
  <c r="K69" i="4"/>
  <c r="L69" i="4"/>
  <c r="I70" i="4"/>
  <c r="J70" i="4"/>
  <c r="K70" i="4"/>
  <c r="L70" i="4"/>
  <c r="I71" i="4"/>
  <c r="J71" i="4"/>
  <c r="K71" i="4"/>
  <c r="L71" i="4"/>
  <c r="I72" i="4"/>
  <c r="J72" i="4"/>
  <c r="K72" i="4"/>
  <c r="L72" i="4"/>
  <c r="I73" i="4"/>
  <c r="J73" i="4"/>
  <c r="K73" i="4"/>
  <c r="L73" i="4"/>
  <c r="I74" i="4"/>
  <c r="J74" i="4"/>
  <c r="K74" i="4"/>
  <c r="L74" i="4"/>
  <c r="I75" i="4"/>
  <c r="J75" i="4"/>
  <c r="K75" i="4"/>
  <c r="L75" i="4"/>
  <c r="I76" i="4"/>
  <c r="J76" i="4"/>
  <c r="K76" i="4"/>
  <c r="L76" i="4"/>
  <c r="I77" i="4"/>
  <c r="J77" i="4"/>
  <c r="K77" i="4"/>
  <c r="L77" i="4"/>
  <c r="I78" i="4"/>
  <c r="J78" i="4"/>
  <c r="K78" i="4"/>
  <c r="L78" i="4"/>
  <c r="I79" i="4"/>
  <c r="J79" i="4"/>
  <c r="K79" i="4"/>
  <c r="L79" i="4"/>
  <c r="I80" i="4"/>
  <c r="J80" i="4"/>
  <c r="K80" i="4"/>
  <c r="L80" i="4"/>
  <c r="I81" i="4"/>
  <c r="J81" i="4"/>
  <c r="K81" i="4"/>
  <c r="L81" i="4"/>
  <c r="J22" i="4"/>
  <c r="K22" i="4"/>
  <c r="L22" i="4"/>
  <c r="I22" i="4"/>
  <c r="A23" i="4"/>
  <c r="B23" i="4"/>
  <c r="C23" i="4"/>
  <c r="D23" i="4"/>
  <c r="E23" i="4"/>
  <c r="A24" i="4"/>
  <c r="B24" i="4"/>
  <c r="C24" i="4"/>
  <c r="D24" i="4"/>
  <c r="E24" i="4"/>
  <c r="A25" i="4"/>
  <c r="B25" i="4"/>
  <c r="C25" i="4"/>
  <c r="D25" i="4"/>
  <c r="E25" i="4"/>
  <c r="A26" i="4"/>
  <c r="B26" i="4"/>
  <c r="C26" i="4"/>
  <c r="D26" i="4"/>
  <c r="E26" i="4"/>
  <c r="A27" i="4"/>
  <c r="B27" i="4"/>
  <c r="C27" i="4"/>
  <c r="D27" i="4"/>
  <c r="E27" i="4"/>
  <c r="A28" i="4"/>
  <c r="B28" i="4"/>
  <c r="C28" i="4"/>
  <c r="D28" i="4"/>
  <c r="E28" i="4"/>
  <c r="A29" i="4"/>
  <c r="B29" i="4"/>
  <c r="C29" i="4"/>
  <c r="D29" i="4"/>
  <c r="E29" i="4"/>
  <c r="A30" i="4"/>
  <c r="B30" i="4"/>
  <c r="C30" i="4"/>
  <c r="D30" i="4"/>
  <c r="E30" i="4"/>
  <c r="A31" i="4"/>
  <c r="B31" i="4"/>
  <c r="C31" i="4"/>
  <c r="D31" i="4"/>
  <c r="E31" i="4"/>
  <c r="A32" i="4"/>
  <c r="B32" i="4"/>
  <c r="C32" i="4"/>
  <c r="D32" i="4"/>
  <c r="E32" i="4"/>
  <c r="A33" i="4"/>
  <c r="B33" i="4"/>
  <c r="C33" i="4"/>
  <c r="D33" i="4"/>
  <c r="E33" i="4"/>
  <c r="A34" i="4"/>
  <c r="B34" i="4"/>
  <c r="C34" i="4"/>
  <c r="D34" i="4"/>
  <c r="E34" i="4"/>
  <c r="A35" i="4"/>
  <c r="B35" i="4"/>
  <c r="C35" i="4"/>
  <c r="D35" i="4"/>
  <c r="E35" i="4"/>
  <c r="A36" i="4"/>
  <c r="B36" i="4"/>
  <c r="C36" i="4"/>
  <c r="D36" i="4"/>
  <c r="E36" i="4"/>
  <c r="A37" i="4"/>
  <c r="B37" i="4"/>
  <c r="C37" i="4"/>
  <c r="D37" i="4"/>
  <c r="E37" i="4"/>
  <c r="A38" i="4"/>
  <c r="B38" i="4"/>
  <c r="C38" i="4"/>
  <c r="D38" i="4"/>
  <c r="E38" i="4"/>
  <c r="A39" i="4"/>
  <c r="B39" i="4"/>
  <c r="C39" i="4"/>
  <c r="D39" i="4"/>
  <c r="E39" i="4"/>
  <c r="A40" i="4"/>
  <c r="B40" i="4"/>
  <c r="C40" i="4"/>
  <c r="D40" i="4"/>
  <c r="E40" i="4"/>
  <c r="A41" i="4"/>
  <c r="B41" i="4"/>
  <c r="C41" i="4"/>
  <c r="D41" i="4"/>
  <c r="E41" i="4"/>
  <c r="A42" i="4"/>
  <c r="B42" i="4"/>
  <c r="C42" i="4"/>
  <c r="D42" i="4"/>
  <c r="E42" i="4"/>
  <c r="A43" i="4"/>
  <c r="B43" i="4"/>
  <c r="C43" i="4"/>
  <c r="D43" i="4"/>
  <c r="E43" i="4"/>
  <c r="A44" i="4"/>
  <c r="B44" i="4"/>
  <c r="C44" i="4"/>
  <c r="D44" i="4"/>
  <c r="E44" i="4"/>
  <c r="A45" i="4"/>
  <c r="B45" i="4"/>
  <c r="C45" i="4"/>
  <c r="D45" i="4"/>
  <c r="E45" i="4"/>
  <c r="A46" i="4"/>
  <c r="B46" i="4"/>
  <c r="C46" i="4"/>
  <c r="D46" i="4"/>
  <c r="E46" i="4"/>
  <c r="A47" i="4"/>
  <c r="B47" i="4"/>
  <c r="C47" i="4"/>
  <c r="D47" i="4"/>
  <c r="E47" i="4"/>
  <c r="A48" i="4"/>
  <c r="B48" i="4"/>
  <c r="C48" i="4"/>
  <c r="D48" i="4"/>
  <c r="E48" i="4"/>
  <c r="A49" i="4"/>
  <c r="B49" i="4"/>
  <c r="C49" i="4"/>
  <c r="D49" i="4"/>
  <c r="E49" i="4"/>
  <c r="A50" i="4"/>
  <c r="B50" i="4"/>
  <c r="C50" i="4"/>
  <c r="D50" i="4"/>
  <c r="E50" i="4"/>
  <c r="A51" i="4"/>
  <c r="B51" i="4"/>
  <c r="C51" i="4"/>
  <c r="D51" i="4"/>
  <c r="E51" i="4"/>
  <c r="A52" i="4"/>
  <c r="B52" i="4"/>
  <c r="C52" i="4"/>
  <c r="D52" i="4"/>
  <c r="E52" i="4"/>
  <c r="A53" i="4"/>
  <c r="B53" i="4"/>
  <c r="C53" i="4"/>
  <c r="D53" i="4"/>
  <c r="E53" i="4"/>
  <c r="A54" i="4"/>
  <c r="B54" i="4"/>
  <c r="C54" i="4"/>
  <c r="D54" i="4"/>
  <c r="E54" i="4"/>
  <c r="A55" i="4"/>
  <c r="B55" i="4"/>
  <c r="C55" i="4"/>
  <c r="D55" i="4"/>
  <c r="E55" i="4"/>
  <c r="A56" i="4"/>
  <c r="B56" i="4"/>
  <c r="C56" i="4"/>
  <c r="D56" i="4"/>
  <c r="E56" i="4"/>
  <c r="A57" i="4"/>
  <c r="B57" i="4"/>
  <c r="C57" i="4"/>
  <c r="D57" i="4"/>
  <c r="E57" i="4"/>
  <c r="A58" i="4"/>
  <c r="B58" i="4"/>
  <c r="C58" i="4"/>
  <c r="D58" i="4"/>
  <c r="E58" i="4"/>
  <c r="A59" i="4"/>
  <c r="B59" i="4"/>
  <c r="C59" i="4"/>
  <c r="D59" i="4"/>
  <c r="E59" i="4"/>
  <c r="A60" i="4"/>
  <c r="B60" i="4"/>
  <c r="C60" i="4"/>
  <c r="D60" i="4"/>
  <c r="E60" i="4"/>
  <c r="A61" i="4"/>
  <c r="B61" i="4"/>
  <c r="C61" i="4"/>
  <c r="D61" i="4"/>
  <c r="E61" i="4"/>
  <c r="A62" i="4"/>
  <c r="B62" i="4"/>
  <c r="C62" i="4"/>
  <c r="D62" i="4"/>
  <c r="E62" i="4"/>
  <c r="A63" i="4"/>
  <c r="B63" i="4"/>
  <c r="C63" i="4"/>
  <c r="D63" i="4"/>
  <c r="E63" i="4"/>
  <c r="A64" i="4"/>
  <c r="B64" i="4"/>
  <c r="C64" i="4"/>
  <c r="D64" i="4"/>
  <c r="E64" i="4"/>
  <c r="A65" i="4"/>
  <c r="B65" i="4"/>
  <c r="C65" i="4"/>
  <c r="D65" i="4"/>
  <c r="E65" i="4"/>
  <c r="A66" i="4"/>
  <c r="B66" i="4"/>
  <c r="C66" i="4"/>
  <c r="D66" i="4"/>
  <c r="E66" i="4"/>
  <c r="A67" i="4"/>
  <c r="B67" i="4"/>
  <c r="C67" i="4"/>
  <c r="D67" i="4"/>
  <c r="E67" i="4"/>
  <c r="A68" i="4"/>
  <c r="B68" i="4"/>
  <c r="C68" i="4"/>
  <c r="D68" i="4"/>
  <c r="E68" i="4"/>
  <c r="A69" i="4"/>
  <c r="B69" i="4"/>
  <c r="C69" i="4"/>
  <c r="D69" i="4"/>
  <c r="E69" i="4"/>
  <c r="A70" i="4"/>
  <c r="B70" i="4"/>
  <c r="C70" i="4"/>
  <c r="D70" i="4"/>
  <c r="E70" i="4"/>
  <c r="A71" i="4"/>
  <c r="B71" i="4"/>
  <c r="C71" i="4"/>
  <c r="D71" i="4"/>
  <c r="E71" i="4"/>
  <c r="A72" i="4"/>
  <c r="B72" i="4"/>
  <c r="C72" i="4"/>
  <c r="D72" i="4"/>
  <c r="E72" i="4"/>
  <c r="A73" i="4"/>
  <c r="B73" i="4"/>
  <c r="C73" i="4"/>
  <c r="D73" i="4"/>
  <c r="E73" i="4"/>
  <c r="A74" i="4"/>
  <c r="P74" i="4" s="1"/>
  <c r="B74" i="4"/>
  <c r="C74" i="4"/>
  <c r="D74" i="4"/>
  <c r="E74" i="4"/>
  <c r="Q74" i="4" s="1"/>
  <c r="A75" i="4"/>
  <c r="P75" i="4" s="1"/>
  <c r="B75" i="4"/>
  <c r="C75" i="4"/>
  <c r="D75" i="4"/>
  <c r="E75" i="4"/>
  <c r="A76" i="4"/>
  <c r="P76" i="4" s="1"/>
  <c r="B76" i="4"/>
  <c r="C76" i="4"/>
  <c r="D76" i="4"/>
  <c r="E76" i="4"/>
  <c r="Q76" i="4" s="1"/>
  <c r="A77" i="4"/>
  <c r="P77" i="4" s="1"/>
  <c r="B77" i="4"/>
  <c r="C77" i="4"/>
  <c r="D77" i="4"/>
  <c r="E77" i="4"/>
  <c r="Q77" i="4" s="1"/>
  <c r="A78" i="4"/>
  <c r="P78" i="4" s="1"/>
  <c r="B78" i="4"/>
  <c r="C78" i="4"/>
  <c r="D78" i="4"/>
  <c r="E78" i="4"/>
  <c r="A79" i="4"/>
  <c r="P79" i="4" s="1"/>
  <c r="B79" i="4"/>
  <c r="C79" i="4"/>
  <c r="D79" i="4"/>
  <c r="E79" i="4"/>
  <c r="Q79" i="4" s="1"/>
  <c r="A80" i="4"/>
  <c r="Z80" i="4" s="1"/>
  <c r="B80" i="4"/>
  <c r="C80" i="4"/>
  <c r="D80" i="4"/>
  <c r="E80" i="4"/>
  <c r="Q80" i="4" s="1"/>
  <c r="A81" i="4"/>
  <c r="P81" i="4" s="1"/>
  <c r="B81" i="4"/>
  <c r="C81" i="4"/>
  <c r="D81" i="4"/>
  <c r="E81" i="4"/>
  <c r="Q81" i="4" s="1"/>
  <c r="E22" i="4"/>
  <c r="D22" i="4"/>
  <c r="C22" i="4"/>
  <c r="B22" i="4"/>
  <c r="A22" i="4"/>
  <c r="G53" i="2"/>
  <c r="F53" i="2"/>
  <c r="C53" i="2"/>
  <c r="S7" i="3"/>
  <c r="S6" i="3"/>
  <c r="S33" i="3" s="1"/>
  <c r="D78" i="1"/>
  <c r="S27" i="3" s="1"/>
  <c r="E19" i="13" s="1"/>
  <c r="D75" i="1"/>
  <c r="S26" i="3" s="1"/>
  <c r="E18" i="13" s="1"/>
  <c r="D21" i="1"/>
  <c r="D72" i="1"/>
  <c r="D90" i="1" s="1"/>
  <c r="D71" i="1"/>
  <c r="D89" i="1" s="1"/>
  <c r="D16" i="1"/>
  <c r="S22" i="3" s="1"/>
  <c r="D15" i="1"/>
  <c r="D12" i="1"/>
  <c r="S18" i="3" s="1"/>
  <c r="D10" i="1"/>
  <c r="S15" i="3" s="1"/>
  <c r="D8" i="1"/>
  <c r="S11" i="3" s="1"/>
  <c r="D7" i="1"/>
  <c r="R7" i="3"/>
  <c r="E21" i="1"/>
  <c r="E72" i="1" s="1"/>
  <c r="E90" i="1" s="1"/>
  <c r="P7" i="1"/>
  <c r="G8" i="3" s="1"/>
  <c r="P8" i="1"/>
  <c r="G11" i="3" s="1"/>
  <c r="P10" i="1"/>
  <c r="G15" i="3" s="1"/>
  <c r="P12" i="1"/>
  <c r="G18" i="3" s="1"/>
  <c r="P15" i="1"/>
  <c r="P16" i="1"/>
  <c r="G22" i="3" s="1"/>
  <c r="P71" i="1"/>
  <c r="O7" i="1"/>
  <c r="O8" i="1"/>
  <c r="H11" i="3" s="1"/>
  <c r="O10" i="1"/>
  <c r="H15" i="3" s="1"/>
  <c r="O12" i="1"/>
  <c r="H18" i="3" s="1"/>
  <c r="O15" i="1"/>
  <c r="O16" i="1"/>
  <c r="H22" i="3" s="1"/>
  <c r="O71" i="1"/>
  <c r="N7" i="1"/>
  <c r="I8" i="3" s="1"/>
  <c r="N8" i="1"/>
  <c r="I11" i="3" s="1"/>
  <c r="N10" i="1"/>
  <c r="I15" i="3" s="1"/>
  <c r="N12" i="1"/>
  <c r="I18" i="3" s="1"/>
  <c r="N15" i="1"/>
  <c r="N16" i="1"/>
  <c r="I22" i="3" s="1"/>
  <c r="N71" i="1"/>
  <c r="D8" i="2" l="1"/>
  <c r="B10" i="12"/>
  <c r="E6" i="2"/>
  <c r="E8" i="2" s="1"/>
  <c r="Q17" i="1"/>
  <c r="F23" i="3" s="1"/>
  <c r="M77" i="4"/>
  <c r="T77" i="4" s="1"/>
  <c r="M23" i="4"/>
  <c r="J54" i="2"/>
  <c r="C30" i="2"/>
  <c r="D30" i="2"/>
  <c r="E30" i="2"/>
  <c r="H30" i="2"/>
  <c r="F35" i="1"/>
  <c r="S29" i="3"/>
  <c r="C81" i="1"/>
  <c r="T19" i="3"/>
  <c r="T35" i="3"/>
  <c r="D109" i="2" s="1"/>
  <c r="R9" i="1"/>
  <c r="R11" i="1" s="1"/>
  <c r="R91" i="1" s="1"/>
  <c r="Q94" i="1"/>
  <c r="S8" i="3"/>
  <c r="T9" i="3" s="1"/>
  <c r="C94" i="1"/>
  <c r="R34" i="3"/>
  <c r="E6" i="13"/>
  <c r="E24" i="13" s="1"/>
  <c r="E8" i="13"/>
  <c r="E11" i="13"/>
  <c r="C109" i="1"/>
  <c r="C104" i="1"/>
  <c r="C105" i="1"/>
  <c r="S94" i="1"/>
  <c r="D30" i="3"/>
  <c r="F30" i="3"/>
  <c r="F31" i="3" s="1"/>
  <c r="F47" i="3" s="1"/>
  <c r="E30" i="3"/>
  <c r="E31" i="3" s="1"/>
  <c r="E47" i="3" s="1"/>
  <c r="F8" i="3"/>
  <c r="F45" i="3" s="1"/>
  <c r="R94" i="1"/>
  <c r="E8" i="3"/>
  <c r="E43" i="3" s="1"/>
  <c r="T85" i="1"/>
  <c r="D8" i="3"/>
  <c r="D9" i="3" s="1"/>
  <c r="D37" i="3" s="1"/>
  <c r="F75" i="4"/>
  <c r="S75" i="4" s="1"/>
  <c r="S26" i="1"/>
  <c r="S98" i="1" s="1"/>
  <c r="S48" i="1"/>
  <c r="O56" i="1"/>
  <c r="O55" i="1" s="1"/>
  <c r="S35" i="1"/>
  <c r="R56" i="1"/>
  <c r="R55" i="1" s="1"/>
  <c r="S85" i="1"/>
  <c r="N56" i="1"/>
  <c r="N55" i="1" s="1"/>
  <c r="T35" i="1"/>
  <c r="Q56" i="1"/>
  <c r="Q55" i="1" s="1"/>
  <c r="K26" i="1"/>
  <c r="K31" i="1" s="1"/>
  <c r="K40" i="1" s="1"/>
  <c r="K41" i="1" s="1"/>
  <c r="C30" i="3"/>
  <c r="D29" i="3"/>
  <c r="C29" i="3"/>
  <c r="P94" i="1"/>
  <c r="K54" i="2"/>
  <c r="C54" i="2"/>
  <c r="D54" i="2"/>
  <c r="E54" i="2"/>
  <c r="H54" i="2"/>
  <c r="C12" i="3"/>
  <c r="C16" i="3" s="1"/>
  <c r="C19" i="3" s="1"/>
  <c r="C43" i="3"/>
  <c r="C42" i="3"/>
  <c r="C40" i="3"/>
  <c r="C45" i="3"/>
  <c r="C39" i="3"/>
  <c r="T67" i="1"/>
  <c r="T68" i="1" s="1"/>
  <c r="T26" i="1"/>
  <c r="T31" i="1" s="1"/>
  <c r="T17" i="1"/>
  <c r="S17" i="1"/>
  <c r="D23" i="3" s="1"/>
  <c r="E58" i="2"/>
  <c r="H58" i="2" s="1"/>
  <c r="J58" i="2" s="1"/>
  <c r="H135" i="2"/>
  <c r="E59" i="2"/>
  <c r="H59" i="2" s="1"/>
  <c r="J59" i="2" s="1"/>
  <c r="E60" i="2"/>
  <c r="H60" i="2" s="1"/>
  <c r="J60" i="2" s="1"/>
  <c r="C43" i="13" s="1"/>
  <c r="E61" i="2"/>
  <c r="H61" i="2" s="1"/>
  <c r="J61" i="2" s="1"/>
  <c r="E62" i="2"/>
  <c r="H62" i="2" s="1"/>
  <c r="J62" i="2" s="1"/>
  <c r="C44" i="13" s="1"/>
  <c r="E56" i="2"/>
  <c r="H56" i="2" s="1"/>
  <c r="J56" i="2" s="1"/>
  <c r="C42" i="13" s="1"/>
  <c r="H77" i="2"/>
  <c r="J77" i="2" s="1"/>
  <c r="M79" i="4"/>
  <c r="T79" i="4" s="1"/>
  <c r="M75" i="4"/>
  <c r="T75" i="4" s="1"/>
  <c r="F78" i="4"/>
  <c r="S78" i="4" s="1"/>
  <c r="E55" i="2"/>
  <c r="H55" i="2" s="1"/>
  <c r="J55" i="2" s="1"/>
  <c r="P81" i="1"/>
  <c r="R67" i="1"/>
  <c r="R68" i="1" s="1"/>
  <c r="T48" i="1"/>
  <c r="Q67" i="1"/>
  <c r="Q68" i="1" s="1"/>
  <c r="S56" i="1"/>
  <c r="S55" i="1" s="1"/>
  <c r="T56" i="1"/>
  <c r="T55" i="1" s="1"/>
  <c r="Q103" i="1"/>
  <c r="R35" i="1"/>
  <c r="R17" i="1"/>
  <c r="Z76" i="4"/>
  <c r="Q75" i="4"/>
  <c r="P80" i="4"/>
  <c r="S103" i="1"/>
  <c r="R63" i="1"/>
  <c r="Q9" i="1"/>
  <c r="Q11" i="1" s="1"/>
  <c r="Q91" i="1" s="1"/>
  <c r="Q105" i="1" s="1"/>
  <c r="T103" i="1"/>
  <c r="J26" i="1"/>
  <c r="J31" i="1" s="1"/>
  <c r="J40" i="1" s="1"/>
  <c r="J41" i="1" s="1"/>
  <c r="P56" i="1"/>
  <c r="P55" i="1" s="1"/>
  <c r="M48" i="1"/>
  <c r="E48" i="1"/>
  <c r="Q63" i="1"/>
  <c r="Q35" i="1"/>
  <c r="T9" i="1"/>
  <c r="T63" i="1"/>
  <c r="R103" i="1"/>
  <c r="S31" i="1"/>
  <c r="S97" i="1" s="1"/>
  <c r="S67" i="1"/>
  <c r="S68" i="1" s="1"/>
  <c r="Q111" i="1"/>
  <c r="R26" i="1"/>
  <c r="R98" i="1" s="1"/>
  <c r="M35" i="1"/>
  <c r="Q48" i="1"/>
  <c r="Q110" i="1"/>
  <c r="S9" i="1"/>
  <c r="S63" i="1"/>
  <c r="R48" i="1"/>
  <c r="Q26" i="1"/>
  <c r="Q31" i="1" s="1"/>
  <c r="Q97" i="1" s="1"/>
  <c r="D56" i="1"/>
  <c r="D55" i="1" s="1"/>
  <c r="C83" i="1" s="1"/>
  <c r="N48" i="1"/>
  <c r="F48" i="1"/>
  <c r="R81" i="1"/>
  <c r="R85" i="1" s="1"/>
  <c r="Q81" i="1"/>
  <c r="Q85" i="1" s="1"/>
  <c r="M63" i="1"/>
  <c r="J63" i="1"/>
  <c r="J35" i="1"/>
  <c r="M26" i="1"/>
  <c r="M31" i="1" s="1"/>
  <c r="M40" i="1" s="1"/>
  <c r="M41" i="1" s="1"/>
  <c r="D48" i="1"/>
  <c r="K63" i="1"/>
  <c r="I35" i="1"/>
  <c r="E35" i="1"/>
  <c r="N63" i="1"/>
  <c r="F63" i="1"/>
  <c r="E63" i="1"/>
  <c r="L48" i="1"/>
  <c r="L63" i="1"/>
  <c r="E26" i="1"/>
  <c r="E31" i="1" s="1"/>
  <c r="E40" i="1" s="1"/>
  <c r="E41" i="1" s="1"/>
  <c r="I26" i="1"/>
  <c r="I31" i="1" s="1"/>
  <c r="I40" i="1" s="1"/>
  <c r="I41" i="1" s="1"/>
  <c r="K48" i="1"/>
  <c r="P35" i="1"/>
  <c r="H35" i="1"/>
  <c r="F56" i="1"/>
  <c r="F55" i="1" s="1"/>
  <c r="Q7" i="3"/>
  <c r="E97" i="2"/>
  <c r="E146" i="2" s="1"/>
  <c r="S39" i="3"/>
  <c r="S43" i="3"/>
  <c r="J48" i="1"/>
  <c r="D146" i="2"/>
  <c r="P26" i="1"/>
  <c r="P31" i="1" s="1"/>
  <c r="P40" i="1" s="1"/>
  <c r="P41" i="1" s="1"/>
  <c r="H26" i="1"/>
  <c r="H31" i="1" s="1"/>
  <c r="H40" i="1" s="1"/>
  <c r="H41" i="1" s="1"/>
  <c r="L26" i="1"/>
  <c r="L31" i="1" s="1"/>
  <c r="L40" i="1" s="1"/>
  <c r="L41" i="1" s="1"/>
  <c r="I48" i="1"/>
  <c r="I63" i="1"/>
  <c r="L35" i="1"/>
  <c r="O26" i="1"/>
  <c r="O31" i="1" s="1"/>
  <c r="O40" i="1" s="1"/>
  <c r="O41" i="1" s="1"/>
  <c r="G26" i="1"/>
  <c r="G31" i="1" s="1"/>
  <c r="G40" i="1" s="1"/>
  <c r="G41" i="1" s="1"/>
  <c r="P48" i="1"/>
  <c r="H56" i="1"/>
  <c r="H55" i="1" s="1"/>
  <c r="P63" i="1"/>
  <c r="H63" i="1"/>
  <c r="G45" i="3"/>
  <c r="I40" i="3"/>
  <c r="G40" i="3"/>
  <c r="F21" i="1"/>
  <c r="F72" i="1" s="1"/>
  <c r="K35" i="1"/>
  <c r="N26" i="1"/>
  <c r="N31" i="1" s="1"/>
  <c r="N40" i="1" s="1"/>
  <c r="N41" i="1" s="1"/>
  <c r="F26" i="1"/>
  <c r="F31" i="1" s="1"/>
  <c r="F40" i="1" s="1"/>
  <c r="F41" i="1" s="1"/>
  <c r="M56" i="1"/>
  <c r="M55" i="1" s="1"/>
  <c r="E56" i="1"/>
  <c r="E55" i="1" s="1"/>
  <c r="O48" i="1"/>
  <c r="G56" i="1"/>
  <c r="G55" i="1" s="1"/>
  <c r="O63" i="1"/>
  <c r="G63" i="1"/>
  <c r="G48" i="1"/>
  <c r="H48" i="1"/>
  <c r="I56" i="1"/>
  <c r="I55" i="1" s="1"/>
  <c r="L56" i="1"/>
  <c r="L55" i="1" s="1"/>
  <c r="K56" i="1"/>
  <c r="K55" i="1" s="1"/>
  <c r="J56" i="1"/>
  <c r="J55" i="1" s="1"/>
  <c r="I67" i="1"/>
  <c r="N67" i="1"/>
  <c r="F67" i="1"/>
  <c r="M67" i="1"/>
  <c r="E67" i="1"/>
  <c r="P67" i="1"/>
  <c r="P68" i="1" s="1"/>
  <c r="H67" i="1"/>
  <c r="K67" i="1"/>
  <c r="O67" i="1"/>
  <c r="O68" i="1" s="1"/>
  <c r="G67" i="1"/>
  <c r="J67" i="1"/>
  <c r="L67" i="1"/>
  <c r="G21" i="1"/>
  <c r="G72" i="1" s="1"/>
  <c r="P7" i="3"/>
  <c r="P34" i="3" s="1"/>
  <c r="H6" i="1"/>
  <c r="C146" i="2"/>
  <c r="S34" i="3"/>
  <c r="G39" i="3"/>
  <c r="D17" i="1"/>
  <c r="D110" i="1" s="1"/>
  <c r="F77" i="4"/>
  <c r="S77" i="4" s="1"/>
  <c r="F76" i="4"/>
  <c r="S76" i="4" s="1"/>
  <c r="Z75" i="4"/>
  <c r="Z78" i="4"/>
  <c r="Z77" i="4"/>
  <c r="F81" i="4"/>
  <c r="S81" i="4" s="1"/>
  <c r="Z81" i="4"/>
  <c r="Z79" i="4"/>
  <c r="B9" i="12"/>
  <c r="B130" i="2"/>
  <c r="D103" i="1"/>
  <c r="S30" i="3"/>
  <c r="D111" i="1"/>
  <c r="S12" i="3"/>
  <c r="S25" i="3"/>
  <c r="D99" i="1"/>
  <c r="D100" i="1" s="1"/>
  <c r="S21" i="3"/>
  <c r="S23" i="3" s="1"/>
  <c r="M76" i="4"/>
  <c r="T76" i="4" s="1"/>
  <c r="F79" i="4"/>
  <c r="S79" i="4" s="1"/>
  <c r="Z74" i="4"/>
  <c r="M80" i="4"/>
  <c r="T80" i="4" s="1"/>
  <c r="Q78" i="4"/>
  <c r="M81" i="4"/>
  <c r="T81" i="4" s="1"/>
  <c r="M78" i="4"/>
  <c r="T78" i="4" s="1"/>
  <c r="F80" i="4"/>
  <c r="S80" i="4" s="1"/>
  <c r="I42" i="3"/>
  <c r="I45" i="3"/>
  <c r="D26" i="1"/>
  <c r="I43" i="3"/>
  <c r="D9" i="1"/>
  <c r="D35" i="1"/>
  <c r="O17" i="1"/>
  <c r="O110" i="1" s="1"/>
  <c r="P17" i="1"/>
  <c r="G23" i="3" s="1"/>
  <c r="N9" i="1"/>
  <c r="N108" i="1" s="1"/>
  <c r="P9" i="1"/>
  <c r="P108" i="1" s="1"/>
  <c r="G29" i="3"/>
  <c r="N17" i="1"/>
  <c r="O81" i="1"/>
  <c r="N94" i="1"/>
  <c r="H29" i="3"/>
  <c r="O9" i="1"/>
  <c r="O108" i="1" s="1"/>
  <c r="H21" i="3"/>
  <c r="G21" i="3"/>
  <c r="I12" i="3"/>
  <c r="I13" i="3" s="1"/>
  <c r="P99" i="1"/>
  <c r="P100" i="1" s="1"/>
  <c r="H8" i="3"/>
  <c r="I39" i="3"/>
  <c r="I21" i="3"/>
  <c r="O99" i="1"/>
  <c r="O100" i="1" s="1"/>
  <c r="O94" i="1"/>
  <c r="D81" i="1"/>
  <c r="Q27" i="3"/>
  <c r="C19" i="13" s="1"/>
  <c r="P27" i="3"/>
  <c r="O27" i="3"/>
  <c r="N27" i="3"/>
  <c r="M27" i="3"/>
  <c r="L27" i="3"/>
  <c r="K27" i="3"/>
  <c r="J27" i="3"/>
  <c r="R27" i="3"/>
  <c r="D19" i="13" s="1"/>
  <c r="R25" i="3"/>
  <c r="D17" i="13" s="1"/>
  <c r="Q25" i="3"/>
  <c r="C17" i="13" s="1"/>
  <c r="P25" i="3"/>
  <c r="O25" i="3"/>
  <c r="N25" i="3"/>
  <c r="M25" i="3"/>
  <c r="L25" i="3"/>
  <c r="K25" i="3"/>
  <c r="J25" i="3"/>
  <c r="Q26" i="3"/>
  <c r="C18" i="13" s="1"/>
  <c r="P26" i="3"/>
  <c r="O26" i="3"/>
  <c r="N26" i="3"/>
  <c r="M26" i="3"/>
  <c r="L26" i="3"/>
  <c r="K26" i="3"/>
  <c r="J26" i="3"/>
  <c r="R26" i="3"/>
  <c r="D18" i="13" s="1"/>
  <c r="M74" i="4"/>
  <c r="F7" i="1"/>
  <c r="G7" i="1"/>
  <c r="H7" i="1"/>
  <c r="I7" i="1"/>
  <c r="J7" i="1"/>
  <c r="K7" i="1"/>
  <c r="L7" i="1"/>
  <c r="M7" i="1"/>
  <c r="F8" i="1"/>
  <c r="Q11" i="3" s="1"/>
  <c r="G8" i="1"/>
  <c r="P11" i="3" s="1"/>
  <c r="H8" i="1"/>
  <c r="O11" i="3" s="1"/>
  <c r="I8" i="1"/>
  <c r="N11" i="3" s="1"/>
  <c r="J8" i="1"/>
  <c r="K8" i="1"/>
  <c r="L11" i="3" s="1"/>
  <c r="L8" i="1"/>
  <c r="K11" i="3" s="1"/>
  <c r="M8" i="1"/>
  <c r="J11" i="3" s="1"/>
  <c r="F10" i="1"/>
  <c r="Q15" i="3" s="1"/>
  <c r="G10" i="1"/>
  <c r="P15" i="3" s="1"/>
  <c r="H10" i="1"/>
  <c r="O15" i="3" s="1"/>
  <c r="I10" i="1"/>
  <c r="N15" i="3" s="1"/>
  <c r="J10" i="1"/>
  <c r="M15" i="3" s="1"/>
  <c r="K10" i="1"/>
  <c r="L15" i="3" s="1"/>
  <c r="L10" i="1"/>
  <c r="K15" i="3" s="1"/>
  <c r="M10" i="1"/>
  <c r="J15" i="3" s="1"/>
  <c r="F12" i="1"/>
  <c r="Q18" i="3" s="1"/>
  <c r="G12" i="1"/>
  <c r="P18" i="3" s="1"/>
  <c r="H12" i="1"/>
  <c r="O18" i="3" s="1"/>
  <c r="I12" i="1"/>
  <c r="N18" i="3" s="1"/>
  <c r="J12" i="1"/>
  <c r="M18" i="3" s="1"/>
  <c r="K12" i="1"/>
  <c r="L18" i="3" s="1"/>
  <c r="L12" i="1"/>
  <c r="K18" i="3" s="1"/>
  <c r="M12" i="1"/>
  <c r="J18" i="3" s="1"/>
  <c r="F15" i="1"/>
  <c r="Q21" i="3" s="1"/>
  <c r="G15" i="1"/>
  <c r="P21" i="3" s="1"/>
  <c r="H15" i="1"/>
  <c r="O21" i="3" s="1"/>
  <c r="I15" i="1"/>
  <c r="N21" i="3" s="1"/>
  <c r="J15" i="1"/>
  <c r="M21" i="3" s="1"/>
  <c r="K15" i="1"/>
  <c r="L21" i="3" s="1"/>
  <c r="L15" i="1"/>
  <c r="M15" i="1"/>
  <c r="F16" i="1"/>
  <c r="Q22" i="3" s="1"/>
  <c r="G16" i="1"/>
  <c r="P22" i="3" s="1"/>
  <c r="H16" i="1"/>
  <c r="I16" i="1"/>
  <c r="N22" i="3" s="1"/>
  <c r="J16" i="1"/>
  <c r="K16" i="1"/>
  <c r="L22" i="3" s="1"/>
  <c r="L16" i="1"/>
  <c r="K22" i="3" s="1"/>
  <c r="M16" i="1"/>
  <c r="J22" i="3" s="1"/>
  <c r="E9" i="2" l="1"/>
  <c r="E10" i="2"/>
  <c r="C6" i="2"/>
  <c r="D9" i="2"/>
  <c r="D10" i="2"/>
  <c r="S40" i="3"/>
  <c r="S42" i="3"/>
  <c r="F42" i="3"/>
  <c r="C45" i="13"/>
  <c r="C46" i="13" s="1"/>
  <c r="G37" i="13" s="1"/>
  <c r="J67" i="2"/>
  <c r="B113" i="2" s="1"/>
  <c r="B165" i="2" s="1"/>
  <c r="E23" i="13"/>
  <c r="S31" i="3"/>
  <c r="S47" i="3" s="1"/>
  <c r="N45" i="13" s="1"/>
  <c r="E12" i="13"/>
  <c r="E9" i="13"/>
  <c r="C85" i="1"/>
  <c r="R108" i="1"/>
  <c r="E39" i="3"/>
  <c r="E42" i="3"/>
  <c r="E40" i="3"/>
  <c r="S45" i="3"/>
  <c r="E17" i="13"/>
  <c r="E22" i="13" s="1"/>
  <c r="D40" i="3"/>
  <c r="E45" i="3"/>
  <c r="C11" i="13"/>
  <c r="F9" i="3"/>
  <c r="F37" i="3" s="1"/>
  <c r="E14" i="13"/>
  <c r="G6" i="13"/>
  <c r="C8" i="13"/>
  <c r="C24" i="13"/>
  <c r="F90" i="1"/>
  <c r="W49" i="2"/>
  <c r="F12" i="3"/>
  <c r="F13" i="3" s="1"/>
  <c r="D45" i="3"/>
  <c r="F40" i="3"/>
  <c r="F39" i="3"/>
  <c r="D43" i="3"/>
  <c r="G9" i="3"/>
  <c r="G37" i="3" s="1"/>
  <c r="D12" i="3"/>
  <c r="D16" i="3" s="1"/>
  <c r="D35" i="3" s="1"/>
  <c r="D39" i="3"/>
  <c r="E12" i="3"/>
  <c r="E13" i="3" s="1"/>
  <c r="D31" i="3"/>
  <c r="D47" i="3" s="1"/>
  <c r="F43" i="3"/>
  <c r="G90" i="1"/>
  <c r="X49" i="2"/>
  <c r="C13" i="3"/>
  <c r="D42" i="3"/>
  <c r="E9" i="3"/>
  <c r="E37" i="3" s="1"/>
  <c r="C31" i="3"/>
  <c r="C47" i="3" s="1"/>
  <c r="T97" i="1"/>
  <c r="T40" i="1"/>
  <c r="T41" i="1" s="1"/>
  <c r="T98" i="1"/>
  <c r="H12" i="3"/>
  <c r="H16" i="3" s="1"/>
  <c r="H35" i="3" s="1"/>
  <c r="H9" i="3"/>
  <c r="H37" i="3" s="1"/>
  <c r="S110" i="1"/>
  <c r="T111" i="1"/>
  <c r="C23" i="3"/>
  <c r="S111" i="1"/>
  <c r="R111" i="1"/>
  <c r="E23" i="3"/>
  <c r="F16" i="3"/>
  <c r="F19" i="3" s="1"/>
  <c r="C35" i="3"/>
  <c r="R110" i="1"/>
  <c r="F17" i="1"/>
  <c r="Q23" i="3" s="1"/>
  <c r="T110" i="1"/>
  <c r="Q108" i="1"/>
  <c r="Q13" i="1"/>
  <c r="Q14" i="1" s="1"/>
  <c r="F20" i="3" s="1"/>
  <c r="T108" i="1"/>
  <c r="T11" i="1"/>
  <c r="R31" i="1"/>
  <c r="R97" i="1" s="1"/>
  <c r="S40" i="1"/>
  <c r="S41" i="1" s="1"/>
  <c r="R13" i="1"/>
  <c r="R14" i="1" s="1"/>
  <c r="E20" i="3" s="1"/>
  <c r="Q98" i="1"/>
  <c r="S108" i="1"/>
  <c r="S11" i="1"/>
  <c r="Q40" i="1"/>
  <c r="Q41" i="1" s="1"/>
  <c r="R109" i="1"/>
  <c r="R104" i="1"/>
  <c r="R105" i="1"/>
  <c r="Q109" i="1"/>
  <c r="Q104" i="1"/>
  <c r="Q34" i="3"/>
  <c r="B146" i="2"/>
  <c r="O7" i="3"/>
  <c r="O34" i="3" s="1"/>
  <c r="H21" i="1"/>
  <c r="H72" i="1" s="1"/>
  <c r="I6" i="1"/>
  <c r="H40" i="3"/>
  <c r="D63" i="1"/>
  <c r="D82" i="1"/>
  <c r="D31" i="1"/>
  <c r="D98" i="1"/>
  <c r="I16" i="3"/>
  <c r="I19" i="3" s="1"/>
  <c r="S16" i="3"/>
  <c r="S13" i="3"/>
  <c r="D11" i="1"/>
  <c r="D108" i="1"/>
  <c r="T74" i="4"/>
  <c r="N11" i="1"/>
  <c r="N13" i="1" s="1"/>
  <c r="N14" i="1" s="1"/>
  <c r="I20" i="3" s="1"/>
  <c r="O111" i="1"/>
  <c r="H23" i="3"/>
  <c r="P11" i="1"/>
  <c r="P91" i="1" s="1"/>
  <c r="P105" i="1" s="1"/>
  <c r="K17" i="1"/>
  <c r="L23" i="3" s="1"/>
  <c r="P110" i="1"/>
  <c r="O11" i="1"/>
  <c r="O13" i="1" s="1"/>
  <c r="O14" i="1" s="1"/>
  <c r="H20" i="3" s="1"/>
  <c r="P111" i="1"/>
  <c r="I17" i="1"/>
  <c r="N23" i="3" s="1"/>
  <c r="G17" i="1"/>
  <c r="P23" i="3" s="1"/>
  <c r="I9" i="3"/>
  <c r="I37" i="3" s="1"/>
  <c r="Q8" i="3"/>
  <c r="C6" i="13" s="1"/>
  <c r="C22" i="13" s="1"/>
  <c r="J8" i="3"/>
  <c r="J39" i="3" s="1"/>
  <c r="M94" i="1"/>
  <c r="L17" i="1"/>
  <c r="K21" i="3"/>
  <c r="K8" i="3"/>
  <c r="K42" i="3" s="1"/>
  <c r="P97" i="1"/>
  <c r="P98" i="1"/>
  <c r="H39" i="3"/>
  <c r="M17" i="1"/>
  <c r="J21" i="3"/>
  <c r="L8" i="3"/>
  <c r="L42" i="3" s="1"/>
  <c r="O98" i="1"/>
  <c r="I23" i="3"/>
  <c r="H43" i="3"/>
  <c r="R30" i="3"/>
  <c r="J17" i="1"/>
  <c r="M22" i="3"/>
  <c r="J9" i="1"/>
  <c r="J108" i="1" s="1"/>
  <c r="M11" i="3"/>
  <c r="M8" i="3"/>
  <c r="M40" i="3" s="1"/>
  <c r="N120" i="2"/>
  <c r="E103" i="1"/>
  <c r="R29" i="3"/>
  <c r="P8" i="3"/>
  <c r="P12" i="3" s="1"/>
  <c r="N8" i="3"/>
  <c r="N42" i="3" s="1"/>
  <c r="H45" i="3"/>
  <c r="H17" i="1"/>
  <c r="O22" i="3"/>
  <c r="O8" i="3"/>
  <c r="O40" i="3" s="1"/>
  <c r="H42" i="3"/>
  <c r="G64" i="2"/>
  <c r="N122" i="2"/>
  <c r="F64" i="2"/>
  <c r="J136" i="2" s="1"/>
  <c r="K9" i="1"/>
  <c r="M9" i="1"/>
  <c r="H9" i="1"/>
  <c r="L9" i="1"/>
  <c r="F9" i="1"/>
  <c r="G9" i="1"/>
  <c r="I9" i="1"/>
  <c r="D11" i="2" l="1"/>
  <c r="D12" i="2"/>
  <c r="D13" i="2" s="1"/>
  <c r="D14" i="2" s="1"/>
  <c r="E12" i="2"/>
  <c r="E13" i="2" s="1"/>
  <c r="E14" i="2" s="1"/>
  <c r="E11" i="2"/>
  <c r="C9" i="13"/>
  <c r="K40" i="13"/>
  <c r="N39" i="13"/>
  <c r="Q39" i="13" s="1"/>
  <c r="R39" i="13" s="1"/>
  <c r="C14" i="13"/>
  <c r="E16" i="3"/>
  <c r="E35" i="3" s="1"/>
  <c r="C12" i="13"/>
  <c r="C23" i="13"/>
  <c r="H6" i="13"/>
  <c r="G11" i="13"/>
  <c r="E46" i="13"/>
  <c r="E47" i="13" s="1"/>
  <c r="H13" i="3"/>
  <c r="H90" i="1"/>
  <c r="Y49" i="2"/>
  <c r="F35" i="3"/>
  <c r="H19" i="3"/>
  <c r="D13" i="3"/>
  <c r="D19" i="3"/>
  <c r="Q39" i="3"/>
  <c r="I35" i="3"/>
  <c r="R40" i="1"/>
  <c r="R41" i="1" s="1"/>
  <c r="T91" i="1"/>
  <c r="T13" i="1"/>
  <c r="T14" i="1" s="1"/>
  <c r="C20" i="3" s="1"/>
  <c r="S91" i="1"/>
  <c r="S13" i="1"/>
  <c r="S14" i="1" s="1"/>
  <c r="D20" i="3" s="1"/>
  <c r="N40" i="3"/>
  <c r="L40" i="3"/>
  <c r="K40" i="3"/>
  <c r="I21" i="1"/>
  <c r="I72" i="1" s="1"/>
  <c r="N7" i="3"/>
  <c r="N34" i="3" s="1"/>
  <c r="J6" i="1"/>
  <c r="Q40" i="3"/>
  <c r="J40" i="3"/>
  <c r="P40" i="3"/>
  <c r="F123" i="2"/>
  <c r="U48" i="3"/>
  <c r="V48" i="3" s="1"/>
  <c r="W48" i="3" s="1"/>
  <c r="X48" i="3" s="1"/>
  <c r="Y48" i="3" s="1"/>
  <c r="Z48" i="3" s="1"/>
  <c r="D40" i="1"/>
  <c r="D41" i="1" s="1"/>
  <c r="D97" i="1"/>
  <c r="D13" i="1"/>
  <c r="D14" i="1" s="1"/>
  <c r="S20" i="3" s="1"/>
  <c r="D91" i="1"/>
  <c r="D105" i="1" s="1"/>
  <c r="S19" i="3"/>
  <c r="S35" i="3"/>
  <c r="P43" i="3"/>
  <c r="Q45" i="3"/>
  <c r="N123" i="2"/>
  <c r="P13" i="1"/>
  <c r="P14" i="1" s="1"/>
  <c r="G20" i="3" s="1"/>
  <c r="N91" i="1"/>
  <c r="R31" i="3"/>
  <c r="N39" i="3"/>
  <c r="Q43" i="3"/>
  <c r="J11" i="1"/>
  <c r="J13" i="1" s="1"/>
  <c r="J14" i="1" s="1"/>
  <c r="M20" i="3" s="1"/>
  <c r="O91" i="1"/>
  <c r="O105" i="1" s="1"/>
  <c r="Q42" i="3"/>
  <c r="K43" i="3"/>
  <c r="J42" i="3"/>
  <c r="K45" i="3"/>
  <c r="K39" i="3"/>
  <c r="J45" i="3"/>
  <c r="P42" i="3"/>
  <c r="M23" i="3"/>
  <c r="P9" i="3"/>
  <c r="P37" i="3" s="1"/>
  <c r="O12" i="3"/>
  <c r="O45" i="3"/>
  <c r="O9" i="3"/>
  <c r="O37" i="3" s="1"/>
  <c r="M43" i="3"/>
  <c r="N45" i="3"/>
  <c r="G11" i="1"/>
  <c r="G108" i="1"/>
  <c r="F11" i="1"/>
  <c r="F108" i="1"/>
  <c r="L12" i="3"/>
  <c r="L9" i="3"/>
  <c r="L37" i="3" s="1"/>
  <c r="M45" i="3"/>
  <c r="Q9" i="3"/>
  <c r="Q37" i="3" s="1"/>
  <c r="Q12" i="3"/>
  <c r="O42" i="3"/>
  <c r="I11" i="1"/>
  <c r="I108" i="1"/>
  <c r="M39" i="3"/>
  <c r="L39" i="3"/>
  <c r="P39" i="3"/>
  <c r="O39" i="3"/>
  <c r="D110" i="2"/>
  <c r="L43" i="3"/>
  <c r="O43" i="3"/>
  <c r="O97" i="1"/>
  <c r="L11" i="1"/>
  <c r="L108" i="1"/>
  <c r="K23" i="3"/>
  <c r="M42" i="3"/>
  <c r="H11" i="1"/>
  <c r="H108" i="1"/>
  <c r="M11" i="1"/>
  <c r="M108" i="1"/>
  <c r="P13" i="3"/>
  <c r="P16" i="3"/>
  <c r="J23" i="3"/>
  <c r="J9" i="3"/>
  <c r="J37" i="3" s="1"/>
  <c r="J12" i="3"/>
  <c r="J43" i="3"/>
  <c r="O23" i="3"/>
  <c r="M12" i="3"/>
  <c r="M9" i="3"/>
  <c r="M37" i="3" s="1"/>
  <c r="K11" i="1"/>
  <c r="K108" i="1"/>
  <c r="N43" i="3"/>
  <c r="N12" i="3"/>
  <c r="N9" i="3"/>
  <c r="N37" i="3" s="1"/>
  <c r="K9" i="3"/>
  <c r="K37" i="3" s="1"/>
  <c r="K12" i="3"/>
  <c r="L45" i="3"/>
  <c r="P45" i="3"/>
  <c r="E98" i="1"/>
  <c r="E97" i="1"/>
  <c r="P23" i="4"/>
  <c r="P25" i="4"/>
  <c r="P26" i="4"/>
  <c r="P27" i="4"/>
  <c r="P28" i="4"/>
  <c r="P29" i="4"/>
  <c r="P30" i="4"/>
  <c r="P31" i="4"/>
  <c r="P32" i="4"/>
  <c r="P33" i="4"/>
  <c r="P34" i="4"/>
  <c r="P36" i="4"/>
  <c r="P37" i="4"/>
  <c r="P39" i="4"/>
  <c r="P40" i="4"/>
  <c r="P41" i="4"/>
  <c r="P42" i="4"/>
  <c r="P44" i="4"/>
  <c r="P45" i="4"/>
  <c r="P47" i="4"/>
  <c r="P48" i="4"/>
  <c r="P49" i="4"/>
  <c r="P50" i="4"/>
  <c r="P52" i="4"/>
  <c r="P53" i="4"/>
  <c r="P54" i="4"/>
  <c r="P55" i="4"/>
  <c r="P56" i="4"/>
  <c r="P57" i="4"/>
  <c r="P58" i="4"/>
  <c r="P60" i="4"/>
  <c r="P61" i="4"/>
  <c r="P62" i="4"/>
  <c r="P63" i="4"/>
  <c r="P64" i="4"/>
  <c r="P65" i="4"/>
  <c r="P66" i="4"/>
  <c r="P67" i="4"/>
  <c r="P68" i="4"/>
  <c r="P69" i="4"/>
  <c r="P71" i="4"/>
  <c r="P72" i="4"/>
  <c r="P73" i="4"/>
  <c r="F74" i="4"/>
  <c r="P22" i="4"/>
  <c r="P24" i="4"/>
  <c r="P35" i="4"/>
  <c r="P38" i="4"/>
  <c r="P43" i="4"/>
  <c r="P46" i="4"/>
  <c r="P51" i="4"/>
  <c r="P59" i="4"/>
  <c r="P70" i="4"/>
  <c r="E7" i="1"/>
  <c r="D94" i="1" s="1"/>
  <c r="E8" i="1"/>
  <c r="R11" i="3" s="1"/>
  <c r="E10" i="1"/>
  <c r="R15" i="3" s="1"/>
  <c r="E12" i="1"/>
  <c r="E15" i="1"/>
  <c r="E16" i="1"/>
  <c r="R22" i="3" s="1"/>
  <c r="V33" i="3"/>
  <c r="W33" i="3" s="1"/>
  <c r="X33" i="3" s="1"/>
  <c r="Y33" i="3" s="1"/>
  <c r="Z33" i="3" s="1"/>
  <c r="R21" i="3" l="1"/>
  <c r="T21" i="3"/>
  <c r="T23" i="3" s="1"/>
  <c r="E19" i="3"/>
  <c r="D11" i="13"/>
  <c r="D8" i="13"/>
  <c r="I6" i="13"/>
  <c r="H11" i="13"/>
  <c r="I90" i="1"/>
  <c r="Z49" i="2"/>
  <c r="T109" i="1"/>
  <c r="T104" i="1"/>
  <c r="T105" i="1"/>
  <c r="S109" i="1"/>
  <c r="S105" i="1"/>
  <c r="S104" i="1"/>
  <c r="M7" i="3"/>
  <c r="M34" i="3" s="1"/>
  <c r="J21" i="1"/>
  <c r="J72" i="1" s="1"/>
  <c r="K6" i="1"/>
  <c r="R47" i="3"/>
  <c r="U47" i="3" s="1"/>
  <c r="B129" i="2"/>
  <c r="B131" i="2" s="1"/>
  <c r="D109" i="1"/>
  <c r="D104" i="1"/>
  <c r="S74" i="4"/>
  <c r="J91" i="1"/>
  <c r="R8" i="3"/>
  <c r="D6" i="13" s="1"/>
  <c r="J16" i="3"/>
  <c r="J13" i="3"/>
  <c r="L13" i="3"/>
  <c r="L16" i="3"/>
  <c r="K13" i="1"/>
  <c r="K14" i="1" s="1"/>
  <c r="L20" i="3" s="1"/>
  <c r="K91" i="1"/>
  <c r="I13" i="1"/>
  <c r="I14" i="1" s="1"/>
  <c r="N20" i="3" s="1"/>
  <c r="I91" i="1"/>
  <c r="K13" i="3"/>
  <c r="K16" i="3"/>
  <c r="M13" i="1"/>
  <c r="M14" i="1" s="1"/>
  <c r="J20" i="3" s="1"/>
  <c r="M91" i="1"/>
  <c r="F13" i="1"/>
  <c r="F14" i="1" s="1"/>
  <c r="Q20" i="3" s="1"/>
  <c r="F91" i="1"/>
  <c r="O13" i="3"/>
  <c r="O16" i="3"/>
  <c r="M16" i="3"/>
  <c r="M13" i="3"/>
  <c r="L13" i="1"/>
  <c r="L14" i="1" s="1"/>
  <c r="K20" i="3" s="1"/>
  <c r="L91" i="1"/>
  <c r="Q16" i="3"/>
  <c r="Q13" i="3"/>
  <c r="G13" i="1"/>
  <c r="G14" i="1" s="1"/>
  <c r="P20" i="3" s="1"/>
  <c r="G91" i="1"/>
  <c r="R18" i="3"/>
  <c r="N16" i="3"/>
  <c r="N13" i="3"/>
  <c r="P19" i="3"/>
  <c r="P35" i="3"/>
  <c r="H13" i="1"/>
  <c r="H14" i="1" s="1"/>
  <c r="O20" i="3" s="1"/>
  <c r="H91" i="1"/>
  <c r="E17" i="1"/>
  <c r="E9" i="1"/>
  <c r="E11" i="1" s="1"/>
  <c r="K94" i="1"/>
  <c r="I94" i="1"/>
  <c r="E94" i="1"/>
  <c r="F94" i="1"/>
  <c r="G94" i="1"/>
  <c r="H94" i="1"/>
  <c r="J94" i="1"/>
  <c r="D14" i="13" l="1"/>
  <c r="D7" i="13"/>
  <c r="E7" i="13"/>
  <c r="D24" i="13"/>
  <c r="G24" i="13" s="1"/>
  <c r="D22" i="13"/>
  <c r="G22" i="13" s="1"/>
  <c r="D23" i="13"/>
  <c r="G23" i="13" s="1"/>
  <c r="D9" i="13"/>
  <c r="G9" i="13" s="1"/>
  <c r="I11" i="13"/>
  <c r="J6" i="13"/>
  <c r="D12" i="13"/>
  <c r="J90" i="1"/>
  <c r="AA49" i="2"/>
  <c r="R40" i="3"/>
  <c r="L7" i="3"/>
  <c r="L34" i="3" s="1"/>
  <c r="L6" i="1"/>
  <c r="K21" i="1"/>
  <c r="K72" i="1" s="1"/>
  <c r="K90" i="1" s="1"/>
  <c r="R39" i="3"/>
  <c r="U39" i="3" s="1"/>
  <c r="S9" i="3"/>
  <c r="S37" i="3" s="1"/>
  <c r="E13" i="1"/>
  <c r="E14" i="1" s="1"/>
  <c r="R20" i="3" s="1"/>
  <c r="E91" i="1"/>
  <c r="E105" i="1" s="1"/>
  <c r="N19" i="3"/>
  <c r="N35" i="3"/>
  <c r="L35" i="3"/>
  <c r="L19" i="3"/>
  <c r="K19" i="3"/>
  <c r="K35" i="3"/>
  <c r="Q19" i="3"/>
  <c r="Q35" i="3"/>
  <c r="M35" i="3"/>
  <c r="M19" i="3"/>
  <c r="J35" i="3"/>
  <c r="J19" i="3"/>
  <c r="O19" i="3"/>
  <c r="O35" i="3"/>
  <c r="R23" i="3"/>
  <c r="R9" i="3"/>
  <c r="R37" i="3" s="1"/>
  <c r="U8" i="3" s="1"/>
  <c r="R12" i="3"/>
  <c r="R43" i="3"/>
  <c r="R45" i="3"/>
  <c r="U45" i="3" s="1"/>
  <c r="R42" i="3"/>
  <c r="E108" i="1"/>
  <c r="L94" i="1"/>
  <c r="U40" i="3" l="1"/>
  <c r="E142" i="2" s="1"/>
  <c r="J11" i="13"/>
  <c r="K6" i="13"/>
  <c r="K11" i="13" s="1"/>
  <c r="H23" i="13"/>
  <c r="G18" i="13"/>
  <c r="G32" i="13" s="1"/>
  <c r="H24" i="13"/>
  <c r="G19" i="13"/>
  <c r="G33" i="13" s="1"/>
  <c r="H9" i="13"/>
  <c r="G8" i="13"/>
  <c r="G14" i="13" s="1"/>
  <c r="G29" i="13" s="1"/>
  <c r="G30" i="13" s="1"/>
  <c r="H22" i="13"/>
  <c r="G17" i="13"/>
  <c r="G31" i="13" s="1"/>
  <c r="U9" i="3"/>
  <c r="E98" i="2"/>
  <c r="M6" i="1"/>
  <c r="K7" i="3"/>
  <c r="K34" i="3" s="1"/>
  <c r="L21" i="1"/>
  <c r="L72" i="1" s="1"/>
  <c r="L90" i="1" s="1"/>
  <c r="R16" i="3"/>
  <c r="R13" i="3"/>
  <c r="V8" i="3"/>
  <c r="F98" i="2" s="1"/>
  <c r="G12" i="3"/>
  <c r="U15" i="3" l="1"/>
  <c r="E101" i="2" s="1"/>
  <c r="F99" i="2"/>
  <c r="I22" i="13"/>
  <c r="H17" i="13"/>
  <c r="H31" i="13" s="1"/>
  <c r="G34" i="13"/>
  <c r="G42" i="13" s="1"/>
  <c r="I9" i="13"/>
  <c r="H8" i="13"/>
  <c r="H14" i="13" s="1"/>
  <c r="H29" i="13" s="1"/>
  <c r="H30" i="13" s="1"/>
  <c r="I24" i="13"/>
  <c r="H19" i="13"/>
  <c r="H33" i="13" s="1"/>
  <c r="I23" i="13"/>
  <c r="H18" i="13"/>
  <c r="H32" i="13" s="1"/>
  <c r="E147" i="2"/>
  <c r="E150" i="2" s="1"/>
  <c r="E99" i="2"/>
  <c r="N6" i="1"/>
  <c r="J7" i="3"/>
  <c r="J34" i="3" s="1"/>
  <c r="M21" i="1"/>
  <c r="M72" i="1" s="1"/>
  <c r="M90" i="1" s="1"/>
  <c r="U11" i="3"/>
  <c r="R35" i="3"/>
  <c r="R19" i="3"/>
  <c r="W8" i="3"/>
  <c r="G98" i="2" s="1"/>
  <c r="G99" i="2" s="1"/>
  <c r="G16" i="3"/>
  <c r="G13" i="3"/>
  <c r="J23" i="13" l="1"/>
  <c r="I18" i="13"/>
  <c r="I32" i="13" s="1"/>
  <c r="J24" i="13"/>
  <c r="I19" i="13"/>
  <c r="I33" i="13" s="1"/>
  <c r="H34" i="13"/>
  <c r="H42" i="13" s="1"/>
  <c r="J9" i="13"/>
  <c r="I8" i="13"/>
  <c r="I14" i="13" s="1"/>
  <c r="I29" i="13" s="1"/>
  <c r="I30" i="13" s="1"/>
  <c r="J22" i="13"/>
  <c r="I17" i="13"/>
  <c r="I31" i="13" s="1"/>
  <c r="E100" i="2"/>
  <c r="E102" i="2" s="1"/>
  <c r="F148" i="2"/>
  <c r="F147" i="2"/>
  <c r="I7" i="3"/>
  <c r="I34" i="3" s="1"/>
  <c r="O6" i="1"/>
  <c r="N21" i="1"/>
  <c r="N72" i="1" s="1"/>
  <c r="N90" i="1" s="1"/>
  <c r="U12" i="3"/>
  <c r="U13" i="3" s="1"/>
  <c r="V39" i="3"/>
  <c r="X8" i="3"/>
  <c r="H98" i="2" s="1"/>
  <c r="H99" i="2" s="1"/>
  <c r="W9" i="3"/>
  <c r="V40" i="3"/>
  <c r="F142" i="2" s="1"/>
  <c r="G19" i="3"/>
  <c r="K22" i="13" l="1"/>
  <c r="K17" i="13" s="1"/>
  <c r="K31" i="13" s="1"/>
  <c r="J17" i="13"/>
  <c r="J31" i="13" s="1"/>
  <c r="K9" i="13"/>
  <c r="K8" i="13" s="1"/>
  <c r="K14" i="13" s="1"/>
  <c r="J8" i="13"/>
  <c r="J14" i="13" s="1"/>
  <c r="J29" i="13" s="1"/>
  <c r="J30" i="13" s="1"/>
  <c r="I34" i="13"/>
  <c r="I42" i="13" s="1"/>
  <c r="K24" i="13"/>
  <c r="K19" i="13" s="1"/>
  <c r="K33" i="13" s="1"/>
  <c r="J19" i="13"/>
  <c r="J33" i="13" s="1"/>
  <c r="K23" i="13"/>
  <c r="K18" i="13" s="1"/>
  <c r="K32" i="13" s="1"/>
  <c r="J18" i="13"/>
  <c r="J32" i="13" s="1"/>
  <c r="E103" i="2"/>
  <c r="E149" i="2"/>
  <c r="E151" i="2" s="1"/>
  <c r="E152" i="2" s="1"/>
  <c r="E171" i="2" s="1"/>
  <c r="F150" i="2"/>
  <c r="G148" i="2"/>
  <c r="G147" i="2"/>
  <c r="O21" i="1"/>
  <c r="O72" i="1" s="1"/>
  <c r="O90" i="1" s="1"/>
  <c r="P6" i="1"/>
  <c r="Q6" i="1" s="1"/>
  <c r="F7" i="3" s="1"/>
  <c r="F34" i="3" s="1"/>
  <c r="H7" i="3"/>
  <c r="H34" i="3" s="1"/>
  <c r="V15" i="3"/>
  <c r="F101" i="2" s="1"/>
  <c r="V11" i="3"/>
  <c r="W39" i="3"/>
  <c r="W11" i="3" s="1"/>
  <c r="U16" i="3"/>
  <c r="Y8" i="3"/>
  <c r="I98" i="2" s="1"/>
  <c r="I99" i="2" s="1"/>
  <c r="X9" i="3"/>
  <c r="W40" i="3"/>
  <c r="G142" i="2" s="1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J34" i="13" l="1"/>
  <c r="J42" i="13" s="1"/>
  <c r="K29" i="13"/>
  <c r="K30" i="13" s="1"/>
  <c r="K34" i="13" s="1"/>
  <c r="K20" i="13"/>
  <c r="K37" i="13" s="1"/>
  <c r="E153" i="2"/>
  <c r="E154" i="2" s="1"/>
  <c r="E155" i="2"/>
  <c r="G100" i="2"/>
  <c r="F100" i="2"/>
  <c r="F102" i="2" s="1"/>
  <c r="V12" i="3"/>
  <c r="V13" i="3" s="1"/>
  <c r="G150" i="2"/>
  <c r="H148" i="2"/>
  <c r="H147" i="2"/>
  <c r="Q21" i="1"/>
  <c r="Q72" i="1" s="1"/>
  <c r="Q90" i="1" s="1"/>
  <c r="R6" i="1"/>
  <c r="E7" i="3" s="1"/>
  <c r="E34" i="3" s="1"/>
  <c r="G7" i="3"/>
  <c r="P21" i="1"/>
  <c r="P72" i="1" s="1"/>
  <c r="P90" i="1" s="1"/>
  <c r="W15" i="3"/>
  <c r="G101" i="2" s="1"/>
  <c r="W12" i="3"/>
  <c r="W13" i="3" s="1"/>
  <c r="M86" i="4"/>
  <c r="M85" i="4"/>
  <c r="X39" i="3"/>
  <c r="X11" i="3" s="1"/>
  <c r="Y9" i="3"/>
  <c r="Z8" i="3"/>
  <c r="J98" i="2" s="1"/>
  <c r="J99" i="2" s="1"/>
  <c r="X40" i="3"/>
  <c r="F79" i="2"/>
  <c r="H79" i="2" s="1"/>
  <c r="J79" i="2" s="1"/>
  <c r="F75" i="2"/>
  <c r="G102" i="2" l="1"/>
  <c r="G103" i="2" s="1"/>
  <c r="F149" i="2"/>
  <c r="F151" i="2" s="1"/>
  <c r="F152" i="2" s="1"/>
  <c r="H100" i="2"/>
  <c r="F103" i="2"/>
  <c r="G149" i="2"/>
  <c r="V16" i="3"/>
  <c r="X15" i="3"/>
  <c r="H101" i="2" s="1"/>
  <c r="H142" i="2"/>
  <c r="H150" i="2" s="1"/>
  <c r="I147" i="2"/>
  <c r="G151" i="2"/>
  <c r="R21" i="1"/>
  <c r="R72" i="1" s="1"/>
  <c r="R90" i="1" s="1"/>
  <c r="S6" i="1"/>
  <c r="D7" i="3" s="1"/>
  <c r="D34" i="3" s="1"/>
  <c r="J147" i="2"/>
  <c r="W16" i="3"/>
  <c r="X12" i="3"/>
  <c r="X13" i="3" s="1"/>
  <c r="Y39" i="3"/>
  <c r="Y11" i="3" s="1"/>
  <c r="Z9" i="3"/>
  <c r="Y40" i="3"/>
  <c r="I142" i="2" s="1"/>
  <c r="H75" i="2"/>
  <c r="J75" i="2" s="1"/>
  <c r="H102" i="2" l="1"/>
  <c r="H103" i="2" s="1"/>
  <c r="I100" i="2"/>
  <c r="H149" i="2"/>
  <c r="H151" i="2" s="1"/>
  <c r="I150" i="2"/>
  <c r="F155" i="2"/>
  <c r="F171" i="2"/>
  <c r="F153" i="2"/>
  <c r="F154" i="2" s="1"/>
  <c r="G152" i="2"/>
  <c r="J148" i="2"/>
  <c r="I148" i="2"/>
  <c r="S21" i="1"/>
  <c r="S72" i="1" s="1"/>
  <c r="S90" i="1" s="1"/>
  <c r="T6" i="1"/>
  <c r="Y15" i="3"/>
  <c r="I101" i="2" s="1"/>
  <c r="Y12" i="3"/>
  <c r="Y13" i="3" s="1"/>
  <c r="Z39" i="3"/>
  <c r="Z11" i="3" s="1"/>
  <c r="Z40" i="3"/>
  <c r="J142" i="2" s="1"/>
  <c r="J150" i="2" s="1"/>
  <c r="X16" i="3"/>
  <c r="E89" i="1"/>
  <c r="G34" i="3"/>
  <c r="F71" i="1"/>
  <c r="G71" i="1"/>
  <c r="H71" i="1"/>
  <c r="I71" i="1"/>
  <c r="J71" i="1"/>
  <c r="K71" i="1"/>
  <c r="L71" i="1"/>
  <c r="M71" i="1"/>
  <c r="G42" i="3"/>
  <c r="U42" i="3" s="1"/>
  <c r="G43" i="3"/>
  <c r="U43" i="3" s="1"/>
  <c r="N99" i="1"/>
  <c r="N100" i="1" s="1"/>
  <c r="N110" i="1"/>
  <c r="K105" i="1"/>
  <c r="L105" i="1"/>
  <c r="M105" i="1"/>
  <c r="N105" i="1"/>
  <c r="N111" i="1"/>
  <c r="G105" i="1"/>
  <c r="H105" i="1"/>
  <c r="I105" i="1"/>
  <c r="J105" i="1"/>
  <c r="J100" i="2" l="1"/>
  <c r="J149" i="2" s="1"/>
  <c r="I102" i="2"/>
  <c r="I149" i="2"/>
  <c r="T21" i="1"/>
  <c r="T72" i="1" s="1"/>
  <c r="T90" i="1" s="1"/>
  <c r="C7" i="3"/>
  <c r="C34" i="3" s="1"/>
  <c r="G155" i="2"/>
  <c r="G171" i="2"/>
  <c r="G153" i="2"/>
  <c r="G154" i="2" s="1"/>
  <c r="H152" i="2"/>
  <c r="I151" i="2"/>
  <c r="Z15" i="3"/>
  <c r="J101" i="2" s="1"/>
  <c r="Y16" i="3"/>
  <c r="Z12" i="3"/>
  <c r="Z13" i="3" s="1"/>
  <c r="J99" i="1"/>
  <c r="J100" i="1" s="1"/>
  <c r="K111" i="1"/>
  <c r="H99" i="1"/>
  <c r="H100" i="1" s="1"/>
  <c r="J111" i="1"/>
  <c r="H111" i="1"/>
  <c r="L110" i="1"/>
  <c r="M111" i="1"/>
  <c r="M99" i="1"/>
  <c r="M100" i="1" s="1"/>
  <c r="I110" i="1"/>
  <c r="K99" i="1"/>
  <c r="K100" i="1" s="1"/>
  <c r="J110" i="1"/>
  <c r="G110" i="1"/>
  <c r="H81" i="1"/>
  <c r="O29" i="3"/>
  <c r="H110" i="1"/>
  <c r="L111" i="1"/>
  <c r="L99" i="1"/>
  <c r="L100" i="1" s="1"/>
  <c r="I81" i="1"/>
  <c r="N29" i="3"/>
  <c r="P29" i="3"/>
  <c r="G81" i="1"/>
  <c r="I111" i="1"/>
  <c r="I99" i="1"/>
  <c r="I100" i="1" s="1"/>
  <c r="M81" i="1"/>
  <c r="J29" i="3"/>
  <c r="M110" i="1"/>
  <c r="K29" i="3"/>
  <c r="L81" i="1"/>
  <c r="G111" i="1"/>
  <c r="G99" i="1"/>
  <c r="G100" i="1" s="1"/>
  <c r="K81" i="1"/>
  <c r="L29" i="3"/>
  <c r="K110" i="1"/>
  <c r="I29" i="3"/>
  <c r="N81" i="1"/>
  <c r="J81" i="1"/>
  <c r="M29" i="3"/>
  <c r="N68" i="1"/>
  <c r="K68" i="1"/>
  <c r="J68" i="1"/>
  <c r="I68" i="1"/>
  <c r="M68" i="1"/>
  <c r="L68" i="1"/>
  <c r="G68" i="1"/>
  <c r="G35" i="3"/>
  <c r="H68" i="1"/>
  <c r="R6" i="3"/>
  <c r="F105" i="1"/>
  <c r="Z23" i="4"/>
  <c r="Z24" i="4"/>
  <c r="Z25" i="4"/>
  <c r="Z26" i="4"/>
  <c r="Z27" i="4"/>
  <c r="Z28" i="4"/>
  <c r="Z29" i="4"/>
  <c r="Z30" i="4"/>
  <c r="Z31" i="4"/>
  <c r="Z32" i="4"/>
  <c r="Z33" i="4"/>
  <c r="Z34" i="4"/>
  <c r="Z35" i="4"/>
  <c r="Z36" i="4"/>
  <c r="Z37" i="4"/>
  <c r="Z38" i="4"/>
  <c r="Z39" i="4"/>
  <c r="Z40" i="4"/>
  <c r="Z41" i="4"/>
  <c r="Z42" i="4"/>
  <c r="Z43" i="4"/>
  <c r="Z44" i="4"/>
  <c r="Z45" i="4"/>
  <c r="Z46" i="4"/>
  <c r="Z47" i="4"/>
  <c r="Z48" i="4"/>
  <c r="Z49" i="4"/>
  <c r="Z50" i="4"/>
  <c r="Z51" i="4"/>
  <c r="Z52" i="4"/>
  <c r="Z53" i="4"/>
  <c r="Z54" i="4"/>
  <c r="Z55" i="4"/>
  <c r="Z56" i="4"/>
  <c r="Z57" i="4"/>
  <c r="Z58" i="4"/>
  <c r="Z59" i="4"/>
  <c r="Z60" i="4"/>
  <c r="Z61" i="4"/>
  <c r="Z62" i="4"/>
  <c r="Z63" i="4"/>
  <c r="Z64" i="4"/>
  <c r="Z65" i="4"/>
  <c r="Z66" i="4"/>
  <c r="Z67" i="4"/>
  <c r="Z68" i="4"/>
  <c r="Z69" i="4"/>
  <c r="Z70" i="4"/>
  <c r="Z71" i="4"/>
  <c r="Z72" i="4"/>
  <c r="Z73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Q54" i="4"/>
  <c r="Q55" i="4"/>
  <c r="Q56" i="4"/>
  <c r="Q57" i="4"/>
  <c r="Q58" i="4"/>
  <c r="Q59" i="4"/>
  <c r="Q60" i="4"/>
  <c r="Q61" i="4"/>
  <c r="Q62" i="4"/>
  <c r="Q63" i="4"/>
  <c r="Q64" i="4"/>
  <c r="Q65" i="4"/>
  <c r="Q66" i="4"/>
  <c r="Q67" i="4"/>
  <c r="Q68" i="4"/>
  <c r="Q69" i="4"/>
  <c r="Q70" i="4"/>
  <c r="Q71" i="4"/>
  <c r="Q72" i="4"/>
  <c r="Q73" i="4"/>
  <c r="T73" i="4"/>
  <c r="T72" i="4"/>
  <c r="T71" i="4"/>
  <c r="T70" i="4"/>
  <c r="T69" i="4"/>
  <c r="T68" i="4"/>
  <c r="T67" i="4"/>
  <c r="T66" i="4"/>
  <c r="T65" i="4"/>
  <c r="T64" i="4"/>
  <c r="T63" i="4"/>
  <c r="T62" i="4"/>
  <c r="T61" i="4"/>
  <c r="T60" i="4"/>
  <c r="T59" i="4"/>
  <c r="T58" i="4"/>
  <c r="T57" i="4"/>
  <c r="T56" i="4"/>
  <c r="T55" i="4"/>
  <c r="T54" i="4"/>
  <c r="T53" i="4"/>
  <c r="T52" i="4"/>
  <c r="T51" i="4"/>
  <c r="T50" i="4"/>
  <c r="T49" i="4"/>
  <c r="T48" i="4"/>
  <c r="T47" i="4"/>
  <c r="T46" i="4"/>
  <c r="T45" i="4"/>
  <c r="T44" i="4"/>
  <c r="T43" i="4"/>
  <c r="T42" i="4"/>
  <c r="T41" i="4"/>
  <c r="T40" i="4"/>
  <c r="T39" i="4"/>
  <c r="T38" i="4"/>
  <c r="T37" i="4"/>
  <c r="T36" i="4"/>
  <c r="T35" i="4"/>
  <c r="T34" i="4"/>
  <c r="T33" i="4"/>
  <c r="T32" i="4"/>
  <c r="T31" i="4"/>
  <c r="T30" i="4"/>
  <c r="T29" i="4"/>
  <c r="T28" i="4"/>
  <c r="T27" i="4"/>
  <c r="T26" i="4"/>
  <c r="T25" i="4"/>
  <c r="T24" i="4"/>
  <c r="T23" i="4"/>
  <c r="F23" i="4"/>
  <c r="F24" i="4"/>
  <c r="S24" i="4" s="1"/>
  <c r="F25" i="4"/>
  <c r="S25" i="4" s="1"/>
  <c r="F26" i="4"/>
  <c r="S26" i="4" s="1"/>
  <c r="F27" i="4"/>
  <c r="S27" i="4" s="1"/>
  <c r="F28" i="4"/>
  <c r="S28" i="4" s="1"/>
  <c r="F29" i="4"/>
  <c r="S29" i="4" s="1"/>
  <c r="F30" i="4"/>
  <c r="S30" i="4" s="1"/>
  <c r="F31" i="4"/>
  <c r="S31" i="4" s="1"/>
  <c r="F32" i="4"/>
  <c r="S32" i="4" s="1"/>
  <c r="F33" i="4"/>
  <c r="S33" i="4" s="1"/>
  <c r="F34" i="4"/>
  <c r="S34" i="4" s="1"/>
  <c r="F35" i="4"/>
  <c r="S35" i="4" s="1"/>
  <c r="F36" i="4"/>
  <c r="S36" i="4" s="1"/>
  <c r="F37" i="4"/>
  <c r="S37" i="4" s="1"/>
  <c r="F38" i="4"/>
  <c r="S38" i="4" s="1"/>
  <c r="F39" i="4"/>
  <c r="S39" i="4" s="1"/>
  <c r="F40" i="4"/>
  <c r="S40" i="4" s="1"/>
  <c r="F41" i="4"/>
  <c r="S41" i="4" s="1"/>
  <c r="F42" i="4"/>
  <c r="S42" i="4" s="1"/>
  <c r="F43" i="4"/>
  <c r="S43" i="4" s="1"/>
  <c r="F44" i="4"/>
  <c r="S44" i="4" s="1"/>
  <c r="F45" i="4"/>
  <c r="S45" i="4" s="1"/>
  <c r="F46" i="4"/>
  <c r="S46" i="4" s="1"/>
  <c r="F47" i="4"/>
  <c r="S47" i="4" s="1"/>
  <c r="F48" i="4"/>
  <c r="S48" i="4" s="1"/>
  <c r="F49" i="4"/>
  <c r="S49" i="4" s="1"/>
  <c r="F50" i="4"/>
  <c r="S50" i="4" s="1"/>
  <c r="F51" i="4"/>
  <c r="S51" i="4" s="1"/>
  <c r="F52" i="4"/>
  <c r="S52" i="4" s="1"/>
  <c r="F53" i="4"/>
  <c r="S53" i="4" s="1"/>
  <c r="F54" i="4"/>
  <c r="S54" i="4" s="1"/>
  <c r="F55" i="4"/>
  <c r="S55" i="4" s="1"/>
  <c r="F56" i="4"/>
  <c r="S56" i="4" s="1"/>
  <c r="F57" i="4"/>
  <c r="S57" i="4" s="1"/>
  <c r="F58" i="4"/>
  <c r="S58" i="4" s="1"/>
  <c r="F59" i="4"/>
  <c r="S59" i="4" s="1"/>
  <c r="F60" i="4"/>
  <c r="S60" i="4" s="1"/>
  <c r="F61" i="4"/>
  <c r="S61" i="4" s="1"/>
  <c r="F62" i="4"/>
  <c r="S62" i="4" s="1"/>
  <c r="F63" i="4"/>
  <c r="S63" i="4" s="1"/>
  <c r="F64" i="4"/>
  <c r="S64" i="4" s="1"/>
  <c r="F65" i="4"/>
  <c r="S65" i="4" s="1"/>
  <c r="F66" i="4"/>
  <c r="S66" i="4" s="1"/>
  <c r="F67" i="4"/>
  <c r="S67" i="4" s="1"/>
  <c r="F68" i="4"/>
  <c r="S68" i="4" s="1"/>
  <c r="F69" i="4"/>
  <c r="S69" i="4" s="1"/>
  <c r="F70" i="4"/>
  <c r="S70" i="4" s="1"/>
  <c r="F71" i="4"/>
  <c r="S71" i="4" s="1"/>
  <c r="F72" i="4"/>
  <c r="S72" i="4" s="1"/>
  <c r="F73" i="4"/>
  <c r="S73" i="4" s="1"/>
  <c r="I103" i="2" l="1"/>
  <c r="J102" i="2"/>
  <c r="J103" i="2" s="1"/>
  <c r="S23" i="4"/>
  <c r="S85" i="4" s="1"/>
  <c r="L87" i="4"/>
  <c r="H155" i="2"/>
  <c r="H171" i="2"/>
  <c r="H153" i="2"/>
  <c r="H154" i="2" s="1"/>
  <c r="I152" i="2"/>
  <c r="J151" i="2"/>
  <c r="T85" i="4"/>
  <c r="Z16" i="3"/>
  <c r="F86" i="4"/>
  <c r="F85" i="4"/>
  <c r="J98" i="1"/>
  <c r="J97" i="1"/>
  <c r="M98" i="1"/>
  <c r="N98" i="1"/>
  <c r="N97" i="1"/>
  <c r="I98" i="1"/>
  <c r="I97" i="1"/>
  <c r="K98" i="1"/>
  <c r="K97" i="1"/>
  <c r="G97" i="1"/>
  <c r="H98" i="1"/>
  <c r="G98" i="1"/>
  <c r="Q29" i="3"/>
  <c r="F81" i="1"/>
  <c r="E81" i="1"/>
  <c r="L97" i="1"/>
  <c r="L98" i="1"/>
  <c r="F110" i="1"/>
  <c r="E110" i="1"/>
  <c r="F99" i="1"/>
  <c r="F100" i="1" s="1"/>
  <c r="E99" i="1"/>
  <c r="E100" i="1" s="1"/>
  <c r="P104" i="1"/>
  <c r="P109" i="1"/>
  <c r="O104" i="1"/>
  <c r="O109" i="1"/>
  <c r="N104" i="1"/>
  <c r="N109" i="1"/>
  <c r="M97" i="1"/>
  <c r="O120" i="2"/>
  <c r="U25" i="3"/>
  <c r="V7" i="3"/>
  <c r="U34" i="3"/>
  <c r="F97" i="2" l="1"/>
  <c r="F146" i="2" s="1"/>
  <c r="E104" i="2"/>
  <c r="I155" i="2"/>
  <c r="I171" i="2"/>
  <c r="I153" i="2"/>
  <c r="I154" i="2" s="1"/>
  <c r="J152" i="2"/>
  <c r="H97" i="1"/>
  <c r="U76" i="4"/>
  <c r="U79" i="4"/>
  <c r="U75" i="4"/>
  <c r="U77" i="4"/>
  <c r="U81" i="4"/>
  <c r="U80" i="4"/>
  <c r="U78" i="4"/>
  <c r="U74" i="4"/>
  <c r="E161" i="2"/>
  <c r="M104" i="1"/>
  <c r="M109" i="1"/>
  <c r="U35" i="3"/>
  <c r="W7" i="3"/>
  <c r="V34" i="3"/>
  <c r="V45" i="3"/>
  <c r="W45" i="3" s="1"/>
  <c r="T86" i="4"/>
  <c r="S86" i="4"/>
  <c r="W6" i="2"/>
  <c r="X6" i="2"/>
  <c r="X47" i="2" s="1"/>
  <c r="Y6" i="2"/>
  <c r="Y47" i="2" s="1"/>
  <c r="Z6" i="2"/>
  <c r="AA6" i="2"/>
  <c r="W7" i="2"/>
  <c r="X7" i="2"/>
  <c r="Y7" i="2"/>
  <c r="Z7" i="2"/>
  <c r="AA7" i="2"/>
  <c r="W9" i="2"/>
  <c r="X9" i="2"/>
  <c r="Y9" i="2"/>
  <c r="Z9" i="2"/>
  <c r="AA9" i="2"/>
  <c r="W12" i="2"/>
  <c r="X12" i="2"/>
  <c r="Y12" i="2"/>
  <c r="Z12" i="2"/>
  <c r="AA12" i="2"/>
  <c r="W17" i="2"/>
  <c r="X17" i="2"/>
  <c r="Y17" i="2"/>
  <c r="Z17" i="2"/>
  <c r="AA17" i="2"/>
  <c r="W21" i="2"/>
  <c r="W38" i="2" s="1"/>
  <c r="W31" i="2"/>
  <c r="X31" i="2"/>
  <c r="Y31" i="2"/>
  <c r="Z31" i="2"/>
  <c r="AA31" i="2"/>
  <c r="W32" i="2"/>
  <c r="W33" i="2"/>
  <c r="X33" i="2"/>
  <c r="Y33" i="2"/>
  <c r="V6" i="3"/>
  <c r="W6" i="3" s="1"/>
  <c r="X6" i="3" s="1"/>
  <c r="Y6" i="3" s="1"/>
  <c r="Z6" i="3" s="1"/>
  <c r="B150" i="2"/>
  <c r="B149" i="2"/>
  <c r="C149" i="2"/>
  <c r="B147" i="2"/>
  <c r="C147" i="2"/>
  <c r="G97" i="2" l="1"/>
  <c r="G146" i="2" s="1"/>
  <c r="E156" i="2"/>
  <c r="I92" i="2"/>
  <c r="B11" i="12"/>
  <c r="J153" i="2"/>
  <c r="J154" i="2" s="1"/>
  <c r="J155" i="2"/>
  <c r="B151" i="2"/>
  <c r="V79" i="4"/>
  <c r="V77" i="4"/>
  <c r="V76" i="4"/>
  <c r="V80" i="4"/>
  <c r="V81" i="4"/>
  <c r="V78" i="4"/>
  <c r="V75" i="4"/>
  <c r="V74" i="4"/>
  <c r="J109" i="1"/>
  <c r="J104" i="1"/>
  <c r="K104" i="1"/>
  <c r="K109" i="1"/>
  <c r="V25" i="3"/>
  <c r="X7" i="3"/>
  <c r="W34" i="3"/>
  <c r="X45" i="3"/>
  <c r="W25" i="3"/>
  <c r="C148" i="2"/>
  <c r="C150" i="2"/>
  <c r="D150" i="2"/>
  <c r="D149" i="2"/>
  <c r="U23" i="4"/>
  <c r="U28" i="4"/>
  <c r="U31" i="4"/>
  <c r="U36" i="4"/>
  <c r="U39" i="4"/>
  <c r="U44" i="4"/>
  <c r="U26" i="4"/>
  <c r="U29" i="4"/>
  <c r="U34" i="4"/>
  <c r="U37" i="4"/>
  <c r="U42" i="4"/>
  <c r="U45" i="4"/>
  <c r="U50" i="4"/>
  <c r="U53" i="4"/>
  <c r="U58" i="4"/>
  <c r="U61" i="4"/>
  <c r="U66" i="4"/>
  <c r="U69" i="4"/>
  <c r="U24" i="4"/>
  <c r="U27" i="4"/>
  <c r="U32" i="4"/>
  <c r="U35" i="4"/>
  <c r="U40" i="4"/>
  <c r="U43" i="4"/>
  <c r="U48" i="4"/>
  <c r="U51" i="4"/>
  <c r="U56" i="4"/>
  <c r="U59" i="4"/>
  <c r="U25" i="4"/>
  <c r="U46" i="4"/>
  <c r="U57" i="4"/>
  <c r="U65" i="4"/>
  <c r="U68" i="4"/>
  <c r="U72" i="4"/>
  <c r="U38" i="4"/>
  <c r="U47" i="4"/>
  <c r="U52" i="4"/>
  <c r="U62" i="4"/>
  <c r="U73" i="4"/>
  <c r="U30" i="4"/>
  <c r="U41" i="4"/>
  <c r="U49" i="4"/>
  <c r="U54" i="4"/>
  <c r="U63" i="4"/>
  <c r="U67" i="4"/>
  <c r="U70" i="4"/>
  <c r="U55" i="4"/>
  <c r="U71" i="4"/>
  <c r="U33" i="4"/>
  <c r="U60" i="4"/>
  <c r="U64" i="4"/>
  <c r="V24" i="4"/>
  <c r="V26" i="4"/>
  <c r="X26" i="4" s="1"/>
  <c r="V28" i="4"/>
  <c r="X28" i="4" s="1"/>
  <c r="V30" i="4"/>
  <c r="X30" i="4" s="1"/>
  <c r="V32" i="4"/>
  <c r="X32" i="4" s="1"/>
  <c r="V34" i="4"/>
  <c r="X34" i="4" s="1"/>
  <c r="V36" i="4"/>
  <c r="X36" i="4" s="1"/>
  <c r="V38" i="4"/>
  <c r="X38" i="4" s="1"/>
  <c r="V40" i="4"/>
  <c r="X40" i="4" s="1"/>
  <c r="V42" i="4"/>
  <c r="X42" i="4" s="1"/>
  <c r="V44" i="4"/>
  <c r="X44" i="4" s="1"/>
  <c r="V46" i="4"/>
  <c r="V48" i="4"/>
  <c r="X48" i="4" s="1"/>
  <c r="V50" i="4"/>
  <c r="X50" i="4" s="1"/>
  <c r="V52" i="4"/>
  <c r="X52" i="4" s="1"/>
  <c r="V54" i="4"/>
  <c r="X54" i="4" s="1"/>
  <c r="V56" i="4"/>
  <c r="V58" i="4"/>
  <c r="X58" i="4" s="1"/>
  <c r="V60" i="4"/>
  <c r="X60" i="4" s="1"/>
  <c r="V62" i="4"/>
  <c r="X62" i="4" s="1"/>
  <c r="V64" i="4"/>
  <c r="X64" i="4" s="1"/>
  <c r="V66" i="4"/>
  <c r="X66" i="4" s="1"/>
  <c r="V68" i="4"/>
  <c r="V70" i="4"/>
  <c r="X70" i="4" s="1"/>
  <c r="V72" i="4"/>
  <c r="X72" i="4" s="1"/>
  <c r="V25" i="4"/>
  <c r="X25" i="4" s="1"/>
  <c r="V33" i="4"/>
  <c r="X33" i="4" s="1"/>
  <c r="V41" i="4"/>
  <c r="X41" i="4" s="1"/>
  <c r="V23" i="4"/>
  <c r="X23" i="4" s="1"/>
  <c r="V31" i="4"/>
  <c r="X31" i="4" s="1"/>
  <c r="V39" i="4"/>
  <c r="X39" i="4" s="1"/>
  <c r="V47" i="4"/>
  <c r="X47" i="4" s="1"/>
  <c r="V55" i="4"/>
  <c r="X55" i="4" s="1"/>
  <c r="V63" i="4"/>
  <c r="X63" i="4" s="1"/>
  <c r="V71" i="4"/>
  <c r="X71" i="4" s="1"/>
  <c r="V29" i="4"/>
  <c r="X29" i="4" s="1"/>
  <c r="V37" i="4"/>
  <c r="X37" i="4" s="1"/>
  <c r="V45" i="4"/>
  <c r="X45" i="4" s="1"/>
  <c r="V53" i="4"/>
  <c r="X53" i="4" s="1"/>
  <c r="V35" i="4"/>
  <c r="X35" i="4" s="1"/>
  <c r="V51" i="4"/>
  <c r="X51" i="4" s="1"/>
  <c r="V61" i="4"/>
  <c r="X61" i="4" s="1"/>
  <c r="V27" i="4"/>
  <c r="X27" i="4" s="1"/>
  <c r="V57" i="4"/>
  <c r="X57" i="4" s="1"/>
  <c r="V65" i="4"/>
  <c r="X65" i="4" s="1"/>
  <c r="V69" i="4"/>
  <c r="X69" i="4" s="1"/>
  <c r="V59" i="4"/>
  <c r="V73" i="4"/>
  <c r="X73" i="4" s="1"/>
  <c r="V49" i="4"/>
  <c r="X49" i="4" s="1"/>
  <c r="V67" i="4"/>
  <c r="X67" i="4" s="1"/>
  <c r="V43" i="4"/>
  <c r="X43" i="4" s="1"/>
  <c r="X44" i="2"/>
  <c r="Z45" i="2"/>
  <c r="Z44" i="2"/>
  <c r="W43" i="2"/>
  <c r="Y48" i="2"/>
  <c r="Y46" i="2"/>
  <c r="W8" i="2"/>
  <c r="W10" i="2" s="1"/>
  <c r="W13" i="2" s="1"/>
  <c r="Y8" i="2"/>
  <c r="Y10" i="2" s="1"/>
  <c r="Y13" i="2" s="1"/>
  <c r="AA48" i="2"/>
  <c r="W47" i="2"/>
  <c r="W48" i="2"/>
  <c r="AA47" i="2"/>
  <c r="AA45" i="2"/>
  <c r="W45" i="2"/>
  <c r="X45" i="2"/>
  <c r="X46" i="2"/>
  <c r="X8" i="2"/>
  <c r="X10" i="2" s="1"/>
  <c r="X13" i="2" s="1"/>
  <c r="Z46" i="2"/>
  <c r="W44" i="2"/>
  <c r="AA8" i="2"/>
  <c r="AA10" i="2" s="1"/>
  <c r="AA13" i="2" s="1"/>
  <c r="X48" i="2"/>
  <c r="Z48" i="2"/>
  <c r="Y45" i="2"/>
  <c r="Y44" i="2"/>
  <c r="Z47" i="2"/>
  <c r="AA46" i="2"/>
  <c r="W46" i="2"/>
  <c r="Z8" i="2"/>
  <c r="Z10" i="2" s="1"/>
  <c r="Z13" i="2" s="1"/>
  <c r="B123" i="2"/>
  <c r="F90" i="2"/>
  <c r="H90" i="2" s="1"/>
  <c r="J90" i="2" s="1"/>
  <c r="F89" i="2"/>
  <c r="H89" i="2" s="1"/>
  <c r="J89" i="2" s="1"/>
  <c r="F88" i="2"/>
  <c r="H88" i="2" s="1"/>
  <c r="J88" i="2" s="1"/>
  <c r="F87" i="2"/>
  <c r="H87" i="2" s="1"/>
  <c r="J87" i="2" s="1"/>
  <c r="F86" i="2"/>
  <c r="H86" i="2" s="1"/>
  <c r="J86" i="2" s="1"/>
  <c r="F85" i="2"/>
  <c r="H85" i="2" s="1"/>
  <c r="J85" i="2" s="1"/>
  <c r="I84" i="2"/>
  <c r="J84" i="2" s="1"/>
  <c r="H83" i="2"/>
  <c r="J83" i="2" s="1"/>
  <c r="F82" i="2"/>
  <c r="H82" i="2" s="1"/>
  <c r="J82" i="2" s="1"/>
  <c r="G81" i="2"/>
  <c r="F81" i="2"/>
  <c r="F80" i="2"/>
  <c r="H80" i="2" s="1"/>
  <c r="J80" i="2" s="1"/>
  <c r="C64" i="2"/>
  <c r="C67" i="2"/>
  <c r="C66" i="2"/>
  <c r="F47" i="2"/>
  <c r="AA33" i="2"/>
  <c r="F46" i="2" l="1"/>
  <c r="F48" i="2" s="1"/>
  <c r="G45" i="2"/>
  <c r="H97" i="2"/>
  <c r="H146" i="2" s="1"/>
  <c r="G104" i="2"/>
  <c r="F104" i="2"/>
  <c r="F156" i="2" s="1"/>
  <c r="C151" i="2"/>
  <c r="E148" i="2"/>
  <c r="D147" i="2"/>
  <c r="X78" i="4"/>
  <c r="W78" i="4"/>
  <c r="W81" i="4"/>
  <c r="X81" i="4"/>
  <c r="X76" i="4"/>
  <c r="W76" i="4"/>
  <c r="W74" i="4"/>
  <c r="X74" i="4"/>
  <c r="W77" i="4"/>
  <c r="X77" i="4"/>
  <c r="W80" i="4"/>
  <c r="X80" i="4"/>
  <c r="X75" i="4"/>
  <c r="W75" i="4"/>
  <c r="X79" i="4"/>
  <c r="W79" i="4"/>
  <c r="W59" i="4"/>
  <c r="X59" i="4"/>
  <c r="W56" i="4"/>
  <c r="X56" i="4"/>
  <c r="W24" i="4"/>
  <c r="X24" i="4"/>
  <c r="W46" i="4"/>
  <c r="X46" i="4"/>
  <c r="W68" i="4"/>
  <c r="X68" i="4"/>
  <c r="F98" i="1"/>
  <c r="F97" i="1"/>
  <c r="G161" i="2"/>
  <c r="F111" i="1"/>
  <c r="E111" i="1"/>
  <c r="F161" i="2"/>
  <c r="L104" i="1"/>
  <c r="L109" i="1"/>
  <c r="D99" i="2"/>
  <c r="W69" i="4"/>
  <c r="W40" i="4"/>
  <c r="W31" i="4"/>
  <c r="W54" i="4"/>
  <c r="W52" i="4"/>
  <c r="W29" i="4"/>
  <c r="W62" i="4"/>
  <c r="W53" i="4"/>
  <c r="W35" i="3"/>
  <c r="V35" i="3"/>
  <c r="Y7" i="3"/>
  <c r="X34" i="3"/>
  <c r="Y45" i="3"/>
  <c r="X25" i="3"/>
  <c r="W25" i="4"/>
  <c r="W50" i="4"/>
  <c r="W48" i="4"/>
  <c r="W32" i="4"/>
  <c r="W66" i="4"/>
  <c r="W34" i="4"/>
  <c r="W49" i="4"/>
  <c r="W70" i="4"/>
  <c r="W37" i="4"/>
  <c r="W36" i="4"/>
  <c r="W57" i="4"/>
  <c r="W35" i="4"/>
  <c r="W55" i="4"/>
  <c r="W23" i="4"/>
  <c r="W58" i="4"/>
  <c r="W42" i="4"/>
  <c r="W26" i="4"/>
  <c r="W72" i="4"/>
  <c r="W64" i="4"/>
  <c r="W51" i="4"/>
  <c r="W73" i="4"/>
  <c r="W39" i="4"/>
  <c r="W38" i="4"/>
  <c r="W30" i="4"/>
  <c r="W43" i="4"/>
  <c r="W63" i="4"/>
  <c r="W33" i="4"/>
  <c r="W67" i="4"/>
  <c r="W27" i="4"/>
  <c r="W47" i="4"/>
  <c r="W61" i="4"/>
  <c r="W45" i="4"/>
  <c r="W71" i="4"/>
  <c r="W41" i="4"/>
  <c r="W65" i="4"/>
  <c r="W60" i="4"/>
  <c r="W44" i="4"/>
  <c r="W28" i="4"/>
  <c r="Z33" i="2"/>
  <c r="J66" i="2"/>
  <c r="H81" i="2"/>
  <c r="Z34" i="2"/>
  <c r="W34" i="2"/>
  <c r="W35" i="2" s="1"/>
  <c r="AA34" i="2"/>
  <c r="AB47" i="2"/>
  <c r="AB46" i="2"/>
  <c r="AA32" i="2"/>
  <c r="Y34" i="2"/>
  <c r="X32" i="2"/>
  <c r="X34" i="2"/>
  <c r="I97" i="2" l="1"/>
  <c r="I146" i="2" s="1"/>
  <c r="H104" i="2"/>
  <c r="G156" i="2"/>
  <c r="D102" i="2"/>
  <c r="D148" i="2"/>
  <c r="D151" i="2" s="1"/>
  <c r="X85" i="4"/>
  <c r="W85" i="4"/>
  <c r="H161" i="2"/>
  <c r="H104" i="1"/>
  <c r="H109" i="1"/>
  <c r="X35" i="3"/>
  <c r="Z7" i="3"/>
  <c r="Y34" i="3"/>
  <c r="V42" i="3"/>
  <c r="V43" i="3"/>
  <c r="U27" i="3"/>
  <c r="Z45" i="3"/>
  <c r="Z25" i="3" s="1"/>
  <c r="Y25" i="3"/>
  <c r="AA35" i="2"/>
  <c r="X35" i="2"/>
  <c r="I81" i="2"/>
  <c r="J81" i="2" s="1"/>
  <c r="J91" i="2" s="1"/>
  <c r="AB45" i="2"/>
  <c r="F68" i="1"/>
  <c r="Y32" i="2"/>
  <c r="Y35" i="2" s="1"/>
  <c r="AB44" i="2"/>
  <c r="AB48" i="2"/>
  <c r="Z32" i="2"/>
  <c r="Z35" i="2" s="1"/>
  <c r="J104" i="2" l="1"/>
  <c r="J156" i="2" s="1"/>
  <c r="I104" i="2"/>
  <c r="I156" i="2" s="1"/>
  <c r="E106" i="2"/>
  <c r="E158" i="2" s="1"/>
  <c r="H156" i="2"/>
  <c r="Z34" i="3"/>
  <c r="J97" i="2"/>
  <c r="J146" i="2" s="1"/>
  <c r="X86" i="4"/>
  <c r="J18" i="4" s="1"/>
  <c r="B37" i="2" s="1"/>
  <c r="B40" i="2" s="1"/>
  <c r="J161" i="2"/>
  <c r="I109" i="1"/>
  <c r="I104" i="1"/>
  <c r="G104" i="1"/>
  <c r="G109" i="1"/>
  <c r="F104" i="1"/>
  <c r="F109" i="1"/>
  <c r="Z35" i="3"/>
  <c r="Y35" i="3"/>
  <c r="U26" i="3"/>
  <c r="E105" i="2" s="1"/>
  <c r="E107" i="2" s="1"/>
  <c r="E118" i="2" s="1"/>
  <c r="W43" i="3"/>
  <c r="V27" i="3"/>
  <c r="V26" i="3"/>
  <c r="W42" i="3"/>
  <c r="E104" i="1"/>
  <c r="E109" i="1"/>
  <c r="W15" i="2"/>
  <c r="W16" i="2" s="1"/>
  <c r="W18" i="2" s="1"/>
  <c r="W20" i="2" s="1"/>
  <c r="AA15" i="2"/>
  <c r="AA16" i="2" s="1"/>
  <c r="AA18" i="2" s="1"/>
  <c r="Z15" i="2"/>
  <c r="Z16" i="2" s="1"/>
  <c r="Z18" i="2" s="1"/>
  <c r="Y15" i="2"/>
  <c r="Y16" i="2" s="1"/>
  <c r="Y18" i="2" s="1"/>
  <c r="X15" i="2"/>
  <c r="X16" i="2" s="1"/>
  <c r="X18" i="2" s="1"/>
  <c r="B46" i="2" l="1"/>
  <c r="E39" i="2"/>
  <c r="E40" i="2" s="1"/>
  <c r="H8" i="2" s="1"/>
  <c r="K64" i="2"/>
  <c r="B125" i="2" s="1"/>
  <c r="B126" i="2" s="1"/>
  <c r="B5" i="12"/>
  <c r="Q44" i="13"/>
  <c r="N38" i="13" s="1"/>
  <c r="I109" i="2"/>
  <c r="I113" i="2" s="1"/>
  <c r="F105" i="2"/>
  <c r="F106" i="2"/>
  <c r="F158" i="2" s="1"/>
  <c r="E157" i="2"/>
  <c r="E159" i="2" s="1"/>
  <c r="E170" i="2" s="1"/>
  <c r="W26" i="3"/>
  <c r="X42" i="3"/>
  <c r="W27" i="3"/>
  <c r="X43" i="3"/>
  <c r="B66" i="2"/>
  <c r="B92" i="2"/>
  <c r="C12" i="2" s="1"/>
  <c r="F12" i="2" s="1"/>
  <c r="H12" i="2" s="1"/>
  <c r="J12" i="2" s="1"/>
  <c r="I12" i="2" s="1"/>
  <c r="J8" i="2" l="1"/>
  <c r="I8" i="2" s="1"/>
  <c r="F8" i="2"/>
  <c r="C8" i="2" s="1"/>
  <c r="K66" i="2"/>
  <c r="C52" i="13"/>
  <c r="Q38" i="13"/>
  <c r="R38" i="13" s="1"/>
  <c r="R40" i="13" s="1"/>
  <c r="K38" i="13" s="1"/>
  <c r="K39" i="13" s="1"/>
  <c r="K41" i="13" s="1"/>
  <c r="K42" i="13" s="1"/>
  <c r="G43" i="13" s="1"/>
  <c r="B47" i="2"/>
  <c r="B48" i="2" s="1"/>
  <c r="H9" i="2" s="1"/>
  <c r="F107" i="2"/>
  <c r="F118" i="2" s="1"/>
  <c r="I161" i="2"/>
  <c r="G106" i="2"/>
  <c r="G158" i="2" s="1"/>
  <c r="F157" i="2"/>
  <c r="F159" i="2" s="1"/>
  <c r="F170" i="2" s="1"/>
  <c r="G105" i="2"/>
  <c r="G157" i="2" s="1"/>
  <c r="C135" i="2"/>
  <c r="C137" i="2"/>
  <c r="D162" i="2" s="1"/>
  <c r="H124" i="2"/>
  <c r="I124" i="2" s="1"/>
  <c r="H129" i="2"/>
  <c r="B69" i="2"/>
  <c r="C10" i="2" s="1"/>
  <c r="F10" i="2" s="1"/>
  <c r="H10" i="2" s="1"/>
  <c r="J10" i="2" s="1"/>
  <c r="I10" i="2" s="1"/>
  <c r="B67" i="2"/>
  <c r="Y42" i="3"/>
  <c r="X26" i="3"/>
  <c r="X27" i="3"/>
  <c r="Y43" i="3"/>
  <c r="B118" i="2"/>
  <c r="G23" i="4"/>
  <c r="D161" i="2"/>
  <c r="J9" i="2" l="1"/>
  <c r="I9" i="2" s="1"/>
  <c r="F9" i="2"/>
  <c r="C9" i="2" s="1"/>
  <c r="C54" i="13"/>
  <c r="F51" i="13"/>
  <c r="F54" i="13" s="1"/>
  <c r="G159" i="2"/>
  <c r="G170" i="2" s="1"/>
  <c r="H106" i="2"/>
  <c r="H158" i="2" s="1"/>
  <c r="G107" i="2"/>
  <c r="G118" i="2" s="1"/>
  <c r="H105" i="2"/>
  <c r="H157" i="2" s="1"/>
  <c r="F172" i="2"/>
  <c r="F173" i="2" s="1"/>
  <c r="G172" i="2"/>
  <c r="H172" i="2"/>
  <c r="I172" i="2"/>
  <c r="E172" i="2"/>
  <c r="E173" i="2" s="1"/>
  <c r="C136" i="2"/>
  <c r="Y27" i="3"/>
  <c r="Z43" i="3"/>
  <c r="Z27" i="3" s="1"/>
  <c r="Z42" i="3"/>
  <c r="Z26" i="3" s="1"/>
  <c r="Y26" i="3"/>
  <c r="N23" i="4"/>
  <c r="G24" i="4"/>
  <c r="AA23" i="4"/>
  <c r="G173" i="2" l="1"/>
  <c r="H159" i="2"/>
  <c r="H170" i="2" s="1"/>
  <c r="H173" i="2" s="1"/>
  <c r="I105" i="2"/>
  <c r="J105" i="2"/>
  <c r="H107" i="2"/>
  <c r="H118" i="2" s="1"/>
  <c r="J106" i="2"/>
  <c r="J158" i="2" s="1"/>
  <c r="I106" i="2"/>
  <c r="I158" i="2" s="1"/>
  <c r="E162" i="2"/>
  <c r="F162" i="2" s="1"/>
  <c r="G162" i="2" s="1"/>
  <c r="H162" i="2" s="1"/>
  <c r="I162" i="2" s="1"/>
  <c r="I165" i="2"/>
  <c r="G25" i="4"/>
  <c r="AA24" i="4"/>
  <c r="N24" i="4"/>
  <c r="AB23" i="4"/>
  <c r="I107" i="2" l="1"/>
  <c r="J107" i="2"/>
  <c r="J157" i="2"/>
  <c r="J159" i="2" s="1"/>
  <c r="I157" i="2"/>
  <c r="I159" i="2" s="1"/>
  <c r="I170" i="2" s="1"/>
  <c r="J162" i="2"/>
  <c r="I168" i="2"/>
  <c r="N25" i="4"/>
  <c r="AB24" i="4"/>
  <c r="G26" i="4"/>
  <c r="AA25" i="4"/>
  <c r="G27" i="4" l="1"/>
  <c r="AA26" i="4"/>
  <c r="N26" i="4"/>
  <c r="AB25" i="4"/>
  <c r="N27" i="4" l="1"/>
  <c r="AB26" i="4"/>
  <c r="G28" i="4"/>
  <c r="AA27" i="4"/>
  <c r="G29" i="4" l="1"/>
  <c r="AA28" i="4"/>
  <c r="N28" i="4"/>
  <c r="AB27" i="4"/>
  <c r="N29" i="4" l="1"/>
  <c r="AB28" i="4"/>
  <c r="G30" i="4"/>
  <c r="AA29" i="4"/>
  <c r="G31" i="4" l="1"/>
  <c r="AA30" i="4"/>
  <c r="N30" i="4"/>
  <c r="AB29" i="4"/>
  <c r="N31" i="4" l="1"/>
  <c r="AB30" i="4"/>
  <c r="G32" i="4"/>
  <c r="AA31" i="4"/>
  <c r="G33" i="4" l="1"/>
  <c r="AA32" i="4"/>
  <c r="N32" i="4"/>
  <c r="AB31" i="4"/>
  <c r="N33" i="4" l="1"/>
  <c r="AB32" i="4"/>
  <c r="G34" i="4"/>
  <c r="AA33" i="4"/>
  <c r="G35" i="4" l="1"/>
  <c r="AA34" i="4"/>
  <c r="N34" i="4"/>
  <c r="AB33" i="4"/>
  <c r="N35" i="4" l="1"/>
  <c r="AB34" i="4"/>
  <c r="G36" i="4"/>
  <c r="AA35" i="4"/>
  <c r="G37" i="4" l="1"/>
  <c r="AA36" i="4"/>
  <c r="N36" i="4"/>
  <c r="AB35" i="4"/>
  <c r="N37" i="4" l="1"/>
  <c r="AB36" i="4"/>
  <c r="G38" i="4"/>
  <c r="AA37" i="4"/>
  <c r="G39" i="4" l="1"/>
  <c r="AA38" i="4"/>
  <c r="N38" i="4"/>
  <c r="AB37" i="4"/>
  <c r="N39" i="4" l="1"/>
  <c r="AB38" i="4"/>
  <c r="G40" i="4"/>
  <c r="AA39" i="4"/>
  <c r="G41" i="4" l="1"/>
  <c r="AA40" i="4"/>
  <c r="N40" i="4"/>
  <c r="AB39" i="4"/>
  <c r="N41" i="4" l="1"/>
  <c r="AB40" i="4"/>
  <c r="G42" i="4"/>
  <c r="AA41" i="4"/>
  <c r="G43" i="4" l="1"/>
  <c r="AA42" i="4"/>
  <c r="N42" i="4"/>
  <c r="AB41" i="4"/>
  <c r="N43" i="4" l="1"/>
  <c r="AB42" i="4"/>
  <c r="G44" i="4"/>
  <c r="AA43" i="4"/>
  <c r="G45" i="4" l="1"/>
  <c r="AA44" i="4"/>
  <c r="N44" i="4"/>
  <c r="AB43" i="4"/>
  <c r="N45" i="4" l="1"/>
  <c r="AB44" i="4"/>
  <c r="G46" i="4"/>
  <c r="AA45" i="4"/>
  <c r="G47" i="4" l="1"/>
  <c r="AA46" i="4"/>
  <c r="N46" i="4"/>
  <c r="AB45" i="4"/>
  <c r="N47" i="4" l="1"/>
  <c r="AB46" i="4"/>
  <c r="G48" i="4"/>
  <c r="AA47" i="4"/>
  <c r="G49" i="4" l="1"/>
  <c r="AA48" i="4"/>
  <c r="N48" i="4"/>
  <c r="AB47" i="4"/>
  <c r="N49" i="4" l="1"/>
  <c r="AB48" i="4"/>
  <c r="G50" i="4"/>
  <c r="AA49" i="4"/>
  <c r="G51" i="4" l="1"/>
  <c r="AA50" i="4"/>
  <c r="N50" i="4"/>
  <c r="AB49" i="4"/>
  <c r="N51" i="4" l="1"/>
  <c r="AB50" i="4"/>
  <c r="G52" i="4"/>
  <c r="AA51" i="4"/>
  <c r="G53" i="4" l="1"/>
  <c r="AA52" i="4"/>
  <c r="N52" i="4"/>
  <c r="AB51" i="4"/>
  <c r="N53" i="4" l="1"/>
  <c r="AB52" i="4"/>
  <c r="G54" i="4"/>
  <c r="AA53" i="4"/>
  <c r="G55" i="4" l="1"/>
  <c r="AA54" i="4"/>
  <c r="N54" i="4"/>
  <c r="AB53" i="4"/>
  <c r="N55" i="4" l="1"/>
  <c r="AB54" i="4"/>
  <c r="G56" i="4"/>
  <c r="AA55" i="4"/>
  <c r="G57" i="4" l="1"/>
  <c r="AA56" i="4"/>
  <c r="N56" i="4"/>
  <c r="AB55" i="4"/>
  <c r="N57" i="4" l="1"/>
  <c r="AB56" i="4"/>
  <c r="G58" i="4"/>
  <c r="AA57" i="4"/>
  <c r="G59" i="4" l="1"/>
  <c r="AA58" i="4"/>
  <c r="N58" i="4"/>
  <c r="AB57" i="4"/>
  <c r="N59" i="4" l="1"/>
  <c r="AB58" i="4"/>
  <c r="G60" i="4"/>
  <c r="AA59" i="4"/>
  <c r="G61" i="4" l="1"/>
  <c r="AA60" i="4"/>
  <c r="N60" i="4"/>
  <c r="AB59" i="4"/>
  <c r="N61" i="4" l="1"/>
  <c r="AB60" i="4"/>
  <c r="G62" i="4"/>
  <c r="AA61" i="4"/>
  <c r="G63" i="4" l="1"/>
  <c r="AA62" i="4"/>
  <c r="N62" i="4"/>
  <c r="AB61" i="4"/>
  <c r="N63" i="4" l="1"/>
  <c r="AB62" i="4"/>
  <c r="G64" i="4"/>
  <c r="AA63" i="4"/>
  <c r="G65" i="4" l="1"/>
  <c r="AA64" i="4"/>
  <c r="N64" i="4"/>
  <c r="AB63" i="4"/>
  <c r="N65" i="4" l="1"/>
  <c r="AB64" i="4"/>
  <c r="G66" i="4"/>
  <c r="AA65" i="4"/>
  <c r="G67" i="4" l="1"/>
  <c r="AA66" i="4"/>
  <c r="N66" i="4"/>
  <c r="AB65" i="4"/>
  <c r="N67" i="4" l="1"/>
  <c r="AB66" i="4"/>
  <c r="G68" i="4"/>
  <c r="AA67" i="4"/>
  <c r="G69" i="4" l="1"/>
  <c r="AA68" i="4"/>
  <c r="N68" i="4"/>
  <c r="AB67" i="4"/>
  <c r="N69" i="4" l="1"/>
  <c r="AB68" i="4"/>
  <c r="G70" i="4"/>
  <c r="AA69" i="4"/>
  <c r="G71" i="4" l="1"/>
  <c r="AA70" i="4"/>
  <c r="N70" i="4"/>
  <c r="AB69" i="4"/>
  <c r="N71" i="4" l="1"/>
  <c r="AB70" i="4"/>
  <c r="G72" i="4"/>
  <c r="AA71" i="4"/>
  <c r="G73" i="4" l="1"/>
  <c r="G74" i="4" s="1"/>
  <c r="AA72" i="4"/>
  <c r="N72" i="4"/>
  <c r="AB71" i="4"/>
  <c r="G75" i="4" l="1"/>
  <c r="AA74" i="4"/>
  <c r="N73" i="4"/>
  <c r="N74" i="4" s="1"/>
  <c r="AB72" i="4"/>
  <c r="AA73" i="4"/>
  <c r="G76" i="4" l="1"/>
  <c r="AA75" i="4"/>
  <c r="AB74" i="4"/>
  <c r="N75" i="4"/>
  <c r="AB73" i="4"/>
  <c r="AA76" i="4" l="1"/>
  <c r="G77" i="4"/>
  <c r="AB75" i="4"/>
  <c r="N76" i="4"/>
  <c r="E68" i="1"/>
  <c r="AA77" i="4" l="1"/>
  <c r="G78" i="4"/>
  <c r="AB76" i="4"/>
  <c r="N77" i="4"/>
  <c r="G79" i="4" l="1"/>
  <c r="AA78" i="4"/>
  <c r="AB77" i="4"/>
  <c r="N78" i="4"/>
  <c r="V47" i="3"/>
  <c r="U31" i="3"/>
  <c r="G80" i="4" l="1"/>
  <c r="AA79" i="4"/>
  <c r="AB78" i="4"/>
  <c r="N79" i="4"/>
  <c r="W47" i="3"/>
  <c r="V31" i="3"/>
  <c r="G81" i="4" l="1"/>
  <c r="AA80" i="4"/>
  <c r="AB79" i="4"/>
  <c r="N80" i="4"/>
  <c r="X47" i="3"/>
  <c r="W31" i="3"/>
  <c r="AA81" i="4" l="1"/>
  <c r="AB80" i="4"/>
  <c r="N81" i="4"/>
  <c r="Y47" i="3"/>
  <c r="I110" i="2" s="1"/>
  <c r="I116" i="2" s="1"/>
  <c r="X31" i="3"/>
  <c r="AB81" i="4" l="1"/>
  <c r="Z47" i="3"/>
  <c r="Y31" i="3"/>
  <c r="Z31" i="3" l="1"/>
  <c r="H123" i="2" l="1"/>
  <c r="I123" i="2" s="1"/>
  <c r="E83" i="1"/>
  <c r="F83" i="1"/>
  <c r="H83" i="1"/>
  <c r="M83" i="1"/>
  <c r="L83" i="1"/>
  <c r="I83" i="1"/>
  <c r="G83" i="1"/>
  <c r="J83" i="1"/>
  <c r="N83" i="1"/>
  <c r="K83" i="1"/>
  <c r="O83" i="1"/>
  <c r="M82" i="1"/>
  <c r="M103" i="1"/>
  <c r="J30" i="3"/>
  <c r="J31" i="3" s="1"/>
  <c r="J47" i="3" s="1"/>
  <c r="L103" i="1"/>
  <c r="L82" i="1"/>
  <c r="K30" i="3"/>
  <c r="K31" i="3" s="1"/>
  <c r="K47" i="3" s="1"/>
  <c r="L30" i="3"/>
  <c r="L31" i="3" s="1"/>
  <c r="L47" i="3" s="1"/>
  <c r="K82" i="1"/>
  <c r="K103" i="1"/>
  <c r="M30" i="3"/>
  <c r="M31" i="3" s="1"/>
  <c r="M47" i="3" s="1"/>
  <c r="J103" i="1"/>
  <c r="J82" i="1"/>
  <c r="N30" i="3"/>
  <c r="N31" i="3" s="1"/>
  <c r="N47" i="3" s="1"/>
  <c r="I103" i="1"/>
  <c r="I82" i="1"/>
  <c r="P82" i="1"/>
  <c r="G30" i="3"/>
  <c r="G31" i="3" s="1"/>
  <c r="G47" i="3" s="1"/>
  <c r="P103" i="1"/>
  <c r="H103" i="1"/>
  <c r="H82" i="1"/>
  <c r="O30" i="3"/>
  <c r="O31" i="3" s="1"/>
  <c r="O47" i="3" s="1"/>
  <c r="O82" i="1"/>
  <c r="O103" i="1"/>
  <c r="H30" i="3"/>
  <c r="H31" i="3" s="1"/>
  <c r="H47" i="3" s="1"/>
  <c r="G82" i="1"/>
  <c r="G103" i="1"/>
  <c r="P30" i="3"/>
  <c r="P31" i="3" s="1"/>
  <c r="P47" i="3" s="1"/>
  <c r="N82" i="1"/>
  <c r="N103" i="1"/>
  <c r="I30" i="3"/>
  <c r="I31" i="3" s="1"/>
  <c r="I47" i="3" s="1"/>
  <c r="E82" i="1"/>
  <c r="O122" i="2"/>
  <c r="O123" i="2" s="1"/>
  <c r="O124" i="2" s="1"/>
  <c r="F103" i="1"/>
  <c r="Q30" i="3"/>
  <c r="Q31" i="3" s="1"/>
  <c r="Q47" i="3" s="1"/>
  <c r="F82" i="1"/>
  <c r="K85" i="1" l="1"/>
  <c r="F85" i="1"/>
  <c r="M85" i="1"/>
  <c r="N85" i="1"/>
  <c r="H85" i="1"/>
  <c r="G85" i="1"/>
  <c r="O85" i="1"/>
  <c r="E85" i="1"/>
  <c r="L85" i="1"/>
  <c r="J85" i="1"/>
  <c r="I85" i="1"/>
  <c r="P85" i="1"/>
  <c r="D67" i="1" l="1"/>
  <c r="D68" i="1" s="1"/>
  <c r="D83" i="1"/>
  <c r="D85" i="1" s="1"/>
  <c r="B7" i="12" l="1"/>
  <c r="B8" i="12" s="1"/>
  <c r="B12" i="12" s="1"/>
  <c r="G44" i="13" l="1"/>
  <c r="D64" i="2"/>
  <c r="E66" i="2" l="1"/>
  <c r="I135" i="2"/>
  <c r="J135" i="2" s="1"/>
  <c r="E67" i="2"/>
  <c r="H11" i="2" s="1"/>
  <c r="E64" i="2"/>
  <c r="H64" i="2" s="1"/>
  <c r="J64" i="2" s="1"/>
  <c r="F124" i="2"/>
  <c r="F47" i="13"/>
  <c r="G45" i="13"/>
  <c r="J11" i="2" l="1"/>
  <c r="I11" i="2" s="1"/>
  <c r="F11" i="2"/>
  <c r="F125" i="2"/>
  <c r="G123" i="2" s="1"/>
  <c r="J137" i="2"/>
  <c r="J139" i="2" s="1"/>
  <c r="C138" i="2" s="1"/>
  <c r="D92" i="2"/>
  <c r="C11" i="2" l="1"/>
  <c r="G124" i="2"/>
  <c r="J124" i="2" s="1"/>
  <c r="C139" i="2"/>
  <c r="D138" i="2" s="1"/>
  <c r="B138" i="2"/>
  <c r="D173" i="2"/>
  <c r="J123" i="2"/>
  <c r="G125" i="2" l="1"/>
  <c r="J125" i="2"/>
  <c r="H128" i="2" s="1"/>
  <c r="D137" i="2"/>
  <c r="D139" i="2"/>
  <c r="D136" i="2"/>
  <c r="D135" i="2"/>
  <c r="B114" i="2" l="1"/>
  <c r="B166" i="2" s="1"/>
  <c r="I166" i="2" s="1"/>
  <c r="I167" i="2" s="1"/>
  <c r="I169" i="2" s="1"/>
  <c r="I173" i="2" s="1"/>
  <c r="I114" i="2" l="1"/>
  <c r="I115" i="2" s="1"/>
  <c r="I117" i="2" s="1"/>
  <c r="I118" i="2" s="1"/>
  <c r="D119" i="2" s="1"/>
  <c r="F13" i="2" s="1"/>
  <c r="H13" i="2" s="1"/>
  <c r="D174" i="2"/>
  <c r="D175" i="2" s="1"/>
  <c r="H14" i="2" s="1"/>
  <c r="C173" i="2"/>
  <c r="F16" i="2" l="1"/>
  <c r="D120" i="2"/>
  <c r="C13" i="2"/>
  <c r="C16" i="2" s="1"/>
  <c r="J14" i="2"/>
  <c r="I14" i="2" s="1"/>
  <c r="F14" i="2"/>
  <c r="C14" i="2" s="1"/>
  <c r="J13" i="2"/>
  <c r="I13" i="2" s="1"/>
  <c r="H16" i="2"/>
  <c r="J16" i="2" s="1"/>
</calcChain>
</file>

<file path=xl/sharedStrings.xml><?xml version="1.0" encoding="utf-8"?>
<sst xmlns="http://schemas.openxmlformats.org/spreadsheetml/2006/main" count="1002" uniqueCount="647">
  <si>
    <t>HYATT HOTELS CORPORATION</t>
  </si>
  <si>
    <t>($000's)</t>
  </si>
  <si>
    <t>Total Revenue</t>
  </si>
  <si>
    <t>Cost of Revenue</t>
  </si>
  <si>
    <t>Gross Profit</t>
  </si>
  <si>
    <t>Total Operating Expenses</t>
  </si>
  <si>
    <t>EBIT (Operating Income or Loss)</t>
  </si>
  <si>
    <t>Interest Expense</t>
  </si>
  <si>
    <t>EBT &amp; other Income/Expenses</t>
  </si>
  <si>
    <t>Other Income/Expenses Net</t>
  </si>
  <si>
    <t>EBT</t>
  </si>
  <si>
    <t>Income Tax Expense</t>
  </si>
  <si>
    <t>Net Income</t>
  </si>
  <si>
    <t>Assets</t>
  </si>
  <si>
    <t>Current Assets</t>
  </si>
  <si>
    <t>Cash And Cash Equivalents</t>
  </si>
  <si>
    <t>Other Short Term Investments</t>
  </si>
  <si>
    <t>Total Cash</t>
  </si>
  <si>
    <t>Net Receivables</t>
  </si>
  <si>
    <t>Inventory</t>
  </si>
  <si>
    <t>Total Current Assets</t>
  </si>
  <si>
    <t>Non-current assets</t>
  </si>
  <si>
    <t>Gross property, plant and equipment</t>
  </si>
  <si>
    <t>Accumulated Depreciation</t>
  </si>
  <si>
    <t>Net property, plant and equipment</t>
  </si>
  <si>
    <t>Long Term Investments</t>
  </si>
  <si>
    <t>Goodwill</t>
  </si>
  <si>
    <t>Intangible Assets</t>
  </si>
  <si>
    <t>Other long-term assets</t>
  </si>
  <si>
    <t>Total non-current assets</t>
  </si>
  <si>
    <t>Total Assets</t>
  </si>
  <si>
    <t>Liabilities</t>
  </si>
  <si>
    <t>Current Liabilities</t>
  </si>
  <si>
    <t>Accounts Payable</t>
  </si>
  <si>
    <t>Accrued liabilities</t>
  </si>
  <si>
    <t>Current Portion of Long Term Debt</t>
  </si>
  <si>
    <t>Total Current Liabilities</t>
  </si>
  <si>
    <t>Non-Current Liabilities</t>
  </si>
  <si>
    <t>Long Term Debt</t>
  </si>
  <si>
    <t>Deferred taxes liabilities</t>
  </si>
  <si>
    <t>Total non-current liabilities</t>
  </si>
  <si>
    <t>Total Liabilities</t>
  </si>
  <si>
    <t>Stockholders' Equity</t>
  </si>
  <si>
    <t>Common Stock</t>
  </si>
  <si>
    <t>Retained Earnings</t>
  </si>
  <si>
    <t>Total stockholders' equity</t>
  </si>
  <si>
    <t xml:space="preserve"> Liabilities &amp; Stockholders Equity</t>
  </si>
  <si>
    <t>Error</t>
  </si>
  <si>
    <t>Depreciation</t>
  </si>
  <si>
    <t>Investment Activities</t>
  </si>
  <si>
    <t>Capital Expenditure</t>
  </si>
  <si>
    <t>Financing Activity</t>
  </si>
  <si>
    <t>ST Debt</t>
  </si>
  <si>
    <t>LT Debt</t>
  </si>
  <si>
    <t>LT Deferred Revenue</t>
  </si>
  <si>
    <t>Other Long-Term Liabilities</t>
  </si>
  <si>
    <t xml:space="preserve">  Total Financing Activities</t>
  </si>
  <si>
    <t>FINANCIAL RATIO ANALYSIS</t>
  </si>
  <si>
    <t>EBITDA ($ 000's)</t>
  </si>
  <si>
    <t>TREND ANALYSIS</t>
  </si>
  <si>
    <t>Revenue Growth</t>
  </si>
  <si>
    <t>LIQUIDITY RATIOS</t>
  </si>
  <si>
    <t>Current Ratio</t>
  </si>
  <si>
    <t>Quick Ratio</t>
  </si>
  <si>
    <t>Accounts Receivable Turnover</t>
  </si>
  <si>
    <t>Accounts Receivable Days</t>
  </si>
  <si>
    <t>SOLVENCY RATIOS</t>
  </si>
  <si>
    <t>Total Debt / Total Capitalization (Cap Ratio)</t>
  </si>
  <si>
    <t>EBITDA/ Interest (Coverage Ratio)</t>
  </si>
  <si>
    <t>Total Debt / EBITDA (Leverage Ratio)</t>
  </si>
  <si>
    <t>PROFITABILITY RATIO</t>
  </si>
  <si>
    <t>EBITDA Margin</t>
  </si>
  <si>
    <t>ROA</t>
  </si>
  <si>
    <t>ROE</t>
  </si>
  <si>
    <t xml:space="preserve">INCOME STATEMENT </t>
  </si>
  <si>
    <t>Hyatt Hotels Corporation</t>
  </si>
  <si>
    <t>Yahoo Finance 
Link =</t>
  </si>
  <si>
    <t xml:space="preserve">https://finance.yahoo.com/quote/H?p=H </t>
  </si>
  <si>
    <t>Date of Analysis:</t>
  </si>
  <si>
    <t>INPUT</t>
  </si>
  <si>
    <t>HISTORICAL  INFORMATION</t>
  </si>
  <si>
    <t>ENTERPRISE VALUATION ANALYSIS</t>
  </si>
  <si>
    <t>INCOME STATEMENT</t>
  </si>
  <si>
    <t>LTM</t>
  </si>
  <si>
    <t>EV
(000's)</t>
  </si>
  <si>
    <t>Debt
(000's)</t>
  </si>
  <si>
    <t>Cash
(000's)</t>
  </si>
  <si>
    <t>Eq Value
(000's)</t>
  </si>
  <si>
    <t>Shares Outs
(000's)</t>
  </si>
  <si>
    <t>Stock 
Price</t>
  </si>
  <si>
    <t>(000's)</t>
  </si>
  <si>
    <t>METHOD #1 - Market Value / Using the Stock Price</t>
  </si>
  <si>
    <t>Revenue</t>
  </si>
  <si>
    <t>METHOD #2- Intrinsic Value</t>
  </si>
  <si>
    <t xml:space="preserve"> Gross Profit</t>
  </si>
  <si>
    <t>METHOD #3- Dividend Discount Model (DDM)</t>
  </si>
  <si>
    <t>Operating Expense</t>
  </si>
  <si>
    <t xml:space="preserve">METHOD #4 -Average  EBITDA  Industry Trading Multiples </t>
  </si>
  <si>
    <t>METHOD #5 - Using Averge EBITDA Transaction Multiples</t>
  </si>
  <si>
    <t>METHOD #6 - Discount Cash Flow Valuation Analysis</t>
  </si>
  <si>
    <t xml:space="preserve">  Average of other methods</t>
  </si>
  <si>
    <t>Shares Outstanding</t>
  </si>
  <si>
    <t>EPS</t>
  </si>
  <si>
    <t>EBITDA</t>
  </si>
  <si>
    <t>Company</t>
  </si>
  <si>
    <t>Symbol</t>
  </si>
  <si>
    <t>Stocks Outstanding ($000)</t>
  </si>
  <si>
    <t>Equity 
Value
 ($000)</t>
  </si>
  <si>
    <t>Enterprise Value 
($000)</t>
  </si>
  <si>
    <t>Choice Hotels International</t>
  </si>
  <si>
    <t>CHH</t>
  </si>
  <si>
    <t>Fairmont Hotels &amp; Resorts</t>
  </si>
  <si>
    <t>FHR</t>
  </si>
  <si>
    <t>Hilton Hotels</t>
  </si>
  <si>
    <t>HLT</t>
  </si>
  <si>
    <t>John Q. Hammons Hotels</t>
  </si>
  <si>
    <t>JQH</t>
  </si>
  <si>
    <t>La-Quinta Corp</t>
  </si>
  <si>
    <t>LQI</t>
  </si>
  <si>
    <t>Marcus Corporation</t>
  </si>
  <si>
    <t>MCS</t>
  </si>
  <si>
    <t>Marriott International</t>
  </si>
  <si>
    <t>MAR</t>
  </si>
  <si>
    <t>Orient Express Hotels Ltd</t>
  </si>
  <si>
    <t>OEH</t>
  </si>
  <si>
    <t>Hyatt</t>
  </si>
  <si>
    <t>H</t>
  </si>
  <si>
    <t>Cash, Cash &amp; Equivalent</t>
  </si>
  <si>
    <t>Total Debt</t>
  </si>
  <si>
    <t>Using CAPM = k = Rf + ( Beta * Premium )</t>
  </si>
  <si>
    <t>Intrinsic Value = V0 = [ E(D1) + E (P1)] / (1+k)</t>
  </si>
  <si>
    <t>D1=</t>
  </si>
  <si>
    <t>Beta =</t>
  </si>
  <si>
    <t>SUMMARY CASH FLOW ST.</t>
  </si>
  <si>
    <t>Exp (P1)=</t>
  </si>
  <si>
    <t>Market Return (Rf + Premium)=</t>
  </si>
  <si>
    <t>k=</t>
  </si>
  <si>
    <t>Capex</t>
  </si>
  <si>
    <t>Expected Equity Return using CAPM=</t>
  </si>
  <si>
    <t>Deprec. &amp; Amort.</t>
  </si>
  <si>
    <t>OPERATING ASSUMPTIONS</t>
  </si>
  <si>
    <t>AVERAGE</t>
  </si>
  <si>
    <t>Constant-Growth DDM (Gordon Model) V0 = D1 / (k-g)</t>
  </si>
  <si>
    <t>Expected HPR = E 9r) = [E (d1) + (E(p1) - P0) / P0</t>
  </si>
  <si>
    <t>Revenue Growth %</t>
  </si>
  <si>
    <t>D1 =</t>
  </si>
  <si>
    <t>Dividend (d1)</t>
  </si>
  <si>
    <t>COGS % of Revenue</t>
  </si>
  <si>
    <t>Expected Equity Return (k)=</t>
  </si>
  <si>
    <t>P1 = P0+D</t>
  </si>
  <si>
    <t>Oper. Expense % of Revenue</t>
  </si>
  <si>
    <t>Expected Growth (g) =</t>
  </si>
  <si>
    <t>P0</t>
  </si>
  <si>
    <t>Depreciation % Revenue</t>
  </si>
  <si>
    <t>Exp. HPR=</t>
  </si>
  <si>
    <t>Capex % Revenue</t>
  </si>
  <si>
    <t>Equity Value
 ($000)</t>
  </si>
  <si>
    <t>EBITDA Multiple</t>
  </si>
  <si>
    <t>Beta</t>
  </si>
  <si>
    <t>Hilton Worldwide Holdings Inc.</t>
  </si>
  <si>
    <t>Intercontinental Hotel</t>
  </si>
  <si>
    <t>IHG</t>
  </si>
  <si>
    <t>Park Hotels &amp; Resorts Inc.</t>
  </si>
  <si>
    <t>PK</t>
  </si>
  <si>
    <t>Wyndham Worldwide</t>
  </si>
  <si>
    <t>Average</t>
  </si>
  <si>
    <t>Hyatt's Enteprise Value</t>
  </si>
  <si>
    <t>METHOD #5 - Using Averge EBITDA Transaction Multiples (M&amp;A Comparable Method)</t>
  </si>
  <si>
    <t xml:space="preserve">Target </t>
  </si>
  <si>
    <t>Acquirer</t>
  </si>
  <si>
    <t>Acquisition Price /Share</t>
  </si>
  <si>
    <t>Equity Value ($mm)</t>
  </si>
  <si>
    <t>Total Net Debt ($mm)</t>
  </si>
  <si>
    <t>Enterprise Value (EV)</t>
  </si>
  <si>
    <t>EBITDA (last reported)</t>
  </si>
  <si>
    <t>Blackstone Group</t>
  </si>
  <si>
    <t>Four Seasons*</t>
  </si>
  <si>
    <t>Kingtom Hotels Int'l</t>
  </si>
  <si>
    <t>Fairmont/Rafles</t>
  </si>
  <si>
    <t>Hilton International</t>
  </si>
  <si>
    <t>Hilton Hotels Corp.</t>
  </si>
  <si>
    <t>Starwood Hotels</t>
  </si>
  <si>
    <t>Host Marriott</t>
  </si>
  <si>
    <t>Wynham Int'l</t>
  </si>
  <si>
    <t>JQH Acquisition LLC</t>
  </si>
  <si>
    <t>Boca Resorts</t>
  </si>
  <si>
    <t>Prime Hospitality</t>
  </si>
  <si>
    <t>Extended Stay</t>
  </si>
  <si>
    <t>Haytt's Enteprise Value</t>
  </si>
  <si>
    <t xml:space="preserve">  year =</t>
  </si>
  <si>
    <t>EXIT YEAR</t>
  </si>
  <si>
    <t>Assumptions</t>
  </si>
  <si>
    <t>Revenues</t>
  </si>
  <si>
    <t xml:space="preserve">  Revenue Growth</t>
  </si>
  <si>
    <t>Cost of Revenues (CoGS)</t>
  </si>
  <si>
    <t>Operating Expenses (Excl. Non-rec.)</t>
  </si>
  <si>
    <t xml:space="preserve"> EBIT</t>
  </si>
  <si>
    <t>Less Taxes (tax rate x of EBIT)</t>
  </si>
  <si>
    <t>Plus Depreciation</t>
  </si>
  <si>
    <t xml:space="preserve">Less Capex </t>
  </si>
  <si>
    <t>Cash Flow</t>
  </si>
  <si>
    <t>Debt (assuming 5% reduction of intial principal per year)</t>
  </si>
  <si>
    <t>Terminal Value</t>
  </si>
  <si>
    <t>Growth</t>
  </si>
  <si>
    <t xml:space="preserve">  EBITDA Multiple Method</t>
  </si>
  <si>
    <t xml:space="preserve">  Perpetuity Method </t>
  </si>
  <si>
    <t>Less Debt Outstanding (at Exit)</t>
  </si>
  <si>
    <t>Equity Value at Terminal</t>
  </si>
  <si>
    <t>Equity Cash Flows</t>
  </si>
  <si>
    <t>Interest</t>
  </si>
  <si>
    <t>Risk Free Rate (5 year)</t>
  </si>
  <si>
    <t>Premium based on MC =</t>
  </si>
  <si>
    <t>Rate</t>
  </si>
  <si>
    <t>Hyatt Beta =</t>
  </si>
  <si>
    <t>Expected Equity Return =</t>
  </si>
  <si>
    <t>WACC Calc:</t>
  </si>
  <si>
    <t xml:space="preserve">  % Cap</t>
  </si>
  <si>
    <t xml:space="preserve"> AT RoR</t>
  </si>
  <si>
    <t>WACC</t>
  </si>
  <si>
    <t>Dec 31</t>
  </si>
  <si>
    <t>Financial Analysis</t>
  </si>
  <si>
    <t>EBIT (operating)</t>
  </si>
  <si>
    <t xml:space="preserve">Interest </t>
  </si>
  <si>
    <t>Other non-oper. Income</t>
  </si>
  <si>
    <t>EBT (operating)</t>
  </si>
  <si>
    <t>Taxes</t>
  </si>
  <si>
    <t>Cost of Revenue as % of Revenue</t>
  </si>
  <si>
    <t>Operating Expense as % of Revenues</t>
  </si>
  <si>
    <t>Working Capital as % of Revenues</t>
  </si>
  <si>
    <t>Working Capital</t>
  </si>
  <si>
    <t xml:space="preserve"> Debt Reapayment $</t>
  </si>
  <si>
    <t>Projection Analysis</t>
  </si>
  <si>
    <t xml:space="preserve">  Gross profit</t>
  </si>
  <si>
    <t>HISTORICAL</t>
  </si>
  <si>
    <t>PROJECTED</t>
  </si>
  <si>
    <t>Financial Statement Date:</t>
  </si>
  <si>
    <t>Sell</t>
  </si>
  <si>
    <t>Date</t>
  </si>
  <si>
    <t>Open</t>
  </si>
  <si>
    <t>High</t>
  </si>
  <si>
    <t>Low</t>
  </si>
  <si>
    <t>Close</t>
  </si>
  <si>
    <t xml:space="preserve"> % Change</t>
  </si>
  <si>
    <t>Standard Deviation</t>
  </si>
  <si>
    <t>Historical Graph</t>
  </si>
  <si>
    <t>Beta Calculation</t>
  </si>
  <si>
    <t>S&amp;P</t>
  </si>
  <si>
    <t>X</t>
  </si>
  <si>
    <t>Y</t>
  </si>
  <si>
    <t>X-Avg (X)</t>
  </si>
  <si>
    <t>Y-Avg(y)</t>
  </si>
  <si>
    <t xml:space="preserve"> x^2</t>
  </si>
  <si>
    <t>[y-Avg(y)][x-Avg(x)]</t>
  </si>
  <si>
    <t>Total</t>
  </si>
  <si>
    <t>Cum Change%</t>
  </si>
  <si>
    <t>Graph Comparison</t>
  </si>
  <si>
    <t>HISTORICAL PRICE STOCK ANALYSIS</t>
  </si>
  <si>
    <t>VALUATION ANALYSIS</t>
  </si>
  <si>
    <t>name</t>
  </si>
  <si>
    <t>TotalRevenue</t>
  </si>
  <si>
    <t xml:space="preserve">	OperatingRevenue</t>
  </si>
  <si>
    <t>CostOfRevenue</t>
  </si>
  <si>
    <t>GrossProfit</t>
  </si>
  <si>
    <t>OperatingExpense</t>
  </si>
  <si>
    <t xml:space="preserve">	SellingGeneralAndAdministration</t>
  </si>
  <si>
    <t xml:space="preserve">	DepreciationAmortizationDepletionIncomeStatement</t>
  </si>
  <si>
    <t xml:space="preserve">		DepreciationAndAmortizationInIncomeStatement</t>
  </si>
  <si>
    <t>OperatingIncome</t>
  </si>
  <si>
    <t>NetNonOperatingInterestIncomeExpense</t>
  </si>
  <si>
    <t xml:space="preserve">	InterestIncomeNonOperating</t>
  </si>
  <si>
    <t xml:space="preserve">	InterestExpenseNonOperating</t>
  </si>
  <si>
    <t xml:space="preserve">	TotalOtherFinanceCost</t>
  </si>
  <si>
    <t>OtherIncomeExpense</t>
  </si>
  <si>
    <t xml:space="preserve">	GainOnSaleOfSecurity</t>
  </si>
  <si>
    <t xml:space="preserve">	EarningsFromEquityInterest</t>
  </si>
  <si>
    <t xml:space="preserve">	SpecialIncomeCharges</t>
  </si>
  <si>
    <t xml:space="preserve">		RestructuringAndMergernAcquisition</t>
  </si>
  <si>
    <t xml:space="preserve">		ImpairmentOfCapitalAssets</t>
  </si>
  <si>
    <t xml:space="preserve">		WriteOff</t>
  </si>
  <si>
    <t xml:space="preserve">		OtherSpecialCharges</t>
  </si>
  <si>
    <t xml:space="preserve">		GainOnSaleOfPPE</t>
  </si>
  <si>
    <t xml:space="preserve">	OtherNonOperatingIncomeExpenses</t>
  </si>
  <si>
    <t>PretaxIncome</t>
  </si>
  <si>
    <t>TaxProvision</t>
  </si>
  <si>
    <t>NetIncomeCommonStockholders</t>
  </si>
  <si>
    <t xml:space="preserve">	NetIncome</t>
  </si>
  <si>
    <t xml:space="preserve">		NetIncomeIncludingNoncontrollingInterests</t>
  </si>
  <si>
    <t xml:space="preserve">			NetIncomeContinuousOperations</t>
  </si>
  <si>
    <t xml:space="preserve">			NetIncomeDiscontinuousOperations</t>
  </si>
  <si>
    <t xml:space="preserve">			NetIncomeExtraordinary</t>
  </si>
  <si>
    <t xml:space="preserve">			NetIncomeFromTaxLossCarryforward</t>
  </si>
  <si>
    <t xml:space="preserve">		MinorityInterests</t>
  </si>
  <si>
    <t>DilutedNIAvailtoComStockholders</t>
  </si>
  <si>
    <t>BasicEPS</t>
  </si>
  <si>
    <t>DilutedEPS</t>
  </si>
  <si>
    <t>BasicAverageShares</t>
  </si>
  <si>
    <t>DilutedAverageShares</t>
  </si>
  <si>
    <t>TotalExpenses</t>
  </si>
  <si>
    <t>NetIncomeFromContinuingAndDiscontinuedOperation</t>
  </si>
  <si>
    <t>NormalizedIncome</t>
  </si>
  <si>
    <t>InterestIncome</t>
  </si>
  <si>
    <t>InterestExpense</t>
  </si>
  <si>
    <t>NetInterestIncome</t>
  </si>
  <si>
    <t>EBIT</t>
  </si>
  <si>
    <t>ReconciledCostOfRevenue</t>
  </si>
  <si>
    <t>ReconciledDepreciation</t>
  </si>
  <si>
    <t>NetIncomeFromContinuingOperationNetMinorityInterest</t>
  </si>
  <si>
    <t>TotalUnusualItemsExcludingGoodwill</t>
  </si>
  <si>
    <t>TotalUnusualItems</t>
  </si>
  <si>
    <t>NormalizedEBITDA</t>
  </si>
  <si>
    <t>TaxRateForCalcs</t>
  </si>
  <si>
    <t>TaxEffectOfUnusualItems</t>
  </si>
  <si>
    <t>TotalAssets</t>
  </si>
  <si>
    <t xml:space="preserve">	CurrentAssets</t>
  </si>
  <si>
    <t xml:space="preserve">		CashCashEquivalentsAndShortTermInvestments</t>
  </si>
  <si>
    <t xml:space="preserve">			CashAndCashEquivalents</t>
  </si>
  <si>
    <t xml:space="preserve">			OtherShortTermInvestments</t>
  </si>
  <si>
    <t xml:space="preserve">		Receivables</t>
  </si>
  <si>
    <t xml:space="preserve">			AccountsReceivable</t>
  </si>
  <si>
    <t xml:space="preserve">				GrossAccountsReceivable</t>
  </si>
  <si>
    <t xml:space="preserve">				AllowanceForDoubtfulAccountsReceivable</t>
  </si>
  <si>
    <t xml:space="preserve">		Inventory</t>
  </si>
  <si>
    <t xml:space="preserve">		PrepaidAssets</t>
  </si>
  <si>
    <t xml:space="preserve">		RestrictedCash</t>
  </si>
  <si>
    <t xml:space="preserve">		CurrentDeferredAssets</t>
  </si>
  <si>
    <t xml:space="preserve">			CurrentDeferredTaxesAssets</t>
  </si>
  <si>
    <t xml:space="preserve">		AssetsHeldForSaleCurrent</t>
  </si>
  <si>
    <t xml:space="preserve">		OtherCurrentAssets</t>
  </si>
  <si>
    <t xml:space="preserve">	TotalNonCurrentAssets</t>
  </si>
  <si>
    <t xml:space="preserve">		NetPPE</t>
  </si>
  <si>
    <t xml:space="preserve">			GrossPPE</t>
  </si>
  <si>
    <t xml:space="preserve">				Properties</t>
  </si>
  <si>
    <t xml:space="preserve">				LandAndImprovements</t>
  </si>
  <si>
    <t xml:space="preserve">				BuildingsAndImprovements</t>
  </si>
  <si>
    <t xml:space="preserve">				MachineryFurnitureEquipment</t>
  </si>
  <si>
    <t xml:space="preserve">				OtherProperties</t>
  </si>
  <si>
    <t xml:space="preserve">				ConstructionInProgress</t>
  </si>
  <si>
    <t xml:space="preserve">				Leases</t>
  </si>
  <si>
    <t xml:space="preserve">			AccumulatedDepreciation</t>
  </si>
  <si>
    <t xml:space="preserve">		GoodwillAndOtherIntangibleAssets</t>
  </si>
  <si>
    <t xml:space="preserve">			Goodwill</t>
  </si>
  <si>
    <t xml:space="preserve">			OtherIntangibleAssets</t>
  </si>
  <si>
    <t xml:space="preserve">		InvestmentsAndAdvances</t>
  </si>
  <si>
    <t xml:space="preserve">			LongTermEquityInvestment</t>
  </si>
  <si>
    <t xml:space="preserve">			InvestmentinFinancialAssets</t>
  </si>
  <si>
    <t xml:space="preserve">				AvailableForSaleSecurities</t>
  </si>
  <si>
    <t xml:space="preserve">			OtherInvestments</t>
  </si>
  <si>
    <t xml:space="preserve">		NonCurrentAccountsReceivable</t>
  </si>
  <si>
    <t xml:space="preserve">		NonCurrentNoteReceivables</t>
  </si>
  <si>
    <t xml:space="preserve">		NonCurrentDeferredAssets</t>
  </si>
  <si>
    <t xml:space="preserve">			NonCurrentDeferredTaxesAssets</t>
  </si>
  <si>
    <t xml:space="preserve">		OtherNonCurrentAssets</t>
  </si>
  <si>
    <t>TotalLiabilitiesNetMinorityInterest</t>
  </si>
  <si>
    <t xml:space="preserve">	CurrentLiabilities</t>
  </si>
  <si>
    <t xml:space="preserve">		PayablesAndAccruedExpenses</t>
  </si>
  <si>
    <t xml:space="preserve">			Payables</t>
  </si>
  <si>
    <t xml:space="preserve">				AccountsPayable</t>
  </si>
  <si>
    <t xml:space="preserve">				TotalTaxPayable</t>
  </si>
  <si>
    <t xml:space="preserve">					IncomeTaxPayable</t>
  </si>
  <si>
    <t xml:space="preserve">			CurrentAccruedExpenses</t>
  </si>
  <si>
    <t xml:space="preserve">		PensionandOtherPostRetirementBenefitPlansCurrent</t>
  </si>
  <si>
    <t xml:space="preserve">		CurrentDebtAndCapitalLeaseObligation</t>
  </si>
  <si>
    <t xml:space="preserve">			CurrentDebt</t>
  </si>
  <si>
    <t xml:space="preserve">				OtherCurrentBorrowings</t>
  </si>
  <si>
    <t xml:space="preserve">			CurrentCapitalLeaseObligation</t>
  </si>
  <si>
    <t xml:space="preserve">		CurrentDeferredLiabilities</t>
  </si>
  <si>
    <t xml:space="preserve">			CurrentDeferredRevenue</t>
  </si>
  <si>
    <t xml:space="preserve">		OtherCurrentLiabilities</t>
  </si>
  <si>
    <t xml:space="preserve">	TotalNonCurrentLiabilitiesNetMinorityInterest</t>
  </si>
  <si>
    <t xml:space="preserve">		LongTermProvisions</t>
  </si>
  <si>
    <t xml:space="preserve">		LongTermDebtAndCapitalLeaseObligation</t>
  </si>
  <si>
    <t xml:space="preserve">			LongTermDebt</t>
  </si>
  <si>
    <t xml:space="preserve">			LongTermCapitalLeaseObligation</t>
  </si>
  <si>
    <t xml:space="preserve">		NonCurrentDeferredLiabilities</t>
  </si>
  <si>
    <t xml:space="preserve">			NonCurrentDeferredTaxesLiabilities</t>
  </si>
  <si>
    <t xml:space="preserve">			NonCurrentDeferredRevenue</t>
  </si>
  <si>
    <t xml:space="preserve">		TradeandOtherPayablesNonCurrent</t>
  </si>
  <si>
    <t xml:space="preserve">		EmployeeBenefits</t>
  </si>
  <si>
    <t xml:space="preserve">			NonCurrentPensionAndOtherPostretirementBenefitPlans</t>
  </si>
  <si>
    <t xml:space="preserve">		OtherNonCurrentLiabilities</t>
  </si>
  <si>
    <t>TotalEquityGrossMinorityInterest</t>
  </si>
  <si>
    <t xml:space="preserve">	StockholdersEquity</t>
  </si>
  <si>
    <t xml:space="preserve">		CapitalStock</t>
  </si>
  <si>
    <t xml:space="preserve">			PreferredStock</t>
  </si>
  <si>
    <t xml:space="preserve">			CommonStock</t>
  </si>
  <si>
    <t xml:space="preserve">		AdditionalPaidInCapital</t>
  </si>
  <si>
    <t xml:space="preserve">		RetainedEarnings</t>
  </si>
  <si>
    <t xml:space="preserve">		TreasuryStock</t>
  </si>
  <si>
    <t xml:space="preserve">		GainsLossesNotAffectingRetainedEarnings</t>
  </si>
  <si>
    <t xml:space="preserve">			OtherEquityAdjustments</t>
  </si>
  <si>
    <t xml:space="preserve">	MinorityInterest</t>
  </si>
  <si>
    <t>TotalCapitalization</t>
  </si>
  <si>
    <t>CommonStockEquity</t>
  </si>
  <si>
    <t>CapitalLeaseObligations</t>
  </si>
  <si>
    <t>NetTangibleAssets</t>
  </si>
  <si>
    <t>WorkingCapital</t>
  </si>
  <si>
    <t>InvestedCapital</t>
  </si>
  <si>
    <t>TangibleBookValue</t>
  </si>
  <si>
    <t>TotalDebt</t>
  </si>
  <si>
    <t>NetDebt</t>
  </si>
  <si>
    <t>ShareIssued</t>
  </si>
  <si>
    <t>OrdinarySharesNumber</t>
  </si>
  <si>
    <t>TreasurySharesNumber</t>
  </si>
  <si>
    <t>OperatingCashFlow</t>
  </si>
  <si>
    <t xml:space="preserve">	CashFlowFromContinuingOperatingActivities</t>
  </si>
  <si>
    <t xml:space="preserve">		NetIncomeFromContinuingOperations</t>
  </si>
  <si>
    <t xml:space="preserve">		OperatingGainsLosses</t>
  </si>
  <si>
    <t xml:space="preserve">			GainLossOnSaleOfBusiness</t>
  </si>
  <si>
    <t xml:space="preserve">			GainLossOnSaleOfPPE</t>
  </si>
  <si>
    <t xml:space="preserve">			NetForeignCurrencyExchangeGainLoss</t>
  </si>
  <si>
    <t xml:space="preserve">			GainLossOnInvestmentSecurities</t>
  </si>
  <si>
    <t xml:space="preserve">			EarningsLossesFromEquityInvestments</t>
  </si>
  <si>
    <t xml:space="preserve">		DepreciationAmortizationDepletion</t>
  </si>
  <si>
    <t xml:space="preserve">			DepreciationAndAmortization</t>
  </si>
  <si>
    <t xml:space="preserve">				Depreciation</t>
  </si>
  <si>
    <t xml:space="preserve">		DeferredTax</t>
  </si>
  <si>
    <t xml:space="preserve">			DeferredIncomeTax</t>
  </si>
  <si>
    <t xml:space="preserve">		AssetImpairmentCharge</t>
  </si>
  <si>
    <t xml:space="preserve">		ProvisionandWriteOffofAssets</t>
  </si>
  <si>
    <t xml:space="preserve">		UnrealizedGainLossOnInvestmentSecurities</t>
  </si>
  <si>
    <t xml:space="preserve">		StockBasedCompensation</t>
  </si>
  <si>
    <t xml:space="preserve">		OtherNonCashItems</t>
  </si>
  <si>
    <t xml:space="preserve">		ChangeInWorkingCapital</t>
  </si>
  <si>
    <t xml:space="preserve">			ChangeInReceivables</t>
  </si>
  <si>
    <t xml:space="preserve">			ChangeInInventory</t>
  </si>
  <si>
    <t xml:space="preserve">			ChangeInPrepaidAssets</t>
  </si>
  <si>
    <t xml:space="preserve">			ChangeInPayablesAndAccruedExpense</t>
  </si>
  <si>
    <t xml:space="preserve">				ChangeInPayable</t>
  </si>
  <si>
    <t xml:space="preserve">					ChangeInAccountPayable</t>
  </si>
  <si>
    <t xml:space="preserve">			ChangeInOtherCurrentAssets</t>
  </si>
  <si>
    <t xml:space="preserve">			ChangeInOtherCurrentLiabilities</t>
  </si>
  <si>
    <t xml:space="preserve">			ChangeInOtherWorkingCapital</t>
  </si>
  <si>
    <t xml:space="preserve">		DividendReceivedCFO</t>
  </si>
  <si>
    <t xml:space="preserve">	CashFromDiscontinuedOperatingActivities</t>
  </si>
  <si>
    <t>InvestingCashFlow</t>
  </si>
  <si>
    <t xml:space="preserve">	CashFlowFromContinuingInvestingActivities</t>
  </si>
  <si>
    <t xml:space="preserve">		CapitalExpenditureReported</t>
  </si>
  <si>
    <t xml:space="preserve">		NetPPEPurchaseAndSale</t>
  </si>
  <si>
    <t xml:space="preserve">			PurchaseOfPPE</t>
  </si>
  <si>
    <t xml:space="preserve">			SaleOfPPE</t>
  </si>
  <si>
    <t xml:space="preserve">		NetIntangiblesPurchaseAndSale</t>
  </si>
  <si>
    <t xml:space="preserve">			SaleOfIntangibles</t>
  </si>
  <si>
    <t xml:space="preserve">		NetBusinessPurchaseAndSale</t>
  </si>
  <si>
    <t xml:space="preserve">			PurchaseOfBusiness</t>
  </si>
  <si>
    <t xml:space="preserve">			SaleOfBusiness</t>
  </si>
  <si>
    <t xml:space="preserve">		NetInvestmentPurchaseAndSale</t>
  </si>
  <si>
    <t xml:space="preserve">			PurchaseOfInvestment</t>
  </si>
  <si>
    <t xml:space="preserve">			SaleOfInvestment</t>
  </si>
  <si>
    <t xml:space="preserve">		NetOtherInvestingChanges</t>
  </si>
  <si>
    <t xml:space="preserve">	CashFromDiscontinuedInvestingActivities</t>
  </si>
  <si>
    <t>FinancingCashFlow</t>
  </si>
  <si>
    <t xml:space="preserve">	CashFlowFromContinuingFinancingActivities</t>
  </si>
  <si>
    <t xml:space="preserve">		NetIssuancePaymentsOfDebt</t>
  </si>
  <si>
    <t xml:space="preserve">			NetLongTermDebtIssuance</t>
  </si>
  <si>
    <t xml:space="preserve">				LongTermDebtIssuance</t>
  </si>
  <si>
    <t xml:space="preserve">				LongTermDebtPayments</t>
  </si>
  <si>
    <t xml:space="preserve">			NetShortTermDebtIssuance</t>
  </si>
  <si>
    <t xml:space="preserve">				ShortTermDebtIssuance</t>
  </si>
  <si>
    <t xml:space="preserve">				ShortTermDebtPayments</t>
  </si>
  <si>
    <t xml:space="preserve">		NetCommonStockIssuance</t>
  </si>
  <si>
    <t xml:space="preserve">			CommonStockIssuance</t>
  </si>
  <si>
    <t xml:space="preserve">			CommonStockPayments</t>
  </si>
  <si>
    <t xml:space="preserve">		NetPreferredStockIssuance</t>
  </si>
  <si>
    <t xml:space="preserve">			PreferredStockIssuance</t>
  </si>
  <si>
    <t xml:space="preserve">		CashDividendsPaid</t>
  </si>
  <si>
    <t xml:space="preserve">			CommonStockDividendPaid</t>
  </si>
  <si>
    <t xml:space="preserve">		NetOtherFinancingCharges</t>
  </si>
  <si>
    <t>CashFlowFromDiscontinuedOperation</t>
  </si>
  <si>
    <t>EndCashPosition</t>
  </si>
  <si>
    <t xml:space="preserve">	ChangesInCash</t>
  </si>
  <si>
    <t xml:space="preserve">	EffectOfExchangeRateChanges</t>
  </si>
  <si>
    <t xml:space="preserve">	BeginningCashPosition</t>
  </si>
  <si>
    <t>IncomeTaxPaidSupplementalData</t>
  </si>
  <si>
    <t>InterestPaidSupplementalData</t>
  </si>
  <si>
    <t>CapitalExpenditure</t>
  </si>
  <si>
    <t>IssuanceOfCapitalStock</t>
  </si>
  <si>
    <t>IssuanceOfDebt</t>
  </si>
  <si>
    <t>RepaymentOfDebt</t>
  </si>
  <si>
    <t>RepurchaseOfCapitalStock</t>
  </si>
  <si>
    <t>FreeCashFlow</t>
  </si>
  <si>
    <t xml:space="preserve"> Depreciation</t>
  </si>
  <si>
    <t>Covid</t>
  </si>
  <si>
    <t xml:space="preserve"> Stock Val=</t>
  </si>
  <si>
    <t>Stock Val=</t>
  </si>
  <si>
    <t>Stock Val =</t>
  </si>
  <si>
    <t>Less Working Capital</t>
  </si>
  <si>
    <t>Amount</t>
  </si>
  <si>
    <t xml:space="preserve">HISTORICAL </t>
  </si>
  <si>
    <t>Avg Debt</t>
  </si>
  <si>
    <t>RoR</t>
  </si>
  <si>
    <t>Marriott Hotels</t>
  </si>
  <si>
    <t>Extended Stay America</t>
  </si>
  <si>
    <t>Adj Close</t>
  </si>
  <si>
    <t>SUMMARY CASH FLOW ANALYSIS</t>
  </si>
  <si>
    <t>Cum Change %</t>
  </si>
  <si>
    <t xml:space="preserve"> Working Capital Activities</t>
  </si>
  <si>
    <t>Market Premium=</t>
  </si>
  <si>
    <t>STD</t>
  </si>
  <si>
    <t>LTD</t>
  </si>
  <si>
    <t>Volume</t>
  </si>
  <si>
    <t>Hyatt Hotels (5-yr Monthly)</t>
  </si>
  <si>
    <t>MV Equity</t>
  </si>
  <si>
    <t xml:space="preserve">Stock Price  </t>
  </si>
  <si>
    <t>Dec 32</t>
  </si>
  <si>
    <t>Dec 33</t>
  </si>
  <si>
    <t>Dec 34</t>
  </si>
  <si>
    <t>Exit year's EBITDA x Trading Multiple</t>
  </si>
  <si>
    <t>Next Year's CF / (WACC - growth)</t>
  </si>
  <si>
    <t>Total Cap</t>
  </si>
  <si>
    <t>Prepaid Expenses</t>
  </si>
  <si>
    <t>Restricted Cash</t>
  </si>
  <si>
    <t xml:space="preserve">  Plugline</t>
  </si>
  <si>
    <t>Other Currenbt Liabilities</t>
  </si>
  <si>
    <t>plugline</t>
  </si>
  <si>
    <t>Other Non-current Liabilities</t>
  </si>
  <si>
    <t xml:space="preserve">Other Equity </t>
  </si>
  <si>
    <t>Minority Interest</t>
  </si>
  <si>
    <t>BALANCE SHEET STATEMENT</t>
  </si>
  <si>
    <t>Risk Free (10-year Tresury) =</t>
  </si>
  <si>
    <t>Average (less outliers)</t>
  </si>
  <si>
    <t>EBITDA * Average Multiple (Hilton, Marriott)</t>
  </si>
  <si>
    <t>Using LTM EBITDA=</t>
  </si>
  <si>
    <t>S&amp;P 500 ETF (SPY)</t>
  </si>
  <si>
    <t>WACC (Firm Valuation Discount Rate)</t>
  </si>
  <si>
    <t>CAPM (Equity Valuation Discount Rate)</t>
  </si>
  <si>
    <t xml:space="preserve">Cost of Debt Calculation </t>
  </si>
  <si>
    <t>Cost of Equity Calculation</t>
  </si>
  <si>
    <t>(-10%/
+10%)</t>
  </si>
  <si>
    <t>DCF</t>
  </si>
  <si>
    <t>1 . Stream of Cash Flow (6-yers)</t>
  </si>
  <si>
    <t>2. Exit Year</t>
  </si>
  <si>
    <t>3. Terminal Exit</t>
  </si>
  <si>
    <t>4. Discount Rate</t>
  </si>
  <si>
    <t xml:space="preserve"> CAPM</t>
  </si>
  <si>
    <t>PV = FV / (1+i)^t</t>
  </si>
  <si>
    <t>Hyatt's EquityValue</t>
  </si>
  <si>
    <t>EBITDA * Average Multiple Industry</t>
  </si>
  <si>
    <t xml:space="preserve">     Method #4 using direct Competitors EBITDA x</t>
  </si>
  <si>
    <t>WH</t>
  </si>
  <si>
    <t>Stock Price</t>
  </si>
  <si>
    <t>Cash
 ($000)</t>
  </si>
  <si>
    <t>EBITDA 
($000)</t>
  </si>
  <si>
    <t xml:space="preserve">                    = NPV(CAPM,CF1,CF2,CF3,CF4,CF5)</t>
  </si>
  <si>
    <t>Premium</t>
  </si>
  <si>
    <t>WoodSpring Suites (spin-off Choie Hotels)</t>
  </si>
  <si>
    <t>Private</t>
  </si>
  <si>
    <t>Dec 35</t>
  </si>
  <si>
    <t>Dec 36</t>
  </si>
  <si>
    <t>Wyndham Hotel &amp; Resorts</t>
  </si>
  <si>
    <t>Choice Hotels</t>
  </si>
  <si>
    <t>Hilton</t>
  </si>
  <si>
    <t>Marriot</t>
  </si>
  <si>
    <t>Marcus</t>
  </si>
  <si>
    <t>Wyndham</t>
  </si>
  <si>
    <t>Park Hotel Resorts</t>
  </si>
  <si>
    <t>Stock</t>
  </si>
  <si>
    <t>Outstanding</t>
  </si>
  <si>
    <t>EV (mm)</t>
  </si>
  <si>
    <t>EBITDA (mm)</t>
  </si>
  <si>
    <t>Debt (mm)</t>
  </si>
  <si>
    <t>Cash (mm)</t>
  </si>
  <si>
    <t>EV/EBITDA</t>
  </si>
  <si>
    <t>MC (mm)</t>
  </si>
  <si>
    <t>https://finance.yahoo.com/quote/H/analysis</t>
  </si>
  <si>
    <t>Source:</t>
  </si>
  <si>
    <t>METHOD #7 - Leveraged Buyout (LBO) Valuation Analysis</t>
  </si>
  <si>
    <t>Bank Debt</t>
  </si>
  <si>
    <t>Corporate Bonds</t>
  </si>
  <si>
    <t>Equity</t>
  </si>
  <si>
    <t>Debt Capacity</t>
  </si>
  <si>
    <t xml:space="preserve">  Total Debt</t>
  </si>
  <si>
    <t>LBO Transaction Sources</t>
  </si>
  <si>
    <t>LBO Transaction Uses</t>
  </si>
  <si>
    <t>Purchase Common Stock</t>
  </si>
  <si>
    <t>Refinancing Total Debt</t>
  </si>
  <si>
    <t>Fees &amp; Expesnes</t>
  </si>
  <si>
    <t>Price</t>
  </si>
  <si>
    <t xml:space="preserve"> Amount $</t>
  </si>
  <si>
    <t>% cap</t>
  </si>
  <si>
    <t>Plus Interest</t>
  </si>
  <si>
    <t xml:space="preserve">Debt </t>
  </si>
  <si>
    <t>Improvements</t>
  </si>
  <si>
    <t xml:space="preserve">  Operating Expenses</t>
  </si>
  <si>
    <t>Target</t>
  </si>
  <si>
    <t>IRR</t>
  </si>
  <si>
    <t>Debt 
(ST&amp;LT)
($000)</t>
  </si>
  <si>
    <t>METHOD #7 - LBO Cash Flow Valuation Analysis</t>
  </si>
  <si>
    <t>Equity Unlevered</t>
  </si>
  <si>
    <t>Less Interest</t>
  </si>
  <si>
    <t>Less Principal</t>
  </si>
  <si>
    <t xml:space="preserve">	ProvisionForDoubtfulAccounts</t>
  </si>
  <si>
    <t>OtherCashAdjustmentInsideChangeinCash</t>
  </si>
  <si>
    <t>Recommend</t>
  </si>
  <si>
    <t>Dividend</t>
  </si>
  <si>
    <t xml:space="preserve"> Estimated Debt Repayment % starting 12/2023 outstanding Debt</t>
  </si>
  <si>
    <t>EBITDA = EBIT + Depreciation</t>
  </si>
  <si>
    <t>WACC=</t>
  </si>
  <si>
    <t xml:space="preserve"> Cost of rev % or Rev</t>
  </si>
  <si>
    <t>Operating Expenses</t>
  </si>
  <si>
    <t xml:space="preserve"> Oper. Expens % rev</t>
  </si>
  <si>
    <t>Cash Flow Items</t>
  </si>
  <si>
    <t>Capital Expenditures</t>
  </si>
  <si>
    <t>Debt</t>
  </si>
  <si>
    <t>Discount Cash Flow</t>
  </si>
  <si>
    <t>Less Taxes</t>
  </si>
  <si>
    <t>Add Depreciation</t>
  </si>
  <si>
    <t>Less Capex</t>
  </si>
  <si>
    <t>EXIT</t>
  </si>
  <si>
    <t xml:space="preserve"> EBITDA Multiple Method</t>
  </si>
  <si>
    <t xml:space="preserve"> Perpetuity Method</t>
  </si>
  <si>
    <t>EBITDA x Multiple</t>
  </si>
  <si>
    <t>Cash Flow / WACC - growth</t>
  </si>
  <si>
    <t>EBITDA Trading Multiples</t>
  </si>
  <si>
    <t>CAPM</t>
  </si>
  <si>
    <t>Debt Interest</t>
  </si>
  <si>
    <t>CAPM = Rf + Beta (Mr - Rf)</t>
  </si>
  <si>
    <t>Rf =</t>
  </si>
  <si>
    <t>Mr =</t>
  </si>
  <si>
    <t>Beta=</t>
  </si>
  <si>
    <t>Debt Int = Inter/Debt</t>
  </si>
  <si>
    <t>B</t>
  </si>
  <si>
    <t>Less Debt</t>
  </si>
  <si>
    <t>Method 2</t>
  </si>
  <si>
    <t>Target Price</t>
  </si>
  <si>
    <t>Divident</t>
  </si>
  <si>
    <t>(D1+P1)(1+CAPM)</t>
  </si>
  <si>
    <t>Method 3</t>
  </si>
  <si>
    <t>D1 / (CAPM - Growth)</t>
  </si>
  <si>
    <t>McD EBITDA</t>
  </si>
  <si>
    <t>Discound Cash Flow Methodology</t>
  </si>
  <si>
    <t>ttm</t>
  </si>
  <si>
    <t xml:space="preserve">				CashFinancial</t>
  </si>
  <si>
    <t xml:space="preserve">				CashEquivalents</t>
  </si>
  <si>
    <t xml:space="preserve">			OtherReceivables</t>
  </si>
  <si>
    <t>COVID-19</t>
  </si>
  <si>
    <t>RECESSION</t>
  </si>
  <si>
    <t>null</t>
  </si>
  <si>
    <t>Cummulative Monthly Change</t>
  </si>
  <si>
    <t>yield</t>
  </si>
  <si>
    <t>Playa Hotels &amp; Resorts</t>
  </si>
  <si>
    <t>PLYA</t>
  </si>
  <si>
    <t xml:space="preserve">Hyatt </t>
  </si>
  <si>
    <t>https://finance.yahoo.com/news/hyatt-starts-cash-tender-offer-115324701.html</t>
  </si>
  <si>
    <t xml:space="preserve">		GeneralAndAdministrativeExpense</t>
  </si>
  <si>
    <t xml:space="preserve">			OtherGandA</t>
  </si>
  <si>
    <t>Playa</t>
  </si>
  <si>
    <t>(Avg Target by Analysts for 12/25)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</si>
</sst>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00"/>
    <numFmt numFmtId="165" formatCode="0.0%"/>
    <numFmt numFmtId="166" formatCode="0.0\x"/>
    <numFmt numFmtId="167" formatCode="#,#00.00"/>
    <numFmt numFmtId="168" formatCode="_(* #,##0_);_(* \(#,##0\);_(* &quot;-&quot;??_);_(@_)"/>
    <numFmt numFmtId="169" formatCode="_(* #,##0.000_);_(* \(#,##0.000\);_(* &quot;-&quot;??_);_(@_)"/>
    <numFmt numFmtId="170" formatCode="0.00\x"/>
    <numFmt numFmtId="171" formatCode="_(&quot;$&quot;* #,##0_);_(&quot;$&quot;* \(#,##0\);_(&quot;$&quot;* &quot;-&quot;??_);_(@_)"/>
    <numFmt numFmtId="172" formatCode="0.0000%"/>
    <numFmt numFmtId="173" formatCode="_(* #,##0.0000_);_(* \(#,##0.0000\);_(* &quot;-&quot;??_);_(@_)"/>
    <numFmt numFmtId="174" formatCode="0.000%"/>
    <numFmt numFmtId="175" formatCode="[$-409]mmmm\-yy;@"/>
    <numFmt numFmtId="176" formatCode="_(* #,##0.0_);_(* \(#,##0.0\);_(* &quot;-&quot;??_);_(@_)"/>
    <numFmt numFmtId="177" formatCode="&quot;$&quot;#,##0.0_);[Red]\(&quot;$&quot;#,##0.0\)"/>
    <numFmt numFmtId="178" formatCode="_(&quot;$&quot;* #,##0.0_);_(&quot;$&quot;* \(#,##0.0\);_(&quot;$&quot;* &quot;-&quot;??_);_(@_)"/>
  </numFmts>
  <fonts count="5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rgb="FF000000"/>
      <name val="Times New Roman"/>
      <family val="1"/>
    </font>
    <font>
      <b/>
      <sz val="9"/>
      <color rgb="FF000000"/>
      <name val="&amp;quot"/>
    </font>
    <font>
      <sz val="9"/>
      <color rgb="FF000000"/>
      <name val="Times New Roman"/>
      <family val="1"/>
    </font>
    <font>
      <sz val="9"/>
      <color rgb="FF000000"/>
      <name val="&amp;quot"/>
    </font>
    <font>
      <sz val="9"/>
      <name val="Arial"/>
      <family val="2"/>
    </font>
    <font>
      <b/>
      <u/>
      <sz val="9"/>
      <color rgb="FF000000"/>
      <name val="Times New Roman"/>
      <family val="1"/>
    </font>
    <font>
      <sz val="10"/>
      <name val="Calibri"/>
      <family val="2"/>
    </font>
    <font>
      <i/>
      <sz val="8"/>
      <name val="Arial"/>
      <family val="2"/>
    </font>
    <font>
      <b/>
      <u/>
      <sz val="9"/>
      <name val="Arial"/>
      <family val="2"/>
    </font>
    <font>
      <b/>
      <u/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0"/>
      <name val="Arial"/>
      <family val="2"/>
    </font>
    <font>
      <sz val="11"/>
      <color rgb="FF00B0F0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  <font>
      <b/>
      <sz val="10"/>
      <color rgb="FF000000"/>
      <name val="Times New Roman"/>
      <family val="1"/>
    </font>
    <font>
      <sz val="11"/>
      <color rgb="FF0066F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rgb="FF0066FF"/>
      <name val="Arial"/>
      <family val="2"/>
    </font>
    <font>
      <sz val="10"/>
      <color rgb="FF0066FF"/>
      <name val="Arial"/>
      <family val="2"/>
    </font>
    <font>
      <i/>
      <sz val="9"/>
      <color rgb="FF000000"/>
      <name val="Times New Roman"/>
      <family val="1"/>
    </font>
    <font>
      <i/>
      <sz val="9"/>
      <color rgb="FF000000"/>
      <name val="&amp;quot"/>
    </font>
    <font>
      <i/>
      <sz val="9"/>
      <name val="Arial"/>
      <family val="2"/>
    </font>
    <font>
      <i/>
      <sz val="10"/>
      <color rgb="FF0066FF"/>
      <name val="Calibri"/>
      <family val="2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u/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rgb="FF0066FF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rgb="FF0066FF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8"/>
      <name val="Calibri"/>
      <family val="2"/>
      <scheme val="minor"/>
    </font>
    <font>
      <i/>
      <sz val="8"/>
      <name val="Calibri"/>
      <family val="2"/>
      <scheme val="minor"/>
    </font>
    <font>
      <b/>
      <sz val="16"/>
      <color rgb="FF0066FF"/>
      <name val="Calibri"/>
      <family val="2"/>
      <scheme val="minor"/>
    </font>
    <font>
      <b/>
      <i/>
      <sz val="11"/>
      <name val="Calibri"/>
      <family val="2"/>
      <scheme val="minor"/>
    </font>
    <font>
      <sz val="7"/>
      <color rgb="FF232A31"/>
      <name val="Arial"/>
      <family val="2"/>
    </font>
    <font>
      <b/>
      <u/>
      <sz val="11"/>
      <color theme="1"/>
      <name val="Calibri"/>
      <family val="2"/>
      <scheme val="minor"/>
    </font>
    <font>
      <b/>
      <u/>
      <sz val="11"/>
      <color rgb="FF0066FF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499984740745262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683">
    <xf numFmtId="0" fontId="0" fillId="0" borderId="0" xfId="0"/>
    <xf numFmtId="0" fontId="4" fillId="0" borderId="0" xfId="0" applyFont="1"/>
    <xf numFmtId="164" fontId="5" fillId="0" borderId="0" xfId="0" applyNumberFormat="1" applyFont="1"/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164" fontId="6" fillId="0" borderId="0" xfId="0" applyNumberFormat="1" applyFont="1"/>
    <xf numFmtId="0" fontId="4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64" fontId="12" fillId="0" borderId="0" xfId="0" applyNumberFormat="1" applyFont="1" applyAlignment="1">
      <alignment horizontal="right"/>
    </xf>
    <xf numFmtId="164" fontId="4" fillId="0" borderId="0" xfId="0" applyNumberFormat="1" applyFont="1"/>
    <xf numFmtId="0" fontId="13" fillId="0" borderId="0" xfId="0" applyFont="1" applyAlignment="1">
      <alignment horizontal="left" vertical="center"/>
    </xf>
    <xf numFmtId="164" fontId="12" fillId="0" borderId="4" xfId="0" applyNumberFormat="1" applyFont="1" applyBorder="1" applyAlignment="1">
      <alignment horizontal="right"/>
    </xf>
    <xf numFmtId="0" fontId="12" fillId="0" borderId="0" xfId="0" applyFont="1"/>
    <xf numFmtId="0" fontId="14" fillId="0" borderId="0" xfId="0" applyFont="1" applyAlignment="1">
      <alignment vertical="center"/>
    </xf>
    <xf numFmtId="164" fontId="12" fillId="0" borderId="5" xfId="0" applyNumberFormat="1" applyFont="1" applyBorder="1" applyAlignment="1">
      <alignment horizontal="right"/>
    </xf>
    <xf numFmtId="164" fontId="7" fillId="0" borderId="2" xfId="0" applyNumberFormat="1" applyFont="1" applyBorder="1" applyAlignment="1">
      <alignment horizontal="right"/>
    </xf>
    <xf numFmtId="0" fontId="14" fillId="0" borderId="0" xfId="0" applyFont="1"/>
    <xf numFmtId="0" fontId="7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164" fontId="15" fillId="0" borderId="0" xfId="0" applyNumberFormat="1" applyFont="1" applyAlignment="1">
      <alignment horizontal="right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right"/>
    </xf>
    <xf numFmtId="0" fontId="16" fillId="0" borderId="0" xfId="0" applyFont="1" applyAlignment="1">
      <alignment horizontal="left" vertical="center"/>
    </xf>
    <xf numFmtId="164" fontId="7" fillId="0" borderId="0" xfId="0" applyNumberFormat="1" applyFont="1" applyAlignment="1">
      <alignment horizontal="right"/>
    </xf>
    <xf numFmtId="164" fontId="12" fillId="0" borderId="0" xfId="0" applyNumberFormat="1" applyFont="1"/>
    <xf numFmtId="164" fontId="4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165" fontId="12" fillId="0" borderId="0" xfId="3" applyNumberFormat="1" applyFont="1" applyFill="1" applyBorder="1" applyAlignment="1">
      <alignment horizontal="right"/>
    </xf>
    <xf numFmtId="166" fontId="12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0" fillId="0" borderId="0" xfId="0" applyAlignment="1">
      <alignment horizontal="center"/>
    </xf>
    <xf numFmtId="6" fontId="0" fillId="0" borderId="0" xfId="0" applyNumberFormat="1"/>
    <xf numFmtId="0" fontId="3" fillId="0" borderId="0" xfId="0" applyFont="1" applyAlignment="1">
      <alignment horizontal="right"/>
    </xf>
    <xf numFmtId="0" fontId="3" fillId="0" borderId="0" xfId="0" applyFont="1"/>
    <xf numFmtId="0" fontId="2" fillId="3" borderId="0" xfId="0" applyFont="1" applyFill="1"/>
    <xf numFmtId="0" fontId="2" fillId="3" borderId="12" xfId="0" applyFont="1" applyFill="1" applyBorder="1" applyAlignment="1">
      <alignment horizontal="center" vertical="center"/>
    </xf>
    <xf numFmtId="14" fontId="2" fillId="3" borderId="0" xfId="0" applyNumberFormat="1" applyFont="1" applyFill="1"/>
    <xf numFmtId="3" fontId="0" fillId="0" borderId="0" xfId="0" applyNumberFormat="1"/>
    <xf numFmtId="168" fontId="20" fillId="0" borderId="0" xfId="1" applyNumberFormat="1" applyFont="1"/>
    <xf numFmtId="168" fontId="0" fillId="0" borderId="0" xfId="1" applyNumberFormat="1" applyFont="1"/>
    <xf numFmtId="168" fontId="0" fillId="0" borderId="0" xfId="0" applyNumberFormat="1"/>
    <xf numFmtId="44" fontId="0" fillId="0" borderId="0" xfId="2" applyFont="1"/>
    <xf numFmtId="168" fontId="0" fillId="0" borderId="12" xfId="1" applyNumberFormat="1" applyFont="1" applyBorder="1"/>
    <xf numFmtId="168" fontId="0" fillId="0" borderId="17" xfId="1" applyNumberFormat="1" applyFont="1" applyBorder="1"/>
    <xf numFmtId="168" fontId="0" fillId="0" borderId="2" xfId="1" applyNumberFormat="1" applyFont="1" applyBorder="1"/>
    <xf numFmtId="10" fontId="0" fillId="0" borderId="0" xfId="3" applyNumberFormat="1" applyFont="1"/>
    <xf numFmtId="0" fontId="0" fillId="0" borderId="0" xfId="0" applyAlignment="1">
      <alignment horizontal="right"/>
    </xf>
    <xf numFmtId="164" fontId="7" fillId="0" borderId="0" xfId="0" applyNumberFormat="1" applyFont="1"/>
    <xf numFmtId="168" fontId="0" fillId="0" borderId="19" xfId="1" applyNumberFormat="1" applyFont="1" applyBorder="1"/>
    <xf numFmtId="14" fontId="0" fillId="0" borderId="0" xfId="0" applyNumberFormat="1"/>
    <xf numFmtId="168" fontId="4" fillId="0" borderId="0" xfId="1" applyNumberFormat="1" applyFont="1"/>
    <xf numFmtId="168" fontId="25" fillId="0" borderId="0" xfId="1" applyNumberFormat="1" applyFont="1"/>
    <xf numFmtId="165" fontId="0" fillId="0" borderId="0" xfId="0" applyNumberFormat="1"/>
    <xf numFmtId="165" fontId="25" fillId="0" borderId="0" xfId="0" applyNumberFormat="1" applyFont="1"/>
    <xf numFmtId="0" fontId="27" fillId="0" borderId="0" xfId="0" applyFont="1"/>
    <xf numFmtId="0" fontId="28" fillId="0" borderId="0" xfId="0" applyFont="1"/>
    <xf numFmtId="168" fontId="28" fillId="0" borderId="0" xfId="1" applyNumberFormat="1" applyFont="1"/>
    <xf numFmtId="43" fontId="0" fillId="0" borderId="0" xfId="1" applyFont="1"/>
    <xf numFmtId="168" fontId="12" fillId="0" borderId="5" xfId="1" applyNumberFormat="1" applyFont="1" applyBorder="1" applyAlignment="1">
      <alignment horizontal="right"/>
    </xf>
    <xf numFmtId="168" fontId="11" fillId="0" borderId="4" xfId="1" applyNumberFormat="1" applyFont="1" applyBorder="1" applyAlignment="1">
      <alignment horizontal="right" vertical="center" wrapText="1"/>
    </xf>
    <xf numFmtId="168" fontId="11" fillId="0" borderId="0" xfId="1" applyNumberFormat="1" applyFont="1" applyBorder="1" applyAlignment="1">
      <alignment horizontal="right" vertical="center" wrapText="1"/>
    </xf>
    <xf numFmtId="168" fontId="12" fillId="0" borderId="0" xfId="1" applyNumberFormat="1" applyFont="1" applyAlignment="1">
      <alignment horizontal="right"/>
    </xf>
    <xf numFmtId="168" fontId="12" fillId="0" borderId="2" xfId="1" applyNumberFormat="1" applyFont="1" applyBorder="1" applyAlignment="1">
      <alignment horizontal="right"/>
    </xf>
    <xf numFmtId="168" fontId="12" fillId="0" borderId="0" xfId="1" applyNumberFormat="1" applyFont="1" applyBorder="1" applyAlignment="1">
      <alignment horizontal="right"/>
    </xf>
    <xf numFmtId="168" fontId="7" fillId="0" borderId="0" xfId="1" applyNumberFormat="1" applyFont="1" applyBorder="1" applyAlignment="1">
      <alignment horizontal="right"/>
    </xf>
    <xf numFmtId="168" fontId="11" fillId="0" borderId="2" xfId="1" applyNumberFormat="1" applyFont="1" applyBorder="1" applyAlignment="1">
      <alignment horizontal="right" vertical="center" wrapText="1"/>
    </xf>
    <xf numFmtId="168" fontId="9" fillId="0" borderId="0" xfId="1" applyNumberFormat="1" applyFont="1" applyBorder="1" applyAlignment="1">
      <alignment horizontal="right" vertical="center" wrapText="1"/>
    </xf>
    <xf numFmtId="0" fontId="29" fillId="0" borderId="0" xfId="0" applyFont="1" applyAlignment="1">
      <alignment horizontal="left" vertical="center"/>
    </xf>
    <xf numFmtId="165" fontId="31" fillId="0" borderId="0" xfId="3" applyNumberFormat="1" applyFont="1" applyBorder="1" applyAlignment="1">
      <alignment horizontal="right"/>
    </xf>
    <xf numFmtId="168" fontId="7" fillId="0" borderId="5" xfId="1" applyNumberFormat="1" applyFont="1" applyBorder="1" applyAlignment="1">
      <alignment horizontal="right"/>
    </xf>
    <xf numFmtId="0" fontId="3" fillId="0" borderId="7" xfId="0" applyFont="1" applyBorder="1" applyAlignment="1">
      <alignment horizontal="right" vertical="center" wrapText="1"/>
    </xf>
    <xf numFmtId="0" fontId="32" fillId="0" borderId="0" xfId="0" applyFont="1"/>
    <xf numFmtId="165" fontId="0" fillId="0" borderId="0" xfId="3" applyNumberFormat="1" applyFont="1" applyAlignment="1">
      <alignment horizontal="center"/>
    </xf>
    <xf numFmtId="0" fontId="34" fillId="0" borderId="0" xfId="0" applyFont="1"/>
    <xf numFmtId="43" fontId="0" fillId="0" borderId="0" xfId="1" applyFont="1" applyAlignment="1">
      <alignment horizontal="center"/>
    </xf>
    <xf numFmtId="43" fontId="0" fillId="0" borderId="0" xfId="1" applyFont="1" applyAlignment="1">
      <alignment horizontal="right"/>
    </xf>
    <xf numFmtId="165" fontId="0" fillId="0" borderId="0" xfId="0" applyNumberFormat="1" applyAlignment="1">
      <alignment horizontal="center"/>
    </xf>
    <xf numFmtId="10" fontId="0" fillId="0" borderId="0" xfId="3" applyNumberFormat="1" applyFont="1" applyAlignment="1">
      <alignment horizontal="center"/>
    </xf>
    <xf numFmtId="0" fontId="0" fillId="0" borderId="0" xfId="0" applyAlignment="1">
      <alignment horizontal="center" vertical="center"/>
    </xf>
    <xf numFmtId="43" fontId="1" fillId="0" borderId="0" xfId="1" applyFont="1" applyAlignment="1">
      <alignment horizontal="center"/>
    </xf>
    <xf numFmtId="10" fontId="0" fillId="0" borderId="23" xfId="3" applyNumberFormat="1" applyFont="1" applyBorder="1" applyAlignment="1">
      <alignment horizontal="center"/>
    </xf>
    <xf numFmtId="10" fontId="0" fillId="0" borderId="24" xfId="3" applyNumberFormat="1" applyFont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72" fontId="0" fillId="0" borderId="0" xfId="3" applyNumberFormat="1" applyFont="1"/>
    <xf numFmtId="172" fontId="0" fillId="0" borderId="2" xfId="0" applyNumberFormat="1" applyBorder="1"/>
    <xf numFmtId="173" fontId="3" fillId="6" borderId="0" xfId="1" applyNumberFormat="1" applyFont="1" applyFill="1" applyBorder="1"/>
    <xf numFmtId="4" fontId="0" fillId="0" borderId="0" xfId="0" applyNumberFormat="1"/>
    <xf numFmtId="165" fontId="12" fillId="0" borderId="0" xfId="3" applyNumberFormat="1" applyFont="1" applyFill="1" applyAlignment="1">
      <alignment horizontal="right"/>
    </xf>
    <xf numFmtId="165" fontId="12" fillId="7" borderId="0" xfId="3" applyNumberFormat="1" applyFont="1" applyFill="1" applyAlignment="1">
      <alignment horizontal="right"/>
    </xf>
    <xf numFmtId="164" fontId="6" fillId="8" borderId="0" xfId="0" applyNumberFormat="1" applyFont="1" applyFill="1"/>
    <xf numFmtId="164" fontId="22" fillId="8" borderId="4" xfId="0" quotePrefix="1" applyNumberFormat="1" applyFont="1" applyFill="1" applyBorder="1" applyAlignment="1">
      <alignment horizontal="right"/>
    </xf>
    <xf numFmtId="164" fontId="7" fillId="8" borderId="1" xfId="0" quotePrefix="1" applyNumberFormat="1" applyFont="1" applyFill="1" applyBorder="1" applyAlignment="1">
      <alignment horizontal="left" vertical="center"/>
    </xf>
    <xf numFmtId="1" fontId="6" fillId="8" borderId="1" xfId="0" applyNumberFormat="1" applyFont="1" applyFill="1" applyBorder="1" applyAlignment="1">
      <alignment horizontal="right" vertical="center"/>
    </xf>
    <xf numFmtId="164" fontId="22" fillId="8" borderId="4" xfId="0" applyNumberFormat="1" applyFont="1" applyFill="1" applyBorder="1" applyAlignment="1">
      <alignment horizontal="right"/>
    </xf>
    <xf numFmtId="164" fontId="21" fillId="9" borderId="0" xfId="0" applyNumberFormat="1" applyFont="1" applyFill="1"/>
    <xf numFmtId="164" fontId="19" fillId="9" borderId="0" xfId="0" applyNumberFormat="1" applyFont="1" applyFill="1" applyAlignment="1">
      <alignment horizontal="right"/>
    </xf>
    <xf numFmtId="0" fontId="19" fillId="9" borderId="0" xfId="0" applyFont="1" applyFill="1" applyAlignment="1">
      <alignment horizontal="right"/>
    </xf>
    <xf numFmtId="0" fontId="19" fillId="9" borderId="0" xfId="0" applyFont="1" applyFill="1"/>
    <xf numFmtId="168" fontId="19" fillId="9" borderId="0" xfId="1" applyNumberFormat="1" applyFont="1" applyFill="1"/>
    <xf numFmtId="164" fontId="6" fillId="10" borderId="0" xfId="0" applyNumberFormat="1" applyFont="1" applyFill="1"/>
    <xf numFmtId="164" fontId="22" fillId="10" borderId="4" xfId="0" quotePrefix="1" applyNumberFormat="1" applyFont="1" applyFill="1" applyBorder="1" applyAlignment="1">
      <alignment horizontal="right"/>
    </xf>
    <xf numFmtId="164" fontId="7" fillId="10" borderId="1" xfId="0" quotePrefix="1" applyNumberFormat="1" applyFont="1" applyFill="1" applyBorder="1" applyAlignment="1">
      <alignment horizontal="left" vertical="center"/>
    </xf>
    <xf numFmtId="0" fontId="3" fillId="10" borderId="7" xfId="0" applyFont="1" applyFill="1" applyBorder="1" applyAlignment="1">
      <alignment horizontal="center" vertical="center"/>
    </xf>
    <xf numFmtId="43" fontId="3" fillId="10" borderId="8" xfId="1" applyFont="1" applyFill="1" applyBorder="1" applyAlignment="1">
      <alignment horizontal="center" vertical="center"/>
    </xf>
    <xf numFmtId="0" fontId="3" fillId="10" borderId="9" xfId="0" applyFont="1" applyFill="1" applyBorder="1" applyAlignment="1">
      <alignment horizontal="center" vertical="center"/>
    </xf>
    <xf numFmtId="0" fontId="3" fillId="10" borderId="4" xfId="0" applyFont="1" applyFill="1" applyBorder="1" applyAlignment="1">
      <alignment horizontal="center" vertical="center"/>
    </xf>
    <xf numFmtId="43" fontId="3" fillId="10" borderId="4" xfId="1" applyFont="1" applyFill="1" applyBorder="1" applyAlignment="1">
      <alignment horizontal="center" vertical="center"/>
    </xf>
    <xf numFmtId="0" fontId="3" fillId="10" borderId="0" xfId="0" applyFont="1" applyFill="1" applyAlignment="1">
      <alignment horizontal="center" vertical="center"/>
    </xf>
    <xf numFmtId="0" fontId="35" fillId="9" borderId="0" xfId="0" applyFont="1" applyFill="1"/>
    <xf numFmtId="43" fontId="26" fillId="9" borderId="0" xfId="1" applyFont="1" applyFill="1"/>
    <xf numFmtId="0" fontId="26" fillId="9" borderId="0" xfId="0" applyFont="1" applyFill="1" applyAlignment="1">
      <alignment horizontal="center"/>
    </xf>
    <xf numFmtId="0" fontId="26" fillId="9" borderId="0" xfId="0" applyFont="1" applyFill="1"/>
    <xf numFmtId="43" fontId="26" fillId="9" borderId="0" xfId="1" applyFont="1" applyFill="1" applyAlignment="1">
      <alignment horizontal="center"/>
    </xf>
    <xf numFmtId="0" fontId="36" fillId="9" borderId="0" xfId="0" applyFont="1" applyFill="1"/>
    <xf numFmtId="0" fontId="2" fillId="9" borderId="0" xfId="0" applyFont="1" applyFill="1"/>
    <xf numFmtId="0" fontId="2" fillId="9" borderId="0" xfId="0" applyFont="1" applyFill="1" applyAlignment="1">
      <alignment horizontal="center"/>
    </xf>
    <xf numFmtId="0" fontId="2" fillId="9" borderId="0" xfId="0" quotePrefix="1" applyFont="1" applyFill="1" applyAlignment="1">
      <alignment horizontal="center" shrinkToFit="1"/>
    </xf>
    <xf numFmtId="0" fontId="2" fillId="9" borderId="0" xfId="0" applyFont="1" applyFill="1" applyAlignment="1">
      <alignment horizontal="left"/>
    </xf>
    <xf numFmtId="0" fontId="3" fillId="10" borderId="4" xfId="0" applyFont="1" applyFill="1" applyBorder="1" applyAlignment="1">
      <alignment horizontal="left"/>
    </xf>
    <xf numFmtId="0" fontId="0" fillId="10" borderId="4" xfId="0" applyFill="1" applyBorder="1" applyAlignment="1">
      <alignment horizontal="center"/>
    </xf>
    <xf numFmtId="0" fontId="0" fillId="10" borderId="4" xfId="0" applyFill="1" applyBorder="1"/>
    <xf numFmtId="0" fontId="3" fillId="10" borderId="4" xfId="0" applyFont="1" applyFill="1" applyBorder="1"/>
    <xf numFmtId="0" fontId="3" fillId="2" borderId="7" xfId="0" applyFont="1" applyFill="1" applyBorder="1" applyAlignment="1">
      <alignment horizontal="right"/>
    </xf>
    <xf numFmtId="173" fontId="3" fillId="2" borderId="9" xfId="0" applyNumberFormat="1" applyFont="1" applyFill="1" applyBorder="1"/>
    <xf numFmtId="0" fontId="3" fillId="10" borderId="6" xfId="0" applyFont="1" applyFill="1" applyBorder="1" applyAlignment="1">
      <alignment horizontal="center" vertical="center" wrapText="1"/>
    </xf>
    <xf numFmtId="44" fontId="3" fillId="2" borderId="6" xfId="0" applyNumberFormat="1" applyFont="1" applyFill="1" applyBorder="1"/>
    <xf numFmtId="165" fontId="25" fillId="7" borderId="0" xfId="0" applyNumberFormat="1" applyFont="1" applyFill="1"/>
    <xf numFmtId="165" fontId="0" fillId="12" borderId="0" xfId="3" applyNumberFormat="1" applyFont="1" applyFill="1" applyAlignment="1">
      <alignment horizontal="center"/>
    </xf>
    <xf numFmtId="14" fontId="37" fillId="0" borderId="0" xfId="0" applyNumberFormat="1" applyFont="1"/>
    <xf numFmtId="43" fontId="37" fillId="0" borderId="0" xfId="1" applyFont="1"/>
    <xf numFmtId="0" fontId="38" fillId="0" borderId="0" xfId="0" applyFont="1"/>
    <xf numFmtId="164" fontId="12" fillId="12" borderId="0" xfId="0" applyNumberFormat="1" applyFont="1" applyFill="1" applyAlignment="1">
      <alignment horizontal="right"/>
    </xf>
    <xf numFmtId="0" fontId="7" fillId="12" borderId="0" xfId="0" applyFont="1" applyFill="1" applyAlignment="1">
      <alignment horizontal="left" vertical="center"/>
    </xf>
    <xf numFmtId="164" fontId="7" fillId="12" borderId="0" xfId="0" applyNumberFormat="1" applyFont="1" applyFill="1" applyAlignment="1">
      <alignment horizontal="right"/>
    </xf>
    <xf numFmtId="0" fontId="16" fillId="12" borderId="0" xfId="0" applyFont="1" applyFill="1" applyAlignment="1">
      <alignment horizontal="left" vertical="center"/>
    </xf>
    <xf numFmtId="0" fontId="12" fillId="12" borderId="0" xfId="0" applyFont="1" applyFill="1" applyAlignment="1">
      <alignment horizontal="left" vertical="center"/>
    </xf>
    <xf numFmtId="0" fontId="10" fillId="12" borderId="0" xfId="0" applyFont="1" applyFill="1" applyAlignment="1">
      <alignment horizontal="left" vertical="center"/>
    </xf>
    <xf numFmtId="0" fontId="3" fillId="8" borderId="0" xfId="0" applyFont="1" applyFill="1"/>
    <xf numFmtId="0" fontId="3" fillId="8" borderId="0" xfId="0" applyFont="1" applyFill="1" applyAlignment="1">
      <alignment horizontal="right"/>
    </xf>
    <xf numFmtId="0" fontId="33" fillId="8" borderId="0" xfId="0" applyFont="1" applyFill="1"/>
    <xf numFmtId="170" fontId="33" fillId="8" borderId="0" xfId="0" applyNumberFormat="1" applyFont="1" applyFill="1"/>
    <xf numFmtId="0" fontId="40" fillId="8" borderId="0" xfId="0" applyFont="1" applyFill="1"/>
    <xf numFmtId="0" fontId="40" fillId="0" borderId="22" xfId="0" applyFont="1" applyBorder="1"/>
    <xf numFmtId="44" fontId="40" fillId="0" borderId="22" xfId="2" applyFont="1" applyBorder="1"/>
    <xf numFmtId="169" fontId="40" fillId="0" borderId="22" xfId="1" applyNumberFormat="1" applyFont="1" applyBorder="1"/>
    <xf numFmtId="43" fontId="40" fillId="0" borderId="22" xfId="1" applyFont="1" applyBorder="1"/>
    <xf numFmtId="0" fontId="40" fillId="0" borderId="25" xfId="0" applyFont="1" applyBorder="1"/>
    <xf numFmtId="44" fontId="40" fillId="0" borderId="25" xfId="2" applyFont="1" applyBorder="1"/>
    <xf numFmtId="169" fontId="40" fillId="0" borderId="25" xfId="1" applyNumberFormat="1" applyFont="1" applyBorder="1"/>
    <xf numFmtId="168" fontId="33" fillId="8" borderId="22" xfId="1" applyNumberFormat="1" applyFont="1" applyFill="1" applyBorder="1" applyAlignment="1">
      <alignment vertical="center"/>
    </xf>
    <xf numFmtId="0" fontId="33" fillId="8" borderId="0" xfId="0" applyFont="1" applyFill="1" applyAlignment="1">
      <alignment horizontal="left"/>
    </xf>
    <xf numFmtId="0" fontId="42" fillId="8" borderId="0" xfId="0" applyFont="1" applyFill="1"/>
    <xf numFmtId="10" fontId="40" fillId="8" borderId="0" xfId="0" applyNumberFormat="1" applyFont="1" applyFill="1"/>
    <xf numFmtId="0" fontId="33" fillId="8" borderId="0" xfId="0" applyFont="1" applyFill="1" applyAlignment="1">
      <alignment horizontal="right"/>
    </xf>
    <xf numFmtId="44" fontId="33" fillId="2" borderId="6" xfId="2" applyFont="1" applyFill="1" applyBorder="1"/>
    <xf numFmtId="10" fontId="33" fillId="8" borderId="0" xfId="0" applyNumberFormat="1" applyFont="1" applyFill="1"/>
    <xf numFmtId="8" fontId="40" fillId="8" borderId="0" xfId="0" applyNumberFormat="1" applyFont="1" applyFill="1"/>
    <xf numFmtId="8" fontId="33" fillId="8" borderId="0" xfId="0" applyNumberFormat="1" applyFont="1" applyFill="1"/>
    <xf numFmtId="0" fontId="33" fillId="8" borderId="0" xfId="0" quotePrefix="1" applyFont="1" applyFill="1"/>
    <xf numFmtId="0" fontId="3" fillId="8" borderId="0" xfId="0" applyFont="1" applyFill="1" applyAlignment="1">
      <alignment horizontal="left"/>
    </xf>
    <xf numFmtId="0" fontId="3" fillId="8" borderId="0" xfId="0" applyFont="1" applyFill="1" applyAlignment="1">
      <alignment horizontal="center"/>
    </xf>
    <xf numFmtId="44" fontId="40" fillId="8" borderId="0" xfId="2" applyFont="1" applyFill="1" applyBorder="1"/>
    <xf numFmtId="10" fontId="33" fillId="8" borderId="0" xfId="3" applyNumberFormat="1" applyFont="1" applyFill="1" applyBorder="1"/>
    <xf numFmtId="168" fontId="0" fillId="8" borderId="0" xfId="1" applyNumberFormat="1" applyFont="1" applyFill="1" applyBorder="1"/>
    <xf numFmtId="168" fontId="0" fillId="8" borderId="51" xfId="1" applyNumberFormat="1" applyFont="1" applyFill="1" applyBorder="1"/>
    <xf numFmtId="168" fontId="0" fillId="8" borderId="4" xfId="1" applyNumberFormat="1" applyFont="1" applyFill="1" applyBorder="1"/>
    <xf numFmtId="168" fontId="0" fillId="8" borderId="52" xfId="1" applyNumberFormat="1" applyFont="1" applyFill="1" applyBorder="1"/>
    <xf numFmtId="44" fontId="3" fillId="2" borderId="6" xfId="2" applyFont="1" applyFill="1" applyBorder="1"/>
    <xf numFmtId="168" fontId="0" fillId="7" borderId="12" xfId="1" applyNumberFormat="1" applyFont="1" applyFill="1" applyBorder="1"/>
    <xf numFmtId="168" fontId="0" fillId="7" borderId="22" xfId="1" applyNumberFormat="1" applyFont="1" applyFill="1" applyBorder="1"/>
    <xf numFmtId="0" fontId="33" fillId="10" borderId="9" xfId="0" applyFont="1" applyFill="1" applyBorder="1" applyAlignment="1">
      <alignment horizontal="center" vertical="center" wrapText="1"/>
    </xf>
    <xf numFmtId="0" fontId="40" fillId="7" borderId="15" xfId="0" applyFont="1" applyFill="1" applyBorder="1"/>
    <xf numFmtId="168" fontId="40" fillId="7" borderId="4" xfId="0" applyNumberFormat="1" applyFont="1" applyFill="1" applyBorder="1"/>
    <xf numFmtId="168" fontId="40" fillId="7" borderId="4" xfId="0" applyNumberFormat="1" applyFont="1" applyFill="1" applyBorder="1" applyAlignment="1">
      <alignment horizontal="center" vertical="center"/>
    </xf>
    <xf numFmtId="44" fontId="0" fillId="8" borderId="16" xfId="2" applyFont="1" applyFill="1" applyBorder="1" applyAlignment="1"/>
    <xf numFmtId="0" fontId="33" fillId="8" borderId="13" xfId="0" applyFont="1" applyFill="1" applyBorder="1"/>
    <xf numFmtId="168" fontId="33" fillId="8" borderId="5" xfId="0" applyNumberFormat="1" applyFont="1" applyFill="1" applyBorder="1"/>
    <xf numFmtId="168" fontId="40" fillId="8" borderId="5" xfId="0" applyNumberFormat="1" applyFont="1" applyFill="1" applyBorder="1" applyAlignment="1">
      <alignment horizontal="center" vertical="center"/>
    </xf>
    <xf numFmtId="10" fontId="0" fillId="8" borderId="4" xfId="3" applyNumberFormat="1" applyFont="1" applyFill="1" applyBorder="1" applyAlignment="1">
      <alignment horizontal="center" vertical="center"/>
    </xf>
    <xf numFmtId="10" fontId="0" fillId="8" borderId="0" xfId="3" applyNumberFormat="1" applyFont="1" applyFill="1" applyAlignment="1">
      <alignment horizontal="center" vertical="center"/>
    </xf>
    <xf numFmtId="10" fontId="40" fillId="8" borderId="5" xfId="3" applyNumberFormat="1" applyFont="1" applyFill="1" applyBorder="1" applyAlignment="1">
      <alignment horizontal="center" vertical="center"/>
    </xf>
    <xf numFmtId="0" fontId="33" fillId="10" borderId="8" xfId="0" applyFont="1" applyFill="1" applyBorder="1" applyAlignment="1">
      <alignment horizontal="center" vertical="center" wrapText="1"/>
    </xf>
    <xf numFmtId="0" fontId="33" fillId="10" borderId="6" xfId="0" applyFont="1" applyFill="1" applyBorder="1" applyAlignment="1">
      <alignment horizontal="center" vertical="center" wrapText="1"/>
    </xf>
    <xf numFmtId="164" fontId="43" fillId="0" borderId="0" xfId="0" applyNumberFormat="1" applyFont="1" applyAlignment="1">
      <alignment horizontal="right"/>
    </xf>
    <xf numFmtId="168" fontId="9" fillId="0" borderId="51" xfId="1" applyNumberFormat="1" applyFont="1" applyBorder="1" applyAlignment="1">
      <alignment horizontal="right" vertical="center" wrapText="1"/>
    </xf>
    <xf numFmtId="168" fontId="30" fillId="0" borderId="0" xfId="1" applyNumberFormat="1" applyFont="1" applyBorder="1" applyAlignment="1">
      <alignment horizontal="right" vertical="center" wrapText="1"/>
    </xf>
    <xf numFmtId="165" fontId="30" fillId="0" borderId="0" xfId="3" applyNumberFormat="1" applyFont="1" applyBorder="1" applyAlignment="1">
      <alignment horizontal="right" vertical="center" wrapText="1"/>
    </xf>
    <xf numFmtId="165" fontId="30" fillId="0" borderId="51" xfId="3" applyNumberFormat="1" applyFont="1" applyBorder="1" applyAlignment="1">
      <alignment horizontal="right" vertical="center" wrapText="1"/>
    </xf>
    <xf numFmtId="168" fontId="11" fillId="0" borderId="51" xfId="1" applyNumberFormat="1" applyFont="1" applyBorder="1" applyAlignment="1">
      <alignment horizontal="right" vertical="center" wrapText="1"/>
    </xf>
    <xf numFmtId="168" fontId="12" fillId="0" borderId="57" xfId="1" applyNumberFormat="1" applyFont="1" applyBorder="1" applyAlignment="1">
      <alignment horizontal="right"/>
    </xf>
    <xf numFmtId="165" fontId="31" fillId="0" borderId="51" xfId="3" applyNumberFormat="1" applyFont="1" applyBorder="1" applyAlignment="1">
      <alignment horizontal="right"/>
    </xf>
    <xf numFmtId="168" fontId="12" fillId="0" borderId="51" xfId="1" applyNumberFormat="1" applyFont="1" applyBorder="1" applyAlignment="1">
      <alignment horizontal="right"/>
    </xf>
    <xf numFmtId="168" fontId="11" fillId="0" borderId="52" xfId="1" applyNumberFormat="1" applyFont="1" applyBorder="1" applyAlignment="1">
      <alignment horizontal="right" vertical="center" wrapText="1"/>
    </xf>
    <xf numFmtId="168" fontId="11" fillId="0" borderId="47" xfId="1" applyNumberFormat="1" applyFont="1" applyBorder="1" applyAlignment="1">
      <alignment horizontal="right" vertical="center" wrapText="1"/>
    </xf>
    <xf numFmtId="168" fontId="12" fillId="0" borderId="47" xfId="1" applyNumberFormat="1" applyFont="1" applyBorder="1" applyAlignment="1">
      <alignment horizontal="right"/>
    </xf>
    <xf numFmtId="168" fontId="4" fillId="0" borderId="0" xfId="1" applyNumberFormat="1" applyFont="1" applyBorder="1" applyAlignment="1">
      <alignment horizontal="right"/>
    </xf>
    <xf numFmtId="168" fontId="4" fillId="0" borderId="51" xfId="1" applyNumberFormat="1" applyFont="1" applyBorder="1" applyAlignment="1">
      <alignment horizontal="right"/>
    </xf>
    <xf numFmtId="168" fontId="7" fillId="0" borderId="51" xfId="1" applyNumberFormat="1" applyFont="1" applyBorder="1" applyAlignment="1">
      <alignment horizontal="right"/>
    </xf>
    <xf numFmtId="168" fontId="7" fillId="0" borderId="57" xfId="1" applyNumberFormat="1" applyFont="1" applyBorder="1" applyAlignment="1">
      <alignment horizontal="right"/>
    </xf>
    <xf numFmtId="164" fontId="12" fillId="0" borderId="51" xfId="0" applyNumberFormat="1" applyFont="1" applyBorder="1" applyAlignment="1">
      <alignment horizontal="right"/>
    </xf>
    <xf numFmtId="164" fontId="22" fillId="10" borderId="52" xfId="0" quotePrefix="1" applyNumberFormat="1" applyFont="1" applyFill="1" applyBorder="1" applyAlignment="1">
      <alignment horizontal="right"/>
    </xf>
    <xf numFmtId="164" fontId="7" fillId="0" borderId="51" xfId="0" applyNumberFormat="1" applyFont="1" applyBorder="1" applyAlignment="1">
      <alignment horizontal="right"/>
    </xf>
    <xf numFmtId="0" fontId="4" fillId="0" borderId="51" xfId="0" applyFont="1" applyBorder="1"/>
    <xf numFmtId="165" fontId="12" fillId="0" borderId="0" xfId="3" applyNumberFormat="1" applyFont="1" applyBorder="1" applyAlignment="1">
      <alignment horizontal="right"/>
    </xf>
    <xf numFmtId="165" fontId="12" fillId="0" borderId="51" xfId="3" applyNumberFormat="1" applyFont="1" applyBorder="1" applyAlignment="1">
      <alignment horizontal="right"/>
    </xf>
    <xf numFmtId="164" fontId="12" fillId="0" borderId="51" xfId="0" applyNumberFormat="1" applyFont="1" applyBorder="1"/>
    <xf numFmtId="0" fontId="4" fillId="2" borderId="0" xfId="0" applyFont="1" applyFill="1"/>
    <xf numFmtId="0" fontId="24" fillId="13" borderId="46" xfId="0" applyFont="1" applyFill="1" applyBorder="1" applyAlignment="1">
      <alignment horizontal="left" vertical="center"/>
    </xf>
    <xf numFmtId="0" fontId="8" fillId="13" borderId="46" xfId="0" applyFont="1" applyFill="1" applyBorder="1" applyAlignment="1">
      <alignment horizontal="left" vertical="center"/>
    </xf>
    <xf numFmtId="164" fontId="12" fillId="13" borderId="4" xfId="0" applyNumberFormat="1" applyFont="1" applyFill="1" applyBorder="1" applyAlignment="1">
      <alignment horizontal="right"/>
    </xf>
    <xf numFmtId="0" fontId="8" fillId="13" borderId="4" xfId="0" applyFont="1" applyFill="1" applyBorder="1" applyAlignment="1">
      <alignment horizontal="left" vertical="center"/>
    </xf>
    <xf numFmtId="170" fontId="44" fillId="8" borderId="0" xfId="0" applyNumberFormat="1" applyFont="1" applyFill="1" applyAlignment="1">
      <alignment horizontal="center"/>
    </xf>
    <xf numFmtId="10" fontId="44" fillId="8" borderId="0" xfId="0" applyNumberFormat="1" applyFont="1" applyFill="1"/>
    <xf numFmtId="0" fontId="45" fillId="8" borderId="0" xfId="0" applyFont="1" applyFill="1"/>
    <xf numFmtId="174" fontId="3" fillId="2" borderId="6" xfId="3" applyNumberFormat="1" applyFont="1" applyFill="1" applyBorder="1"/>
    <xf numFmtId="44" fontId="33" fillId="2" borderId="49" xfId="2" applyFont="1" applyFill="1" applyBorder="1" applyAlignment="1"/>
    <xf numFmtId="175" fontId="22" fillId="8" borderId="4" xfId="0" quotePrefix="1" applyNumberFormat="1" applyFont="1" applyFill="1" applyBorder="1" applyAlignment="1">
      <alignment horizontal="right"/>
    </xf>
    <xf numFmtId="168" fontId="9" fillId="0" borderId="0" xfId="1" applyNumberFormat="1" applyFont="1" applyFill="1" applyAlignment="1">
      <alignment horizontal="right" vertical="center" wrapText="1"/>
    </xf>
    <xf numFmtId="165" fontId="30" fillId="0" borderId="0" xfId="3" applyNumberFormat="1" applyFont="1" applyFill="1" applyAlignment="1">
      <alignment horizontal="right" vertical="center" wrapText="1"/>
    </xf>
    <xf numFmtId="168" fontId="11" fillId="0" borderId="0" xfId="1" applyNumberFormat="1" applyFont="1" applyFill="1" applyAlignment="1">
      <alignment horizontal="right" vertical="center" wrapText="1"/>
    </xf>
    <xf numFmtId="168" fontId="12" fillId="0" borderId="5" xfId="1" applyNumberFormat="1" applyFont="1" applyFill="1" applyBorder="1" applyAlignment="1">
      <alignment horizontal="right"/>
    </xf>
    <xf numFmtId="165" fontId="31" fillId="0" borderId="0" xfId="3" applyNumberFormat="1" applyFont="1" applyFill="1" applyBorder="1" applyAlignment="1">
      <alignment horizontal="right"/>
    </xf>
    <xf numFmtId="168" fontId="12" fillId="0" borderId="0" xfId="1" applyNumberFormat="1" applyFont="1" applyFill="1" applyBorder="1" applyAlignment="1">
      <alignment horizontal="right"/>
    </xf>
    <xf numFmtId="168" fontId="11" fillId="0" borderId="4" xfId="1" applyNumberFormat="1" applyFont="1" applyFill="1" applyBorder="1" applyAlignment="1">
      <alignment horizontal="right" vertical="center" wrapText="1"/>
    </xf>
    <xf numFmtId="168" fontId="9" fillId="0" borderId="2" xfId="1" applyNumberFormat="1" applyFont="1" applyFill="1" applyBorder="1" applyAlignment="1">
      <alignment horizontal="right" vertical="center" wrapText="1"/>
    </xf>
    <xf numFmtId="168" fontId="9" fillId="0" borderId="0" xfId="1" applyNumberFormat="1" applyFont="1" applyFill="1" applyBorder="1" applyAlignment="1">
      <alignment horizontal="right" vertical="center" wrapText="1"/>
    </xf>
    <xf numFmtId="168" fontId="11" fillId="0" borderId="0" xfId="1" applyNumberFormat="1" applyFont="1" applyFill="1" applyBorder="1" applyAlignment="1">
      <alignment horizontal="right" vertical="center" wrapText="1"/>
    </xf>
    <xf numFmtId="168" fontId="12" fillId="0" borderId="0" xfId="1" applyNumberFormat="1" applyFont="1" applyFill="1" applyAlignment="1">
      <alignment horizontal="right"/>
    </xf>
    <xf numFmtId="168" fontId="7" fillId="0" borderId="0" xfId="1" applyNumberFormat="1" applyFont="1" applyFill="1" applyBorder="1" applyAlignment="1">
      <alignment horizontal="right"/>
    </xf>
    <xf numFmtId="168" fontId="7" fillId="0" borderId="5" xfId="1" applyNumberFormat="1" applyFont="1" applyFill="1" applyBorder="1" applyAlignment="1">
      <alignment horizontal="right"/>
    </xf>
    <xf numFmtId="168" fontId="0" fillId="7" borderId="20" xfId="1" applyNumberFormat="1" applyFont="1" applyFill="1" applyBorder="1"/>
    <xf numFmtId="0" fontId="46" fillId="0" borderId="8" xfId="4" applyFont="1" applyBorder="1" applyAlignment="1">
      <alignment horizontal="left" vertical="center"/>
    </xf>
    <xf numFmtId="14" fontId="44" fillId="0" borderId="6" xfId="0" applyNumberFormat="1" applyFont="1" applyBorder="1" applyAlignment="1">
      <alignment horizontal="center" vertical="center"/>
    </xf>
    <xf numFmtId="44" fontId="40" fillId="0" borderId="20" xfId="2" applyFont="1" applyFill="1" applyBorder="1"/>
    <xf numFmtId="44" fontId="40" fillId="0" borderId="20" xfId="2" applyFont="1" applyBorder="1"/>
    <xf numFmtId="169" fontId="40" fillId="0" borderId="20" xfId="1" applyNumberFormat="1" applyFont="1" applyBorder="1"/>
    <xf numFmtId="43" fontId="40" fillId="0" borderId="12" xfId="1" applyFont="1" applyBorder="1"/>
    <xf numFmtId="44" fontId="33" fillId="8" borderId="22" xfId="2" applyFont="1" applyFill="1" applyBorder="1" applyAlignment="1">
      <alignment horizontal="center" vertical="center"/>
    </xf>
    <xf numFmtId="168" fontId="33" fillId="8" borderId="31" xfId="1" applyNumberFormat="1" applyFont="1" applyFill="1" applyBorder="1" applyAlignment="1">
      <alignment vertical="center"/>
    </xf>
    <xf numFmtId="0" fontId="33" fillId="10" borderId="59" xfId="0" applyFont="1" applyFill="1" applyBorder="1"/>
    <xf numFmtId="0" fontId="33" fillId="10" borderId="57" xfId="0" applyFont="1" applyFill="1" applyBorder="1" applyAlignment="1">
      <alignment horizontal="center" wrapText="1"/>
    </xf>
    <xf numFmtId="0" fontId="33" fillId="10" borderId="60" xfId="0" applyFont="1" applyFill="1" applyBorder="1"/>
    <xf numFmtId="14" fontId="33" fillId="10" borderId="61" xfId="0" applyNumberFormat="1" applyFont="1" applyFill="1" applyBorder="1" applyAlignment="1">
      <alignment horizontal="center" wrapText="1"/>
    </xf>
    <xf numFmtId="0" fontId="33" fillId="0" borderId="31" xfId="0" applyFont="1" applyBorder="1" applyAlignment="1">
      <alignment horizontal="left" vertical="center" wrapText="1"/>
    </xf>
    <xf numFmtId="0" fontId="33" fillId="0" borderId="33" xfId="0" applyFont="1" applyBorder="1" applyAlignment="1">
      <alignment horizontal="left" vertical="center" wrapText="1"/>
    </xf>
    <xf numFmtId="0" fontId="33" fillId="0" borderId="59" xfId="0" applyFont="1" applyBorder="1" applyAlignment="1">
      <alignment horizontal="left" vertical="center" wrapText="1"/>
    </xf>
    <xf numFmtId="0" fontId="33" fillId="8" borderId="31" xfId="0" applyFont="1" applyFill="1" applyBorder="1" applyAlignment="1">
      <alignment horizontal="left" vertical="center" wrapText="1"/>
    </xf>
    <xf numFmtId="0" fontId="33" fillId="10" borderId="20" xfId="0" applyFont="1" applyFill="1" applyBorder="1" applyAlignment="1">
      <alignment horizontal="center"/>
    </xf>
    <xf numFmtId="0" fontId="33" fillId="10" borderId="62" xfId="0" applyFont="1" applyFill="1" applyBorder="1" applyAlignment="1">
      <alignment horizontal="center"/>
    </xf>
    <xf numFmtId="168" fontId="33" fillId="8" borderId="52" xfId="1" applyNumberFormat="1" applyFont="1" applyFill="1" applyBorder="1" applyAlignment="1">
      <alignment vertical="center"/>
    </xf>
    <xf numFmtId="0" fontId="33" fillId="10" borderId="20" xfId="0" applyFont="1" applyFill="1" applyBorder="1" applyAlignment="1">
      <alignment horizontal="center" wrapText="1"/>
    </xf>
    <xf numFmtId="14" fontId="33" fillId="10" borderId="62" xfId="0" applyNumberFormat="1" applyFont="1" applyFill="1" applyBorder="1" applyAlignment="1">
      <alignment horizontal="center" wrapText="1"/>
    </xf>
    <xf numFmtId="43" fontId="40" fillId="0" borderId="52" xfId="1" applyFont="1" applyBorder="1"/>
    <xf numFmtId="43" fontId="40" fillId="0" borderId="58" xfId="1" applyFont="1" applyBorder="1"/>
    <xf numFmtId="43" fontId="40" fillId="0" borderId="57" xfId="1" applyFont="1" applyBorder="1"/>
    <xf numFmtId="43" fontId="33" fillId="5" borderId="22" xfId="1" applyFont="1" applyFill="1" applyBorder="1"/>
    <xf numFmtId="43" fontId="33" fillId="5" borderId="25" xfId="1" applyFont="1" applyFill="1" applyBorder="1"/>
    <xf numFmtId="43" fontId="33" fillId="5" borderId="20" xfId="1" applyFont="1" applyFill="1" applyBorder="1"/>
    <xf numFmtId="43" fontId="40" fillId="0" borderId="25" xfId="1" applyFont="1" applyBorder="1"/>
    <xf numFmtId="43" fontId="40" fillId="0" borderId="20" xfId="1" applyFont="1" applyBorder="1"/>
    <xf numFmtId="0" fontId="39" fillId="10" borderId="5" xfId="0" applyFont="1" applyFill="1" applyBorder="1" applyAlignment="1">
      <alignment vertical="center"/>
    </xf>
    <xf numFmtId="0" fontId="39" fillId="10" borderId="62" xfId="0" applyFont="1" applyFill="1" applyBorder="1" applyAlignment="1">
      <alignment horizontal="center" vertical="center"/>
    </xf>
    <xf numFmtId="14" fontId="39" fillId="10" borderId="62" xfId="0" applyNumberFormat="1" applyFont="1" applyFill="1" applyBorder="1" applyAlignment="1">
      <alignment horizontal="center" vertical="center" wrapText="1"/>
    </xf>
    <xf numFmtId="14" fontId="39" fillId="10" borderId="60" xfId="0" applyNumberFormat="1" applyFont="1" applyFill="1" applyBorder="1" applyAlignment="1">
      <alignment horizontal="center" vertical="center" wrapText="1"/>
    </xf>
    <xf numFmtId="0" fontId="39" fillId="10" borderId="63" xfId="0" applyFont="1" applyFill="1" applyBorder="1" applyAlignment="1">
      <alignment vertical="center"/>
    </xf>
    <xf numFmtId="14" fontId="39" fillId="10" borderId="61" xfId="0" applyNumberFormat="1" applyFont="1" applyFill="1" applyBorder="1" applyAlignment="1">
      <alignment horizontal="center" vertical="center" wrapText="1"/>
    </xf>
    <xf numFmtId="0" fontId="39" fillId="10" borderId="20" xfId="0" applyFont="1" applyFill="1" applyBorder="1" applyAlignment="1">
      <alignment horizontal="center" vertical="center"/>
    </xf>
    <xf numFmtId="0" fontId="39" fillId="10" borderId="57" xfId="0" applyFont="1" applyFill="1" applyBorder="1" applyAlignment="1">
      <alignment horizontal="center" vertical="center" wrapText="1"/>
    </xf>
    <xf numFmtId="0" fontId="39" fillId="10" borderId="20" xfId="0" applyFont="1" applyFill="1" applyBorder="1" applyAlignment="1">
      <alignment horizontal="center" vertical="center" wrapText="1"/>
    </xf>
    <xf numFmtId="14" fontId="39" fillId="10" borderId="20" xfId="0" applyNumberFormat="1" applyFont="1" applyFill="1" applyBorder="1" applyAlignment="1">
      <alignment horizontal="center" vertical="center" wrapText="1"/>
    </xf>
    <xf numFmtId="6" fontId="3" fillId="8" borderId="40" xfId="0" applyNumberFormat="1" applyFont="1" applyFill="1" applyBorder="1"/>
    <xf numFmtId="10" fontId="44" fillId="8" borderId="6" xfId="0" applyNumberFormat="1" applyFont="1" applyFill="1" applyBorder="1" applyAlignment="1">
      <alignment horizontal="center"/>
    </xf>
    <xf numFmtId="164" fontId="21" fillId="9" borderId="0" xfId="0" applyNumberFormat="1" applyFont="1" applyFill="1" applyAlignment="1">
      <alignment horizontal="center"/>
    </xf>
    <xf numFmtId="9" fontId="44" fillId="8" borderId="0" xfId="3" applyFont="1" applyFill="1" applyAlignment="1">
      <alignment horizontal="center"/>
    </xf>
    <xf numFmtId="164" fontId="21" fillId="9" borderId="0" xfId="0" applyNumberFormat="1" applyFont="1" applyFill="1" applyAlignment="1">
      <alignment horizontal="right"/>
    </xf>
    <xf numFmtId="3" fontId="0" fillId="0" borderId="0" xfId="0" applyNumberFormat="1" applyAlignment="1">
      <alignment horizontal="center"/>
    </xf>
    <xf numFmtId="8" fontId="0" fillId="0" borderId="0" xfId="0" applyNumberFormat="1"/>
    <xf numFmtId="176" fontId="0" fillId="0" borderId="0" xfId="1" applyNumberFormat="1" applyFont="1"/>
    <xf numFmtId="166" fontId="0" fillId="0" borderId="0" xfId="0" applyNumberFormat="1"/>
    <xf numFmtId="3" fontId="0" fillId="2" borderId="5" xfId="0" applyNumberFormat="1" applyFill="1" applyBorder="1" applyAlignment="1">
      <alignment horizontal="center"/>
    </xf>
    <xf numFmtId="3" fontId="0" fillId="2" borderId="64" xfId="0" applyNumberFormat="1" applyFill="1" applyBorder="1" applyAlignment="1">
      <alignment horizontal="center"/>
    </xf>
    <xf numFmtId="0" fontId="3" fillId="8" borderId="10" xfId="0" applyFont="1" applyFill="1" applyBorder="1"/>
    <xf numFmtId="0" fontId="3" fillId="8" borderId="11" xfId="0" applyFont="1" applyFill="1" applyBorder="1"/>
    <xf numFmtId="0" fontId="3" fillId="8" borderId="55" xfId="0" applyFont="1" applyFill="1" applyBorder="1"/>
    <xf numFmtId="0" fontId="3" fillId="8" borderId="42" xfId="0" applyFont="1" applyFill="1" applyBorder="1"/>
    <xf numFmtId="0" fontId="3" fillId="8" borderId="23" xfId="0" applyFont="1" applyFill="1" applyBorder="1"/>
    <xf numFmtId="0" fontId="3" fillId="8" borderId="1" xfId="0" applyFont="1" applyFill="1" applyBorder="1"/>
    <xf numFmtId="0" fontId="3" fillId="8" borderId="24" xfId="0" applyFont="1" applyFill="1" applyBorder="1"/>
    <xf numFmtId="0" fontId="3" fillId="10" borderId="4" xfId="0" applyFont="1" applyFill="1" applyBorder="1" applyAlignment="1">
      <alignment horizontal="center"/>
    </xf>
    <xf numFmtId="0" fontId="3" fillId="10" borderId="4" xfId="0" applyFont="1" applyFill="1" applyBorder="1" applyAlignment="1">
      <alignment horizontal="left" vertical="center"/>
    </xf>
    <xf numFmtId="9" fontId="0" fillId="8" borderId="0" xfId="3" applyFont="1" applyFill="1"/>
    <xf numFmtId="9" fontId="0" fillId="8" borderId="0" xfId="3" applyFont="1" applyFill="1" applyAlignment="1">
      <alignment horizontal="center"/>
    </xf>
    <xf numFmtId="9" fontId="0" fillId="8" borderId="2" xfId="3" applyFont="1" applyFill="1" applyBorder="1" applyAlignment="1">
      <alignment horizontal="center"/>
    </xf>
    <xf numFmtId="10" fontId="44" fillId="8" borderId="0" xfId="0" applyNumberFormat="1" applyFont="1" applyFill="1" applyAlignment="1">
      <alignment horizontal="center"/>
    </xf>
    <xf numFmtId="168" fontId="0" fillId="8" borderId="59" xfId="1" applyNumberFormat="1" applyFont="1" applyFill="1" applyBorder="1"/>
    <xf numFmtId="168" fontId="0" fillId="8" borderId="5" xfId="1" applyNumberFormat="1" applyFont="1" applyFill="1" applyBorder="1"/>
    <xf numFmtId="9" fontId="25" fillId="8" borderId="0" xfId="0" applyNumberFormat="1" applyFont="1" applyFill="1"/>
    <xf numFmtId="10" fontId="3" fillId="8" borderId="0" xfId="0" applyNumberFormat="1" applyFont="1" applyFill="1" applyAlignment="1">
      <alignment horizontal="center"/>
    </xf>
    <xf numFmtId="168" fontId="3" fillId="8" borderId="0" xfId="0" applyNumberFormat="1" applyFont="1" applyFill="1"/>
    <xf numFmtId="168" fontId="3" fillId="7" borderId="12" xfId="0" applyNumberFormat="1" applyFont="1" applyFill="1" applyBorder="1"/>
    <xf numFmtId="164" fontId="9" fillId="0" borderId="0" xfId="0" applyNumberFormat="1" applyFont="1" applyAlignment="1">
      <alignment horizontal="right" vertical="center" wrapText="1"/>
    </xf>
    <xf numFmtId="164" fontId="11" fillId="0" borderId="0" xfId="0" applyNumberFormat="1" applyFont="1" applyAlignment="1">
      <alignment horizontal="right" vertical="center" wrapText="1"/>
    </xf>
    <xf numFmtId="164" fontId="12" fillId="0" borderId="2" xfId="0" applyNumberFormat="1" applyFont="1" applyBorder="1" applyAlignment="1">
      <alignment horizontal="right"/>
    </xf>
    <xf numFmtId="164" fontId="11" fillId="0" borderId="3" xfId="0" applyNumberFormat="1" applyFont="1" applyBorder="1" applyAlignment="1">
      <alignment horizontal="right" vertical="center" wrapText="1"/>
    </xf>
    <xf numFmtId="164" fontId="11" fillId="0" borderId="4" xfId="0" applyNumberFormat="1" applyFont="1" applyBorder="1" applyAlignment="1">
      <alignment horizontal="right" vertical="center" wrapText="1"/>
    </xf>
    <xf numFmtId="0" fontId="13" fillId="17" borderId="0" xfId="0" applyFont="1" applyFill="1" applyAlignment="1">
      <alignment horizontal="left" vertical="center"/>
    </xf>
    <xf numFmtId="164" fontId="12" fillId="17" borderId="0" xfId="0" applyNumberFormat="1" applyFont="1" applyFill="1" applyAlignment="1">
      <alignment horizontal="right"/>
    </xf>
    <xf numFmtId="164" fontId="12" fillId="17" borderId="4" xfId="0" applyNumberFormat="1" applyFont="1" applyFill="1" applyBorder="1" applyAlignment="1">
      <alignment horizontal="right"/>
    </xf>
    <xf numFmtId="164" fontId="12" fillId="17" borderId="5" xfId="0" applyNumberFormat="1" applyFont="1" applyFill="1" applyBorder="1" applyAlignment="1">
      <alignment horizontal="right"/>
    </xf>
    <xf numFmtId="164" fontId="7" fillId="17" borderId="2" xfId="0" applyNumberFormat="1" applyFont="1" applyFill="1" applyBorder="1" applyAlignment="1">
      <alignment horizontal="right"/>
    </xf>
    <xf numFmtId="164" fontId="22" fillId="17" borderId="4" xfId="0" quotePrefix="1" applyNumberFormat="1" applyFont="1" applyFill="1" applyBorder="1" applyAlignment="1">
      <alignment horizontal="right"/>
    </xf>
    <xf numFmtId="1" fontId="6" fillId="17" borderId="1" xfId="0" applyNumberFormat="1" applyFont="1" applyFill="1" applyBorder="1" applyAlignment="1">
      <alignment horizontal="right" vertical="center"/>
    </xf>
    <xf numFmtId="164" fontId="9" fillId="17" borderId="0" xfId="0" applyNumberFormat="1" applyFont="1" applyFill="1" applyAlignment="1">
      <alignment horizontal="right" vertical="center" wrapText="1"/>
    </xf>
    <xf numFmtId="164" fontId="11" fillId="17" borderId="0" xfId="0" applyNumberFormat="1" applyFont="1" applyFill="1" applyAlignment="1">
      <alignment horizontal="right" vertical="center" wrapText="1"/>
    </xf>
    <xf numFmtId="164" fontId="12" fillId="17" borderId="2" xfId="0" applyNumberFormat="1" applyFont="1" applyFill="1" applyBorder="1" applyAlignment="1">
      <alignment horizontal="right"/>
    </xf>
    <xf numFmtId="164" fontId="11" fillId="17" borderId="3" xfId="0" applyNumberFormat="1" applyFont="1" applyFill="1" applyBorder="1" applyAlignment="1">
      <alignment horizontal="right" vertical="center" wrapText="1"/>
    </xf>
    <xf numFmtId="164" fontId="11" fillId="17" borderId="4" xfId="0" applyNumberFormat="1" applyFont="1" applyFill="1" applyBorder="1" applyAlignment="1">
      <alignment horizontal="right" vertical="center" wrapText="1"/>
    </xf>
    <xf numFmtId="175" fontId="22" fillId="17" borderId="4" xfId="0" quotePrefix="1" applyNumberFormat="1" applyFont="1" applyFill="1" applyBorder="1" applyAlignment="1">
      <alignment horizontal="right"/>
    </xf>
    <xf numFmtId="164" fontId="22" fillId="17" borderId="4" xfId="0" applyNumberFormat="1" applyFont="1" applyFill="1" applyBorder="1" applyAlignment="1">
      <alignment horizontal="right"/>
    </xf>
    <xf numFmtId="164" fontId="7" fillId="17" borderId="0" xfId="0" applyNumberFormat="1" applyFont="1" applyFill="1" applyAlignment="1">
      <alignment horizontal="right"/>
    </xf>
    <xf numFmtId="168" fontId="4" fillId="17" borderId="0" xfId="1" applyNumberFormat="1" applyFont="1" applyFill="1"/>
    <xf numFmtId="164" fontId="43" fillId="17" borderId="0" xfId="0" applyNumberFormat="1" applyFont="1" applyFill="1" applyAlignment="1">
      <alignment horizontal="right"/>
    </xf>
    <xf numFmtId="165" fontId="12" fillId="17" borderId="0" xfId="3" applyNumberFormat="1" applyFont="1" applyFill="1" applyBorder="1" applyAlignment="1">
      <alignment horizontal="right"/>
    </xf>
    <xf numFmtId="166" fontId="12" fillId="17" borderId="0" xfId="0" applyNumberFormat="1" applyFont="1" applyFill="1" applyAlignment="1">
      <alignment horizontal="right"/>
    </xf>
    <xf numFmtId="167" fontId="12" fillId="17" borderId="0" xfId="0" applyNumberFormat="1" applyFont="1" applyFill="1" applyAlignment="1">
      <alignment horizontal="right"/>
    </xf>
    <xf numFmtId="168" fontId="9" fillId="18" borderId="0" xfId="1" applyNumberFormat="1" applyFont="1" applyFill="1" applyBorder="1" applyAlignment="1">
      <alignment horizontal="right" vertical="center" wrapText="1"/>
    </xf>
    <xf numFmtId="165" fontId="30" fillId="18" borderId="0" xfId="3" applyNumberFormat="1" applyFont="1" applyFill="1" applyBorder="1" applyAlignment="1">
      <alignment horizontal="right" vertical="center" wrapText="1"/>
    </xf>
    <xf numFmtId="168" fontId="11" fillId="18" borderId="0" xfId="1" applyNumberFormat="1" applyFont="1" applyFill="1" applyBorder="1" applyAlignment="1">
      <alignment horizontal="right" vertical="center" wrapText="1"/>
    </xf>
    <xf numFmtId="168" fontId="12" fillId="18" borderId="5" xfId="1" applyNumberFormat="1" applyFont="1" applyFill="1" applyBorder="1" applyAlignment="1">
      <alignment horizontal="right"/>
    </xf>
    <xf numFmtId="165" fontId="31" fillId="18" borderId="0" xfId="3" applyNumberFormat="1" applyFont="1" applyFill="1" applyBorder="1" applyAlignment="1">
      <alignment horizontal="right"/>
    </xf>
    <xf numFmtId="168" fontId="12" fillId="18" borderId="0" xfId="1" applyNumberFormat="1" applyFont="1" applyFill="1" applyBorder="1" applyAlignment="1">
      <alignment horizontal="right"/>
    </xf>
    <xf numFmtId="168" fontId="11" fillId="18" borderId="4" xfId="1" applyNumberFormat="1" applyFont="1" applyFill="1" applyBorder="1" applyAlignment="1">
      <alignment horizontal="right" vertical="center" wrapText="1"/>
    </xf>
    <xf numFmtId="168" fontId="11" fillId="18" borderId="2" xfId="1" applyNumberFormat="1" applyFont="1" applyFill="1" applyBorder="1" applyAlignment="1">
      <alignment horizontal="right" vertical="center" wrapText="1"/>
    </xf>
    <xf numFmtId="168" fontId="12" fillId="18" borderId="2" xfId="1" applyNumberFormat="1" applyFont="1" applyFill="1" applyBorder="1" applyAlignment="1">
      <alignment horizontal="right"/>
    </xf>
    <xf numFmtId="168" fontId="4" fillId="18" borderId="0" xfId="1" applyNumberFormat="1" applyFont="1" applyFill="1" applyBorder="1" applyAlignment="1">
      <alignment horizontal="right"/>
    </xf>
    <xf numFmtId="168" fontId="7" fillId="18" borderId="0" xfId="1" applyNumberFormat="1" applyFont="1" applyFill="1" applyBorder="1" applyAlignment="1">
      <alignment horizontal="right"/>
    </xf>
    <xf numFmtId="168" fontId="7" fillId="18" borderId="5" xfId="1" applyNumberFormat="1" applyFont="1" applyFill="1" applyBorder="1" applyAlignment="1">
      <alignment horizontal="right"/>
    </xf>
    <xf numFmtId="164" fontId="22" fillId="18" borderId="4" xfId="0" quotePrefix="1" applyNumberFormat="1" applyFont="1" applyFill="1" applyBorder="1" applyAlignment="1">
      <alignment horizontal="right"/>
    </xf>
    <xf numFmtId="1" fontId="6" fillId="18" borderId="1" xfId="0" applyNumberFormat="1" applyFont="1" applyFill="1" applyBorder="1" applyAlignment="1">
      <alignment horizontal="right" vertical="center"/>
    </xf>
    <xf numFmtId="164" fontId="7" fillId="18" borderId="0" xfId="0" applyNumberFormat="1" applyFont="1" applyFill="1" applyAlignment="1">
      <alignment horizontal="right"/>
    </xf>
    <xf numFmtId="0" fontId="4" fillId="18" borderId="0" xfId="0" applyFont="1" applyFill="1"/>
    <xf numFmtId="165" fontId="12" fillId="18" borderId="0" xfId="3" applyNumberFormat="1" applyFont="1" applyFill="1" applyBorder="1" applyAlignment="1">
      <alignment horizontal="right"/>
    </xf>
    <xf numFmtId="164" fontId="12" fillId="18" borderId="0" xfId="0" applyNumberFormat="1" applyFont="1" applyFill="1" applyAlignment="1">
      <alignment horizontal="right"/>
    </xf>
    <xf numFmtId="164" fontId="12" fillId="18" borderId="0" xfId="0" applyNumberFormat="1" applyFont="1" applyFill="1"/>
    <xf numFmtId="164" fontId="9" fillId="18" borderId="0" xfId="0" applyNumberFormat="1" applyFont="1" applyFill="1" applyAlignment="1">
      <alignment horizontal="right" vertical="center" wrapText="1"/>
    </xf>
    <xf numFmtId="164" fontId="11" fillId="18" borderId="0" xfId="0" applyNumberFormat="1" applyFont="1" applyFill="1" applyAlignment="1">
      <alignment horizontal="right" vertical="center" wrapText="1"/>
    </xf>
    <xf numFmtId="164" fontId="12" fillId="18" borderId="2" xfId="0" applyNumberFormat="1" applyFont="1" applyFill="1" applyBorder="1" applyAlignment="1">
      <alignment horizontal="right"/>
    </xf>
    <xf numFmtId="164" fontId="11" fillId="18" borderId="3" xfId="0" applyNumberFormat="1" applyFont="1" applyFill="1" applyBorder="1" applyAlignment="1">
      <alignment horizontal="right" vertical="center" wrapText="1"/>
    </xf>
    <xf numFmtId="164" fontId="11" fillId="18" borderId="4" xfId="0" applyNumberFormat="1" applyFont="1" applyFill="1" applyBorder="1" applyAlignment="1">
      <alignment horizontal="right" vertical="center" wrapText="1"/>
    </xf>
    <xf numFmtId="175" fontId="22" fillId="18" borderId="4" xfId="0" quotePrefix="1" applyNumberFormat="1" applyFont="1" applyFill="1" applyBorder="1" applyAlignment="1">
      <alignment horizontal="right"/>
    </xf>
    <xf numFmtId="0" fontId="13" fillId="18" borderId="0" xfId="0" applyFont="1" applyFill="1" applyAlignment="1">
      <alignment horizontal="left" vertical="center"/>
    </xf>
    <xf numFmtId="164" fontId="12" fillId="18" borderId="4" xfId="0" applyNumberFormat="1" applyFont="1" applyFill="1" applyBorder="1" applyAlignment="1">
      <alignment horizontal="right"/>
    </xf>
    <xf numFmtId="164" fontId="12" fillId="18" borderId="5" xfId="0" applyNumberFormat="1" applyFont="1" applyFill="1" applyBorder="1" applyAlignment="1">
      <alignment horizontal="right"/>
    </xf>
    <xf numFmtId="164" fontId="7" fillId="18" borderId="2" xfId="0" applyNumberFormat="1" applyFont="1" applyFill="1" applyBorder="1" applyAlignment="1">
      <alignment horizontal="right"/>
    </xf>
    <xf numFmtId="164" fontId="22" fillId="18" borderId="4" xfId="0" applyNumberFormat="1" applyFont="1" applyFill="1" applyBorder="1" applyAlignment="1">
      <alignment horizontal="right"/>
    </xf>
    <xf numFmtId="164" fontId="43" fillId="18" borderId="0" xfId="0" applyNumberFormat="1" applyFont="1" applyFill="1" applyAlignment="1">
      <alignment horizontal="right"/>
    </xf>
    <xf numFmtId="0" fontId="32" fillId="18" borderId="0" xfId="0" applyFont="1" applyFill="1" applyAlignment="1">
      <alignment horizontal="center"/>
    </xf>
    <xf numFmtId="164" fontId="4" fillId="18" borderId="0" xfId="0" applyNumberFormat="1" applyFont="1" applyFill="1" applyAlignment="1">
      <alignment vertical="center"/>
    </xf>
    <xf numFmtId="166" fontId="12" fillId="18" borderId="0" xfId="0" applyNumberFormat="1" applyFont="1" applyFill="1" applyAlignment="1">
      <alignment horizontal="right"/>
    </xf>
    <xf numFmtId="167" fontId="12" fillId="18" borderId="0" xfId="0" applyNumberFormat="1" applyFont="1" applyFill="1" applyAlignment="1">
      <alignment horizontal="right"/>
    </xf>
    <xf numFmtId="165" fontId="12" fillId="0" borderId="0" xfId="3" applyNumberFormat="1" applyFont="1" applyAlignment="1">
      <alignment horizontal="right"/>
    </xf>
    <xf numFmtId="8" fontId="25" fillId="0" borderId="0" xfId="0" applyNumberFormat="1" applyFont="1"/>
    <xf numFmtId="0" fontId="25" fillId="0" borderId="0" xfId="0" applyFont="1"/>
    <xf numFmtId="176" fontId="25" fillId="0" borderId="0" xfId="1" applyNumberFormat="1" applyFont="1"/>
    <xf numFmtId="177" fontId="25" fillId="0" borderId="0" xfId="0" applyNumberFormat="1" applyFont="1"/>
    <xf numFmtId="14" fontId="25" fillId="0" borderId="0" xfId="0" applyNumberFormat="1" applyFont="1"/>
    <xf numFmtId="14" fontId="3" fillId="0" borderId="6" xfId="0" applyNumberFormat="1" applyFont="1" applyBorder="1" applyAlignment="1">
      <alignment horizontal="center" vertical="center"/>
    </xf>
    <xf numFmtId="177" fontId="0" fillId="0" borderId="0" xfId="0" applyNumberFormat="1"/>
    <xf numFmtId="8" fontId="0" fillId="8" borderId="0" xfId="0" applyNumberFormat="1" applyFill="1"/>
    <xf numFmtId="10" fontId="33" fillId="19" borderId="6" xfId="3" applyNumberFormat="1" applyFont="1" applyFill="1" applyBorder="1" applyAlignment="1">
      <alignment horizontal="right"/>
    </xf>
    <xf numFmtId="10" fontId="3" fillId="8" borderId="0" xfId="0" applyNumberFormat="1" applyFont="1" applyFill="1"/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2" borderId="0" xfId="0" applyFill="1"/>
    <xf numFmtId="0" fontId="33" fillId="0" borderId="0" xfId="0" applyFont="1"/>
    <xf numFmtId="0" fontId="47" fillId="9" borderId="10" xfId="0" applyFont="1" applyFill="1" applyBorder="1"/>
    <xf numFmtId="0" fontId="48" fillId="9" borderId="11" xfId="0" applyFont="1" applyFill="1" applyBorder="1"/>
    <xf numFmtId="0" fontId="48" fillId="9" borderId="50" xfId="0" applyFont="1" applyFill="1" applyBorder="1"/>
    <xf numFmtId="0" fontId="0" fillId="10" borderId="7" xfId="0" applyFill="1" applyBorder="1" applyAlignment="1">
      <alignment vertical="center"/>
    </xf>
    <xf numFmtId="0" fontId="0" fillId="10" borderId="8" xfId="0" applyFill="1" applyBorder="1" applyAlignment="1">
      <alignment vertical="center"/>
    </xf>
    <xf numFmtId="0" fontId="0" fillId="0" borderId="0" xfId="0" applyAlignment="1">
      <alignment vertical="center"/>
    </xf>
    <xf numFmtId="0" fontId="39" fillId="4" borderId="1" xfId="0" quotePrefix="1" applyFont="1" applyFill="1" applyBorder="1" applyAlignment="1">
      <alignment horizontal="left" vertical="center" wrapText="1"/>
    </xf>
    <xf numFmtId="14" fontId="39" fillId="4" borderId="14" xfId="0" applyNumberFormat="1" applyFont="1" applyFill="1" applyBorder="1" applyAlignment="1">
      <alignment horizontal="center" vertical="center" wrapText="1"/>
    </xf>
    <xf numFmtId="14" fontId="39" fillId="4" borderId="1" xfId="0" applyNumberFormat="1" applyFont="1" applyFill="1" applyBorder="1" applyAlignment="1">
      <alignment horizontal="center" vertical="center" wrapText="1"/>
    </xf>
    <xf numFmtId="0" fontId="0" fillId="8" borderId="15" xfId="0" applyFill="1" applyBorder="1"/>
    <xf numFmtId="168" fontId="0" fillId="8" borderId="4" xfId="0" applyNumberFormat="1" applyFill="1" applyBorder="1"/>
    <xf numFmtId="168" fontId="0" fillId="8" borderId="4" xfId="0" applyNumberFormat="1" applyFill="1" applyBorder="1" applyAlignment="1">
      <alignment horizontal="center" vertical="center"/>
    </xf>
    <xf numFmtId="168" fontId="0" fillId="0" borderId="17" xfId="0" applyNumberFormat="1" applyBorder="1"/>
    <xf numFmtId="168" fontId="0" fillId="0" borderId="2" xfId="0" applyNumberFormat="1" applyBorder="1"/>
    <xf numFmtId="168" fontId="0" fillId="0" borderId="45" xfId="1" applyNumberFormat="1" applyFont="1" applyBorder="1"/>
    <xf numFmtId="168" fontId="0" fillId="0" borderId="3" xfId="0" applyNumberFormat="1" applyBorder="1"/>
    <xf numFmtId="0" fontId="0" fillId="8" borderId="18" xfId="0" applyFill="1" applyBorder="1"/>
    <xf numFmtId="168" fontId="0" fillId="8" borderId="19" xfId="0" applyNumberFormat="1" applyFill="1" applyBorder="1"/>
    <xf numFmtId="168" fontId="0" fillId="0" borderId="25" xfId="0" applyNumberFormat="1" applyBorder="1"/>
    <xf numFmtId="168" fontId="0" fillId="0" borderId="19" xfId="0" applyNumberFormat="1" applyBorder="1"/>
    <xf numFmtId="168" fontId="0" fillId="0" borderId="12" xfId="0" applyNumberFormat="1" applyBorder="1"/>
    <xf numFmtId="0" fontId="0" fillId="8" borderId="13" xfId="0" applyFill="1" applyBorder="1"/>
    <xf numFmtId="0" fontId="0" fillId="8" borderId="0" xfId="0" applyFill="1"/>
    <xf numFmtId="168" fontId="0" fillId="8" borderId="0" xfId="0" applyNumberFormat="1" applyFill="1"/>
    <xf numFmtId="168" fontId="0" fillId="8" borderId="21" xfId="0" applyNumberFormat="1" applyFill="1" applyBorder="1"/>
    <xf numFmtId="168" fontId="0" fillId="8" borderId="0" xfId="0" applyNumberFormat="1" applyFill="1" applyAlignment="1">
      <alignment horizontal="center" vertical="center"/>
    </xf>
    <xf numFmtId="168" fontId="0" fillId="0" borderId="25" xfId="1" applyNumberFormat="1" applyFont="1" applyBorder="1"/>
    <xf numFmtId="168" fontId="0" fillId="0" borderId="0" xfId="1" applyNumberFormat="1" applyFont="1" applyBorder="1"/>
    <xf numFmtId="0" fontId="0" fillId="8" borderId="10" xfId="0" applyFill="1" applyBorder="1"/>
    <xf numFmtId="0" fontId="0" fillId="8" borderId="11" xfId="0" applyFill="1" applyBorder="1"/>
    <xf numFmtId="0" fontId="0" fillId="0" borderId="12" xfId="0" applyBorder="1"/>
    <xf numFmtId="0" fontId="47" fillId="9" borderId="0" xfId="0" applyFont="1" applyFill="1" applyAlignment="1">
      <alignment horizontal="left"/>
    </xf>
    <xf numFmtId="6" fontId="48" fillId="9" borderId="0" xfId="0" applyNumberFormat="1" applyFont="1" applyFill="1"/>
    <xf numFmtId="0" fontId="48" fillId="9" borderId="0" xfId="0" applyFont="1" applyFill="1"/>
    <xf numFmtId="0" fontId="0" fillId="0" borderId="2" xfId="0" applyBorder="1"/>
    <xf numFmtId="0" fontId="0" fillId="0" borderId="47" xfId="0" applyBorder="1"/>
    <xf numFmtId="0" fontId="49" fillId="9" borderId="0" xfId="0" applyFont="1" applyFill="1"/>
    <xf numFmtId="0" fontId="18" fillId="8" borderId="13" xfId="4" applyFill="1" applyBorder="1"/>
    <xf numFmtId="10" fontId="0" fillId="0" borderId="0" xfId="0" applyNumberFormat="1"/>
    <xf numFmtId="0" fontId="50" fillId="8" borderId="0" xfId="0" applyFont="1" applyFill="1" applyAlignment="1">
      <alignment horizontal="left"/>
    </xf>
    <xf numFmtId="170" fontId="51" fillId="0" borderId="0" xfId="0" applyNumberFormat="1" applyFont="1"/>
    <xf numFmtId="0" fontId="47" fillId="9" borderId="0" xfId="0" applyFont="1" applyFill="1"/>
    <xf numFmtId="0" fontId="0" fillId="9" borderId="0" xfId="0" applyFill="1"/>
    <xf numFmtId="0" fontId="0" fillId="8" borderId="0" xfId="0" applyFill="1" applyAlignment="1">
      <alignment horizontal="center"/>
    </xf>
    <xf numFmtId="0" fontId="0" fillId="8" borderId="0" xfId="0" applyFill="1" applyAlignment="1">
      <alignment horizontal="left"/>
    </xf>
    <xf numFmtId="165" fontId="23" fillId="0" borderId="0" xfId="3" applyNumberFormat="1" applyFont="1"/>
    <xf numFmtId="0" fontId="23" fillId="0" borderId="0" xfId="0" applyFont="1"/>
    <xf numFmtId="170" fontId="23" fillId="0" borderId="0" xfId="0" applyNumberFormat="1" applyFont="1"/>
    <xf numFmtId="0" fontId="50" fillId="0" borderId="4" xfId="0" applyFont="1" applyBorder="1"/>
    <xf numFmtId="0" fontId="50" fillId="0" borderId="0" xfId="0" applyFont="1"/>
    <xf numFmtId="0" fontId="52" fillId="0" borderId="0" xfId="0" applyFont="1" applyAlignment="1">
      <alignment horizontal="right"/>
    </xf>
    <xf numFmtId="0" fontId="52" fillId="0" borderId="4" xfId="0" applyFont="1" applyBorder="1" applyAlignment="1">
      <alignment horizontal="center"/>
    </xf>
    <xf numFmtId="0" fontId="0" fillId="10" borderId="0" xfId="0" applyFill="1"/>
    <xf numFmtId="0" fontId="0" fillId="10" borderId="54" xfId="0" applyFill="1" applyBorder="1"/>
    <xf numFmtId="0" fontId="52" fillId="0" borderId="0" xfId="0" applyFont="1" applyAlignment="1">
      <alignment horizontal="center"/>
    </xf>
    <xf numFmtId="0" fontId="41" fillId="0" borderId="0" xfId="0" quotePrefix="1" applyFont="1" applyAlignment="1">
      <alignment shrinkToFit="1"/>
    </xf>
    <xf numFmtId="0" fontId="0" fillId="12" borderId="0" xfId="0" quotePrefix="1" applyFill="1" applyAlignment="1">
      <alignment horizontal="left"/>
    </xf>
    <xf numFmtId="0" fontId="0" fillId="7" borderId="0" xfId="0" quotePrefix="1" applyFill="1" applyAlignment="1">
      <alignment horizontal="left"/>
    </xf>
    <xf numFmtId="0" fontId="0" fillId="8" borderId="51" xfId="0" applyFill="1" applyBorder="1"/>
    <xf numFmtId="0" fontId="0" fillId="14" borderId="0" xfId="0" quotePrefix="1" applyFill="1" applyAlignment="1">
      <alignment horizontal="left"/>
    </xf>
    <xf numFmtId="0" fontId="0" fillId="15" borderId="0" xfId="0" quotePrefix="1" applyFill="1" applyAlignment="1">
      <alignment horizontal="left"/>
    </xf>
    <xf numFmtId="0" fontId="0" fillId="8" borderId="4" xfId="0" applyFill="1" applyBorder="1"/>
    <xf numFmtId="0" fontId="0" fillId="8" borderId="5" xfId="0" applyFill="1" applyBorder="1"/>
    <xf numFmtId="0" fontId="0" fillId="7" borderId="12" xfId="0" applyFill="1" applyBorder="1"/>
    <xf numFmtId="166" fontId="0" fillId="8" borderId="0" xfId="0" applyNumberFormat="1" applyFill="1"/>
    <xf numFmtId="0" fontId="0" fillId="8" borderId="0" xfId="0" quotePrefix="1" applyFill="1"/>
    <xf numFmtId="168" fontId="0" fillId="7" borderId="12" xfId="0" applyNumberFormat="1" applyFill="1" applyBorder="1"/>
    <xf numFmtId="10" fontId="0" fillId="8" borderId="0" xfId="0" applyNumberFormat="1" applyFill="1"/>
    <xf numFmtId="168" fontId="0" fillId="7" borderId="17" xfId="0" applyNumberFormat="1" applyFill="1" applyBorder="1"/>
    <xf numFmtId="0" fontId="0" fillId="8" borderId="2" xfId="0" applyFill="1" applyBorder="1"/>
    <xf numFmtId="0" fontId="33" fillId="8" borderId="23" xfId="0" applyFont="1" applyFill="1" applyBorder="1" applyAlignment="1">
      <alignment horizontal="left" vertical="center" wrapText="1"/>
    </xf>
    <xf numFmtId="0" fontId="0" fillId="8" borderId="1" xfId="0" applyFill="1" applyBorder="1"/>
    <xf numFmtId="0" fontId="33" fillId="10" borderId="7" xfId="0" applyFont="1" applyFill="1" applyBorder="1" applyAlignment="1">
      <alignment horizontal="left" vertical="center"/>
    </xf>
    <xf numFmtId="0" fontId="33" fillId="10" borderId="9" xfId="0" applyFont="1" applyFill="1" applyBorder="1" applyAlignment="1">
      <alignment horizontal="left" vertical="center"/>
    </xf>
    <xf numFmtId="0" fontId="33" fillId="10" borderId="8" xfId="0" applyFont="1" applyFill="1" applyBorder="1" applyAlignment="1">
      <alignment horizontal="center" vertical="center"/>
    </xf>
    <xf numFmtId="0" fontId="33" fillId="10" borderId="9" xfId="0" applyFont="1" applyFill="1" applyBorder="1" applyAlignment="1">
      <alignment horizontal="center" vertical="center"/>
    </xf>
    <xf numFmtId="6" fontId="0" fillId="8" borderId="0" xfId="0" applyNumberFormat="1" applyFill="1"/>
    <xf numFmtId="168" fontId="0" fillId="8" borderId="5" xfId="0" applyNumberFormat="1" applyFill="1" applyBorder="1"/>
    <xf numFmtId="168" fontId="0" fillId="8" borderId="2" xfId="0" applyNumberFormat="1" applyFill="1" applyBorder="1"/>
    <xf numFmtId="6" fontId="0" fillId="8" borderId="2" xfId="0" applyNumberFormat="1" applyFill="1" applyBorder="1"/>
    <xf numFmtId="170" fontId="0" fillId="8" borderId="0" xfId="0" applyNumberFormat="1" applyFill="1"/>
    <xf numFmtId="9" fontId="0" fillId="2" borderId="2" xfId="0" applyNumberFormat="1" applyFill="1" applyBorder="1" applyAlignment="1">
      <alignment horizontal="center"/>
    </xf>
    <xf numFmtId="0" fontId="53" fillId="0" borderId="6" xfId="0" applyFont="1" applyBorder="1" applyAlignment="1">
      <alignment vertical="center"/>
    </xf>
    <xf numFmtId="168" fontId="3" fillId="7" borderId="4" xfId="0" applyNumberFormat="1" applyFont="1" applyFill="1" applyBorder="1"/>
    <xf numFmtId="8" fontId="3" fillId="7" borderId="16" xfId="2" applyNumberFormat="1" applyFont="1" applyFill="1" applyBorder="1" applyAlignment="1"/>
    <xf numFmtId="170" fontId="3" fillId="2" borderId="0" xfId="0" applyNumberFormat="1" applyFont="1" applyFill="1" applyAlignment="1">
      <alignment horizontal="center"/>
    </xf>
    <xf numFmtId="10" fontId="0" fillId="8" borderId="0" xfId="0" applyNumberFormat="1" applyFill="1" applyAlignment="1">
      <alignment horizontal="center"/>
    </xf>
    <xf numFmtId="10" fontId="25" fillId="8" borderId="0" xfId="0" applyNumberFormat="1" applyFont="1" applyFill="1" applyAlignment="1">
      <alignment horizontal="center"/>
    </xf>
    <xf numFmtId="166" fontId="0" fillId="8" borderId="0" xfId="0" applyNumberFormat="1" applyFill="1" applyAlignment="1">
      <alignment horizontal="center"/>
    </xf>
    <xf numFmtId="168" fontId="0" fillId="8" borderId="0" xfId="0" applyNumberFormat="1" applyFill="1" applyAlignment="1">
      <alignment horizontal="center"/>
    </xf>
    <xf numFmtId="8" fontId="0" fillId="8" borderId="0" xfId="0" applyNumberFormat="1" applyFill="1" applyAlignment="1">
      <alignment horizontal="center"/>
    </xf>
    <xf numFmtId="0" fontId="33" fillId="8" borderId="30" xfId="0" applyFont="1" applyFill="1" applyBorder="1" applyAlignment="1">
      <alignment horizontal="left" vertical="center" wrapText="1"/>
    </xf>
    <xf numFmtId="0" fontId="33" fillId="8" borderId="22" xfId="0" applyFont="1" applyFill="1" applyBorder="1" applyAlignment="1">
      <alignment horizontal="center"/>
    </xf>
    <xf numFmtId="8" fontId="3" fillId="8" borderId="22" xfId="2" applyNumberFormat="1" applyFont="1" applyFill="1" applyBorder="1"/>
    <xf numFmtId="168" fontId="3" fillId="8" borderId="22" xfId="1" applyNumberFormat="1" applyFont="1" applyFill="1" applyBorder="1"/>
    <xf numFmtId="168" fontId="33" fillId="8" borderId="22" xfId="1" applyNumberFormat="1" applyFont="1" applyFill="1" applyBorder="1"/>
    <xf numFmtId="168" fontId="3" fillId="8" borderId="31" xfId="1" applyNumberFormat="1" applyFont="1" applyFill="1" applyBorder="1"/>
    <xf numFmtId="170" fontId="33" fillId="8" borderId="22" xfId="1" applyNumberFormat="1" applyFont="1" applyFill="1" applyBorder="1" applyAlignment="1">
      <alignment horizontal="center"/>
    </xf>
    <xf numFmtId="170" fontId="3" fillId="8" borderId="22" xfId="1" applyNumberFormat="1" applyFont="1" applyFill="1" applyBorder="1" applyAlignment="1">
      <alignment horizontal="center"/>
    </xf>
    <xf numFmtId="0" fontId="33" fillId="8" borderId="32" xfId="0" applyFont="1" applyFill="1" applyBorder="1" applyAlignment="1">
      <alignment horizontal="left" vertical="center" wrapText="1"/>
    </xf>
    <xf numFmtId="0" fontId="33" fillId="8" borderId="25" xfId="0" applyFont="1" applyFill="1" applyBorder="1" applyAlignment="1">
      <alignment horizontal="center"/>
    </xf>
    <xf numFmtId="44" fontId="33" fillId="8" borderId="25" xfId="2" applyFont="1" applyFill="1" applyBorder="1" applyAlignment="1">
      <alignment horizontal="center"/>
    </xf>
    <xf numFmtId="0" fontId="33" fillId="8" borderId="36" xfId="0" applyFont="1" applyFill="1" applyBorder="1" applyAlignment="1">
      <alignment horizontal="left" vertical="center" wrapText="1"/>
    </xf>
    <xf numFmtId="44" fontId="33" fillId="8" borderId="37" xfId="2" applyFont="1" applyFill="1" applyBorder="1" applyAlignment="1">
      <alignment horizontal="center"/>
    </xf>
    <xf numFmtId="168" fontId="33" fillId="8" borderId="14" xfId="1" applyNumberFormat="1" applyFont="1" applyFill="1" applyBorder="1"/>
    <xf numFmtId="170" fontId="33" fillId="8" borderId="14" xfId="1" applyNumberFormat="1" applyFont="1" applyFill="1" applyBorder="1" applyAlignment="1">
      <alignment horizontal="center"/>
    </xf>
    <xf numFmtId="0" fontId="33" fillId="11" borderId="26" xfId="0" applyFont="1" applyFill="1" applyBorder="1" applyAlignment="1">
      <alignment horizontal="left" vertical="center" wrapText="1"/>
    </xf>
    <xf numFmtId="44" fontId="33" fillId="11" borderId="27" xfId="2" applyFont="1" applyFill="1" applyBorder="1" applyAlignment="1">
      <alignment horizontal="center"/>
    </xf>
    <xf numFmtId="44" fontId="33" fillId="11" borderId="27" xfId="2" applyFont="1" applyFill="1" applyBorder="1" applyAlignment="1">
      <alignment horizontal="right"/>
    </xf>
    <xf numFmtId="168" fontId="33" fillId="11" borderId="27" xfId="1" applyNumberFormat="1" applyFont="1" applyFill="1" applyBorder="1"/>
    <xf numFmtId="168" fontId="33" fillId="11" borderId="28" xfId="1" applyNumberFormat="1" applyFont="1" applyFill="1" applyBorder="1"/>
    <xf numFmtId="170" fontId="33" fillId="11" borderId="27" xfId="1" applyNumberFormat="1" applyFont="1" applyFill="1" applyBorder="1" applyAlignment="1">
      <alignment horizontal="center"/>
    </xf>
    <xf numFmtId="170" fontId="3" fillId="11" borderId="27" xfId="1" applyNumberFormat="1" applyFont="1" applyFill="1" applyBorder="1" applyAlignment="1">
      <alignment horizontal="center"/>
    </xf>
    <xf numFmtId="168" fontId="0" fillId="8" borderId="0" xfId="1" applyNumberFormat="1" applyFont="1" applyFill="1"/>
    <xf numFmtId="170" fontId="40" fillId="8" borderId="0" xfId="0" applyNumberFormat="1" applyFont="1" applyFill="1" applyAlignment="1">
      <alignment horizontal="center"/>
    </xf>
    <xf numFmtId="170" fontId="33" fillId="8" borderId="0" xfId="0" applyNumberFormat="1" applyFont="1" applyFill="1" applyAlignment="1">
      <alignment horizontal="center"/>
    </xf>
    <xf numFmtId="44" fontId="3" fillId="6" borderId="6" xfId="2" applyFont="1" applyFill="1" applyBorder="1"/>
    <xf numFmtId="0" fontId="33" fillId="8" borderId="7" xfId="0" applyFont="1" applyFill="1" applyBorder="1" applyAlignment="1">
      <alignment horizontal="left" vertical="center" wrapText="1"/>
    </xf>
    <xf numFmtId="168" fontId="33" fillId="8" borderId="9" xfId="0" applyNumberFormat="1" applyFont="1" applyFill="1" applyBorder="1"/>
    <xf numFmtId="0" fontId="33" fillId="10" borderId="7" xfId="0" applyFont="1" applyFill="1" applyBorder="1" applyAlignment="1">
      <alignment horizontal="center" vertical="center" wrapText="1"/>
    </xf>
    <xf numFmtId="0" fontId="33" fillId="10" borderId="41" xfId="0" applyFont="1" applyFill="1" applyBorder="1" applyAlignment="1">
      <alignment horizontal="center" vertical="center" wrapText="1"/>
    </xf>
    <xf numFmtId="0" fontId="33" fillId="10" borderId="27" xfId="0" applyFont="1" applyFill="1" applyBorder="1" applyAlignment="1">
      <alignment horizontal="center" vertical="center" wrapText="1"/>
    </xf>
    <xf numFmtId="0" fontId="33" fillId="10" borderId="29" xfId="0" applyFont="1" applyFill="1" applyBorder="1" applyAlignment="1">
      <alignment horizontal="center" vertical="center" wrapText="1"/>
    </xf>
    <xf numFmtId="0" fontId="40" fillId="8" borderId="30" xfId="0" applyFont="1" applyFill="1" applyBorder="1" applyAlignment="1">
      <alignment horizontal="left" vertical="center" wrapText="1"/>
    </xf>
    <xf numFmtId="44" fontId="40" fillId="8" borderId="22" xfId="2" applyFont="1" applyFill="1" applyBorder="1" applyAlignment="1">
      <alignment vertical="center"/>
    </xf>
    <xf numFmtId="168" fontId="40" fillId="8" borderId="22" xfId="1" applyNumberFormat="1" applyFont="1" applyFill="1" applyBorder="1" applyAlignment="1">
      <alignment vertical="center"/>
    </xf>
    <xf numFmtId="171" fontId="40" fillId="8" borderId="22" xfId="0" applyNumberFormat="1" applyFont="1" applyFill="1" applyBorder="1" applyAlignment="1">
      <alignment vertical="center"/>
    </xf>
    <xf numFmtId="171" fontId="40" fillId="8" borderId="22" xfId="2" applyNumberFormat="1" applyFont="1" applyFill="1" applyBorder="1" applyAlignment="1">
      <alignment vertical="center"/>
    </xf>
    <xf numFmtId="178" fontId="40" fillId="8" borderId="22" xfId="0" applyNumberFormat="1" applyFont="1" applyFill="1" applyBorder="1" applyAlignment="1">
      <alignment vertical="center"/>
    </xf>
    <xf numFmtId="170" fontId="40" fillId="8" borderId="34" xfId="0" applyNumberFormat="1" applyFont="1" applyFill="1" applyBorder="1" applyAlignment="1">
      <alignment horizontal="center" vertical="center"/>
    </xf>
    <xf numFmtId="0" fontId="40" fillId="8" borderId="30" xfId="0" applyFont="1" applyFill="1" applyBorder="1"/>
    <xf numFmtId="44" fontId="40" fillId="8" borderId="22" xfId="2" applyFont="1" applyFill="1" applyBorder="1"/>
    <xf numFmtId="168" fontId="40" fillId="8" borderId="22" xfId="1" applyNumberFormat="1" applyFont="1" applyFill="1" applyBorder="1"/>
    <xf numFmtId="171" fontId="40" fillId="8" borderId="22" xfId="2" applyNumberFormat="1" applyFont="1" applyFill="1" applyBorder="1"/>
    <xf numFmtId="178" fontId="40" fillId="8" borderId="22" xfId="0" applyNumberFormat="1" applyFont="1" applyFill="1" applyBorder="1"/>
    <xf numFmtId="170" fontId="40" fillId="8" borderId="34" xfId="0" applyNumberFormat="1" applyFont="1" applyFill="1" applyBorder="1" applyAlignment="1">
      <alignment horizontal="center"/>
    </xf>
    <xf numFmtId="171" fontId="40" fillId="8" borderId="22" xfId="0" applyNumberFormat="1" applyFont="1" applyFill="1" applyBorder="1"/>
    <xf numFmtId="14" fontId="40" fillId="8" borderId="30" xfId="0" applyNumberFormat="1" applyFont="1" applyFill="1" applyBorder="1" applyAlignment="1">
      <alignment horizontal="left"/>
    </xf>
    <xf numFmtId="0" fontId="40" fillId="8" borderId="32" xfId="0" applyFont="1" applyFill="1" applyBorder="1"/>
    <xf numFmtId="44" fontId="40" fillId="8" borderId="25" xfId="2" applyFont="1" applyFill="1" applyBorder="1"/>
    <xf numFmtId="168" fontId="40" fillId="8" borderId="25" xfId="1" applyNumberFormat="1" applyFont="1" applyFill="1" applyBorder="1"/>
    <xf numFmtId="171" fontId="40" fillId="8" borderId="25" xfId="0" applyNumberFormat="1" applyFont="1" applyFill="1" applyBorder="1"/>
    <xf numFmtId="171" fontId="40" fillId="8" borderId="25" xfId="2" applyNumberFormat="1" applyFont="1" applyFill="1" applyBorder="1"/>
    <xf numFmtId="178" fontId="40" fillId="8" borderId="25" xfId="0" applyNumberFormat="1" applyFont="1" applyFill="1" applyBorder="1"/>
    <xf numFmtId="170" fontId="40" fillId="8" borderId="35" xfId="0" applyNumberFormat="1" applyFont="1" applyFill="1" applyBorder="1" applyAlignment="1">
      <alignment horizontal="center"/>
    </xf>
    <xf numFmtId="0" fontId="40" fillId="8" borderId="36" xfId="0" applyFont="1" applyFill="1" applyBorder="1"/>
    <xf numFmtId="44" fontId="40" fillId="8" borderId="37" xfId="2" applyFont="1" applyFill="1" applyBorder="1"/>
    <xf numFmtId="168" fontId="40" fillId="8" borderId="37" xfId="1" applyNumberFormat="1" applyFont="1" applyFill="1" applyBorder="1"/>
    <xf numFmtId="171" fontId="40" fillId="8" borderId="37" xfId="0" applyNumberFormat="1" applyFont="1" applyFill="1" applyBorder="1"/>
    <xf numFmtId="171" fontId="40" fillId="8" borderId="37" xfId="2" applyNumberFormat="1" applyFont="1" applyFill="1" applyBorder="1"/>
    <xf numFmtId="171" fontId="40" fillId="8" borderId="37" xfId="0" applyNumberFormat="1" applyFont="1" applyFill="1" applyBorder="1" applyAlignment="1">
      <alignment vertical="center"/>
    </xf>
    <xf numFmtId="178" fontId="40" fillId="8" borderId="37" xfId="0" applyNumberFormat="1" applyFont="1" applyFill="1" applyBorder="1"/>
    <xf numFmtId="170" fontId="40" fillId="8" borderId="39" xfId="0" applyNumberFormat="1" applyFont="1" applyFill="1" applyBorder="1" applyAlignment="1">
      <alignment horizontal="center"/>
    </xf>
    <xf numFmtId="0" fontId="33" fillId="8" borderId="22" xfId="0" applyFont="1" applyFill="1" applyBorder="1"/>
    <xf numFmtId="170" fontId="33" fillId="8" borderId="22" xfId="0" applyNumberFormat="1" applyFont="1" applyFill="1" applyBorder="1" applyAlignment="1">
      <alignment horizontal="center"/>
    </xf>
    <xf numFmtId="168" fontId="33" fillId="8" borderId="0" xfId="0" applyNumberFormat="1" applyFont="1" applyFill="1"/>
    <xf numFmtId="0" fontId="33" fillId="16" borderId="20" xfId="0" applyFont="1" applyFill="1" applyBorder="1" applyAlignment="1">
      <alignment horizontal="center"/>
    </xf>
    <xf numFmtId="1" fontId="33" fillId="10" borderId="7" xfId="0" quotePrefix="1" applyNumberFormat="1" applyFont="1" applyFill="1" applyBorder="1" applyAlignment="1">
      <alignment horizontal="center"/>
    </xf>
    <xf numFmtId="1" fontId="33" fillId="10" borderId="8" xfId="0" quotePrefix="1" applyNumberFormat="1" applyFont="1" applyFill="1" applyBorder="1" applyAlignment="1">
      <alignment horizontal="center"/>
    </xf>
    <xf numFmtId="1" fontId="33" fillId="10" borderId="41" xfId="0" quotePrefix="1" applyNumberFormat="1" applyFont="1" applyFill="1" applyBorder="1" applyAlignment="1">
      <alignment horizontal="center"/>
    </xf>
    <xf numFmtId="1" fontId="33" fillId="10" borderId="8" xfId="0" applyNumberFormat="1" applyFont="1" applyFill="1" applyBorder="1" applyAlignment="1">
      <alignment horizontal="center"/>
    </xf>
    <xf numFmtId="1" fontId="33" fillId="7" borderId="27" xfId="0" applyNumberFormat="1" applyFont="1" applyFill="1" applyBorder="1" applyAlignment="1">
      <alignment horizontal="center"/>
    </xf>
    <xf numFmtId="1" fontId="33" fillId="10" borderId="9" xfId="0" applyNumberFormat="1" applyFont="1" applyFill="1" applyBorder="1" applyAlignment="1">
      <alignment horizontal="center"/>
    </xf>
    <xf numFmtId="165" fontId="40" fillId="8" borderId="0" xfId="3" applyNumberFormat="1" applyFont="1" applyFill="1" applyBorder="1"/>
    <xf numFmtId="165" fontId="40" fillId="8" borderId="51" xfId="3" applyNumberFormat="1" applyFont="1" applyFill="1" applyBorder="1"/>
    <xf numFmtId="165" fontId="40" fillId="7" borderId="12" xfId="3" applyNumberFormat="1" applyFont="1" applyFill="1" applyBorder="1"/>
    <xf numFmtId="168" fontId="40" fillId="8" borderId="0" xfId="1" applyNumberFormat="1" applyFont="1" applyFill="1" applyBorder="1"/>
    <xf numFmtId="168" fontId="40" fillId="8" borderId="51" xfId="1" applyNumberFormat="1" applyFont="1" applyFill="1" applyBorder="1"/>
    <xf numFmtId="168" fontId="33" fillId="2" borderId="2" xfId="1" applyNumberFormat="1" applyFont="1" applyFill="1" applyBorder="1"/>
    <xf numFmtId="168" fontId="33" fillId="8" borderId="2" xfId="1" applyNumberFormat="1" applyFont="1" applyFill="1" applyBorder="1"/>
    <xf numFmtId="168" fontId="33" fillId="7" borderId="17" xfId="1" applyNumberFormat="1" applyFont="1" applyFill="1" applyBorder="1"/>
    <xf numFmtId="168" fontId="33" fillId="8" borderId="48" xfId="1" applyNumberFormat="1" applyFont="1" applyFill="1" applyBorder="1"/>
    <xf numFmtId="168" fontId="33" fillId="2" borderId="20" xfId="0" applyNumberFormat="1" applyFont="1" applyFill="1" applyBorder="1"/>
    <xf numFmtId="0" fontId="33" fillId="8" borderId="4" xfId="0" applyFont="1" applyFill="1" applyBorder="1"/>
    <xf numFmtId="168" fontId="33" fillId="8" borderId="4" xfId="0" applyNumberFormat="1" applyFont="1" applyFill="1" applyBorder="1"/>
    <xf numFmtId="168" fontId="33" fillId="7" borderId="22" xfId="1" applyNumberFormat="1" applyFont="1" applyFill="1" applyBorder="1"/>
    <xf numFmtId="168" fontId="33" fillId="8" borderId="0" xfId="1" applyNumberFormat="1" applyFont="1" applyFill="1" applyBorder="1"/>
    <xf numFmtId="0" fontId="54" fillId="8" borderId="0" xfId="0" applyFont="1" applyFill="1"/>
    <xf numFmtId="0" fontId="33" fillId="8" borderId="1" xfId="0" applyFont="1" applyFill="1" applyBorder="1" applyAlignment="1">
      <alignment horizontal="right"/>
    </xf>
    <xf numFmtId="0" fontId="33" fillId="8" borderId="1" xfId="0" applyFont="1" applyFill="1" applyBorder="1" applyAlignment="1">
      <alignment horizontal="center"/>
    </xf>
    <xf numFmtId="0" fontId="40" fillId="8" borderId="0" xfId="0" quotePrefix="1" applyFont="1" applyFill="1" applyAlignment="1">
      <alignment horizontal="center" shrinkToFit="1"/>
    </xf>
    <xf numFmtId="10" fontId="33" fillId="15" borderId="2" xfId="0" applyNumberFormat="1" applyFont="1" applyFill="1" applyBorder="1" applyAlignment="1">
      <alignment horizontal="center"/>
    </xf>
    <xf numFmtId="168" fontId="33" fillId="8" borderId="2" xfId="0" applyNumberFormat="1" applyFont="1" applyFill="1" applyBorder="1"/>
    <xf numFmtId="168" fontId="33" fillId="2" borderId="2" xfId="0" applyNumberFormat="1" applyFont="1" applyFill="1" applyBorder="1"/>
    <xf numFmtId="168" fontId="33" fillId="8" borderId="0" xfId="1" applyNumberFormat="1" applyFont="1" applyFill="1"/>
    <xf numFmtId="6" fontId="33" fillId="8" borderId="0" xfId="0" applyNumberFormat="1" applyFont="1" applyFill="1"/>
    <xf numFmtId="10" fontId="33" fillId="8" borderId="42" xfId="0" applyNumberFormat="1" applyFont="1" applyFill="1" applyBorder="1"/>
    <xf numFmtId="165" fontId="33" fillId="8" borderId="0" xfId="3" applyNumberFormat="1" applyFont="1" applyFill="1" applyBorder="1" applyAlignment="1">
      <alignment horizontal="center"/>
    </xf>
    <xf numFmtId="174" fontId="33" fillId="8" borderId="0" xfId="3" applyNumberFormat="1" applyFont="1" applyFill="1" applyBorder="1" applyAlignment="1">
      <alignment horizontal="center"/>
    </xf>
    <xf numFmtId="174" fontId="33" fillId="8" borderId="42" xfId="3" applyNumberFormat="1" applyFont="1" applyFill="1" applyBorder="1" applyAlignment="1">
      <alignment horizontal="center"/>
    </xf>
    <xf numFmtId="10" fontId="3" fillId="8" borderId="42" xfId="0" applyNumberFormat="1" applyFont="1" applyFill="1" applyBorder="1"/>
    <xf numFmtId="174" fontId="33" fillId="8" borderId="0" xfId="0" applyNumberFormat="1" applyFont="1" applyFill="1" applyAlignment="1">
      <alignment horizontal="center"/>
    </xf>
    <xf numFmtId="170" fontId="33" fillId="8" borderId="42" xfId="0" applyNumberFormat="1" applyFont="1" applyFill="1" applyBorder="1"/>
    <xf numFmtId="0" fontId="33" fillId="8" borderId="23" xfId="0" applyFont="1" applyFill="1" applyBorder="1"/>
    <xf numFmtId="168" fontId="33" fillId="8" borderId="43" xfId="0" applyNumberFormat="1" applyFont="1" applyFill="1" applyBorder="1"/>
    <xf numFmtId="165" fontId="33" fillId="8" borderId="43" xfId="3" applyNumberFormat="1" applyFont="1" applyFill="1" applyBorder="1" applyAlignment="1">
      <alignment horizontal="center"/>
    </xf>
    <xf numFmtId="174" fontId="33" fillId="8" borderId="43" xfId="3" applyNumberFormat="1" applyFont="1" applyFill="1" applyBorder="1" applyAlignment="1">
      <alignment horizontal="center"/>
    </xf>
    <xf numFmtId="174" fontId="33" fillId="2" borderId="44" xfId="0" applyNumberFormat="1" applyFont="1" applyFill="1" applyBorder="1" applyAlignment="1">
      <alignment horizontal="center"/>
    </xf>
    <xf numFmtId="10" fontId="33" fillId="2" borderId="6" xfId="3" applyNumberFormat="1" applyFont="1" applyFill="1" applyBorder="1"/>
    <xf numFmtId="0" fontId="33" fillId="8" borderId="25" xfId="0" quotePrefix="1" applyFont="1" applyFill="1" applyBorder="1"/>
    <xf numFmtId="174" fontId="33" fillId="2" borderId="25" xfId="0" quotePrefix="1" applyNumberFormat="1" applyFont="1" applyFill="1" applyBorder="1"/>
    <xf numFmtId="168" fontId="33" fillId="8" borderId="10" xfId="1" applyNumberFormat="1" applyFont="1" applyFill="1" applyBorder="1"/>
    <xf numFmtId="168" fontId="33" fillId="8" borderId="55" xfId="1" applyNumberFormat="1" applyFont="1" applyFill="1" applyBorder="1"/>
    <xf numFmtId="168" fontId="33" fillId="8" borderId="13" xfId="1" applyNumberFormat="1" applyFont="1" applyFill="1" applyBorder="1"/>
    <xf numFmtId="168" fontId="33" fillId="8" borderId="42" xfId="1" applyNumberFormat="1" applyFont="1" applyFill="1" applyBorder="1"/>
    <xf numFmtId="168" fontId="33" fillId="8" borderId="23" xfId="1" applyNumberFormat="1" applyFont="1" applyFill="1" applyBorder="1"/>
    <xf numFmtId="10" fontId="44" fillId="8" borderId="6" xfId="3" applyNumberFormat="1" applyFont="1" applyFill="1" applyBorder="1"/>
    <xf numFmtId="168" fontId="33" fillId="7" borderId="20" xfId="0" applyNumberFormat="1" applyFont="1" applyFill="1" applyBorder="1"/>
    <xf numFmtId="10" fontId="33" fillId="8" borderId="4" xfId="0" applyNumberFormat="1" applyFont="1" applyFill="1" applyBorder="1"/>
    <xf numFmtId="10" fontId="33" fillId="15" borderId="2" xfId="0" applyNumberFormat="1" applyFont="1" applyFill="1" applyBorder="1"/>
    <xf numFmtId="168" fontId="33" fillId="12" borderId="2" xfId="0" applyNumberFormat="1" applyFont="1" applyFill="1" applyBorder="1"/>
    <xf numFmtId="9" fontId="0" fillId="0" borderId="0" xfId="0" applyNumberFormat="1"/>
    <xf numFmtId="9" fontId="52" fillId="0" borderId="0" xfId="3" applyFont="1" applyAlignment="1">
      <alignment horizontal="center"/>
    </xf>
    <xf numFmtId="9" fontId="52" fillId="0" borderId="0" xfId="0" applyNumberFormat="1" applyFont="1" applyAlignment="1">
      <alignment horizontal="center"/>
    </xf>
    <xf numFmtId="10" fontId="52" fillId="0" borderId="0" xfId="0" applyNumberFormat="1" applyFont="1" applyAlignment="1">
      <alignment horizontal="center"/>
    </xf>
    <xf numFmtId="174" fontId="33" fillId="8" borderId="43" xfId="0" applyNumberFormat="1" applyFont="1" applyFill="1" applyBorder="1" applyAlignment="1">
      <alignment horizontal="right"/>
    </xf>
    <xf numFmtId="3" fontId="55" fillId="0" borderId="0" xfId="0" applyNumberFormat="1" applyFont="1" applyAlignment="1">
      <alignment vertical="center"/>
    </xf>
    <xf numFmtId="165" fontId="0" fillId="0" borderId="0" xfId="3" applyNumberFormat="1" applyFont="1"/>
    <xf numFmtId="0" fontId="3" fillId="10" borderId="0" xfId="0" applyFont="1" applyFill="1"/>
    <xf numFmtId="0" fontId="56" fillId="0" borderId="0" xfId="0" applyFont="1"/>
    <xf numFmtId="168" fontId="0" fillId="0" borderId="5" xfId="0" applyNumberFormat="1" applyBorder="1"/>
    <xf numFmtId="0" fontId="0" fillId="0" borderId="64" xfId="0" applyBorder="1"/>
    <xf numFmtId="0" fontId="3" fillId="7" borderId="0" xfId="0" applyFont="1" applyFill="1"/>
    <xf numFmtId="168" fontId="0" fillId="7" borderId="0" xfId="1" applyNumberFormat="1" applyFont="1" applyFill="1"/>
    <xf numFmtId="9" fontId="0" fillId="7" borderId="0" xfId="0" applyNumberFormat="1" applyFill="1"/>
    <xf numFmtId="165" fontId="0" fillId="7" borderId="0" xfId="0" applyNumberFormat="1" applyFill="1"/>
    <xf numFmtId="0" fontId="0" fillId="7" borderId="0" xfId="0" applyFill="1"/>
    <xf numFmtId="168" fontId="0" fillId="7" borderId="5" xfId="0" applyNumberFormat="1" applyFill="1" applyBorder="1"/>
    <xf numFmtId="0" fontId="0" fillId="7" borderId="64" xfId="0" applyFill="1" applyBorder="1"/>
    <xf numFmtId="168" fontId="0" fillId="7" borderId="0" xfId="0" applyNumberFormat="1" applyFill="1"/>
    <xf numFmtId="10" fontId="0" fillId="7" borderId="0" xfId="0" applyNumberFormat="1" applyFill="1"/>
    <xf numFmtId="0" fontId="3" fillId="7" borderId="0" xfId="0" applyFont="1" applyFill="1" applyAlignment="1">
      <alignment horizontal="center"/>
    </xf>
    <xf numFmtId="0" fontId="25" fillId="0" borderId="64" xfId="0" applyFont="1" applyBorder="1"/>
    <xf numFmtId="0" fontId="57" fillId="0" borderId="0" xfId="0" applyFont="1"/>
    <xf numFmtId="10" fontId="1" fillId="0" borderId="0" xfId="3" applyNumberFormat="1" applyFont="1"/>
    <xf numFmtId="165" fontId="1" fillId="0" borderId="0" xfId="3" applyNumberFormat="1" applyFont="1"/>
    <xf numFmtId="0" fontId="3" fillId="0" borderId="2" xfId="0" applyFont="1" applyBorder="1"/>
    <xf numFmtId="165" fontId="0" fillId="2" borderId="0" xfId="0" applyNumberFormat="1" applyFill="1"/>
    <xf numFmtId="10" fontId="0" fillId="2" borderId="0" xfId="3" applyNumberFormat="1" applyFont="1" applyFill="1"/>
    <xf numFmtId="168" fontId="0" fillId="2" borderId="2" xfId="0" applyNumberFormat="1" applyFill="1" applyBorder="1"/>
    <xf numFmtId="168" fontId="0" fillId="2" borderId="0" xfId="0" applyNumberFormat="1" applyFill="1"/>
    <xf numFmtId="10" fontId="25" fillId="0" borderId="0" xfId="0" applyNumberFormat="1" applyFont="1"/>
    <xf numFmtId="0" fontId="0" fillId="0" borderId="0" xfId="0" quotePrefix="1"/>
    <xf numFmtId="0" fontId="3" fillId="2" borderId="0" xfId="0" applyFont="1" applyFill="1"/>
    <xf numFmtId="44" fontId="3" fillId="2" borderId="0" xfId="2" applyFont="1" applyFill="1"/>
    <xf numFmtId="43" fontId="3" fillId="2" borderId="0" xfId="0" applyNumberFormat="1" applyFont="1" applyFill="1"/>
    <xf numFmtId="2" fontId="0" fillId="0" borderId="0" xfId="0" applyNumberFormat="1"/>
    <xf numFmtId="44" fontId="0" fillId="2" borderId="6" xfId="2" applyFont="1" applyFill="1" applyBorder="1"/>
    <xf numFmtId="8" fontId="44" fillId="8" borderId="0" xfId="0" applyNumberFormat="1" applyFont="1" applyFill="1"/>
    <xf numFmtId="43" fontId="25" fillId="0" borderId="0" xfId="1" applyFont="1"/>
    <xf numFmtId="164" fontId="22" fillId="10" borderId="22" xfId="0" quotePrefix="1" applyNumberFormat="1" applyFont="1" applyFill="1" applyBorder="1" applyAlignment="1">
      <alignment horizontal="center" wrapText="1"/>
    </xf>
    <xf numFmtId="168" fontId="9" fillId="0" borderId="12" xfId="1" applyNumberFormat="1" applyFont="1" applyBorder="1" applyAlignment="1">
      <alignment horizontal="right" vertical="center" wrapText="1"/>
    </xf>
    <xf numFmtId="165" fontId="30" fillId="0" borderId="12" xfId="3" applyNumberFormat="1" applyFont="1" applyBorder="1" applyAlignment="1">
      <alignment horizontal="right" vertical="center" wrapText="1"/>
    </xf>
    <xf numFmtId="168" fontId="11" fillId="0" borderId="12" xfId="1" applyNumberFormat="1" applyFont="1" applyBorder="1" applyAlignment="1">
      <alignment horizontal="right" vertical="center" wrapText="1"/>
    </xf>
    <xf numFmtId="168" fontId="12" fillId="0" borderId="20" xfId="1" applyNumberFormat="1" applyFont="1" applyBorder="1" applyAlignment="1">
      <alignment horizontal="right"/>
    </xf>
    <xf numFmtId="165" fontId="31" fillId="0" borderId="12" xfId="3" applyNumberFormat="1" applyFont="1" applyBorder="1" applyAlignment="1">
      <alignment horizontal="right"/>
    </xf>
    <xf numFmtId="168" fontId="12" fillId="0" borderId="12" xfId="1" applyNumberFormat="1" applyFont="1" applyBorder="1" applyAlignment="1">
      <alignment horizontal="right"/>
    </xf>
    <xf numFmtId="168" fontId="11" fillId="0" borderId="22" xfId="1" applyNumberFormat="1" applyFont="1" applyBorder="1" applyAlignment="1">
      <alignment horizontal="right" vertical="center" wrapText="1"/>
    </xf>
    <xf numFmtId="168" fontId="11" fillId="0" borderId="17" xfId="1" applyNumberFormat="1" applyFont="1" applyBorder="1" applyAlignment="1">
      <alignment horizontal="right" vertical="center" wrapText="1"/>
    </xf>
    <xf numFmtId="168" fontId="4" fillId="0" borderId="12" xfId="1" applyNumberFormat="1" applyFont="1" applyBorder="1" applyAlignment="1">
      <alignment horizontal="right"/>
    </xf>
    <xf numFmtId="168" fontId="7" fillId="0" borderId="12" xfId="1" applyNumberFormat="1" applyFont="1" applyBorder="1" applyAlignment="1">
      <alignment horizontal="right"/>
    </xf>
    <xf numFmtId="168" fontId="7" fillId="0" borderId="20" xfId="1" applyNumberFormat="1" applyFont="1" applyBorder="1" applyAlignment="1">
      <alignment horizontal="right"/>
    </xf>
    <xf numFmtId="164" fontId="12" fillId="0" borderId="12" xfId="0" applyNumberFormat="1" applyFont="1" applyBorder="1" applyAlignment="1">
      <alignment horizontal="right"/>
    </xf>
    <xf numFmtId="164" fontId="7" fillId="0" borderId="12" xfId="0" applyNumberFormat="1" applyFont="1" applyBorder="1" applyAlignment="1">
      <alignment horizontal="right"/>
    </xf>
    <xf numFmtId="0" fontId="4" fillId="0" borderId="12" xfId="0" applyFont="1" applyBorder="1"/>
    <xf numFmtId="165" fontId="12" fillId="0" borderId="12" xfId="3" applyNumberFormat="1" applyFont="1" applyBorder="1" applyAlignment="1">
      <alignment horizontal="right"/>
    </xf>
    <xf numFmtId="164" fontId="12" fillId="0" borderId="12" xfId="0" applyNumberFormat="1" applyFont="1" applyBorder="1"/>
    <xf numFmtId="168" fontId="12" fillId="0" borderId="17" xfId="1" applyNumberFormat="1" applyFont="1" applyBorder="1" applyAlignment="1">
      <alignment horizontal="right"/>
    </xf>
    <xf numFmtId="168" fontId="11" fillId="0" borderId="20" xfId="1" applyNumberFormat="1" applyFont="1" applyBorder="1" applyAlignment="1">
      <alignment horizontal="right" vertical="center" wrapText="1"/>
    </xf>
    <xf numFmtId="1" fontId="6" fillId="10" borderId="14" xfId="0" applyNumberFormat="1" applyFont="1" applyFill="1" applyBorder="1" applyAlignment="1">
      <alignment horizontal="center" vertical="center"/>
    </xf>
    <xf numFmtId="1" fontId="6" fillId="10" borderId="1" xfId="0" applyNumberFormat="1" applyFont="1" applyFill="1" applyBorder="1" applyAlignment="1">
      <alignment horizontal="center" vertical="center"/>
    </xf>
    <xf numFmtId="1" fontId="6" fillId="18" borderId="1" xfId="0" applyNumberFormat="1" applyFont="1" applyFill="1" applyBorder="1" applyAlignment="1">
      <alignment horizontal="center" vertical="center"/>
    </xf>
    <xf numFmtId="1" fontId="6" fillId="10" borderId="56" xfId="0" applyNumberFormat="1" applyFont="1" applyFill="1" applyBorder="1" applyAlignment="1">
      <alignment horizontal="center" vertical="center"/>
    </xf>
    <xf numFmtId="164" fontId="22" fillId="10" borderId="4" xfId="0" quotePrefix="1" applyNumberFormat="1" applyFont="1" applyFill="1" applyBorder="1" applyAlignment="1">
      <alignment horizontal="center"/>
    </xf>
    <xf numFmtId="43" fontId="1" fillId="0" borderId="0" xfId="1" applyFont="1"/>
    <xf numFmtId="164" fontId="22" fillId="18" borderId="4" xfId="0" quotePrefix="1" applyNumberFormat="1" applyFont="1" applyFill="1" applyBorder="1" applyAlignment="1">
      <alignment horizontal="centerContinuous"/>
    </xf>
    <xf numFmtId="164" fontId="22" fillId="18" borderId="4" xfId="0" quotePrefix="1" applyNumberFormat="1" applyFont="1" applyFill="1" applyBorder="1" applyAlignment="1">
      <alignment horizontal="center"/>
    </xf>
    <xf numFmtId="174" fontId="33" fillId="8" borderId="0" xfId="3" applyNumberFormat="1" applyFont="1" applyFill="1"/>
    <xf numFmtId="0" fontId="0" fillId="20" borderId="0" xfId="0" applyFill="1"/>
    <xf numFmtId="0" fontId="3" fillId="20" borderId="4" xfId="0" applyFont="1" applyFill="1" applyBorder="1"/>
    <xf numFmtId="170" fontId="33" fillId="2" borderId="6" xfId="0" applyNumberFormat="1" applyFont="1" applyFill="1" applyBorder="1" applyAlignment="1">
      <alignment horizontal="center"/>
    </xf>
    <xf numFmtId="0" fontId="18" fillId="0" borderId="0" xfId="4"/>
    <xf numFmtId="164" fontId="22" fillId="10" borderId="22" xfId="0" quotePrefix="1" applyNumberFormat="1" applyFont="1" applyFill="1" applyBorder="1" applyAlignment="1">
      <alignment horizontal="center"/>
    </xf>
    <xf numFmtId="164" fontId="21" fillId="9" borderId="0" xfId="0" applyNumberFormat="1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0" fontId="26" fillId="9" borderId="0" xfId="0" applyFont="1" applyFill="1" applyAlignment="1">
      <alignment horizontal="center" vertical="center"/>
    </xf>
    <xf numFmtId="0" fontId="0" fillId="0" borderId="0" xfId="0"/>
    <xf numFmtId="0" fontId="0" fillId="0" borderId="51" xfId="0" applyBorder="1"/>
    <xf numFmtId="0" fontId="2" fillId="20" borderId="38" xfId="0" applyFont="1" applyFill="1" applyBorder="1" applyAlignment="1">
      <alignment horizontal="center" vertical="center"/>
    </xf>
    <xf numFmtId="0" fontId="2" fillId="20" borderId="43" xfId="0" applyFont="1" applyFill="1" applyBorder="1" applyAlignment="1">
      <alignment horizontal="center" vertical="center"/>
    </xf>
    <xf numFmtId="0" fontId="2" fillId="20" borderId="53" xfId="0" applyFont="1" applyFill="1" applyBorder="1" applyAlignment="1">
      <alignment horizontal="center" vertical="center"/>
    </xf>
    <xf numFmtId="0" fontId="3" fillId="10" borderId="43" xfId="0" applyFont="1" applyFill="1" applyBorder="1" applyAlignment="1">
      <alignment horizontal="center" vertical="center"/>
    </xf>
    <xf numFmtId="0" fontId="3" fillId="10" borderId="53" xfId="0" applyFont="1" applyFill="1" applyBorder="1" applyAlignment="1">
      <alignment horizontal="center" vertical="center"/>
    </xf>
    <xf numFmtId="0" fontId="40" fillId="8" borderId="25" xfId="0" applyFont="1" applyFill="1" applyBorder="1"/>
    <xf numFmtId="0" fontId="0" fillId="8" borderId="25" xfId="0" applyFill="1" applyBorder="1"/>
    <xf numFmtId="0" fontId="40" fillId="8" borderId="37" xfId="0" applyFont="1" applyFill="1" applyBorder="1"/>
    <xf numFmtId="0" fontId="0" fillId="8" borderId="37" xfId="0" applyFill="1" applyBorder="1"/>
    <xf numFmtId="0" fontId="3" fillId="10" borderId="38" xfId="0" applyFont="1" applyFill="1" applyBorder="1" applyAlignment="1">
      <alignment horizontal="center" vertical="center"/>
    </xf>
    <xf numFmtId="0" fontId="40" fillId="8" borderId="25" xfId="0" applyFont="1" applyFill="1" applyBorder="1" applyAlignment="1">
      <alignment horizontal="left" wrapText="1"/>
    </xf>
    <xf numFmtId="0" fontId="33" fillId="10" borderId="26" xfId="0" applyFont="1" applyFill="1" applyBorder="1" applyAlignment="1">
      <alignment horizontal="center" vertical="center" wrapText="1"/>
    </xf>
    <xf numFmtId="0" fontId="0" fillId="10" borderId="29" xfId="0" applyFill="1" applyBorder="1" applyAlignment="1">
      <alignment vertical="center"/>
    </xf>
    <xf numFmtId="0" fontId="40" fillId="8" borderId="22" xfId="0" applyFont="1" applyFill="1" applyBorder="1" applyAlignment="1">
      <alignment horizontal="left" wrapText="1"/>
    </xf>
    <xf numFmtId="0" fontId="0" fillId="8" borderId="22" xfId="0" applyFill="1" applyBorder="1"/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Hyatt Stock Price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26110220989863"/>
          <c:y val="0.12671273445212242"/>
          <c:w val="0.85595488162263134"/>
          <c:h val="0.76217645871189177"/>
        </c:manualLayout>
      </c:layout>
      <c:lineChart>
        <c:grouping val="standard"/>
        <c:varyColors val="0"/>
        <c:ser>
          <c:idx val="0"/>
          <c:order val="0"/>
          <c:tx>
            <c:strRef>
              <c:f>'Technical Analysis'!$Q$21</c:f>
              <c:strCache>
                <c:ptCount val="1"/>
                <c:pt idx="0">
                  <c:v> Hyatt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'Technical Analysis'!$P$22:$P$73</c:f>
              <c:numCache>
                <c:formatCode>m/d/yyyy</c:formatCode>
                <c:ptCount val="52"/>
                <c:pt idx="0">
                  <c:v>43862</c:v>
                </c:pt>
                <c:pt idx="1">
                  <c:v>43891</c:v>
                </c:pt>
                <c:pt idx="2">
                  <c:v>43922</c:v>
                </c:pt>
                <c:pt idx="3">
                  <c:v>43952</c:v>
                </c:pt>
                <c:pt idx="4">
                  <c:v>43983</c:v>
                </c:pt>
                <c:pt idx="5">
                  <c:v>44013</c:v>
                </c:pt>
                <c:pt idx="6">
                  <c:v>44044</c:v>
                </c:pt>
                <c:pt idx="7">
                  <c:v>44075</c:v>
                </c:pt>
                <c:pt idx="8">
                  <c:v>44105</c:v>
                </c:pt>
                <c:pt idx="9">
                  <c:v>44136</c:v>
                </c:pt>
                <c:pt idx="10">
                  <c:v>44166</c:v>
                </c:pt>
                <c:pt idx="11">
                  <c:v>44197</c:v>
                </c:pt>
                <c:pt idx="12">
                  <c:v>44228</c:v>
                </c:pt>
                <c:pt idx="13">
                  <c:v>44256</c:v>
                </c:pt>
                <c:pt idx="14">
                  <c:v>44287</c:v>
                </c:pt>
                <c:pt idx="15">
                  <c:v>44317</c:v>
                </c:pt>
                <c:pt idx="16">
                  <c:v>44348</c:v>
                </c:pt>
                <c:pt idx="17">
                  <c:v>44378</c:v>
                </c:pt>
                <c:pt idx="18">
                  <c:v>44409</c:v>
                </c:pt>
                <c:pt idx="19">
                  <c:v>44440</c:v>
                </c:pt>
                <c:pt idx="20">
                  <c:v>44470</c:v>
                </c:pt>
                <c:pt idx="21">
                  <c:v>44501</c:v>
                </c:pt>
                <c:pt idx="22">
                  <c:v>44531</c:v>
                </c:pt>
                <c:pt idx="23">
                  <c:v>44562</c:v>
                </c:pt>
                <c:pt idx="24">
                  <c:v>44593</c:v>
                </c:pt>
                <c:pt idx="25">
                  <c:v>44621</c:v>
                </c:pt>
                <c:pt idx="26">
                  <c:v>44652</c:v>
                </c:pt>
                <c:pt idx="27">
                  <c:v>44682</c:v>
                </c:pt>
                <c:pt idx="28">
                  <c:v>44713</c:v>
                </c:pt>
                <c:pt idx="29">
                  <c:v>44743</c:v>
                </c:pt>
                <c:pt idx="30">
                  <c:v>44774</c:v>
                </c:pt>
                <c:pt idx="31">
                  <c:v>44805</c:v>
                </c:pt>
                <c:pt idx="32">
                  <c:v>44835</c:v>
                </c:pt>
                <c:pt idx="33">
                  <c:v>44866</c:v>
                </c:pt>
                <c:pt idx="34">
                  <c:v>44896</c:v>
                </c:pt>
                <c:pt idx="35">
                  <c:v>44927</c:v>
                </c:pt>
                <c:pt idx="36">
                  <c:v>44958</c:v>
                </c:pt>
                <c:pt idx="37">
                  <c:v>44986</c:v>
                </c:pt>
                <c:pt idx="38">
                  <c:v>45017</c:v>
                </c:pt>
                <c:pt idx="39">
                  <c:v>45047</c:v>
                </c:pt>
                <c:pt idx="40">
                  <c:v>45078</c:v>
                </c:pt>
                <c:pt idx="41">
                  <c:v>45108</c:v>
                </c:pt>
                <c:pt idx="42">
                  <c:v>45139</c:v>
                </c:pt>
                <c:pt idx="43">
                  <c:v>45170</c:v>
                </c:pt>
                <c:pt idx="44">
                  <c:v>45200</c:v>
                </c:pt>
                <c:pt idx="45">
                  <c:v>45231</c:v>
                </c:pt>
                <c:pt idx="46">
                  <c:v>45261</c:v>
                </c:pt>
                <c:pt idx="47">
                  <c:v>45292</c:v>
                </c:pt>
                <c:pt idx="48">
                  <c:v>45323</c:v>
                </c:pt>
                <c:pt idx="49">
                  <c:v>45352</c:v>
                </c:pt>
                <c:pt idx="50">
                  <c:v>45383</c:v>
                </c:pt>
                <c:pt idx="51">
                  <c:v>45413</c:v>
                </c:pt>
              </c:numCache>
            </c:numRef>
          </c:cat>
          <c:val>
            <c:numRef>
              <c:f>'Technical Analysis'!$Q$22:$Q$73</c:f>
              <c:numCache>
                <c:formatCode>_(* #,##0.00_);_(* \(#,##0.00\);_(* "-"??_);_(@_)</c:formatCode>
                <c:ptCount val="52"/>
                <c:pt idx="0">
                  <c:v>76.599997999999999</c:v>
                </c:pt>
                <c:pt idx="1">
                  <c:v>47.900002000000001</c:v>
                </c:pt>
                <c:pt idx="2">
                  <c:v>56.259998000000003</c:v>
                </c:pt>
                <c:pt idx="3">
                  <c:v>55.09</c:v>
                </c:pt>
                <c:pt idx="4">
                  <c:v>50.290000999999997</c:v>
                </c:pt>
                <c:pt idx="5">
                  <c:v>48</c:v>
                </c:pt>
                <c:pt idx="6">
                  <c:v>56.490001999999997</c:v>
                </c:pt>
                <c:pt idx="7">
                  <c:v>53.369999</c:v>
                </c:pt>
                <c:pt idx="8">
                  <c:v>55.139999000000003</c:v>
                </c:pt>
                <c:pt idx="9">
                  <c:v>71.970000999999996</c:v>
                </c:pt>
                <c:pt idx="10">
                  <c:v>74.25</c:v>
                </c:pt>
                <c:pt idx="11">
                  <c:v>65.660004000000001</c:v>
                </c:pt>
                <c:pt idx="12">
                  <c:v>87.949996999999996</c:v>
                </c:pt>
                <c:pt idx="13">
                  <c:v>82.699996999999996</c:v>
                </c:pt>
                <c:pt idx="14">
                  <c:v>82.330001999999993</c:v>
                </c:pt>
                <c:pt idx="15">
                  <c:v>78.080001999999993</c:v>
                </c:pt>
                <c:pt idx="16">
                  <c:v>77.639999000000003</c:v>
                </c:pt>
                <c:pt idx="17">
                  <c:v>79.870002999999997</c:v>
                </c:pt>
                <c:pt idx="18">
                  <c:v>73.589995999999999</c:v>
                </c:pt>
                <c:pt idx="19">
                  <c:v>77.099997999999999</c:v>
                </c:pt>
                <c:pt idx="20">
                  <c:v>85.199996999999996</c:v>
                </c:pt>
                <c:pt idx="21">
                  <c:v>78.769997000000004</c:v>
                </c:pt>
                <c:pt idx="22">
                  <c:v>95.900002000000001</c:v>
                </c:pt>
                <c:pt idx="23">
                  <c:v>91.610000999999997</c:v>
                </c:pt>
                <c:pt idx="24">
                  <c:v>97.110000999999997</c:v>
                </c:pt>
                <c:pt idx="25">
                  <c:v>95.449996999999996</c:v>
                </c:pt>
                <c:pt idx="26">
                  <c:v>94.959998999999996</c:v>
                </c:pt>
                <c:pt idx="27">
                  <c:v>88.389999000000003</c:v>
                </c:pt>
                <c:pt idx="28">
                  <c:v>73.910004000000001</c:v>
                </c:pt>
                <c:pt idx="29">
                  <c:v>82.75</c:v>
                </c:pt>
                <c:pt idx="30">
                  <c:v>89.620002999999997</c:v>
                </c:pt>
                <c:pt idx="31">
                  <c:v>80.959998999999996</c:v>
                </c:pt>
                <c:pt idx="32">
                  <c:v>94.209998999999996</c:v>
                </c:pt>
                <c:pt idx="33">
                  <c:v>100.32</c:v>
                </c:pt>
                <c:pt idx="34">
                  <c:v>90.449996999999996</c:v>
                </c:pt>
                <c:pt idx="35">
                  <c:v>109.120003</c:v>
                </c:pt>
                <c:pt idx="36">
                  <c:v>116.239998</c:v>
                </c:pt>
                <c:pt idx="37">
                  <c:v>111.790001</c:v>
                </c:pt>
                <c:pt idx="38">
                  <c:v>114.300003</c:v>
                </c:pt>
                <c:pt idx="39">
                  <c:v>107.480003</c:v>
                </c:pt>
                <c:pt idx="40">
                  <c:v>114.58000199999999</c:v>
                </c:pt>
                <c:pt idx="41">
                  <c:v>126.349998</c:v>
                </c:pt>
                <c:pt idx="42">
                  <c:v>112.410004</c:v>
                </c:pt>
                <c:pt idx="43">
                  <c:v>106.08000199999999</c:v>
                </c:pt>
                <c:pt idx="44">
                  <c:v>102.44000200000001</c:v>
                </c:pt>
                <c:pt idx="45">
                  <c:v>114.760002</c:v>
                </c:pt>
                <c:pt idx="46">
                  <c:v>130.41000399999999</c:v>
                </c:pt>
                <c:pt idx="47">
                  <c:v>128.36999499999999</c:v>
                </c:pt>
                <c:pt idx="48">
                  <c:v>153.58999600000001</c:v>
                </c:pt>
                <c:pt idx="49">
                  <c:v>159.61999499999999</c:v>
                </c:pt>
                <c:pt idx="50">
                  <c:v>148.78999300000001</c:v>
                </c:pt>
                <c:pt idx="51">
                  <c:v>147.470001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D0-4D86-82F0-FAE26B44D0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2392408"/>
        <c:axId val="492394704"/>
      </c:lineChart>
      <c:dateAx>
        <c:axId val="49239240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2394704"/>
        <c:crosses val="autoZero"/>
        <c:auto val="1"/>
        <c:lblOffset val="100"/>
        <c:baseTimeUnit val="days"/>
      </c:dateAx>
      <c:valAx>
        <c:axId val="492394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2392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38100" cap="flat" cmpd="sng" algn="ctr">
      <a:solidFill>
        <a:schemeClr val="accent1">
          <a:lumMod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Hyatt</a:t>
            </a:r>
            <a:r>
              <a:rPr lang="en-US" baseline="0"/>
              <a:t> Vs S&amp;P500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'Technical Analysis'!$AA$21</c:f>
              <c:strCache>
                <c:ptCount val="1"/>
                <c:pt idx="0">
                  <c:v>Hyatt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'Technical Analysis'!$Z$22:$Z$73</c:f>
              <c:numCache>
                <c:formatCode>m/d/yyyy</c:formatCode>
                <c:ptCount val="52"/>
                <c:pt idx="1">
                  <c:v>43891</c:v>
                </c:pt>
                <c:pt idx="2">
                  <c:v>43922</c:v>
                </c:pt>
                <c:pt idx="3">
                  <c:v>43952</c:v>
                </c:pt>
                <c:pt idx="4">
                  <c:v>43983</c:v>
                </c:pt>
                <c:pt idx="5">
                  <c:v>44013</c:v>
                </c:pt>
                <c:pt idx="6">
                  <c:v>44044</c:v>
                </c:pt>
                <c:pt idx="7">
                  <c:v>44075</c:v>
                </c:pt>
                <c:pt idx="8">
                  <c:v>44105</c:v>
                </c:pt>
                <c:pt idx="9">
                  <c:v>44136</c:v>
                </c:pt>
                <c:pt idx="10">
                  <c:v>44166</c:v>
                </c:pt>
                <c:pt idx="11">
                  <c:v>44197</c:v>
                </c:pt>
                <c:pt idx="12">
                  <c:v>44228</c:v>
                </c:pt>
                <c:pt idx="13">
                  <c:v>44256</c:v>
                </c:pt>
                <c:pt idx="14">
                  <c:v>44287</c:v>
                </c:pt>
                <c:pt idx="15">
                  <c:v>44317</c:v>
                </c:pt>
                <c:pt idx="16">
                  <c:v>44348</c:v>
                </c:pt>
                <c:pt idx="17">
                  <c:v>44378</c:v>
                </c:pt>
                <c:pt idx="18">
                  <c:v>44409</c:v>
                </c:pt>
                <c:pt idx="19">
                  <c:v>44440</c:v>
                </c:pt>
                <c:pt idx="20">
                  <c:v>44470</c:v>
                </c:pt>
                <c:pt idx="21">
                  <c:v>44501</c:v>
                </c:pt>
                <c:pt idx="22">
                  <c:v>44531</c:v>
                </c:pt>
                <c:pt idx="23">
                  <c:v>44562</c:v>
                </c:pt>
                <c:pt idx="24">
                  <c:v>44593</c:v>
                </c:pt>
                <c:pt idx="25">
                  <c:v>44621</c:v>
                </c:pt>
                <c:pt idx="26">
                  <c:v>44652</c:v>
                </c:pt>
                <c:pt idx="27">
                  <c:v>44682</c:v>
                </c:pt>
                <c:pt idx="28">
                  <c:v>44713</c:v>
                </c:pt>
                <c:pt idx="29">
                  <c:v>44743</c:v>
                </c:pt>
                <c:pt idx="30">
                  <c:v>44774</c:v>
                </c:pt>
                <c:pt idx="31">
                  <c:v>44805</c:v>
                </c:pt>
                <c:pt idx="32">
                  <c:v>44835</c:v>
                </c:pt>
                <c:pt idx="33">
                  <c:v>44866</c:v>
                </c:pt>
                <c:pt idx="34">
                  <c:v>44896</c:v>
                </c:pt>
                <c:pt idx="35">
                  <c:v>44927</c:v>
                </c:pt>
                <c:pt idx="36">
                  <c:v>44958</c:v>
                </c:pt>
                <c:pt idx="37">
                  <c:v>44986</c:v>
                </c:pt>
                <c:pt idx="38">
                  <c:v>45017</c:v>
                </c:pt>
                <c:pt idx="39">
                  <c:v>45047</c:v>
                </c:pt>
                <c:pt idx="40">
                  <c:v>45078</c:v>
                </c:pt>
                <c:pt idx="41">
                  <c:v>45108</c:v>
                </c:pt>
                <c:pt idx="42">
                  <c:v>45139</c:v>
                </c:pt>
                <c:pt idx="43">
                  <c:v>45170</c:v>
                </c:pt>
                <c:pt idx="44">
                  <c:v>45200</c:v>
                </c:pt>
                <c:pt idx="45">
                  <c:v>45231</c:v>
                </c:pt>
                <c:pt idx="46">
                  <c:v>45261</c:v>
                </c:pt>
                <c:pt idx="47">
                  <c:v>45292</c:v>
                </c:pt>
                <c:pt idx="48">
                  <c:v>45323</c:v>
                </c:pt>
                <c:pt idx="49">
                  <c:v>45352</c:v>
                </c:pt>
                <c:pt idx="50">
                  <c:v>45383</c:v>
                </c:pt>
                <c:pt idx="51">
                  <c:v>45413</c:v>
                </c:pt>
              </c:numCache>
            </c:numRef>
          </c:cat>
          <c:val>
            <c:numRef>
              <c:f>'Technical Analysis'!$AA$22:$AA$73</c:f>
              <c:numCache>
                <c:formatCode>0.0%</c:formatCode>
                <c:ptCount val="52"/>
                <c:pt idx="1">
                  <c:v>-0.37467358680609886</c:v>
                </c:pt>
                <c:pt idx="2">
                  <c:v>-0.20014340620193094</c:v>
                </c:pt>
                <c:pt idx="3">
                  <c:v>-0.22093967427147476</c:v>
                </c:pt>
                <c:pt idx="4">
                  <c:v>-0.30806980678191231</c:v>
                </c:pt>
                <c:pt idx="5">
                  <c:v>-0.35360571758851578</c:v>
                </c:pt>
                <c:pt idx="6">
                  <c:v>-0.1767306759218491</c:v>
                </c:pt>
                <c:pt idx="7">
                  <c:v>-0.23196174141198656</c:v>
                </c:pt>
                <c:pt idx="8">
                  <c:v>-0.19879704152132316</c:v>
                </c:pt>
                <c:pt idx="9">
                  <c:v>0.10642606883818173</c:v>
                </c:pt>
                <c:pt idx="10">
                  <c:v>0.13810592111441</c:v>
                </c:pt>
                <c:pt idx="11">
                  <c:v>2.2415739296228199E-2</c:v>
                </c:pt>
                <c:pt idx="12">
                  <c:v>0.36189170094862166</c:v>
                </c:pt>
                <c:pt idx="13">
                  <c:v>0.30219869152191303</c:v>
                </c:pt>
                <c:pt idx="14">
                  <c:v>0.29772474940073013</c:v>
                </c:pt>
                <c:pt idx="15">
                  <c:v>0.24610322751615643</c:v>
                </c:pt>
                <c:pt idx="16">
                  <c:v>0.24046794333673249</c:v>
                </c:pt>
                <c:pt idx="17">
                  <c:v>0.26919030331512439</c:v>
                </c:pt>
                <c:pt idx="18">
                  <c:v>0.1905624484995937</c:v>
                </c:pt>
                <c:pt idx="19">
                  <c:v>0.23825917619067816</c:v>
                </c:pt>
                <c:pt idx="20">
                  <c:v>0.34331753170451351</c:v>
                </c:pt>
                <c:pt idx="21">
                  <c:v>0.26784804547906216</c:v>
                </c:pt>
                <c:pt idx="22">
                  <c:v>0.48531669664582555</c:v>
                </c:pt>
                <c:pt idx="23">
                  <c:v>0.44058258913245962</c:v>
                </c:pt>
                <c:pt idx="24">
                  <c:v>0.50061970232930364</c:v>
                </c:pt>
                <c:pt idx="25">
                  <c:v>0.48352564422091171</c:v>
                </c:pt>
                <c:pt idx="26">
                  <c:v>0.47839208722352389</c:v>
                </c:pt>
                <c:pt idx="27">
                  <c:v>0.40920506037867321</c:v>
                </c:pt>
                <c:pt idx="28">
                  <c:v>0.24538567850493886</c:v>
                </c:pt>
                <c:pt idx="29">
                  <c:v>0.36499054282073562</c:v>
                </c:pt>
                <c:pt idx="30">
                  <c:v>0.44801172711076576</c:v>
                </c:pt>
                <c:pt idx="31">
                  <c:v>0.35138146924299929</c:v>
                </c:pt>
                <c:pt idx="32">
                  <c:v>0.51504253845818049</c:v>
                </c:pt>
                <c:pt idx="33">
                  <c:v>0.57989766068358239</c:v>
                </c:pt>
                <c:pt idx="34">
                  <c:v>0.4815124633151614</c:v>
                </c:pt>
                <c:pt idx="35">
                  <c:v>0.68792491902812281</c:v>
                </c:pt>
                <c:pt idx="36">
                  <c:v>0.75317413827530333</c:v>
                </c:pt>
                <c:pt idx="37">
                  <c:v>0.71489130038330684</c:v>
                </c:pt>
                <c:pt idx="38">
                  <c:v>0.73734413138381827</c:v>
                </c:pt>
                <c:pt idx="39">
                  <c:v>0.67767659139259007</c:v>
                </c:pt>
                <c:pt idx="40">
                  <c:v>0.74373538188220334</c:v>
                </c:pt>
                <c:pt idx="41">
                  <c:v>0.84645833348417676</c:v>
                </c:pt>
                <c:pt idx="42">
                  <c:v>0.73612992651419806</c:v>
                </c:pt>
                <c:pt idx="43">
                  <c:v>0.6798181946864863</c:v>
                </c:pt>
                <c:pt idx="44">
                  <c:v>0.64550446984323084</c:v>
                </c:pt>
                <c:pt idx="45">
                  <c:v>0.7657699887759617</c:v>
                </c:pt>
                <c:pt idx="46">
                  <c:v>0.90214156186115546</c:v>
                </c:pt>
                <c:pt idx="47">
                  <c:v>0.88649852116314276</c:v>
                </c:pt>
                <c:pt idx="48">
                  <c:v>1.0829618847396549</c:v>
                </c:pt>
                <c:pt idx="49">
                  <c:v>1.1222222477648611</c:v>
                </c:pt>
                <c:pt idx="50">
                  <c:v>1.0543735925885471</c:v>
                </c:pt>
                <c:pt idx="51">
                  <c:v>1.0455020819890404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7D-4EAE-AD26-4256C0394B1B}"/>
            </c:ext>
          </c:extLst>
        </c:ser>
        <c:ser>
          <c:idx val="1"/>
          <c:order val="1"/>
          <c:tx>
            <c:strRef>
              <c:f>'Technical Analysis'!$AB$21</c:f>
              <c:strCache>
                <c:ptCount val="1"/>
                <c:pt idx="0">
                  <c:v>S&amp;P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'Technical Analysis'!$Z$22:$Z$73</c:f>
              <c:numCache>
                <c:formatCode>m/d/yyyy</c:formatCode>
                <c:ptCount val="52"/>
                <c:pt idx="1">
                  <c:v>43891</c:v>
                </c:pt>
                <c:pt idx="2">
                  <c:v>43922</c:v>
                </c:pt>
                <c:pt idx="3">
                  <c:v>43952</c:v>
                </c:pt>
                <c:pt idx="4">
                  <c:v>43983</c:v>
                </c:pt>
                <c:pt idx="5">
                  <c:v>44013</c:v>
                </c:pt>
                <c:pt idx="6">
                  <c:v>44044</c:v>
                </c:pt>
                <c:pt idx="7">
                  <c:v>44075</c:v>
                </c:pt>
                <c:pt idx="8">
                  <c:v>44105</c:v>
                </c:pt>
                <c:pt idx="9">
                  <c:v>44136</c:v>
                </c:pt>
                <c:pt idx="10">
                  <c:v>44166</c:v>
                </c:pt>
                <c:pt idx="11">
                  <c:v>44197</c:v>
                </c:pt>
                <c:pt idx="12">
                  <c:v>44228</c:v>
                </c:pt>
                <c:pt idx="13">
                  <c:v>44256</c:v>
                </c:pt>
                <c:pt idx="14">
                  <c:v>44287</c:v>
                </c:pt>
                <c:pt idx="15">
                  <c:v>44317</c:v>
                </c:pt>
                <c:pt idx="16">
                  <c:v>44348</c:v>
                </c:pt>
                <c:pt idx="17">
                  <c:v>44378</c:v>
                </c:pt>
                <c:pt idx="18">
                  <c:v>44409</c:v>
                </c:pt>
                <c:pt idx="19">
                  <c:v>44440</c:v>
                </c:pt>
                <c:pt idx="20">
                  <c:v>44470</c:v>
                </c:pt>
                <c:pt idx="21">
                  <c:v>44501</c:v>
                </c:pt>
                <c:pt idx="22">
                  <c:v>44531</c:v>
                </c:pt>
                <c:pt idx="23">
                  <c:v>44562</c:v>
                </c:pt>
                <c:pt idx="24">
                  <c:v>44593</c:v>
                </c:pt>
                <c:pt idx="25">
                  <c:v>44621</c:v>
                </c:pt>
                <c:pt idx="26">
                  <c:v>44652</c:v>
                </c:pt>
                <c:pt idx="27">
                  <c:v>44682</c:v>
                </c:pt>
                <c:pt idx="28">
                  <c:v>44713</c:v>
                </c:pt>
                <c:pt idx="29">
                  <c:v>44743</c:v>
                </c:pt>
                <c:pt idx="30">
                  <c:v>44774</c:v>
                </c:pt>
                <c:pt idx="31">
                  <c:v>44805</c:v>
                </c:pt>
                <c:pt idx="32">
                  <c:v>44835</c:v>
                </c:pt>
                <c:pt idx="33">
                  <c:v>44866</c:v>
                </c:pt>
                <c:pt idx="34">
                  <c:v>44896</c:v>
                </c:pt>
                <c:pt idx="35">
                  <c:v>44927</c:v>
                </c:pt>
                <c:pt idx="36">
                  <c:v>44958</c:v>
                </c:pt>
                <c:pt idx="37">
                  <c:v>44986</c:v>
                </c:pt>
                <c:pt idx="38">
                  <c:v>45017</c:v>
                </c:pt>
                <c:pt idx="39">
                  <c:v>45047</c:v>
                </c:pt>
                <c:pt idx="40">
                  <c:v>45078</c:v>
                </c:pt>
                <c:pt idx="41">
                  <c:v>45108</c:v>
                </c:pt>
                <c:pt idx="42">
                  <c:v>45139</c:v>
                </c:pt>
                <c:pt idx="43">
                  <c:v>45170</c:v>
                </c:pt>
                <c:pt idx="44">
                  <c:v>45200</c:v>
                </c:pt>
                <c:pt idx="45">
                  <c:v>45231</c:v>
                </c:pt>
                <c:pt idx="46">
                  <c:v>45261</c:v>
                </c:pt>
                <c:pt idx="47">
                  <c:v>45292</c:v>
                </c:pt>
                <c:pt idx="48">
                  <c:v>45323</c:v>
                </c:pt>
                <c:pt idx="49">
                  <c:v>45352</c:v>
                </c:pt>
                <c:pt idx="50">
                  <c:v>45383</c:v>
                </c:pt>
                <c:pt idx="51">
                  <c:v>45413</c:v>
                </c:pt>
              </c:numCache>
            </c:numRef>
          </c:cat>
          <c:val>
            <c:numRef>
              <c:f>'Technical Analysis'!$AB$22:$AB$73</c:f>
              <c:numCache>
                <c:formatCode>0.0%</c:formatCode>
                <c:ptCount val="52"/>
                <c:pt idx="1">
                  <c:v>-0.12998720279527443</c:v>
                </c:pt>
                <c:pt idx="2">
                  <c:v>-3.0036489640425934E-3</c:v>
                </c:pt>
                <c:pt idx="3">
                  <c:v>4.4641612244653794E-2</c:v>
                </c:pt>
                <c:pt idx="4">
                  <c:v>5.7917039121204938E-2</c:v>
                </c:pt>
                <c:pt idx="5">
                  <c:v>0.11680925887533422</c:v>
                </c:pt>
                <c:pt idx="6">
                  <c:v>0.18660593218099208</c:v>
                </c:pt>
                <c:pt idx="7">
                  <c:v>0.14532459731350278</c:v>
                </c:pt>
                <c:pt idx="8">
                  <c:v>0.1203910202404449</c:v>
                </c:pt>
                <c:pt idx="9">
                  <c:v>0.22916785622074898</c:v>
                </c:pt>
                <c:pt idx="10">
                  <c:v>0.26181439841069831</c:v>
                </c:pt>
                <c:pt idx="11">
                  <c:v>0.2516239684624586</c:v>
                </c:pt>
                <c:pt idx="12">
                  <c:v>0.27942945878959025</c:v>
                </c:pt>
                <c:pt idx="13">
                  <c:v>0.32141600477181287</c:v>
                </c:pt>
                <c:pt idx="14">
                  <c:v>0.37432646244051293</c:v>
                </c:pt>
                <c:pt idx="15">
                  <c:v>0.38089253260296885</c:v>
                </c:pt>
                <c:pt idx="16">
                  <c:v>0.39998592568019831</c:v>
                </c:pt>
                <c:pt idx="17">
                  <c:v>0.42439841936992639</c:v>
                </c:pt>
                <c:pt idx="18">
                  <c:v>0.45415825997196868</c:v>
                </c:pt>
                <c:pt idx="19">
                  <c:v>0.40450819553025519</c:v>
                </c:pt>
                <c:pt idx="20">
                  <c:v>0.47467174110406973</c:v>
                </c:pt>
                <c:pt idx="21">
                  <c:v>0.46663689733705827</c:v>
                </c:pt>
                <c:pt idx="22">
                  <c:v>0.50922183254903874</c:v>
                </c:pt>
                <c:pt idx="23">
                  <c:v>0.45648057544386922</c:v>
                </c:pt>
                <c:pt idx="24">
                  <c:v>0.4269635634149479</c:v>
                </c:pt>
                <c:pt idx="25">
                  <c:v>0.46134051833814438</c:v>
                </c:pt>
                <c:pt idx="26">
                  <c:v>0.37357146846775147</c:v>
                </c:pt>
                <c:pt idx="27">
                  <c:v>0.3758287330308584</c:v>
                </c:pt>
                <c:pt idx="28">
                  <c:v>0.28942185146534316</c:v>
                </c:pt>
                <c:pt idx="29">
                  <c:v>0.3815093001068276</c:v>
                </c:pt>
                <c:pt idx="30">
                  <c:v>0.34070734518554435</c:v>
                </c:pt>
                <c:pt idx="31">
                  <c:v>0.24454863099679236</c:v>
                </c:pt>
                <c:pt idx="32">
                  <c:v>0.32582417433328592</c:v>
                </c:pt>
                <c:pt idx="33">
                  <c:v>0.38141569837544886</c:v>
                </c:pt>
                <c:pt idx="34">
                  <c:v>0.31947986528687244</c:v>
                </c:pt>
                <c:pt idx="35">
                  <c:v>0.38236723929051131</c:v>
                </c:pt>
                <c:pt idx="36">
                  <c:v>0.35722454906361112</c:v>
                </c:pt>
                <c:pt idx="37">
                  <c:v>0.39035937132336918</c:v>
                </c:pt>
                <c:pt idx="38">
                  <c:v>0.40633430417560301</c:v>
                </c:pt>
                <c:pt idx="39">
                  <c:v>0.41095049688185969</c:v>
                </c:pt>
                <c:pt idx="40">
                  <c:v>0.47180963924118757</c:v>
                </c:pt>
                <c:pt idx="41">
                  <c:v>0.5045429230183337</c:v>
                </c:pt>
                <c:pt idx="42">
                  <c:v>0.48829092351259529</c:v>
                </c:pt>
                <c:pt idx="43">
                  <c:v>0.43750821074407364</c:v>
                </c:pt>
                <c:pt idx="44">
                  <c:v>0.4157995956949363</c:v>
                </c:pt>
                <c:pt idx="45">
                  <c:v>0.5071434046472898</c:v>
                </c:pt>
                <c:pt idx="46">
                  <c:v>0.54857636750574246</c:v>
                </c:pt>
                <c:pt idx="47">
                  <c:v>0.56450283030234449</c:v>
                </c:pt>
                <c:pt idx="48">
                  <c:v>0.61668967121326612</c:v>
                </c:pt>
                <c:pt idx="49">
                  <c:v>0.64619293917016751</c:v>
                </c:pt>
                <c:pt idx="50">
                  <c:v>0.60587329606740392</c:v>
                </c:pt>
                <c:pt idx="51">
                  <c:v>0.65645296745595261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7D-4EAE-AD26-4256C0394B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1460728"/>
        <c:axId val="891461384"/>
      </c:lineChart>
      <c:dateAx>
        <c:axId val="8914607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91461384"/>
        <c:crosses val="autoZero"/>
        <c:auto val="1"/>
        <c:lblOffset val="100"/>
        <c:baseTimeUnit val="days"/>
      </c:dateAx>
      <c:valAx>
        <c:axId val="891461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1460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accent1">
          <a:lumMod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461010</xdr:colOff>
      <xdr:row>110</xdr:row>
      <xdr:rowOff>83820</xdr:rowOff>
    </xdr:from>
    <xdr:to>
      <xdr:col>9</xdr:col>
      <xdr:colOff>461010</xdr:colOff>
      <xdr:row>113</xdr:row>
      <xdr:rowOff>110490</xdr:rowOff>
    </xdr:to>
    <xdr:sp macro="" textlink="">
      <xdr:nvSpPr>
        <xdr:cNvPr id="13" name="Line 21">
          <a:extLst>
            <a:ext uri="{FF2B5EF4-FFF2-40B4-BE49-F238E27FC236}">
              <a16:creationId xmlns:a16="http://schemas.microsoft.com/office/drawing/2014/main" id="{7B74A0F0-9FF4-42E9-A731-DED3C036BAE5}"/>
            </a:ext>
          </a:extLst>
        </xdr:cNvPr>
        <xdr:cNvSpPr>
          <a:spLocks noChangeShapeType="1"/>
        </xdr:cNvSpPr>
      </xdr:nvSpPr>
      <xdr:spPr bwMode="auto">
        <a:xfrm flipV="1">
          <a:off x="10333143" y="19430153"/>
          <a:ext cx="0" cy="48810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11430</xdr:colOff>
      <xdr:row>113</xdr:row>
      <xdr:rowOff>91440</xdr:rowOff>
    </xdr:from>
    <xdr:to>
      <xdr:col>9</xdr:col>
      <xdr:colOff>472440</xdr:colOff>
      <xdr:row>113</xdr:row>
      <xdr:rowOff>91440</xdr:rowOff>
    </xdr:to>
    <xdr:sp macro="" textlink="">
      <xdr:nvSpPr>
        <xdr:cNvPr id="14" name="Line 22">
          <a:extLst>
            <a:ext uri="{FF2B5EF4-FFF2-40B4-BE49-F238E27FC236}">
              <a16:creationId xmlns:a16="http://schemas.microsoft.com/office/drawing/2014/main" id="{40D317B4-EB82-489E-B533-433A3A5C8E67}"/>
            </a:ext>
          </a:extLst>
        </xdr:cNvPr>
        <xdr:cNvSpPr>
          <a:spLocks noChangeShapeType="1"/>
        </xdr:cNvSpPr>
      </xdr:nvSpPr>
      <xdr:spPr bwMode="auto">
        <a:xfrm>
          <a:off x="9883563" y="19899207"/>
          <a:ext cx="46101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118</xdr:row>
      <xdr:rowOff>85725</xdr:rowOff>
    </xdr:from>
    <xdr:to>
      <xdr:col>4</xdr:col>
      <xdr:colOff>428625</xdr:colOff>
      <xdr:row>119</xdr:row>
      <xdr:rowOff>123825</xdr:rowOff>
    </xdr:to>
    <xdr:cxnSp macro="">
      <xdr:nvCxnSpPr>
        <xdr:cNvPr id="3" name="Connector: Elbow 2">
          <a:extLst>
            <a:ext uri="{FF2B5EF4-FFF2-40B4-BE49-F238E27FC236}">
              <a16:creationId xmlns:a16="http://schemas.microsoft.com/office/drawing/2014/main" id="{E7B44DC7-CE04-751D-A674-6531FF6E41ED}"/>
            </a:ext>
          </a:extLst>
        </xdr:cNvPr>
        <xdr:cNvCxnSpPr/>
      </xdr:nvCxnSpPr>
      <xdr:spPr>
        <a:xfrm>
          <a:off x="5133975" y="20850225"/>
          <a:ext cx="428625" cy="238125"/>
        </a:xfrm>
        <a:prstGeom prst="bentConnector3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461010</xdr:colOff>
      <xdr:row>162</xdr:row>
      <xdr:rowOff>83820</xdr:rowOff>
    </xdr:from>
    <xdr:to>
      <xdr:col>9</xdr:col>
      <xdr:colOff>461010</xdr:colOff>
      <xdr:row>165</xdr:row>
      <xdr:rowOff>110490</xdr:rowOff>
    </xdr:to>
    <xdr:sp macro="" textlink="">
      <xdr:nvSpPr>
        <xdr:cNvPr id="2" name="Line 21">
          <a:extLst>
            <a:ext uri="{FF2B5EF4-FFF2-40B4-BE49-F238E27FC236}">
              <a16:creationId xmlns:a16="http://schemas.microsoft.com/office/drawing/2014/main" id="{340190EC-562F-4D44-BA5D-6FEC2D0B07AA}"/>
            </a:ext>
          </a:extLst>
        </xdr:cNvPr>
        <xdr:cNvSpPr>
          <a:spLocks noChangeShapeType="1"/>
        </xdr:cNvSpPr>
      </xdr:nvSpPr>
      <xdr:spPr bwMode="auto">
        <a:xfrm flipV="1">
          <a:off x="9839960" y="19972020"/>
          <a:ext cx="0" cy="49657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11430</xdr:colOff>
      <xdr:row>165</xdr:row>
      <xdr:rowOff>91440</xdr:rowOff>
    </xdr:from>
    <xdr:to>
      <xdr:col>9</xdr:col>
      <xdr:colOff>472440</xdr:colOff>
      <xdr:row>165</xdr:row>
      <xdr:rowOff>91440</xdr:rowOff>
    </xdr:to>
    <xdr:sp macro="" textlink="">
      <xdr:nvSpPr>
        <xdr:cNvPr id="4" name="Line 22">
          <a:extLst>
            <a:ext uri="{FF2B5EF4-FFF2-40B4-BE49-F238E27FC236}">
              <a16:creationId xmlns:a16="http://schemas.microsoft.com/office/drawing/2014/main" id="{271F46E8-851D-4097-AA3C-D5224A77B775}"/>
            </a:ext>
          </a:extLst>
        </xdr:cNvPr>
        <xdr:cNvSpPr>
          <a:spLocks noChangeShapeType="1"/>
        </xdr:cNvSpPr>
      </xdr:nvSpPr>
      <xdr:spPr bwMode="auto">
        <a:xfrm>
          <a:off x="9390380" y="20449540"/>
          <a:ext cx="46101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173</xdr:row>
      <xdr:rowOff>85725</xdr:rowOff>
    </xdr:from>
    <xdr:to>
      <xdr:col>4</xdr:col>
      <xdr:colOff>428625</xdr:colOff>
      <xdr:row>174</xdr:row>
      <xdr:rowOff>123825</xdr:rowOff>
    </xdr:to>
    <xdr:cxnSp macro="">
      <xdr:nvCxnSpPr>
        <xdr:cNvPr id="5" name="Connector: Elbow 4">
          <a:extLst>
            <a:ext uri="{FF2B5EF4-FFF2-40B4-BE49-F238E27FC236}">
              <a16:creationId xmlns:a16="http://schemas.microsoft.com/office/drawing/2014/main" id="{BFA20990-9D82-4C95-91A6-C792B948EEF6}"/>
            </a:ext>
          </a:extLst>
        </xdr:cNvPr>
        <xdr:cNvCxnSpPr/>
      </xdr:nvCxnSpPr>
      <xdr:spPr>
        <a:xfrm>
          <a:off x="4972050" y="21402675"/>
          <a:ext cx="428625" cy="234950"/>
        </a:xfrm>
        <a:prstGeom prst="bentConnector3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64559</xdr:colOff>
      <xdr:row>1</xdr:row>
      <xdr:rowOff>96309</xdr:rowOff>
    </xdr:from>
    <xdr:to>
      <xdr:col>8</xdr:col>
      <xdr:colOff>20108</xdr:colOff>
      <xdr:row>16</xdr:row>
      <xdr:rowOff>142875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4C1B748-556C-4553-B86F-459036469C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65617</xdr:colOff>
      <xdr:row>1</xdr:row>
      <xdr:rowOff>95250</xdr:rowOff>
    </xdr:from>
    <xdr:to>
      <xdr:col>15</xdr:col>
      <xdr:colOff>666750</xdr:colOff>
      <xdr:row>16</xdr:row>
      <xdr:rowOff>142875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CE1FC95E-5764-40C4-9D57-3A8355B7C7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577850</xdr:colOff>
      <xdr:row>5</xdr:row>
      <xdr:rowOff>15875</xdr:rowOff>
    </xdr:from>
    <xdr:to>
      <xdr:col>6</xdr:col>
      <xdr:colOff>615950</xdr:colOff>
      <xdr:row>10</xdr:row>
      <xdr:rowOff>171450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5092C5EF-578E-1255-984D-66FDB51BE684}"/>
            </a:ext>
          </a:extLst>
        </xdr:cNvPr>
        <xdr:cNvCxnSpPr/>
      </xdr:nvCxnSpPr>
      <xdr:spPr>
        <a:xfrm flipV="1">
          <a:off x="577850" y="1187450"/>
          <a:ext cx="3924300" cy="1250950"/>
        </a:xfrm>
        <a:prstGeom prst="line">
          <a:avLst/>
        </a:prstGeom>
        <a:ln w="15875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666750</xdr:colOff>
      <xdr:row>6</xdr:row>
      <xdr:rowOff>101600</xdr:rowOff>
    </xdr:from>
    <xdr:to>
      <xdr:col>7</xdr:col>
      <xdr:colOff>82550</xdr:colOff>
      <xdr:row>12</xdr:row>
      <xdr:rowOff>114300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C91F70D2-728C-40AB-A439-92BF9F38EA24}"/>
            </a:ext>
          </a:extLst>
        </xdr:cNvPr>
        <xdr:cNvCxnSpPr/>
      </xdr:nvCxnSpPr>
      <xdr:spPr>
        <a:xfrm flipV="1">
          <a:off x="666750" y="1492250"/>
          <a:ext cx="3921125" cy="1327150"/>
        </a:xfrm>
        <a:prstGeom prst="line">
          <a:avLst/>
        </a:prstGeom>
        <a:ln w="15875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finance.yahoo.com/news/hyatt-starts-cash-tender-offer-115324701.html" TargetMode="External"/><Relationship Id="rId2" Type="http://schemas.openxmlformats.org/officeDocument/2006/relationships/hyperlink" Target="https://finance.yahoo.com/quote/H/analysis" TargetMode="External"/><Relationship Id="rId1" Type="http://schemas.openxmlformats.org/officeDocument/2006/relationships/hyperlink" Target="https://finance.yahoo.com/quote/H?p=H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EDBC5-E6C8-40C2-8C13-3227A2C3EF8C}">
  <sheetPr>
    <tabColor rgb="FF0066FF"/>
  </sheetPr>
  <dimension ref="B1:U174"/>
  <sheetViews>
    <sheetView showGridLines="0" topLeftCell="A53" zoomScale="120" zoomScaleNormal="120" workbookViewId="0">
      <selection activeCell="G73" sqref="G73"/>
    </sheetView>
  </sheetViews>
  <sheetFormatPr defaultColWidth="24.453125" defaultRowHeight="12.5"/>
  <cols>
    <col min="1" max="1" width="3.81640625" style="1" customWidth="1"/>
    <col min="2" max="2" width="28.26953125" style="10" customWidth="1"/>
    <col min="3" max="4" width="11.453125" style="10" customWidth="1"/>
    <col min="5" max="5" width="9.453125" style="10" customWidth="1"/>
    <col min="6" max="6" width="11.1796875" style="3" customWidth="1"/>
    <col min="7" max="9" width="9.54296875" style="3" bestFit="1" customWidth="1"/>
    <col min="10" max="10" width="9" style="4" bestFit="1" customWidth="1"/>
    <col min="11" max="12" width="9" style="1" bestFit="1" customWidth="1"/>
    <col min="13" max="13" width="9" style="54" bestFit="1" customWidth="1"/>
    <col min="14" max="14" width="9.54296875" style="1" customWidth="1"/>
    <col min="15" max="20" width="10.26953125" style="1" customWidth="1"/>
    <col min="21" max="21" width="12.7265625" style="1" customWidth="1"/>
    <col min="22" max="263" width="24.453125" style="1"/>
    <col min="264" max="264" width="3.81640625" style="1" customWidth="1"/>
    <col min="265" max="265" width="32.26953125" style="1" customWidth="1"/>
    <col min="266" max="269" width="13.81640625" style="1" customWidth="1"/>
    <col min="270" max="273" width="7.54296875" style="1" customWidth="1"/>
    <col min="274" max="519" width="24.453125" style="1"/>
    <col min="520" max="520" width="3.81640625" style="1" customWidth="1"/>
    <col min="521" max="521" width="32.26953125" style="1" customWidth="1"/>
    <col min="522" max="525" width="13.81640625" style="1" customWidth="1"/>
    <col min="526" max="529" width="7.54296875" style="1" customWidth="1"/>
    <col min="530" max="775" width="24.453125" style="1"/>
    <col min="776" max="776" width="3.81640625" style="1" customWidth="1"/>
    <col min="777" max="777" width="32.26953125" style="1" customWidth="1"/>
    <col min="778" max="781" width="13.81640625" style="1" customWidth="1"/>
    <col min="782" max="785" width="7.54296875" style="1" customWidth="1"/>
    <col min="786" max="1031" width="24.453125" style="1"/>
    <col min="1032" max="1032" width="3.81640625" style="1" customWidth="1"/>
    <col min="1033" max="1033" width="32.26953125" style="1" customWidth="1"/>
    <col min="1034" max="1037" width="13.81640625" style="1" customWidth="1"/>
    <col min="1038" max="1041" width="7.54296875" style="1" customWidth="1"/>
    <col min="1042" max="1287" width="24.453125" style="1"/>
    <col min="1288" max="1288" width="3.81640625" style="1" customWidth="1"/>
    <col min="1289" max="1289" width="32.26953125" style="1" customWidth="1"/>
    <col min="1290" max="1293" width="13.81640625" style="1" customWidth="1"/>
    <col min="1294" max="1297" width="7.54296875" style="1" customWidth="1"/>
    <col min="1298" max="1543" width="24.453125" style="1"/>
    <col min="1544" max="1544" width="3.81640625" style="1" customWidth="1"/>
    <col min="1545" max="1545" width="32.26953125" style="1" customWidth="1"/>
    <col min="1546" max="1549" width="13.81640625" style="1" customWidth="1"/>
    <col min="1550" max="1553" width="7.54296875" style="1" customWidth="1"/>
    <col min="1554" max="1799" width="24.453125" style="1"/>
    <col min="1800" max="1800" width="3.81640625" style="1" customWidth="1"/>
    <col min="1801" max="1801" width="32.26953125" style="1" customWidth="1"/>
    <col min="1802" max="1805" width="13.81640625" style="1" customWidth="1"/>
    <col min="1806" max="1809" width="7.54296875" style="1" customWidth="1"/>
    <col min="1810" max="2055" width="24.453125" style="1"/>
    <col min="2056" max="2056" width="3.81640625" style="1" customWidth="1"/>
    <col min="2057" max="2057" width="32.26953125" style="1" customWidth="1"/>
    <col min="2058" max="2061" width="13.81640625" style="1" customWidth="1"/>
    <col min="2062" max="2065" width="7.54296875" style="1" customWidth="1"/>
    <col min="2066" max="2311" width="24.453125" style="1"/>
    <col min="2312" max="2312" width="3.81640625" style="1" customWidth="1"/>
    <col min="2313" max="2313" width="32.26953125" style="1" customWidth="1"/>
    <col min="2314" max="2317" width="13.81640625" style="1" customWidth="1"/>
    <col min="2318" max="2321" width="7.54296875" style="1" customWidth="1"/>
    <col min="2322" max="2567" width="24.453125" style="1"/>
    <col min="2568" max="2568" width="3.81640625" style="1" customWidth="1"/>
    <col min="2569" max="2569" width="32.26953125" style="1" customWidth="1"/>
    <col min="2570" max="2573" width="13.81640625" style="1" customWidth="1"/>
    <col min="2574" max="2577" width="7.54296875" style="1" customWidth="1"/>
    <col min="2578" max="2823" width="24.453125" style="1"/>
    <col min="2824" max="2824" width="3.81640625" style="1" customWidth="1"/>
    <col min="2825" max="2825" width="32.26953125" style="1" customWidth="1"/>
    <col min="2826" max="2829" width="13.81640625" style="1" customWidth="1"/>
    <col min="2830" max="2833" width="7.54296875" style="1" customWidth="1"/>
    <col min="2834" max="3079" width="24.453125" style="1"/>
    <col min="3080" max="3080" width="3.81640625" style="1" customWidth="1"/>
    <col min="3081" max="3081" width="32.26953125" style="1" customWidth="1"/>
    <col min="3082" max="3085" width="13.81640625" style="1" customWidth="1"/>
    <col min="3086" max="3089" width="7.54296875" style="1" customWidth="1"/>
    <col min="3090" max="3335" width="24.453125" style="1"/>
    <col min="3336" max="3336" width="3.81640625" style="1" customWidth="1"/>
    <col min="3337" max="3337" width="32.26953125" style="1" customWidth="1"/>
    <col min="3338" max="3341" width="13.81640625" style="1" customWidth="1"/>
    <col min="3342" max="3345" width="7.54296875" style="1" customWidth="1"/>
    <col min="3346" max="3591" width="24.453125" style="1"/>
    <col min="3592" max="3592" width="3.81640625" style="1" customWidth="1"/>
    <col min="3593" max="3593" width="32.26953125" style="1" customWidth="1"/>
    <col min="3594" max="3597" width="13.81640625" style="1" customWidth="1"/>
    <col min="3598" max="3601" width="7.54296875" style="1" customWidth="1"/>
    <col min="3602" max="3847" width="24.453125" style="1"/>
    <col min="3848" max="3848" width="3.81640625" style="1" customWidth="1"/>
    <col min="3849" max="3849" width="32.26953125" style="1" customWidth="1"/>
    <col min="3850" max="3853" width="13.81640625" style="1" customWidth="1"/>
    <col min="3854" max="3857" width="7.54296875" style="1" customWidth="1"/>
    <col min="3858" max="4103" width="24.453125" style="1"/>
    <col min="4104" max="4104" width="3.81640625" style="1" customWidth="1"/>
    <col min="4105" max="4105" width="32.26953125" style="1" customWidth="1"/>
    <col min="4106" max="4109" width="13.81640625" style="1" customWidth="1"/>
    <col min="4110" max="4113" width="7.54296875" style="1" customWidth="1"/>
    <col min="4114" max="4359" width="24.453125" style="1"/>
    <col min="4360" max="4360" width="3.81640625" style="1" customWidth="1"/>
    <col min="4361" max="4361" width="32.26953125" style="1" customWidth="1"/>
    <col min="4362" max="4365" width="13.81640625" style="1" customWidth="1"/>
    <col min="4366" max="4369" width="7.54296875" style="1" customWidth="1"/>
    <col min="4370" max="4615" width="24.453125" style="1"/>
    <col min="4616" max="4616" width="3.81640625" style="1" customWidth="1"/>
    <col min="4617" max="4617" width="32.26953125" style="1" customWidth="1"/>
    <col min="4618" max="4621" width="13.81640625" style="1" customWidth="1"/>
    <col min="4622" max="4625" width="7.54296875" style="1" customWidth="1"/>
    <col min="4626" max="4871" width="24.453125" style="1"/>
    <col min="4872" max="4872" width="3.81640625" style="1" customWidth="1"/>
    <col min="4873" max="4873" width="32.26953125" style="1" customWidth="1"/>
    <col min="4874" max="4877" width="13.81640625" style="1" customWidth="1"/>
    <col min="4878" max="4881" width="7.54296875" style="1" customWidth="1"/>
    <col min="4882" max="5127" width="24.453125" style="1"/>
    <col min="5128" max="5128" width="3.81640625" style="1" customWidth="1"/>
    <col min="5129" max="5129" width="32.26953125" style="1" customWidth="1"/>
    <col min="5130" max="5133" width="13.81640625" style="1" customWidth="1"/>
    <col min="5134" max="5137" width="7.54296875" style="1" customWidth="1"/>
    <col min="5138" max="5383" width="24.453125" style="1"/>
    <col min="5384" max="5384" width="3.81640625" style="1" customWidth="1"/>
    <col min="5385" max="5385" width="32.26953125" style="1" customWidth="1"/>
    <col min="5386" max="5389" width="13.81640625" style="1" customWidth="1"/>
    <col min="5390" max="5393" width="7.54296875" style="1" customWidth="1"/>
    <col min="5394" max="5639" width="24.453125" style="1"/>
    <col min="5640" max="5640" width="3.81640625" style="1" customWidth="1"/>
    <col min="5641" max="5641" width="32.26953125" style="1" customWidth="1"/>
    <col min="5642" max="5645" width="13.81640625" style="1" customWidth="1"/>
    <col min="5646" max="5649" width="7.54296875" style="1" customWidth="1"/>
    <col min="5650" max="5895" width="24.453125" style="1"/>
    <col min="5896" max="5896" width="3.81640625" style="1" customWidth="1"/>
    <col min="5897" max="5897" width="32.26953125" style="1" customWidth="1"/>
    <col min="5898" max="5901" width="13.81640625" style="1" customWidth="1"/>
    <col min="5902" max="5905" width="7.54296875" style="1" customWidth="1"/>
    <col min="5906" max="6151" width="24.453125" style="1"/>
    <col min="6152" max="6152" width="3.81640625" style="1" customWidth="1"/>
    <col min="6153" max="6153" width="32.26953125" style="1" customWidth="1"/>
    <col min="6154" max="6157" width="13.81640625" style="1" customWidth="1"/>
    <col min="6158" max="6161" width="7.54296875" style="1" customWidth="1"/>
    <col min="6162" max="6407" width="24.453125" style="1"/>
    <col min="6408" max="6408" width="3.81640625" style="1" customWidth="1"/>
    <col min="6409" max="6409" width="32.26953125" style="1" customWidth="1"/>
    <col min="6410" max="6413" width="13.81640625" style="1" customWidth="1"/>
    <col min="6414" max="6417" width="7.54296875" style="1" customWidth="1"/>
    <col min="6418" max="6663" width="24.453125" style="1"/>
    <col min="6664" max="6664" width="3.81640625" style="1" customWidth="1"/>
    <col min="6665" max="6665" width="32.26953125" style="1" customWidth="1"/>
    <col min="6666" max="6669" width="13.81640625" style="1" customWidth="1"/>
    <col min="6670" max="6673" width="7.54296875" style="1" customWidth="1"/>
    <col min="6674" max="6919" width="24.453125" style="1"/>
    <col min="6920" max="6920" width="3.81640625" style="1" customWidth="1"/>
    <col min="6921" max="6921" width="32.26953125" style="1" customWidth="1"/>
    <col min="6922" max="6925" width="13.81640625" style="1" customWidth="1"/>
    <col min="6926" max="6929" width="7.54296875" style="1" customWidth="1"/>
    <col min="6930" max="7175" width="24.453125" style="1"/>
    <col min="7176" max="7176" width="3.81640625" style="1" customWidth="1"/>
    <col min="7177" max="7177" width="32.26953125" style="1" customWidth="1"/>
    <col min="7178" max="7181" width="13.81640625" style="1" customWidth="1"/>
    <col min="7182" max="7185" width="7.54296875" style="1" customWidth="1"/>
    <col min="7186" max="7431" width="24.453125" style="1"/>
    <col min="7432" max="7432" width="3.81640625" style="1" customWidth="1"/>
    <col min="7433" max="7433" width="32.26953125" style="1" customWidth="1"/>
    <col min="7434" max="7437" width="13.81640625" style="1" customWidth="1"/>
    <col min="7438" max="7441" width="7.54296875" style="1" customWidth="1"/>
    <col min="7442" max="7687" width="24.453125" style="1"/>
    <col min="7688" max="7688" width="3.81640625" style="1" customWidth="1"/>
    <col min="7689" max="7689" width="32.26953125" style="1" customWidth="1"/>
    <col min="7690" max="7693" width="13.81640625" style="1" customWidth="1"/>
    <col min="7694" max="7697" width="7.54296875" style="1" customWidth="1"/>
    <col min="7698" max="7943" width="24.453125" style="1"/>
    <col min="7944" max="7944" width="3.81640625" style="1" customWidth="1"/>
    <col min="7945" max="7945" width="32.26953125" style="1" customWidth="1"/>
    <col min="7946" max="7949" width="13.81640625" style="1" customWidth="1"/>
    <col min="7950" max="7953" width="7.54296875" style="1" customWidth="1"/>
    <col min="7954" max="8199" width="24.453125" style="1"/>
    <col min="8200" max="8200" width="3.81640625" style="1" customWidth="1"/>
    <col min="8201" max="8201" width="32.26953125" style="1" customWidth="1"/>
    <col min="8202" max="8205" width="13.81640625" style="1" customWidth="1"/>
    <col min="8206" max="8209" width="7.54296875" style="1" customWidth="1"/>
    <col min="8210" max="8455" width="24.453125" style="1"/>
    <col min="8456" max="8456" width="3.81640625" style="1" customWidth="1"/>
    <col min="8457" max="8457" width="32.26953125" style="1" customWidth="1"/>
    <col min="8458" max="8461" width="13.81640625" style="1" customWidth="1"/>
    <col min="8462" max="8465" width="7.54296875" style="1" customWidth="1"/>
    <col min="8466" max="8711" width="24.453125" style="1"/>
    <col min="8712" max="8712" width="3.81640625" style="1" customWidth="1"/>
    <col min="8713" max="8713" width="32.26953125" style="1" customWidth="1"/>
    <col min="8714" max="8717" width="13.81640625" style="1" customWidth="1"/>
    <col min="8718" max="8721" width="7.54296875" style="1" customWidth="1"/>
    <col min="8722" max="8967" width="24.453125" style="1"/>
    <col min="8968" max="8968" width="3.81640625" style="1" customWidth="1"/>
    <col min="8969" max="8969" width="32.26953125" style="1" customWidth="1"/>
    <col min="8970" max="8973" width="13.81640625" style="1" customWidth="1"/>
    <col min="8974" max="8977" width="7.54296875" style="1" customWidth="1"/>
    <col min="8978" max="9223" width="24.453125" style="1"/>
    <col min="9224" max="9224" width="3.81640625" style="1" customWidth="1"/>
    <col min="9225" max="9225" width="32.26953125" style="1" customWidth="1"/>
    <col min="9226" max="9229" width="13.81640625" style="1" customWidth="1"/>
    <col min="9230" max="9233" width="7.54296875" style="1" customWidth="1"/>
    <col min="9234" max="9479" width="24.453125" style="1"/>
    <col min="9480" max="9480" width="3.81640625" style="1" customWidth="1"/>
    <col min="9481" max="9481" width="32.26953125" style="1" customWidth="1"/>
    <col min="9482" max="9485" width="13.81640625" style="1" customWidth="1"/>
    <col min="9486" max="9489" width="7.54296875" style="1" customWidth="1"/>
    <col min="9490" max="9735" width="24.453125" style="1"/>
    <col min="9736" max="9736" width="3.81640625" style="1" customWidth="1"/>
    <col min="9737" max="9737" width="32.26953125" style="1" customWidth="1"/>
    <col min="9738" max="9741" width="13.81640625" style="1" customWidth="1"/>
    <col min="9742" max="9745" width="7.54296875" style="1" customWidth="1"/>
    <col min="9746" max="9991" width="24.453125" style="1"/>
    <col min="9992" max="9992" width="3.81640625" style="1" customWidth="1"/>
    <col min="9993" max="9993" width="32.26953125" style="1" customWidth="1"/>
    <col min="9994" max="9997" width="13.81640625" style="1" customWidth="1"/>
    <col min="9998" max="10001" width="7.54296875" style="1" customWidth="1"/>
    <col min="10002" max="10247" width="24.453125" style="1"/>
    <col min="10248" max="10248" width="3.81640625" style="1" customWidth="1"/>
    <col min="10249" max="10249" width="32.26953125" style="1" customWidth="1"/>
    <col min="10250" max="10253" width="13.81640625" style="1" customWidth="1"/>
    <col min="10254" max="10257" width="7.54296875" style="1" customWidth="1"/>
    <col min="10258" max="10503" width="24.453125" style="1"/>
    <col min="10504" max="10504" width="3.81640625" style="1" customWidth="1"/>
    <col min="10505" max="10505" width="32.26953125" style="1" customWidth="1"/>
    <col min="10506" max="10509" width="13.81640625" style="1" customWidth="1"/>
    <col min="10510" max="10513" width="7.54296875" style="1" customWidth="1"/>
    <col min="10514" max="10759" width="24.453125" style="1"/>
    <col min="10760" max="10760" width="3.81640625" style="1" customWidth="1"/>
    <col min="10761" max="10761" width="32.26953125" style="1" customWidth="1"/>
    <col min="10762" max="10765" width="13.81640625" style="1" customWidth="1"/>
    <col min="10766" max="10769" width="7.54296875" style="1" customWidth="1"/>
    <col min="10770" max="11015" width="24.453125" style="1"/>
    <col min="11016" max="11016" width="3.81640625" style="1" customWidth="1"/>
    <col min="11017" max="11017" width="32.26953125" style="1" customWidth="1"/>
    <col min="11018" max="11021" width="13.81640625" style="1" customWidth="1"/>
    <col min="11022" max="11025" width="7.54296875" style="1" customWidth="1"/>
    <col min="11026" max="11271" width="24.453125" style="1"/>
    <col min="11272" max="11272" width="3.81640625" style="1" customWidth="1"/>
    <col min="11273" max="11273" width="32.26953125" style="1" customWidth="1"/>
    <col min="11274" max="11277" width="13.81640625" style="1" customWidth="1"/>
    <col min="11278" max="11281" width="7.54296875" style="1" customWidth="1"/>
    <col min="11282" max="11527" width="24.453125" style="1"/>
    <col min="11528" max="11528" width="3.81640625" style="1" customWidth="1"/>
    <col min="11529" max="11529" width="32.26953125" style="1" customWidth="1"/>
    <col min="11530" max="11533" width="13.81640625" style="1" customWidth="1"/>
    <col min="11534" max="11537" width="7.54296875" style="1" customWidth="1"/>
    <col min="11538" max="11783" width="24.453125" style="1"/>
    <col min="11784" max="11784" width="3.81640625" style="1" customWidth="1"/>
    <col min="11785" max="11785" width="32.26953125" style="1" customWidth="1"/>
    <col min="11786" max="11789" width="13.81640625" style="1" customWidth="1"/>
    <col min="11790" max="11793" width="7.54296875" style="1" customWidth="1"/>
    <col min="11794" max="12039" width="24.453125" style="1"/>
    <col min="12040" max="12040" width="3.81640625" style="1" customWidth="1"/>
    <col min="12041" max="12041" width="32.26953125" style="1" customWidth="1"/>
    <col min="12042" max="12045" width="13.81640625" style="1" customWidth="1"/>
    <col min="12046" max="12049" width="7.54296875" style="1" customWidth="1"/>
    <col min="12050" max="12295" width="24.453125" style="1"/>
    <col min="12296" max="12296" width="3.81640625" style="1" customWidth="1"/>
    <col min="12297" max="12297" width="32.26953125" style="1" customWidth="1"/>
    <col min="12298" max="12301" width="13.81640625" style="1" customWidth="1"/>
    <col min="12302" max="12305" width="7.54296875" style="1" customWidth="1"/>
    <col min="12306" max="12551" width="24.453125" style="1"/>
    <col min="12552" max="12552" width="3.81640625" style="1" customWidth="1"/>
    <col min="12553" max="12553" width="32.26953125" style="1" customWidth="1"/>
    <col min="12554" max="12557" width="13.81640625" style="1" customWidth="1"/>
    <col min="12558" max="12561" width="7.54296875" style="1" customWidth="1"/>
    <col min="12562" max="12807" width="24.453125" style="1"/>
    <col min="12808" max="12808" width="3.81640625" style="1" customWidth="1"/>
    <col min="12809" max="12809" width="32.26953125" style="1" customWidth="1"/>
    <col min="12810" max="12813" width="13.81640625" style="1" customWidth="1"/>
    <col min="12814" max="12817" width="7.54296875" style="1" customWidth="1"/>
    <col min="12818" max="13063" width="24.453125" style="1"/>
    <col min="13064" max="13064" width="3.81640625" style="1" customWidth="1"/>
    <col min="13065" max="13065" width="32.26953125" style="1" customWidth="1"/>
    <col min="13066" max="13069" width="13.81640625" style="1" customWidth="1"/>
    <col min="13070" max="13073" width="7.54296875" style="1" customWidth="1"/>
    <col min="13074" max="13319" width="24.453125" style="1"/>
    <col min="13320" max="13320" width="3.81640625" style="1" customWidth="1"/>
    <col min="13321" max="13321" width="32.26953125" style="1" customWidth="1"/>
    <col min="13322" max="13325" width="13.81640625" style="1" customWidth="1"/>
    <col min="13326" max="13329" width="7.54296875" style="1" customWidth="1"/>
    <col min="13330" max="13575" width="24.453125" style="1"/>
    <col min="13576" max="13576" width="3.81640625" style="1" customWidth="1"/>
    <col min="13577" max="13577" width="32.26953125" style="1" customWidth="1"/>
    <col min="13578" max="13581" width="13.81640625" style="1" customWidth="1"/>
    <col min="13582" max="13585" width="7.54296875" style="1" customWidth="1"/>
    <col min="13586" max="13831" width="24.453125" style="1"/>
    <col min="13832" max="13832" width="3.81640625" style="1" customWidth="1"/>
    <col min="13833" max="13833" width="32.26953125" style="1" customWidth="1"/>
    <col min="13834" max="13837" width="13.81640625" style="1" customWidth="1"/>
    <col min="13838" max="13841" width="7.54296875" style="1" customWidth="1"/>
    <col min="13842" max="14087" width="24.453125" style="1"/>
    <col min="14088" max="14088" width="3.81640625" style="1" customWidth="1"/>
    <col min="14089" max="14089" width="32.26953125" style="1" customWidth="1"/>
    <col min="14090" max="14093" width="13.81640625" style="1" customWidth="1"/>
    <col min="14094" max="14097" width="7.54296875" style="1" customWidth="1"/>
    <col min="14098" max="14343" width="24.453125" style="1"/>
    <col min="14344" max="14344" width="3.81640625" style="1" customWidth="1"/>
    <col min="14345" max="14345" width="32.26953125" style="1" customWidth="1"/>
    <col min="14346" max="14349" width="13.81640625" style="1" customWidth="1"/>
    <col min="14350" max="14353" width="7.54296875" style="1" customWidth="1"/>
    <col min="14354" max="14599" width="24.453125" style="1"/>
    <col min="14600" max="14600" width="3.81640625" style="1" customWidth="1"/>
    <col min="14601" max="14601" width="32.26953125" style="1" customWidth="1"/>
    <col min="14602" max="14605" width="13.81640625" style="1" customWidth="1"/>
    <col min="14606" max="14609" width="7.54296875" style="1" customWidth="1"/>
    <col min="14610" max="14855" width="24.453125" style="1"/>
    <col min="14856" max="14856" width="3.81640625" style="1" customWidth="1"/>
    <col min="14857" max="14857" width="32.26953125" style="1" customWidth="1"/>
    <col min="14858" max="14861" width="13.81640625" style="1" customWidth="1"/>
    <col min="14862" max="14865" width="7.54296875" style="1" customWidth="1"/>
    <col min="14866" max="15111" width="24.453125" style="1"/>
    <col min="15112" max="15112" width="3.81640625" style="1" customWidth="1"/>
    <col min="15113" max="15113" width="32.26953125" style="1" customWidth="1"/>
    <col min="15114" max="15117" width="13.81640625" style="1" customWidth="1"/>
    <col min="15118" max="15121" width="7.54296875" style="1" customWidth="1"/>
    <col min="15122" max="15367" width="24.453125" style="1"/>
    <col min="15368" max="15368" width="3.81640625" style="1" customWidth="1"/>
    <col min="15369" max="15369" width="32.26953125" style="1" customWidth="1"/>
    <col min="15370" max="15373" width="13.81640625" style="1" customWidth="1"/>
    <col min="15374" max="15377" width="7.54296875" style="1" customWidth="1"/>
    <col min="15378" max="15623" width="24.453125" style="1"/>
    <col min="15624" max="15624" width="3.81640625" style="1" customWidth="1"/>
    <col min="15625" max="15625" width="32.26953125" style="1" customWidth="1"/>
    <col min="15626" max="15629" width="13.81640625" style="1" customWidth="1"/>
    <col min="15630" max="15633" width="7.54296875" style="1" customWidth="1"/>
    <col min="15634" max="15879" width="24.453125" style="1"/>
    <col min="15880" max="15880" width="3.81640625" style="1" customWidth="1"/>
    <col min="15881" max="15881" width="32.26953125" style="1" customWidth="1"/>
    <col min="15882" max="15885" width="13.81640625" style="1" customWidth="1"/>
    <col min="15886" max="15889" width="7.54296875" style="1" customWidth="1"/>
    <col min="15890" max="16135" width="24.453125" style="1"/>
    <col min="16136" max="16136" width="3.81640625" style="1" customWidth="1"/>
    <col min="16137" max="16137" width="32.26953125" style="1" customWidth="1"/>
    <col min="16138" max="16141" width="13.81640625" style="1" customWidth="1"/>
    <col min="16142" max="16145" width="7.54296875" style="1" customWidth="1"/>
    <col min="16146" max="16384" width="24.453125" style="1"/>
  </cols>
  <sheetData>
    <row r="1" spans="2:20" ht="19.399999999999999" customHeight="1">
      <c r="B1" s="2" t="s">
        <v>0</v>
      </c>
      <c r="C1" s="2"/>
      <c r="D1" s="2"/>
      <c r="E1" s="2"/>
    </row>
    <row r="2" spans="2:20" ht="10.75" customHeight="1">
      <c r="B2" s="51" t="s">
        <v>220</v>
      </c>
      <c r="C2" s="51"/>
      <c r="D2" s="51"/>
      <c r="E2" s="2"/>
    </row>
    <row r="3" spans="2:20" ht="10.75" customHeight="1">
      <c r="B3" s="51"/>
      <c r="C3" s="51"/>
      <c r="D3" s="51"/>
      <c r="E3" s="2"/>
    </row>
    <row r="4" spans="2:20" ht="19.75" customHeight="1">
      <c r="B4" s="99" t="s">
        <v>74</v>
      </c>
      <c r="C4" s="99"/>
      <c r="D4" s="279"/>
      <c r="E4" s="99"/>
      <c r="F4" s="100"/>
      <c r="G4" s="100"/>
      <c r="H4" s="100"/>
      <c r="I4" s="100"/>
      <c r="J4" s="101"/>
      <c r="K4" s="102"/>
      <c r="L4" s="102"/>
      <c r="M4" s="103"/>
      <c r="N4" s="103"/>
      <c r="O4" s="103"/>
      <c r="P4" s="103"/>
      <c r="Q4" s="103"/>
      <c r="R4" s="103"/>
      <c r="S4" s="103"/>
      <c r="T4" s="103"/>
    </row>
    <row r="5" spans="2:20" ht="19.75" customHeight="1">
      <c r="B5" s="94"/>
      <c r="C5" s="221" t="s">
        <v>219</v>
      </c>
      <c r="D5" s="221" t="s">
        <v>219</v>
      </c>
      <c r="E5" s="95" t="s">
        <v>219</v>
      </c>
      <c r="F5" s="342" t="s">
        <v>219</v>
      </c>
      <c r="G5" s="342" t="s">
        <v>219</v>
      </c>
      <c r="H5" s="95" t="s">
        <v>219</v>
      </c>
      <c r="I5" s="95" t="s">
        <v>219</v>
      </c>
      <c r="J5" s="95" t="s">
        <v>219</v>
      </c>
      <c r="K5" s="95" t="s">
        <v>219</v>
      </c>
      <c r="L5" s="95" t="s">
        <v>219</v>
      </c>
      <c r="M5" s="95" t="s">
        <v>219</v>
      </c>
      <c r="N5" s="95" t="s">
        <v>219</v>
      </c>
      <c r="O5" s="95" t="s">
        <v>219</v>
      </c>
      <c r="P5" s="95" t="s">
        <v>219</v>
      </c>
      <c r="Q5" s="95" t="s">
        <v>219</v>
      </c>
      <c r="R5" s="315" t="s">
        <v>219</v>
      </c>
      <c r="S5" s="95" t="s">
        <v>219</v>
      </c>
      <c r="T5" s="95" t="s">
        <v>219</v>
      </c>
    </row>
    <row r="6" spans="2:20" s="6" customFormat="1" ht="15" customHeight="1" thickBot="1">
      <c r="B6" s="96" t="s">
        <v>1</v>
      </c>
      <c r="C6" s="97">
        <v>2024</v>
      </c>
      <c r="D6" s="97">
        <v>2023</v>
      </c>
      <c r="E6" s="97">
        <f>D6-1</f>
        <v>2022</v>
      </c>
      <c r="F6" s="343">
        <f t="shared" ref="F6:P6" si="0">E6-1</f>
        <v>2021</v>
      </c>
      <c r="G6" s="343">
        <f t="shared" si="0"/>
        <v>2020</v>
      </c>
      <c r="H6" s="97">
        <f t="shared" si="0"/>
        <v>2019</v>
      </c>
      <c r="I6" s="97">
        <f t="shared" si="0"/>
        <v>2018</v>
      </c>
      <c r="J6" s="97">
        <f t="shared" si="0"/>
        <v>2017</v>
      </c>
      <c r="K6" s="97">
        <f t="shared" si="0"/>
        <v>2016</v>
      </c>
      <c r="L6" s="97">
        <f t="shared" si="0"/>
        <v>2015</v>
      </c>
      <c r="M6" s="97">
        <f t="shared" si="0"/>
        <v>2014</v>
      </c>
      <c r="N6" s="97">
        <f t="shared" si="0"/>
        <v>2013</v>
      </c>
      <c r="O6" s="97">
        <f t="shared" si="0"/>
        <v>2012</v>
      </c>
      <c r="P6" s="97">
        <f t="shared" si="0"/>
        <v>2011</v>
      </c>
      <c r="Q6" s="97">
        <f t="shared" ref="Q6:R6" si="1">P6-1</f>
        <v>2010</v>
      </c>
      <c r="R6" s="316">
        <f t="shared" si="1"/>
        <v>2009</v>
      </c>
      <c r="S6" s="97">
        <f t="shared" ref="S6:T6" si="2">R6-1</f>
        <v>2008</v>
      </c>
      <c r="T6" s="97">
        <f t="shared" si="2"/>
        <v>2007</v>
      </c>
    </row>
    <row r="7" spans="2:20" ht="11.5" customHeight="1">
      <c r="B7" s="7" t="s">
        <v>2</v>
      </c>
      <c r="C7" s="305">
        <f>'Income Stat Yahoo Input'!B2/1000</f>
        <v>6648000</v>
      </c>
      <c r="D7" s="305">
        <f>'Income Stat Yahoo Input'!C2/1000</f>
        <v>6667000</v>
      </c>
      <c r="E7" s="305">
        <f>'Income Stat Yahoo Input'!D2/1000</f>
        <v>5891000</v>
      </c>
      <c r="F7" s="349">
        <f>'Income Stat Yahoo Input'!E2/1000</f>
        <v>3028000</v>
      </c>
      <c r="G7" s="349">
        <f>'Income Stat Yahoo Input'!F2/1000</f>
        <v>2066000</v>
      </c>
      <c r="H7" s="305">
        <f>'Income Stat Yahoo Input'!G2/1000</f>
        <v>5020000</v>
      </c>
      <c r="I7" s="305">
        <f>'Income Stat Yahoo Input'!H2/1000</f>
        <v>4454000</v>
      </c>
      <c r="J7" s="305">
        <f>'Income Stat Yahoo Input'!I2/1000</f>
        <v>4462000</v>
      </c>
      <c r="K7" s="305">
        <f>'Income Stat Yahoo Input'!J2/1000</f>
        <v>4265000</v>
      </c>
      <c r="L7" s="305">
        <f>'Income Stat Yahoo Input'!K2/1000</f>
        <v>4328000</v>
      </c>
      <c r="M7" s="305">
        <f>'Income Stat Yahoo Input'!L2/1000</f>
        <v>4415000</v>
      </c>
      <c r="N7" s="305">
        <f>'Income Stat Yahoo Input'!M2/1000</f>
        <v>4184000</v>
      </c>
      <c r="O7" s="305">
        <f>'Income Stat Yahoo Input'!N2/1000</f>
        <v>3949000</v>
      </c>
      <c r="P7" s="305">
        <f>'Income Stat Yahoo Input'!O2/1000</f>
        <v>3698000</v>
      </c>
      <c r="Q7" s="305">
        <f>'Income Stat Yahoo Input'!P2/1000</f>
        <v>3527000</v>
      </c>
      <c r="R7" s="317">
        <f>'Income Stat Yahoo Input'!Q2/1000</f>
        <v>3330000</v>
      </c>
      <c r="S7" s="305">
        <f>'Income Stat Yahoo Input'!R2/1000</f>
        <v>3837000</v>
      </c>
      <c r="T7" s="305">
        <f>'Income Stat Yahoo Input'!S2/1000</f>
        <v>3738000</v>
      </c>
    </row>
    <row r="8" spans="2:20" ht="11.5" customHeight="1">
      <c r="B8" s="8" t="s">
        <v>3</v>
      </c>
      <c r="C8" s="306">
        <f>'Income Stat Yahoo Input'!B4/1000</f>
        <v>5351000</v>
      </c>
      <c r="D8" s="306">
        <f>'Income Stat Yahoo Input'!C4/1000</f>
        <v>5361000</v>
      </c>
      <c r="E8" s="306">
        <f>'Income Stat Yahoo Input'!D4/1000</f>
        <v>4603000</v>
      </c>
      <c r="F8" s="350">
        <f>'Income Stat Yahoo Input'!E4/1000</f>
        <v>2603000</v>
      </c>
      <c r="G8" s="350">
        <f>'Income Stat Yahoo Input'!F4/1000</f>
        <v>2067000</v>
      </c>
      <c r="H8" s="306">
        <f>'Income Stat Yahoo Input'!G4/1000</f>
        <v>4077000</v>
      </c>
      <c r="I8" s="306">
        <f>'Income Stat Yahoo Input'!H4/1000</f>
        <v>3475000</v>
      </c>
      <c r="J8" s="306">
        <f>'Income Stat Yahoo Input'!I4/1000</f>
        <v>3477000</v>
      </c>
      <c r="K8" s="306">
        <f>'Income Stat Yahoo Input'!J4/1000</f>
        <v>3356000</v>
      </c>
      <c r="L8" s="306">
        <f>'Income Stat Yahoo Input'!K4/1000</f>
        <v>3377000</v>
      </c>
      <c r="M8" s="306">
        <f>'Income Stat Yahoo Input'!L4/1000</f>
        <v>3433000</v>
      </c>
      <c r="N8" s="306">
        <f>'Income Stat Yahoo Input'!M4/1000</f>
        <v>3283000</v>
      </c>
      <c r="O8" s="306">
        <f>'Income Stat Yahoo Input'!N4/1000</f>
        <v>3121000</v>
      </c>
      <c r="P8" s="306">
        <f>'Income Stat Yahoo Input'!O4/1000</f>
        <v>2957000</v>
      </c>
      <c r="Q8" s="306">
        <f>'Income Stat Yahoo Input'!P4/1000</f>
        <v>2864000</v>
      </c>
      <c r="R8" s="318">
        <f>'Income Stat Yahoo Input'!Q4/1000</f>
        <v>2751000</v>
      </c>
      <c r="S8" s="306">
        <f>'Income Stat Yahoo Input'!R4/1000</f>
        <v>2934000</v>
      </c>
      <c r="T8" s="306">
        <f>'Income Stat Yahoo Input'!S4/1000</f>
        <v>2847000</v>
      </c>
    </row>
    <row r="9" spans="2:20" ht="11.5" customHeight="1" thickBot="1">
      <c r="B9" s="8" t="s">
        <v>4</v>
      </c>
      <c r="C9" s="307">
        <f>+C7-C8</f>
        <v>1297000</v>
      </c>
      <c r="D9" s="307">
        <f>+D7-D8</f>
        <v>1306000</v>
      </c>
      <c r="E9" s="307">
        <f>+E7-E8</f>
        <v>1288000</v>
      </c>
      <c r="F9" s="351">
        <f t="shared" ref="F9:M9" si="3">+F7-F8</f>
        <v>425000</v>
      </c>
      <c r="G9" s="351">
        <f t="shared" si="3"/>
        <v>-1000</v>
      </c>
      <c r="H9" s="307">
        <f t="shared" si="3"/>
        <v>943000</v>
      </c>
      <c r="I9" s="307">
        <f t="shared" si="3"/>
        <v>979000</v>
      </c>
      <c r="J9" s="307">
        <f t="shared" si="3"/>
        <v>985000</v>
      </c>
      <c r="K9" s="307">
        <f t="shared" si="3"/>
        <v>909000</v>
      </c>
      <c r="L9" s="307">
        <f t="shared" si="3"/>
        <v>951000</v>
      </c>
      <c r="M9" s="307">
        <f t="shared" si="3"/>
        <v>982000</v>
      </c>
      <c r="N9" s="307">
        <f t="shared" ref="N9:O9" si="4">+N7-N8</f>
        <v>901000</v>
      </c>
      <c r="O9" s="307">
        <f t="shared" si="4"/>
        <v>828000</v>
      </c>
      <c r="P9" s="307">
        <f t="shared" ref="P9:R9" si="5">+P7-P8</f>
        <v>741000</v>
      </c>
      <c r="Q9" s="307">
        <f t="shared" si="5"/>
        <v>663000</v>
      </c>
      <c r="R9" s="319">
        <f t="shared" si="5"/>
        <v>579000</v>
      </c>
      <c r="S9" s="307">
        <f t="shared" ref="S9:T9" si="6">+S7-S8</f>
        <v>903000</v>
      </c>
      <c r="T9" s="307">
        <f t="shared" si="6"/>
        <v>891000</v>
      </c>
    </row>
    <row r="10" spans="2:20" ht="11.5" customHeight="1" thickTop="1">
      <c r="B10" s="7" t="s">
        <v>5</v>
      </c>
      <c r="C10" s="308">
        <f>'Income Stat Yahoo Input'!B6/1000</f>
        <v>881000</v>
      </c>
      <c r="D10" s="308">
        <f>'Income Stat Yahoo Input'!C6/1000</f>
        <v>975000</v>
      </c>
      <c r="E10" s="308">
        <f>'Income Stat Yahoo Input'!D6/1000</f>
        <v>861000</v>
      </c>
      <c r="F10" s="352">
        <f>'Income Stat Yahoo Input'!E6/1000</f>
        <v>698000</v>
      </c>
      <c r="G10" s="352">
        <f>'Income Stat Yahoo Input'!F6/1000</f>
        <v>631000</v>
      </c>
      <c r="H10" s="308">
        <f>'Income Stat Yahoo Input'!G6/1000</f>
        <v>746000</v>
      </c>
      <c r="I10" s="308">
        <f>'Income Stat Yahoo Input'!H6/1000</f>
        <v>647000</v>
      </c>
      <c r="J10" s="308">
        <f>'Income Stat Yahoo Input'!I6/1000</f>
        <v>725000</v>
      </c>
      <c r="K10" s="308">
        <f>'Income Stat Yahoo Input'!J6/1000</f>
        <v>641000</v>
      </c>
      <c r="L10" s="308">
        <f>'Income Stat Yahoo Input'!K6/1000</f>
        <v>628000</v>
      </c>
      <c r="M10" s="308">
        <f>'Income Stat Yahoo Input'!L6/1000</f>
        <v>703000</v>
      </c>
      <c r="N10" s="308">
        <f>'Income Stat Yahoo Input'!M6/1000</f>
        <v>668000</v>
      </c>
      <c r="O10" s="308">
        <f>'Income Stat Yahoo Input'!N6/1000</f>
        <v>669000</v>
      </c>
      <c r="P10" s="308">
        <f>'Income Stat Yahoo Input'!O6/1000</f>
        <v>588000</v>
      </c>
      <c r="Q10" s="308">
        <f>'Income Stat Yahoo Input'!P6/1000</f>
        <v>555000</v>
      </c>
      <c r="R10" s="320">
        <f>'Income Stat Yahoo Input'!Q6/1000</f>
        <v>530000</v>
      </c>
      <c r="S10" s="308">
        <f>'Income Stat Yahoo Input'!R6/1000</f>
        <v>539000</v>
      </c>
      <c r="T10" s="308">
        <f>'Income Stat Yahoo Input'!S6/1000</f>
        <v>506000</v>
      </c>
    </row>
    <row r="11" spans="2:20" ht="11.5" customHeight="1">
      <c r="B11" s="7" t="s">
        <v>6</v>
      </c>
      <c r="C11" s="306">
        <f>+C9-C10</f>
        <v>416000</v>
      </c>
      <c r="D11" s="306">
        <f>+D9-D10</f>
        <v>331000</v>
      </c>
      <c r="E11" s="306">
        <f>+E9-E10</f>
        <v>427000</v>
      </c>
      <c r="F11" s="350">
        <f t="shared" ref="F11:M11" si="7">+F9-F10</f>
        <v>-273000</v>
      </c>
      <c r="G11" s="350">
        <f t="shared" si="7"/>
        <v>-632000</v>
      </c>
      <c r="H11" s="306">
        <f t="shared" si="7"/>
        <v>197000</v>
      </c>
      <c r="I11" s="306">
        <f t="shared" si="7"/>
        <v>332000</v>
      </c>
      <c r="J11" s="306">
        <f t="shared" si="7"/>
        <v>260000</v>
      </c>
      <c r="K11" s="306">
        <f t="shared" si="7"/>
        <v>268000</v>
      </c>
      <c r="L11" s="306">
        <f t="shared" si="7"/>
        <v>323000</v>
      </c>
      <c r="M11" s="306">
        <f t="shared" si="7"/>
        <v>279000</v>
      </c>
      <c r="N11" s="306">
        <f t="shared" ref="N11:O11" si="8">+N9-N10</f>
        <v>233000</v>
      </c>
      <c r="O11" s="306">
        <f t="shared" si="8"/>
        <v>159000</v>
      </c>
      <c r="P11" s="306">
        <f t="shared" ref="P11:R11" si="9">+P9-P10</f>
        <v>153000</v>
      </c>
      <c r="Q11" s="306">
        <f t="shared" si="9"/>
        <v>108000</v>
      </c>
      <c r="R11" s="318">
        <f t="shared" si="9"/>
        <v>49000</v>
      </c>
      <c r="S11" s="306">
        <f t="shared" ref="S11:T11" si="10">+S9-S10</f>
        <v>364000</v>
      </c>
      <c r="T11" s="306">
        <f t="shared" si="10"/>
        <v>385000</v>
      </c>
    </row>
    <row r="12" spans="2:20" ht="11.5" customHeight="1">
      <c r="B12" s="8" t="s">
        <v>7</v>
      </c>
      <c r="C12" s="309">
        <f>'Income Stat Yahoo Input'!B13/1000</f>
        <v>416000</v>
      </c>
      <c r="D12" s="309">
        <f>'Income Stat Yahoo Input'!C13/1000</f>
        <v>331000</v>
      </c>
      <c r="E12" s="309">
        <f>'Income Stat Yahoo Input'!D13/1000</f>
        <v>427000</v>
      </c>
      <c r="F12" s="353">
        <f>'Income Stat Yahoo Input'!E13/1000</f>
        <v>-273000</v>
      </c>
      <c r="G12" s="353">
        <f>'Income Stat Yahoo Input'!F13/1000</f>
        <v>-632000</v>
      </c>
      <c r="H12" s="309">
        <f>'Income Stat Yahoo Input'!G13/1000</f>
        <v>197000</v>
      </c>
      <c r="I12" s="309">
        <f>'Income Stat Yahoo Input'!H13/1000</f>
        <v>332000</v>
      </c>
      <c r="J12" s="309">
        <f>'Income Stat Yahoo Input'!I13/1000</f>
        <v>260000</v>
      </c>
      <c r="K12" s="309">
        <f>'Income Stat Yahoo Input'!J13/1000</f>
        <v>268000</v>
      </c>
      <c r="L12" s="309">
        <f>'Income Stat Yahoo Input'!K13/1000</f>
        <v>323000</v>
      </c>
      <c r="M12" s="309">
        <f>'Income Stat Yahoo Input'!L13/1000</f>
        <v>279000</v>
      </c>
      <c r="N12" s="309">
        <f>'Income Stat Yahoo Input'!M13/1000</f>
        <v>233000</v>
      </c>
      <c r="O12" s="309">
        <f>'Income Stat Yahoo Input'!N13/1000</f>
        <v>159000</v>
      </c>
      <c r="P12" s="309">
        <f>'Income Stat Yahoo Input'!O13/1000</f>
        <v>153000</v>
      </c>
      <c r="Q12" s="305">
        <f>'Income Stat Yahoo Input'!P13/1000</f>
        <v>108000</v>
      </c>
      <c r="R12" s="321">
        <f>'Income Stat Yahoo Input'!Q13/1000</f>
        <v>49000</v>
      </c>
      <c r="S12" s="309">
        <f>'Income Stat Yahoo Input'!R13/1000</f>
        <v>364000</v>
      </c>
      <c r="T12" s="309">
        <f>'Income Stat Yahoo Input'!S13/1000</f>
        <v>385000</v>
      </c>
    </row>
    <row r="13" spans="2:20" ht="11.5" customHeight="1">
      <c r="B13" s="8" t="s">
        <v>8</v>
      </c>
      <c r="C13" s="306">
        <f>+C11-C12</f>
        <v>0</v>
      </c>
      <c r="D13" s="306">
        <f>+D11-D12</f>
        <v>0</v>
      </c>
      <c r="E13" s="306">
        <f>+E11-E12</f>
        <v>0</v>
      </c>
      <c r="F13" s="350">
        <f t="shared" ref="F13:M13" si="11">+F11-F12</f>
        <v>0</v>
      </c>
      <c r="G13" s="350">
        <f t="shared" si="11"/>
        <v>0</v>
      </c>
      <c r="H13" s="306">
        <f t="shared" si="11"/>
        <v>0</v>
      </c>
      <c r="I13" s="306">
        <f t="shared" si="11"/>
        <v>0</v>
      </c>
      <c r="J13" s="306">
        <f t="shared" si="11"/>
        <v>0</v>
      </c>
      <c r="K13" s="306">
        <f t="shared" si="11"/>
        <v>0</v>
      </c>
      <c r="L13" s="306">
        <f t="shared" si="11"/>
        <v>0</v>
      </c>
      <c r="M13" s="306">
        <f t="shared" si="11"/>
        <v>0</v>
      </c>
      <c r="N13" s="306">
        <f t="shared" ref="N13:O13" si="12">+N11-N12</f>
        <v>0</v>
      </c>
      <c r="O13" s="306">
        <f t="shared" si="12"/>
        <v>0</v>
      </c>
      <c r="P13" s="306">
        <f t="shared" ref="P13:R13" si="13">+P11-P12</f>
        <v>0</v>
      </c>
      <c r="Q13" s="306">
        <f t="shared" si="13"/>
        <v>0</v>
      </c>
      <c r="R13" s="318">
        <f t="shared" si="13"/>
        <v>0</v>
      </c>
      <c r="S13" s="306">
        <f t="shared" ref="S13:T13" si="14">+S11-S12</f>
        <v>0</v>
      </c>
      <c r="T13" s="306">
        <f t="shared" si="14"/>
        <v>0</v>
      </c>
    </row>
    <row r="14" spans="2:20" ht="11.5" customHeight="1">
      <c r="B14" s="8" t="s">
        <v>9</v>
      </c>
      <c r="C14" s="309">
        <f>-(C15-C13)</f>
        <v>23000</v>
      </c>
      <c r="D14" s="309">
        <f>-(D15-D13)</f>
        <v>21000</v>
      </c>
      <c r="E14" s="309">
        <f>-(E15-E13)</f>
        <v>15000</v>
      </c>
      <c r="F14" s="353">
        <f t="shared" ref="F14:M14" si="15">-(F15-F13)</f>
        <v>15000</v>
      </c>
      <c r="G14" s="353">
        <f t="shared" si="15"/>
        <v>23000</v>
      </c>
      <c r="H14" s="309">
        <f t="shared" si="15"/>
        <v>25000</v>
      </c>
      <c r="I14" s="309">
        <f t="shared" si="15"/>
        <v>15000</v>
      </c>
      <c r="J14" s="309">
        <f t="shared" si="15"/>
        <v>24000</v>
      </c>
      <c r="K14" s="309">
        <f t="shared" si="15"/>
        <v>23000</v>
      </c>
      <c r="L14" s="309">
        <f t="shared" si="15"/>
        <v>12000</v>
      </c>
      <c r="M14" s="309">
        <f t="shared" si="15"/>
        <v>-14000</v>
      </c>
      <c r="N14" s="309">
        <f t="shared" ref="N14:O14" si="16">-(N15-N13)</f>
        <v>-55000</v>
      </c>
      <c r="O14" s="309">
        <f t="shared" si="16"/>
        <v>0</v>
      </c>
      <c r="P14" s="309">
        <f t="shared" ref="P14:R14" si="17">-(P15-P13)</f>
        <v>-9000</v>
      </c>
      <c r="Q14" s="309">
        <f t="shared" si="17"/>
        <v>35000</v>
      </c>
      <c r="R14" s="321">
        <f t="shared" si="17"/>
        <v>-48000</v>
      </c>
      <c r="S14" s="309">
        <f t="shared" ref="S14:T14" si="18">-(S15-S13)</f>
        <v>23000</v>
      </c>
      <c r="T14" s="309">
        <f t="shared" si="18"/>
        <v>145000</v>
      </c>
    </row>
    <row r="15" spans="2:20" ht="11.5" customHeight="1">
      <c r="B15" s="8" t="s">
        <v>10</v>
      </c>
      <c r="C15" s="9">
        <f>'Income Stat Yahoo Input'!B25/1000</f>
        <v>-23000</v>
      </c>
      <c r="D15" s="9">
        <f>'Income Stat Yahoo Input'!C25/1000</f>
        <v>-21000</v>
      </c>
      <c r="E15" s="9">
        <f>'Income Stat Yahoo Input'!D25/1000</f>
        <v>-15000</v>
      </c>
      <c r="F15" s="347">
        <f>'Income Stat Yahoo Input'!E25/1000</f>
        <v>-15000</v>
      </c>
      <c r="G15" s="347">
        <f>'Income Stat Yahoo Input'!F25/1000</f>
        <v>-23000</v>
      </c>
      <c r="H15" s="9">
        <f>'Income Stat Yahoo Input'!G25/1000</f>
        <v>-25000</v>
      </c>
      <c r="I15" s="9">
        <f>'Income Stat Yahoo Input'!H25/1000</f>
        <v>-15000</v>
      </c>
      <c r="J15" s="9">
        <f>'Income Stat Yahoo Input'!I25/1000</f>
        <v>-24000</v>
      </c>
      <c r="K15" s="9">
        <f>'Income Stat Yahoo Input'!J25/1000</f>
        <v>-23000</v>
      </c>
      <c r="L15" s="9">
        <f>'Income Stat Yahoo Input'!K25/1000</f>
        <v>-12000</v>
      </c>
      <c r="M15" s="9">
        <f>'Income Stat Yahoo Input'!L25/1000</f>
        <v>14000</v>
      </c>
      <c r="N15" s="9">
        <f>'Income Stat Yahoo Input'!M25/1000</f>
        <v>55000</v>
      </c>
      <c r="O15" s="9">
        <f>'Income Stat Yahoo Input'!N25/1000</f>
        <v>0</v>
      </c>
      <c r="P15" s="9">
        <f>'Income Stat Yahoo Input'!O25/1000</f>
        <v>9000</v>
      </c>
      <c r="Q15" s="9">
        <f>'Income Stat Yahoo Input'!P25/1000</f>
        <v>-35000</v>
      </c>
      <c r="R15" s="311">
        <f>'Income Stat Yahoo Input'!Q25/1000</f>
        <v>48000</v>
      </c>
      <c r="S15" s="9">
        <f>'Income Stat Yahoo Input'!R25/1000</f>
        <v>-23000</v>
      </c>
      <c r="T15" s="9">
        <f>'Income Stat Yahoo Input'!S25/1000</f>
        <v>-145000</v>
      </c>
    </row>
    <row r="16" spans="2:20" ht="11.5" customHeight="1">
      <c r="B16" s="8" t="s">
        <v>11</v>
      </c>
      <c r="C16" s="306">
        <f>'Income Stat Yahoo Input'!B26/1000</f>
        <v>0</v>
      </c>
      <c r="D16" s="306">
        <f>'Income Stat Yahoo Input'!C26/1000</f>
        <v>0</v>
      </c>
      <c r="E16" s="306">
        <f>'Income Stat Yahoo Input'!D26/1000</f>
        <v>0</v>
      </c>
      <c r="F16" s="350">
        <f>'Income Stat Yahoo Input'!E26/1000</f>
        <v>0</v>
      </c>
      <c r="G16" s="350">
        <f>'Income Stat Yahoo Input'!F26/1000</f>
        <v>0</v>
      </c>
      <c r="H16" s="306">
        <f>'Income Stat Yahoo Input'!G26/1000</f>
        <v>16000</v>
      </c>
      <c r="I16" s="306">
        <f>'Income Stat Yahoo Input'!H26/1000</f>
        <v>0</v>
      </c>
      <c r="J16" s="306">
        <f>'Income Stat Yahoo Input'!I26/1000</f>
        <v>0</v>
      </c>
      <c r="K16" s="306">
        <f>'Income Stat Yahoo Input'!J26/1000</f>
        <v>-6000</v>
      </c>
      <c r="L16" s="306">
        <f>'Income Stat Yahoo Input'!K26/1000</f>
        <v>0</v>
      </c>
      <c r="M16" s="306">
        <f>'Income Stat Yahoo Input'!L26/1000</f>
        <v>0</v>
      </c>
      <c r="N16" s="306">
        <f>'Income Stat Yahoo Input'!M26/1000</f>
        <v>29000</v>
      </c>
      <c r="O16" s="306">
        <f>'Income Stat Yahoo Input'!N26/1000</f>
        <v>0</v>
      </c>
      <c r="P16" s="306">
        <f>'Income Stat Yahoo Input'!O26/1000</f>
        <v>0</v>
      </c>
      <c r="Q16" s="306">
        <f>'Income Stat Yahoo Input'!P26/1000</f>
        <v>26000</v>
      </c>
      <c r="R16" s="318">
        <f>'Income Stat Yahoo Input'!Q26/1000</f>
        <v>0</v>
      </c>
      <c r="S16" s="306">
        <f>'Income Stat Yahoo Input'!R26/1000</f>
        <v>0</v>
      </c>
      <c r="T16" s="306">
        <f>'Income Stat Yahoo Input'!S26/1000</f>
        <v>22000</v>
      </c>
    </row>
    <row r="17" spans="2:20" ht="11.5" customHeight="1" thickBot="1">
      <c r="B17" s="7" t="s">
        <v>12</v>
      </c>
      <c r="C17" s="307">
        <f>+C15-C16</f>
        <v>-23000</v>
      </c>
      <c r="D17" s="307">
        <f>+D15-D16</f>
        <v>-21000</v>
      </c>
      <c r="E17" s="307">
        <f>+E15-E16</f>
        <v>-15000</v>
      </c>
      <c r="F17" s="351">
        <f t="shared" ref="F17:M17" si="19">+F15-F16</f>
        <v>-15000</v>
      </c>
      <c r="G17" s="351">
        <f t="shared" si="19"/>
        <v>-23000</v>
      </c>
      <c r="H17" s="307">
        <f t="shared" si="19"/>
        <v>-41000</v>
      </c>
      <c r="I17" s="307">
        <f t="shared" si="19"/>
        <v>-15000</v>
      </c>
      <c r="J17" s="307">
        <f t="shared" si="19"/>
        <v>-24000</v>
      </c>
      <c r="K17" s="307">
        <f t="shared" si="19"/>
        <v>-17000</v>
      </c>
      <c r="L17" s="307">
        <f t="shared" si="19"/>
        <v>-12000</v>
      </c>
      <c r="M17" s="307">
        <f t="shared" si="19"/>
        <v>14000</v>
      </c>
      <c r="N17" s="307">
        <f t="shared" ref="N17:O17" si="20">+N15-N16</f>
        <v>26000</v>
      </c>
      <c r="O17" s="307">
        <f t="shared" si="20"/>
        <v>0</v>
      </c>
      <c r="P17" s="307">
        <f t="shared" ref="P17:R17" si="21">+P15-P16</f>
        <v>9000</v>
      </c>
      <c r="Q17" s="307">
        <f t="shared" si="21"/>
        <v>-61000</v>
      </c>
      <c r="R17" s="319">
        <f t="shared" si="21"/>
        <v>48000</v>
      </c>
      <c r="S17" s="307">
        <f t="shared" ref="S17:T17" si="22">+S15-S16</f>
        <v>-23000</v>
      </c>
      <c r="T17" s="307">
        <f t="shared" si="22"/>
        <v>-167000</v>
      </c>
    </row>
    <row r="18" spans="2:20" ht="11.5" customHeight="1" thickTop="1">
      <c r="N18" s="54"/>
      <c r="O18" s="54"/>
      <c r="P18" s="54"/>
      <c r="Q18" s="54"/>
      <c r="R18" s="54"/>
      <c r="S18" s="54"/>
      <c r="T18" s="54"/>
    </row>
    <row r="19" spans="2:20" ht="15" customHeight="1">
      <c r="B19" s="99" t="s">
        <v>517</v>
      </c>
      <c r="C19" s="99"/>
      <c r="D19" s="99"/>
      <c r="E19" s="99"/>
      <c r="F19" s="100"/>
      <c r="G19" s="100"/>
      <c r="H19" s="100"/>
      <c r="I19" s="100"/>
      <c r="J19" s="101"/>
      <c r="K19" s="102"/>
      <c r="L19" s="102"/>
      <c r="M19" s="103"/>
      <c r="N19" s="103"/>
      <c r="O19" s="103"/>
      <c r="P19" s="103"/>
      <c r="Q19" s="103"/>
      <c r="R19" s="103"/>
      <c r="S19" s="103"/>
      <c r="T19" s="103"/>
    </row>
    <row r="20" spans="2:20" ht="19.75" customHeight="1">
      <c r="B20" s="94"/>
      <c r="C20" s="221" t="str">
        <f>C5</f>
        <v>Dec 31</v>
      </c>
      <c r="D20" s="221" t="str">
        <f>D5</f>
        <v>Dec 31</v>
      </c>
      <c r="E20" s="221" t="str">
        <f t="shared" ref="E20:P20" si="23">E5</f>
        <v>Dec 31</v>
      </c>
      <c r="F20" s="354" t="str">
        <f t="shared" si="23"/>
        <v>Dec 31</v>
      </c>
      <c r="G20" s="354" t="str">
        <f t="shared" si="23"/>
        <v>Dec 31</v>
      </c>
      <c r="H20" s="221" t="str">
        <f t="shared" si="23"/>
        <v>Dec 31</v>
      </c>
      <c r="I20" s="221" t="str">
        <f t="shared" si="23"/>
        <v>Dec 31</v>
      </c>
      <c r="J20" s="221" t="str">
        <f t="shared" si="23"/>
        <v>Dec 31</v>
      </c>
      <c r="K20" s="221" t="str">
        <f t="shared" si="23"/>
        <v>Dec 31</v>
      </c>
      <c r="L20" s="221" t="str">
        <f t="shared" si="23"/>
        <v>Dec 31</v>
      </c>
      <c r="M20" s="221" t="str">
        <f t="shared" si="23"/>
        <v>Dec 31</v>
      </c>
      <c r="N20" s="221" t="str">
        <f t="shared" si="23"/>
        <v>Dec 31</v>
      </c>
      <c r="O20" s="221" t="str">
        <f t="shared" si="23"/>
        <v>Dec 31</v>
      </c>
      <c r="P20" s="221" t="str">
        <f t="shared" si="23"/>
        <v>Dec 31</v>
      </c>
      <c r="Q20" s="221" t="str">
        <f t="shared" ref="Q20:R20" si="24">Q5</f>
        <v>Dec 31</v>
      </c>
      <c r="R20" s="322" t="str">
        <f t="shared" si="24"/>
        <v>Dec 31</v>
      </c>
      <c r="S20" s="221" t="str">
        <f t="shared" ref="S20:T20" si="25">S5</f>
        <v>Dec 31</v>
      </c>
      <c r="T20" s="221" t="str">
        <f t="shared" si="25"/>
        <v>Dec 31</v>
      </c>
    </row>
    <row r="21" spans="2:20" s="6" customFormat="1" ht="20.5" customHeight="1" thickBot="1">
      <c r="B21" s="96" t="s">
        <v>1</v>
      </c>
      <c r="C21" s="97">
        <f>+C6</f>
        <v>2024</v>
      </c>
      <c r="D21" s="97">
        <f>+D6</f>
        <v>2023</v>
      </c>
      <c r="E21" s="97">
        <f t="shared" ref="E21:P21" si="26">+E6</f>
        <v>2022</v>
      </c>
      <c r="F21" s="343">
        <f t="shared" si="26"/>
        <v>2021</v>
      </c>
      <c r="G21" s="343">
        <f t="shared" si="26"/>
        <v>2020</v>
      </c>
      <c r="H21" s="97">
        <f t="shared" si="26"/>
        <v>2019</v>
      </c>
      <c r="I21" s="97">
        <f t="shared" si="26"/>
        <v>2018</v>
      </c>
      <c r="J21" s="97">
        <f t="shared" si="26"/>
        <v>2017</v>
      </c>
      <c r="K21" s="97">
        <f t="shared" si="26"/>
        <v>2016</v>
      </c>
      <c r="L21" s="97">
        <f t="shared" si="26"/>
        <v>2015</v>
      </c>
      <c r="M21" s="97">
        <f t="shared" si="26"/>
        <v>2014</v>
      </c>
      <c r="N21" s="97">
        <f t="shared" si="26"/>
        <v>2013</v>
      </c>
      <c r="O21" s="97">
        <f t="shared" si="26"/>
        <v>2012</v>
      </c>
      <c r="P21" s="97">
        <f t="shared" si="26"/>
        <v>2011</v>
      </c>
      <c r="Q21" s="97">
        <f t="shared" ref="Q21:R21" si="27">+Q6</f>
        <v>2010</v>
      </c>
      <c r="R21" s="316">
        <f t="shared" si="27"/>
        <v>2009</v>
      </c>
      <c r="S21" s="97">
        <f t="shared" ref="S21:T21" si="28">+S6</f>
        <v>2008</v>
      </c>
      <c r="T21" s="97">
        <f t="shared" si="28"/>
        <v>2007</v>
      </c>
    </row>
    <row r="22" spans="2:20" ht="11.5" customHeight="1">
      <c r="B22" s="212" t="s">
        <v>13</v>
      </c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13"/>
      <c r="P22" s="213"/>
      <c r="Q22" s="213"/>
      <c r="R22" s="213"/>
      <c r="S22" s="213"/>
      <c r="T22" s="213"/>
    </row>
    <row r="23" spans="2:20" ht="11.5" customHeight="1">
      <c r="B23" s="11" t="s">
        <v>14</v>
      </c>
      <c r="C23" s="11"/>
      <c r="D23" s="11"/>
      <c r="E23" s="11"/>
      <c r="F23" s="355"/>
      <c r="G23" s="355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310"/>
      <c r="S23" s="11"/>
      <c r="T23" s="11"/>
    </row>
    <row r="24" spans="2:20" ht="11.5" customHeight="1">
      <c r="B24" s="8" t="s">
        <v>15</v>
      </c>
      <c r="C24" s="9">
        <f>'Balance Sheet Yahoo Input'!B4/1000</f>
        <v>1383000</v>
      </c>
      <c r="D24" s="9">
        <f>'Balance Sheet Yahoo Input'!C4/1000</f>
        <v>896000</v>
      </c>
      <c r="E24" s="9">
        <f>'Balance Sheet Yahoo Input'!D4/1000</f>
        <v>1149000</v>
      </c>
      <c r="F24" s="347">
        <f>'Balance Sheet Yahoo Input'!E4/1000</f>
        <v>1187000</v>
      </c>
      <c r="G24" s="347">
        <f>'Balance Sheet Yahoo Input'!F4/1000</f>
        <v>1882000</v>
      </c>
      <c r="H24" s="9">
        <f>'Balance Sheet Yahoo Input'!G4/1000</f>
        <v>961000</v>
      </c>
      <c r="I24" s="9">
        <f>'Balance Sheet Yahoo Input'!H4/1000</f>
        <v>686000</v>
      </c>
      <c r="J24" s="9">
        <f>'Balance Sheet Yahoo Input'!I4/1000</f>
        <v>552000</v>
      </c>
      <c r="K24" s="9">
        <f>'Balance Sheet Yahoo Input'!J4/1000</f>
        <v>538000</v>
      </c>
      <c r="L24" s="9">
        <f>'Balance Sheet Yahoo Input'!K4/1000</f>
        <v>503000</v>
      </c>
      <c r="M24" s="9">
        <f>'Balance Sheet Yahoo Input'!L4/1000</f>
        <v>815000</v>
      </c>
      <c r="N24" s="9">
        <f>'Balance Sheet Yahoo Input'!M4/1000</f>
        <v>484000</v>
      </c>
      <c r="O24" s="9">
        <f>'Balance Sheet Yahoo Input'!N4/1000</f>
        <v>927000</v>
      </c>
      <c r="P24" s="9">
        <f>'Balance Sheet Yahoo Input'!O4/1000</f>
        <v>1122000</v>
      </c>
      <c r="Q24" s="9">
        <f>'Balance Sheet Yahoo Input'!P4/1000</f>
        <v>1634000</v>
      </c>
      <c r="R24" s="311">
        <f>'Balance Sheet Yahoo Input'!Q4/1000</f>
        <v>1431000</v>
      </c>
      <c r="S24" s="9">
        <f>'Balance Sheet Yahoo Input'!R4/1000</f>
        <v>428000</v>
      </c>
      <c r="T24" s="9">
        <f>'Balance Sheet Yahoo Input'!S4/1000</f>
        <v>409000</v>
      </c>
    </row>
    <row r="25" spans="2:20" ht="11.5" customHeight="1">
      <c r="B25" s="8" t="s">
        <v>16</v>
      </c>
      <c r="C25" s="12">
        <f>+'Balance Sheet Yahoo Input'!B6/1000</f>
        <v>372000</v>
      </c>
      <c r="D25" s="12">
        <f>+'Balance Sheet Yahoo Input'!C6/1000</f>
        <v>15000</v>
      </c>
      <c r="E25" s="12">
        <f>+'Balance Sheet Yahoo Input'!D6/1000</f>
        <v>158000</v>
      </c>
      <c r="F25" s="356">
        <f>+'Balance Sheet Yahoo Input'!E6/1000</f>
        <v>227000</v>
      </c>
      <c r="G25" s="356">
        <f>+'Balance Sheet Yahoo Input'!F6/1000</f>
        <v>675000</v>
      </c>
      <c r="H25" s="12">
        <f>+'Balance Sheet Yahoo Input'!G6/1000</f>
        <v>68000</v>
      </c>
      <c r="I25" s="12">
        <f>+'Balance Sheet Yahoo Input'!H6/1000</f>
        <v>116000</v>
      </c>
      <c r="J25" s="12">
        <f>+'Balance Sheet Yahoo Input'!I6/1000</f>
        <v>49000</v>
      </c>
      <c r="K25" s="12">
        <f>+'Balance Sheet Yahoo Input'!J6/1000</f>
        <v>56000</v>
      </c>
      <c r="L25" s="12">
        <f>+'Balance Sheet Yahoo Input'!K6/1000</f>
        <v>46000</v>
      </c>
      <c r="M25" s="12">
        <f>+'Balance Sheet Yahoo Input'!L6/1000</f>
        <v>130000</v>
      </c>
      <c r="N25" s="12">
        <f>+'Balance Sheet Yahoo Input'!M6/1000</f>
        <v>30000</v>
      </c>
      <c r="O25" s="12">
        <f>+'Balance Sheet Yahoo Input'!N6/1000</f>
        <v>514000</v>
      </c>
      <c r="P25" s="12">
        <f>+'Balance Sheet Yahoo Input'!O6/1000</f>
        <v>588000</v>
      </c>
      <c r="Q25" s="12">
        <f>+'Balance Sheet Yahoo Input'!P6/1000</f>
        <v>524000</v>
      </c>
      <c r="R25" s="312">
        <f>+'Balance Sheet Yahoo Input'!Q6/1000</f>
        <v>104000</v>
      </c>
      <c r="S25" s="12">
        <f>+'Balance Sheet Yahoo Input'!R6/1000</f>
        <v>0</v>
      </c>
      <c r="T25" s="12">
        <f>+'Balance Sheet Yahoo Input'!S6/1000</f>
        <v>0</v>
      </c>
    </row>
    <row r="26" spans="2:20" ht="11.5" customHeight="1">
      <c r="B26" s="141" t="s">
        <v>17</v>
      </c>
      <c r="C26" s="136">
        <f>+C24+C25</f>
        <v>1755000</v>
      </c>
      <c r="D26" s="136">
        <f>+D24+D25</f>
        <v>911000</v>
      </c>
      <c r="E26" s="136">
        <f t="shared" ref="E26:P26" si="29">+E24+E25</f>
        <v>1307000</v>
      </c>
      <c r="F26" s="347">
        <f t="shared" si="29"/>
        <v>1414000</v>
      </c>
      <c r="G26" s="347">
        <f t="shared" si="29"/>
        <v>2557000</v>
      </c>
      <c r="H26" s="136">
        <f t="shared" si="29"/>
        <v>1029000</v>
      </c>
      <c r="I26" s="136">
        <f t="shared" si="29"/>
        <v>802000</v>
      </c>
      <c r="J26" s="136">
        <f t="shared" si="29"/>
        <v>601000</v>
      </c>
      <c r="K26" s="136">
        <f t="shared" si="29"/>
        <v>594000</v>
      </c>
      <c r="L26" s="136">
        <f t="shared" si="29"/>
        <v>549000</v>
      </c>
      <c r="M26" s="136">
        <f t="shared" si="29"/>
        <v>945000</v>
      </c>
      <c r="N26" s="136">
        <f t="shared" si="29"/>
        <v>514000</v>
      </c>
      <c r="O26" s="136">
        <f t="shared" si="29"/>
        <v>1441000</v>
      </c>
      <c r="P26" s="136">
        <f t="shared" si="29"/>
        <v>1710000</v>
      </c>
      <c r="Q26" s="136">
        <f t="shared" ref="Q26" si="30">+Q24+Q25</f>
        <v>2158000</v>
      </c>
      <c r="R26" s="311">
        <f t="shared" ref="R26:T26" si="31">+R24+R25</f>
        <v>1535000</v>
      </c>
      <c r="S26" s="136">
        <f t="shared" si="31"/>
        <v>428000</v>
      </c>
      <c r="T26" s="136">
        <f t="shared" si="31"/>
        <v>409000</v>
      </c>
    </row>
    <row r="27" spans="2:20" ht="11.5" customHeight="1">
      <c r="B27" s="8" t="s">
        <v>18</v>
      </c>
      <c r="C27" s="9">
        <f>'Balance Sheet Yahoo Input'!B10/1000</f>
        <v>-62000</v>
      </c>
      <c r="D27" s="9">
        <f>'Balance Sheet Yahoo Input'!C10/1000</f>
        <v>-50000</v>
      </c>
      <c r="E27" s="9">
        <f>'Balance Sheet Yahoo Input'!D10/1000</f>
        <v>-63000</v>
      </c>
      <c r="F27" s="347">
        <f>'Balance Sheet Yahoo Input'!E10/1000</f>
        <v>-53000</v>
      </c>
      <c r="G27" s="347">
        <f>'Balance Sheet Yahoo Input'!F10/1000</f>
        <v>-56000</v>
      </c>
      <c r="H27" s="9">
        <f>'Balance Sheet Yahoo Input'!G10/1000</f>
        <v>-32000</v>
      </c>
      <c r="I27" s="9">
        <f>'Balance Sheet Yahoo Input'!H10/1000</f>
        <v>-26000</v>
      </c>
      <c r="J27" s="9">
        <f>'Balance Sheet Yahoo Input'!I10/1000</f>
        <v>-21000</v>
      </c>
      <c r="K27" s="9">
        <f>'Balance Sheet Yahoo Input'!J10/1000</f>
        <v>-18000</v>
      </c>
      <c r="L27" s="9">
        <f>'Balance Sheet Yahoo Input'!K10/1000</f>
        <v>-15000</v>
      </c>
      <c r="M27" s="9">
        <f>'Balance Sheet Yahoo Input'!L10/1000</f>
        <v>-13000</v>
      </c>
      <c r="N27" s="9">
        <f>'Balance Sheet Yahoo Input'!M10/1000</f>
        <v>-11000</v>
      </c>
      <c r="O27" s="9">
        <f>'Balance Sheet Yahoo Input'!N10/1000</f>
        <v>-11000</v>
      </c>
      <c r="P27" s="9">
        <f>'Balance Sheet Yahoo Input'!O10/1000</f>
        <v>-10000</v>
      </c>
      <c r="Q27" s="9">
        <f>'Balance Sheet Yahoo Input'!P10/1000</f>
        <v>0</v>
      </c>
      <c r="R27" s="311">
        <f>'Balance Sheet Yahoo Input'!Q10/1000</f>
        <v>0</v>
      </c>
      <c r="S27" s="9">
        <f>'Balance Sheet Yahoo Input'!R10/1000</f>
        <v>0</v>
      </c>
      <c r="T27" s="9">
        <f>'Balance Sheet Yahoo Input'!S10/1000</f>
        <v>0</v>
      </c>
    </row>
    <row r="28" spans="2:20" ht="11.5" customHeight="1">
      <c r="B28" s="8" t="s">
        <v>19</v>
      </c>
      <c r="C28" s="9">
        <f>'Balance Sheet Yahoo Input'!B14/1000</f>
        <v>0</v>
      </c>
      <c r="D28" s="9">
        <f>'Balance Sheet Yahoo Input'!C14/1000</f>
        <v>0</v>
      </c>
      <c r="E28" s="9">
        <f>'Balance Sheet Yahoo Input'!D14/1000</f>
        <v>0</v>
      </c>
      <c r="F28" s="347">
        <f>'Balance Sheet Yahoo Input'!E14/1000</f>
        <v>0</v>
      </c>
      <c r="G28" s="347">
        <f>'Balance Sheet Yahoo Input'!F14/1000</f>
        <v>0</v>
      </c>
      <c r="H28" s="9">
        <f>'Balance Sheet Yahoo Input'!G14/1000</f>
        <v>0</v>
      </c>
      <c r="I28" s="9">
        <f>'Balance Sheet Yahoo Input'!H14/1000</f>
        <v>0</v>
      </c>
      <c r="J28" s="9">
        <f>'Balance Sheet Yahoo Input'!I14/1000</f>
        <v>0</v>
      </c>
      <c r="K28" s="9">
        <f>'Balance Sheet Yahoo Input'!J14/1000</f>
        <v>0</v>
      </c>
      <c r="L28" s="9">
        <f>'Balance Sheet Yahoo Input'!K14/1000</f>
        <v>0</v>
      </c>
      <c r="M28" s="9">
        <f>'Balance Sheet Yahoo Input'!L14/1000</f>
        <v>26000</v>
      </c>
      <c r="N28" s="9">
        <f>'Balance Sheet Yahoo Input'!M14/1000</f>
        <v>11000</v>
      </c>
      <c r="O28" s="9">
        <f>'Balance Sheet Yahoo Input'!N14/1000</f>
        <v>19000</v>
      </c>
      <c r="P28" s="9">
        <f>'Balance Sheet Yahoo Input'!O14/1000</f>
        <v>23000</v>
      </c>
      <c r="Q28" s="9">
        <f>'Balance Sheet Yahoo Input'!P14/1000</f>
        <v>29000</v>
      </c>
      <c r="R28" s="311">
        <f>'Balance Sheet Yahoo Input'!Q14/1000</f>
        <v>23000</v>
      </c>
      <c r="S28" s="9">
        <f>'Balance Sheet Yahoo Input'!R14/1000</f>
        <v>51000</v>
      </c>
      <c r="T28" s="9">
        <f>'Balance Sheet Yahoo Input'!S14/1000</f>
        <v>25000</v>
      </c>
    </row>
    <row r="29" spans="2:20" ht="11.5" customHeight="1">
      <c r="B29" s="8" t="s">
        <v>509</v>
      </c>
      <c r="C29" s="9">
        <f>'Balance Sheet Yahoo Input'!B15/1000</f>
        <v>0</v>
      </c>
      <c r="D29" s="9">
        <f>'Balance Sheet Yahoo Input'!C15/1000</f>
        <v>0</v>
      </c>
      <c r="E29" s="9">
        <f>'Balance Sheet Yahoo Input'!D15/1000</f>
        <v>0</v>
      </c>
      <c r="F29" s="347">
        <f>'Balance Sheet Yahoo Input'!E15/1000</f>
        <v>0</v>
      </c>
      <c r="G29" s="347">
        <f>'Balance Sheet Yahoo Input'!F15/1000</f>
        <v>0</v>
      </c>
      <c r="H29" s="9">
        <f>'Balance Sheet Yahoo Input'!G15/1000</f>
        <v>0</v>
      </c>
      <c r="I29" s="9">
        <f>'Balance Sheet Yahoo Input'!H15/1000</f>
        <v>0</v>
      </c>
      <c r="J29" s="9">
        <f>'Balance Sheet Yahoo Input'!I15/1000</f>
        <v>0</v>
      </c>
      <c r="K29" s="9">
        <f>'Balance Sheet Yahoo Input'!J15/1000</f>
        <v>0</v>
      </c>
      <c r="L29" s="9">
        <f>'Balance Sheet Yahoo Input'!K15/1000</f>
        <v>0</v>
      </c>
      <c r="M29" s="9">
        <f>'Balance Sheet Yahoo Input'!L15/1000</f>
        <v>26000</v>
      </c>
      <c r="N29" s="9">
        <f>'Balance Sheet Yahoo Input'!M15/1000</f>
        <v>11000</v>
      </c>
      <c r="O29" s="9">
        <f>'Balance Sheet Yahoo Input'!N15/1000</f>
        <v>19000</v>
      </c>
      <c r="P29" s="9">
        <f>'Balance Sheet Yahoo Input'!O15/1000</f>
        <v>23000</v>
      </c>
      <c r="Q29" s="9">
        <f>'Balance Sheet Yahoo Input'!P15/1000</f>
        <v>29000</v>
      </c>
      <c r="R29" s="311">
        <f>'Balance Sheet Yahoo Input'!Q15/1000</f>
        <v>23000</v>
      </c>
      <c r="S29" s="9">
        <f>'Balance Sheet Yahoo Input'!R15/1000</f>
        <v>51000</v>
      </c>
      <c r="T29" s="9">
        <f>'Balance Sheet Yahoo Input'!S15/1000</f>
        <v>25000</v>
      </c>
    </row>
    <row r="30" spans="2:20" ht="11.5" customHeight="1">
      <c r="B30" s="8" t="s">
        <v>510</v>
      </c>
      <c r="C30" s="9">
        <f>'Balance Sheet Yahoo Input'!B16/1000</f>
        <v>0</v>
      </c>
      <c r="D30" s="9">
        <f>'Balance Sheet Yahoo Input'!C16/1000</f>
        <v>62000</v>
      </c>
      <c r="E30" s="9">
        <f>'Balance Sheet Yahoo Input'!D16/1000</f>
        <v>0</v>
      </c>
      <c r="F30" s="347">
        <f>'Balance Sheet Yahoo Input'!E16/1000</f>
        <v>0</v>
      </c>
      <c r="G30" s="347">
        <f>'Balance Sheet Yahoo Input'!F16/1000</f>
        <v>0</v>
      </c>
      <c r="H30" s="9">
        <f>'Balance Sheet Yahoo Input'!G16/1000</f>
        <v>0</v>
      </c>
      <c r="I30" s="9">
        <f>'Balance Sheet Yahoo Input'!H16/1000</f>
        <v>0</v>
      </c>
      <c r="J30" s="9">
        <f>'Balance Sheet Yahoo Input'!I16/1000</f>
        <v>0</v>
      </c>
      <c r="K30" s="9">
        <f>'Balance Sheet Yahoo Input'!J16/1000</f>
        <v>0</v>
      </c>
      <c r="L30" s="9">
        <f>'Balance Sheet Yahoo Input'!K16/1000</f>
        <v>0</v>
      </c>
      <c r="M30" s="9">
        <f>'Balance Sheet Yahoo Input'!L16/1000</f>
        <v>63000</v>
      </c>
      <c r="N30" s="9">
        <f>'Balance Sheet Yahoo Input'!M16/1000</f>
        <v>0</v>
      </c>
      <c r="O30" s="9">
        <f>'Balance Sheet Yahoo Input'!N16/1000</f>
        <v>34000</v>
      </c>
      <c r="P30" s="9">
        <f>'Balance Sheet Yahoo Input'!O16/1000</f>
        <v>0</v>
      </c>
      <c r="Q30" s="9">
        <f>'Balance Sheet Yahoo Input'!P16/1000</f>
        <v>0</v>
      </c>
      <c r="R30" s="311">
        <f>'Balance Sheet Yahoo Input'!Q16/1000</f>
        <v>0</v>
      </c>
      <c r="S30" s="9">
        <f>'Balance Sheet Yahoo Input'!R16/1000</f>
        <v>0</v>
      </c>
      <c r="T30" s="9">
        <f>'Balance Sheet Yahoo Input'!S16/1000</f>
        <v>0</v>
      </c>
    </row>
    <row r="31" spans="2:20" ht="11.5" customHeight="1">
      <c r="B31" s="8" t="s">
        <v>20</v>
      </c>
      <c r="C31" s="15">
        <f t="shared" ref="C31:D31" si="32">SUM(C26:C30)</f>
        <v>1693000</v>
      </c>
      <c r="D31" s="15">
        <f t="shared" si="32"/>
        <v>923000</v>
      </c>
      <c r="E31" s="15">
        <f t="shared" ref="E31:P31" si="33">SUM(E26:E30)</f>
        <v>1244000</v>
      </c>
      <c r="F31" s="357">
        <f t="shared" si="33"/>
        <v>1361000</v>
      </c>
      <c r="G31" s="357">
        <f t="shared" si="33"/>
        <v>2501000</v>
      </c>
      <c r="H31" s="15">
        <f t="shared" si="33"/>
        <v>997000</v>
      </c>
      <c r="I31" s="15">
        <f t="shared" si="33"/>
        <v>776000</v>
      </c>
      <c r="J31" s="15">
        <f t="shared" si="33"/>
        <v>580000</v>
      </c>
      <c r="K31" s="15">
        <f t="shared" si="33"/>
        <v>576000</v>
      </c>
      <c r="L31" s="15">
        <f t="shared" si="33"/>
        <v>534000</v>
      </c>
      <c r="M31" s="15">
        <f t="shared" si="33"/>
        <v>1047000</v>
      </c>
      <c r="N31" s="15">
        <f t="shared" si="33"/>
        <v>525000</v>
      </c>
      <c r="O31" s="15">
        <f t="shared" si="33"/>
        <v>1502000</v>
      </c>
      <c r="P31" s="15">
        <f t="shared" si="33"/>
        <v>1746000</v>
      </c>
      <c r="Q31" s="15">
        <f t="shared" ref="Q31:R31" si="34">SUM(Q26:Q30)</f>
        <v>2216000</v>
      </c>
      <c r="R31" s="313">
        <f t="shared" si="34"/>
        <v>1581000</v>
      </c>
      <c r="S31" s="15">
        <f t="shared" ref="S31:T31" si="35">SUM(S26:S30)</f>
        <v>530000</v>
      </c>
      <c r="T31" s="15">
        <f t="shared" si="35"/>
        <v>459000</v>
      </c>
    </row>
    <row r="32" spans="2:20" ht="11.5" customHeight="1">
      <c r="B32" s="14"/>
      <c r="C32" s="9"/>
      <c r="D32" s="9"/>
      <c r="E32" s="9"/>
      <c r="F32" s="347"/>
      <c r="G32" s="347"/>
      <c r="H32" s="9"/>
      <c r="I32" s="9"/>
      <c r="J32" s="9"/>
      <c r="K32" s="9"/>
      <c r="L32" s="9"/>
      <c r="M32" s="9"/>
      <c r="N32" s="9"/>
      <c r="O32" s="9"/>
      <c r="P32" s="9"/>
      <c r="Q32" s="9"/>
      <c r="R32" s="311"/>
      <c r="S32" s="9"/>
      <c r="T32" s="9"/>
    </row>
    <row r="33" spans="2:21" ht="11.5" customHeight="1">
      <c r="B33" s="11" t="s">
        <v>21</v>
      </c>
      <c r="C33" s="9"/>
      <c r="D33" s="9"/>
      <c r="E33" s="9"/>
      <c r="F33" s="347"/>
      <c r="G33" s="347"/>
      <c r="H33" s="9"/>
      <c r="I33" s="9"/>
      <c r="J33" s="9"/>
      <c r="K33" s="9"/>
      <c r="L33" s="9"/>
      <c r="M33" s="9"/>
      <c r="N33" s="9"/>
      <c r="O33" s="9"/>
      <c r="P33" s="9"/>
      <c r="Q33" s="9"/>
      <c r="R33" s="311"/>
      <c r="S33" s="9"/>
      <c r="T33" s="9"/>
    </row>
    <row r="34" spans="2:21" ht="11.5" customHeight="1">
      <c r="B34" s="141" t="s">
        <v>22</v>
      </c>
      <c r="C34" s="136">
        <f>'Balance Sheet Yahoo Input'!B20/1000</f>
        <v>3545000</v>
      </c>
      <c r="D34" s="136">
        <f>'Balance Sheet Yahoo Input'!C20/1000</f>
        <v>4958000</v>
      </c>
      <c r="E34" s="136">
        <f>'Balance Sheet Yahoo Input'!D20/1000</f>
        <v>4950000</v>
      </c>
      <c r="F34" s="347">
        <f>'Balance Sheet Yahoo Input'!E20/1000</f>
        <v>5612000</v>
      </c>
      <c r="G34" s="347">
        <f>'Balance Sheet Yahoo Input'!F20/1000</f>
        <v>5948000</v>
      </c>
      <c r="H34" s="136">
        <f>'Balance Sheet Yahoo Input'!G20/1000</f>
        <v>6098000</v>
      </c>
      <c r="I34" s="136">
        <f>'Balance Sheet Yahoo Input'!H20/1000</f>
        <v>5847000</v>
      </c>
      <c r="J34" s="136">
        <f>'Balance Sheet Yahoo Input'!I20/1000</f>
        <v>6332000</v>
      </c>
      <c r="K34" s="136">
        <f>'Balance Sheet Yahoo Input'!J20/1000</f>
        <v>6634000</v>
      </c>
      <c r="L34" s="136">
        <f>'Balance Sheet Yahoo Input'!K20/1000</f>
        <v>6252000</v>
      </c>
      <c r="M34" s="136">
        <f>'Balance Sheet Yahoo Input'!L20/1000</f>
        <v>6208000</v>
      </c>
      <c r="N34" s="136">
        <f>'Balance Sheet Yahoo Input'!M20/1000</f>
        <v>7016000</v>
      </c>
      <c r="O34" s="136">
        <f>'Balance Sheet Yahoo Input'!N20/1000</f>
        <v>6351000</v>
      </c>
      <c r="P34" s="136">
        <f>'Balance Sheet Yahoo Input'!O20/1000</f>
        <v>6083000</v>
      </c>
      <c r="Q34" s="136">
        <f>'Balance Sheet Yahoo Input'!P20/1000</f>
        <v>5437000</v>
      </c>
      <c r="R34" s="311">
        <f>'Balance Sheet Yahoo Input'!Q20/1000</f>
        <v>5499000</v>
      </c>
      <c r="S34" s="136">
        <f>'Balance Sheet Yahoo Input'!R20/1000</f>
        <v>5211000</v>
      </c>
      <c r="T34" s="136">
        <f>'Balance Sheet Yahoo Input'!S20/1000</f>
        <v>5211000</v>
      </c>
    </row>
    <row r="35" spans="2:21" ht="11.5" customHeight="1">
      <c r="B35" s="8" t="s">
        <v>23</v>
      </c>
      <c r="C35" s="9">
        <f>+C36-C34</f>
        <v>-1528000</v>
      </c>
      <c r="D35" s="9">
        <f>+D36-D34</f>
        <v>-2249000</v>
      </c>
      <c r="E35" s="9">
        <f t="shared" ref="E35:P35" si="36">+E36-E34</f>
        <v>-2181000</v>
      </c>
      <c r="F35" s="347">
        <f t="shared" si="36"/>
        <v>-2318000</v>
      </c>
      <c r="G35" s="347">
        <f t="shared" si="36"/>
        <v>-2348000</v>
      </c>
      <c r="H35" s="9">
        <f t="shared" si="36"/>
        <v>-2149000</v>
      </c>
      <c r="I35" s="9">
        <f t="shared" si="36"/>
        <v>-2239000</v>
      </c>
      <c r="J35" s="9">
        <f t="shared" si="36"/>
        <v>-2298000</v>
      </c>
      <c r="K35" s="9">
        <f t="shared" si="36"/>
        <v>-2364000</v>
      </c>
      <c r="L35" s="9">
        <f t="shared" si="36"/>
        <v>-2221000</v>
      </c>
      <c r="M35" s="9">
        <f t="shared" si="36"/>
        <v>-2022000</v>
      </c>
      <c r="N35" s="9">
        <f t="shared" si="36"/>
        <v>-2345000</v>
      </c>
      <c r="O35" s="9">
        <f t="shared" si="36"/>
        <v>-2212000</v>
      </c>
      <c r="P35" s="9">
        <f t="shared" si="36"/>
        <v>-2040000</v>
      </c>
      <c r="Q35" s="9">
        <f t="shared" ref="Q35" si="37">+Q36-Q34</f>
        <v>-1984000</v>
      </c>
      <c r="R35" s="311">
        <f t="shared" ref="R35:T35" si="38">+R36-R34</f>
        <v>-1914000</v>
      </c>
      <c r="S35" s="9">
        <f t="shared" si="38"/>
        <v>-1716000</v>
      </c>
      <c r="T35" s="9">
        <f t="shared" si="38"/>
        <v>-1716000</v>
      </c>
    </row>
    <row r="36" spans="2:21" ht="11.5" customHeight="1">
      <c r="B36" s="8" t="s">
        <v>24</v>
      </c>
      <c r="C36" s="15">
        <f>'Balance Sheet Yahoo Input'!B19/1000</f>
        <v>2017000</v>
      </c>
      <c r="D36" s="15">
        <f>'Balance Sheet Yahoo Input'!C19/1000</f>
        <v>2709000</v>
      </c>
      <c r="E36" s="15">
        <f>'Balance Sheet Yahoo Input'!D19/1000</f>
        <v>2769000</v>
      </c>
      <c r="F36" s="357">
        <f>'Balance Sheet Yahoo Input'!E19/1000</f>
        <v>3294000</v>
      </c>
      <c r="G36" s="357">
        <f>'Balance Sheet Yahoo Input'!F19/1000</f>
        <v>3600000</v>
      </c>
      <c r="H36" s="15">
        <f>'Balance Sheet Yahoo Input'!G19/1000</f>
        <v>3949000</v>
      </c>
      <c r="I36" s="15">
        <f>'Balance Sheet Yahoo Input'!H19/1000</f>
        <v>3608000</v>
      </c>
      <c r="J36" s="15">
        <f>'Balance Sheet Yahoo Input'!I19/1000</f>
        <v>4034000</v>
      </c>
      <c r="K36" s="15">
        <f>'Balance Sheet Yahoo Input'!J19/1000</f>
        <v>4270000</v>
      </c>
      <c r="L36" s="15">
        <f>'Balance Sheet Yahoo Input'!K19/1000</f>
        <v>4031000</v>
      </c>
      <c r="M36" s="15">
        <f>'Balance Sheet Yahoo Input'!L19/1000</f>
        <v>4186000</v>
      </c>
      <c r="N36" s="15">
        <f>'Balance Sheet Yahoo Input'!M19/1000</f>
        <v>4671000</v>
      </c>
      <c r="O36" s="15">
        <f>'Balance Sheet Yahoo Input'!N19/1000</f>
        <v>4139000</v>
      </c>
      <c r="P36" s="15">
        <f>'Balance Sheet Yahoo Input'!O19/1000</f>
        <v>4043000</v>
      </c>
      <c r="Q36" s="15">
        <f>'Balance Sheet Yahoo Input'!P19/1000</f>
        <v>3453000</v>
      </c>
      <c r="R36" s="313">
        <f>'Balance Sheet Yahoo Input'!Q19/1000</f>
        <v>3585000</v>
      </c>
      <c r="S36" s="15">
        <f>'Balance Sheet Yahoo Input'!R19/1000</f>
        <v>3495000</v>
      </c>
      <c r="T36" s="15">
        <f>'Balance Sheet Yahoo Input'!S19/1000</f>
        <v>3495000</v>
      </c>
    </row>
    <row r="37" spans="2:21" ht="11.5" customHeight="1">
      <c r="B37" s="8" t="s">
        <v>25</v>
      </c>
      <c r="C37" s="9">
        <f>+'Balance Sheet Yahoo Input'!B32/1000</f>
        <v>1341000</v>
      </c>
      <c r="D37" s="9">
        <f>+'Balance Sheet Yahoo Input'!C32/1000</f>
        <v>993000</v>
      </c>
      <c r="E37" s="9">
        <f>+'Balance Sheet Yahoo Input'!D32/1000</f>
        <v>833000</v>
      </c>
      <c r="F37" s="347">
        <f>+'Balance Sheet Yahoo Input'!E32/1000</f>
        <v>954000</v>
      </c>
      <c r="G37" s="347">
        <f>+'Balance Sheet Yahoo Input'!F32/1000</f>
        <v>980000</v>
      </c>
      <c r="H37" s="9">
        <f>+'Balance Sheet Yahoo Input'!G32/1000</f>
        <v>843000</v>
      </c>
      <c r="I37" s="9">
        <f>+'Balance Sheet Yahoo Input'!H32/1000</f>
        <v>735000</v>
      </c>
      <c r="J37" s="9">
        <f>+'Balance Sheet Yahoo Input'!I32/1000</f>
        <v>750000</v>
      </c>
      <c r="K37" s="9">
        <f>+'Balance Sheet Yahoo Input'!J32/1000</f>
        <v>186000</v>
      </c>
      <c r="L37" s="9">
        <f>+'Balance Sheet Yahoo Input'!K32/1000</f>
        <v>327000</v>
      </c>
      <c r="M37" s="9">
        <f>+'Balance Sheet Yahoo Input'!L32/1000</f>
        <v>334000</v>
      </c>
      <c r="N37" s="9">
        <f>+'Balance Sheet Yahoo Input'!M32/1000</f>
        <v>329000</v>
      </c>
      <c r="O37" s="9">
        <f>+'Balance Sheet Yahoo Input'!N32/1000</f>
        <v>283000</v>
      </c>
      <c r="P37" s="9">
        <f>+'Balance Sheet Yahoo Input'!O32/1000</f>
        <v>280000</v>
      </c>
      <c r="Q37" s="9">
        <f>+'Balance Sheet Yahoo Input'!P32/1000</f>
        <v>245000</v>
      </c>
      <c r="R37" s="311">
        <f>+'Balance Sheet Yahoo Input'!Q32/1000</f>
        <v>223000</v>
      </c>
      <c r="S37" s="9">
        <f>+'Balance Sheet Yahoo Input'!R32/1000</f>
        <v>204000</v>
      </c>
      <c r="T37" s="9">
        <f>+'Balance Sheet Yahoo Input'!S32/1000</f>
        <v>324000</v>
      </c>
    </row>
    <row r="38" spans="2:21" ht="11.5" customHeight="1">
      <c r="B38" s="8" t="s">
        <v>26</v>
      </c>
      <c r="C38" s="9">
        <f>+'Balance Sheet Yahoo Input'!B30/1000</f>
        <v>2541000</v>
      </c>
      <c r="D38" s="9">
        <f>+'Balance Sheet Yahoo Input'!C30/1000</f>
        <v>3205000</v>
      </c>
      <c r="E38" s="9">
        <f>+'Balance Sheet Yahoo Input'!D30/1000</f>
        <v>3101000</v>
      </c>
      <c r="F38" s="347">
        <f>+'Balance Sheet Yahoo Input'!E30/1000</f>
        <v>2965000</v>
      </c>
      <c r="G38" s="347">
        <f>+'Balance Sheet Yahoo Input'!F30/1000</f>
        <v>288000</v>
      </c>
      <c r="H38" s="9">
        <f>+'Balance Sheet Yahoo Input'!G30/1000</f>
        <v>326000</v>
      </c>
      <c r="I38" s="9">
        <f>+'Balance Sheet Yahoo Input'!H30/1000</f>
        <v>283000</v>
      </c>
      <c r="J38" s="9">
        <f>+'Balance Sheet Yahoo Input'!I30/1000</f>
        <v>150000</v>
      </c>
      <c r="K38" s="9">
        <f>+'Balance Sheet Yahoo Input'!J30/1000</f>
        <v>125000</v>
      </c>
      <c r="L38" s="9">
        <f>+'Balance Sheet Yahoo Input'!K30/1000</f>
        <v>129000</v>
      </c>
      <c r="M38" s="9">
        <f>+'Balance Sheet Yahoo Input'!L30/1000</f>
        <v>133000</v>
      </c>
      <c r="N38" s="9">
        <f>+'Balance Sheet Yahoo Input'!M30/1000</f>
        <v>147000</v>
      </c>
      <c r="O38" s="9">
        <f>+'Balance Sheet Yahoo Input'!N30/1000</f>
        <v>133000</v>
      </c>
      <c r="P38" s="9">
        <f>+'Balance Sheet Yahoo Input'!O30/1000</f>
        <v>102000</v>
      </c>
      <c r="Q38" s="9">
        <f>+'Balance Sheet Yahoo Input'!P30/1000</f>
        <v>102000</v>
      </c>
      <c r="R38" s="311">
        <f>+'Balance Sheet Yahoo Input'!Q30/1000</f>
        <v>113000</v>
      </c>
      <c r="S38" s="9">
        <f>+'Balance Sheet Yahoo Input'!R30/1000</f>
        <v>120000</v>
      </c>
      <c r="T38" s="9">
        <f>+'Balance Sheet Yahoo Input'!S30/1000</f>
        <v>203000</v>
      </c>
    </row>
    <row r="39" spans="2:21" ht="11.5" customHeight="1">
      <c r="B39" s="8" t="s">
        <v>27</v>
      </c>
      <c r="C39" s="9">
        <f>+'Balance Sheet Yahoo Input'!B31/1000</f>
        <v>2167000</v>
      </c>
      <c r="D39" s="9">
        <f>+'Balance Sheet Yahoo Input'!C31/1000</f>
        <v>1670000</v>
      </c>
      <c r="E39" s="9">
        <f>+'Balance Sheet Yahoo Input'!D31/1000</f>
        <v>1668000</v>
      </c>
      <c r="F39" s="347">
        <f>+'Balance Sheet Yahoo Input'!E31/1000</f>
        <v>1977000</v>
      </c>
      <c r="G39" s="347">
        <f>+'Balance Sheet Yahoo Input'!F31/1000</f>
        <v>385000</v>
      </c>
      <c r="H39" s="9">
        <f>+'Balance Sheet Yahoo Input'!G31/1000</f>
        <v>437000</v>
      </c>
      <c r="I39" s="9">
        <f>+'Balance Sheet Yahoo Input'!H31/1000</f>
        <v>628000</v>
      </c>
      <c r="J39" s="9">
        <f>+'Balance Sheet Yahoo Input'!I31/1000</f>
        <v>305000</v>
      </c>
      <c r="K39" s="9">
        <f>+'Balance Sheet Yahoo Input'!J31/1000</f>
        <v>599000</v>
      </c>
      <c r="L39" s="9">
        <f>+'Balance Sheet Yahoo Input'!K31/1000</f>
        <v>547000</v>
      </c>
      <c r="M39" s="9">
        <f>+'Balance Sheet Yahoo Input'!L31/1000</f>
        <v>552000</v>
      </c>
      <c r="N39" s="9">
        <f>+'Balance Sheet Yahoo Input'!M31/1000</f>
        <v>591000</v>
      </c>
      <c r="O39" s="9">
        <f>+'Balance Sheet Yahoo Input'!N31/1000</f>
        <v>388000</v>
      </c>
      <c r="P39" s="9">
        <f>+'Balance Sheet Yahoo Input'!O31/1000</f>
        <v>359000</v>
      </c>
      <c r="Q39" s="9">
        <f>+'Balance Sheet Yahoo Input'!P31/1000</f>
        <v>280000</v>
      </c>
      <c r="R39" s="311">
        <f>+'Balance Sheet Yahoo Input'!Q31/1000</f>
        <v>284000</v>
      </c>
      <c r="S39" s="9">
        <f>+'Balance Sheet Yahoo Input'!R31/1000</f>
        <v>256000</v>
      </c>
      <c r="T39" s="9">
        <f>+'Balance Sheet Yahoo Input'!S31/1000</f>
        <v>359000</v>
      </c>
    </row>
    <row r="40" spans="2:21" ht="11.5" customHeight="1">
      <c r="B40" s="8" t="s">
        <v>28</v>
      </c>
      <c r="C40" s="12">
        <f>+C42-C39-C38-C37-C36-C31</f>
        <v>3565000</v>
      </c>
      <c r="D40" s="12">
        <f>+D42-D39-D38-D37-D36-D31</f>
        <v>3333000</v>
      </c>
      <c r="E40" s="12">
        <f t="shared" ref="E40:P40" si="39">+E42-E39-E38-E37-E36-E31</f>
        <v>2697000</v>
      </c>
      <c r="F40" s="356">
        <f t="shared" si="39"/>
        <v>2052000</v>
      </c>
      <c r="G40" s="356">
        <f t="shared" si="39"/>
        <v>1375000</v>
      </c>
      <c r="H40" s="12">
        <f t="shared" si="39"/>
        <v>1865000</v>
      </c>
      <c r="I40" s="12">
        <f t="shared" si="39"/>
        <v>1613000</v>
      </c>
      <c r="J40" s="12">
        <f t="shared" si="39"/>
        <v>1753000</v>
      </c>
      <c r="K40" s="12">
        <f t="shared" si="39"/>
        <v>1993000</v>
      </c>
      <c r="L40" s="12">
        <f t="shared" si="39"/>
        <v>2023000</v>
      </c>
      <c r="M40" s="12">
        <f t="shared" si="39"/>
        <v>1891000</v>
      </c>
      <c r="N40" s="12">
        <f t="shared" si="39"/>
        <v>1914000</v>
      </c>
      <c r="O40" s="12">
        <f t="shared" si="39"/>
        <v>1185000</v>
      </c>
      <c r="P40" s="12">
        <f t="shared" si="39"/>
        <v>977000</v>
      </c>
      <c r="Q40" s="12">
        <f t="shared" ref="Q40" si="40">+Q42-Q39-Q38-Q37-Q36-Q31</f>
        <v>947000</v>
      </c>
      <c r="R40" s="312">
        <f t="shared" ref="R40:T40" si="41">+R42-R39-R38-R37-R36-R31</f>
        <v>1369000</v>
      </c>
      <c r="S40" s="12">
        <f t="shared" si="41"/>
        <v>1514000</v>
      </c>
      <c r="T40" s="12">
        <f t="shared" si="41"/>
        <v>1408000</v>
      </c>
      <c r="U40" s="211" t="s">
        <v>511</v>
      </c>
    </row>
    <row r="41" spans="2:21" ht="11.5" customHeight="1">
      <c r="B41" s="8" t="s">
        <v>29</v>
      </c>
      <c r="C41" s="9">
        <f>SUM(C36:C40)</f>
        <v>11631000</v>
      </c>
      <c r="D41" s="9">
        <f>SUM(D36:D40)</f>
        <v>11910000</v>
      </c>
      <c r="E41" s="9">
        <f t="shared" ref="E41:P41" si="42">SUM(E36:E40)</f>
        <v>11068000</v>
      </c>
      <c r="F41" s="347">
        <f t="shared" si="42"/>
        <v>11242000</v>
      </c>
      <c r="G41" s="347">
        <f t="shared" si="42"/>
        <v>6628000</v>
      </c>
      <c r="H41" s="9">
        <f t="shared" si="42"/>
        <v>7420000</v>
      </c>
      <c r="I41" s="9">
        <f t="shared" si="42"/>
        <v>6867000</v>
      </c>
      <c r="J41" s="9">
        <f t="shared" si="42"/>
        <v>6992000</v>
      </c>
      <c r="K41" s="9">
        <f t="shared" si="42"/>
        <v>7173000</v>
      </c>
      <c r="L41" s="9">
        <f t="shared" si="42"/>
        <v>7057000</v>
      </c>
      <c r="M41" s="9">
        <f t="shared" si="42"/>
        <v>7096000</v>
      </c>
      <c r="N41" s="9">
        <f t="shared" si="42"/>
        <v>7652000</v>
      </c>
      <c r="O41" s="9">
        <f t="shared" si="42"/>
        <v>6128000</v>
      </c>
      <c r="P41" s="9">
        <f t="shared" si="42"/>
        <v>5761000</v>
      </c>
      <c r="Q41" s="9">
        <f t="shared" ref="Q41" si="43">SUM(Q36:Q40)</f>
        <v>5027000</v>
      </c>
      <c r="R41" s="311">
        <f t="shared" ref="R41:T41" si="44">SUM(R36:R40)</f>
        <v>5574000</v>
      </c>
      <c r="S41" s="9">
        <f t="shared" si="44"/>
        <v>5589000</v>
      </c>
      <c r="T41" s="9">
        <f t="shared" si="44"/>
        <v>5789000</v>
      </c>
    </row>
    <row r="42" spans="2:21" ht="11.5" customHeight="1" thickBot="1">
      <c r="B42" s="7" t="s">
        <v>30</v>
      </c>
      <c r="C42" s="16">
        <f>+'Balance Sheet Yahoo Input'!B2/1000</f>
        <v>13324000</v>
      </c>
      <c r="D42" s="16">
        <f>+'Balance Sheet Yahoo Input'!C2/1000</f>
        <v>12833000</v>
      </c>
      <c r="E42" s="16">
        <f>+'Balance Sheet Yahoo Input'!D2/1000</f>
        <v>12312000</v>
      </c>
      <c r="F42" s="358">
        <f>+'Balance Sheet Yahoo Input'!E2/1000</f>
        <v>12603000</v>
      </c>
      <c r="G42" s="358">
        <f>+'Balance Sheet Yahoo Input'!F2/1000</f>
        <v>9129000</v>
      </c>
      <c r="H42" s="16">
        <f>+'Balance Sheet Yahoo Input'!G2/1000</f>
        <v>8417000</v>
      </c>
      <c r="I42" s="16">
        <f>+'Balance Sheet Yahoo Input'!H2/1000</f>
        <v>7643000</v>
      </c>
      <c r="J42" s="16">
        <f>+'Balance Sheet Yahoo Input'!I2/1000</f>
        <v>7572000</v>
      </c>
      <c r="K42" s="16">
        <f>+'Balance Sheet Yahoo Input'!J2/1000</f>
        <v>7749000</v>
      </c>
      <c r="L42" s="16">
        <f>+'Balance Sheet Yahoo Input'!K2/1000</f>
        <v>7591000</v>
      </c>
      <c r="M42" s="16">
        <f>+'Balance Sheet Yahoo Input'!L2/1000</f>
        <v>8143000</v>
      </c>
      <c r="N42" s="16">
        <f>+'Balance Sheet Yahoo Input'!M2/1000</f>
        <v>8177000</v>
      </c>
      <c r="O42" s="16">
        <f>+'Balance Sheet Yahoo Input'!N2/1000</f>
        <v>7630000</v>
      </c>
      <c r="P42" s="16">
        <f>+'Balance Sheet Yahoo Input'!O2/1000</f>
        <v>7507000</v>
      </c>
      <c r="Q42" s="16">
        <f>+'Balance Sheet Yahoo Input'!P2/1000</f>
        <v>7243000</v>
      </c>
      <c r="R42" s="314">
        <f>+'Balance Sheet Yahoo Input'!Q2/1000</f>
        <v>7155000</v>
      </c>
      <c r="S42" s="16">
        <f>+'Balance Sheet Yahoo Input'!R2/1000</f>
        <v>6119000</v>
      </c>
      <c r="T42" s="16">
        <f>+'Balance Sheet Yahoo Input'!S2/1000</f>
        <v>6248000</v>
      </c>
    </row>
    <row r="43" spans="2:21" ht="11.5" customHeight="1" thickTop="1">
      <c r="B43" s="14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</row>
    <row r="44" spans="2:21" ht="11.5" customHeight="1">
      <c r="B44" s="215" t="s">
        <v>31</v>
      </c>
      <c r="C44" s="214"/>
      <c r="D44" s="214"/>
      <c r="E44" s="214"/>
      <c r="F44" s="214"/>
      <c r="G44" s="214"/>
      <c r="H44" s="214"/>
      <c r="I44" s="214"/>
      <c r="J44" s="214"/>
      <c r="K44" s="214"/>
      <c r="L44" s="214"/>
      <c r="M44" s="214"/>
      <c r="N44" s="214"/>
      <c r="O44" s="214"/>
      <c r="P44" s="214"/>
      <c r="Q44" s="214"/>
      <c r="R44" s="214"/>
      <c r="S44" s="214"/>
      <c r="T44" s="214"/>
    </row>
    <row r="45" spans="2:21" ht="11.5" customHeight="1">
      <c r="B45" s="8" t="s">
        <v>32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311"/>
      <c r="S45" s="9"/>
      <c r="T45" s="9"/>
    </row>
    <row r="46" spans="2:21" ht="11.5" customHeight="1">
      <c r="B46" s="8" t="s">
        <v>33</v>
      </c>
      <c r="C46" s="9">
        <f>+'Balance Sheet Yahoo Input'!B46/1000</f>
        <v>475000</v>
      </c>
      <c r="D46" s="9">
        <f>+'Balance Sheet Yahoo Input'!C46/1000</f>
        <v>493000</v>
      </c>
      <c r="E46" s="9">
        <f>+'Balance Sheet Yahoo Input'!D46/1000</f>
        <v>500000</v>
      </c>
      <c r="F46" s="347">
        <f>+'Balance Sheet Yahoo Input'!E46/1000</f>
        <v>523000</v>
      </c>
      <c r="G46" s="347">
        <f>+'Balance Sheet Yahoo Input'!F46/1000</f>
        <v>102000</v>
      </c>
      <c r="H46" s="9">
        <f>+'Balance Sheet Yahoo Input'!G46/1000</f>
        <v>150000</v>
      </c>
      <c r="I46" s="9">
        <f>+'Balance Sheet Yahoo Input'!H46/1000</f>
        <v>151000</v>
      </c>
      <c r="J46" s="9">
        <f>+'Balance Sheet Yahoo Input'!I46/1000</f>
        <v>136000</v>
      </c>
      <c r="K46" s="9">
        <f>+'Balance Sheet Yahoo Input'!J46/1000</f>
        <v>162000</v>
      </c>
      <c r="L46" s="9">
        <f>+'Balance Sheet Yahoo Input'!K46/1000</f>
        <v>141000</v>
      </c>
      <c r="M46" s="9">
        <f>+'Balance Sheet Yahoo Input'!L46/1000</f>
        <v>130000</v>
      </c>
      <c r="N46" s="9">
        <f>+'Balance Sheet Yahoo Input'!M46/1000</f>
        <v>133000</v>
      </c>
      <c r="O46" s="9">
        <f>+'Balance Sheet Yahoo Input'!N46/1000</f>
        <v>138000</v>
      </c>
      <c r="P46" s="9">
        <f>+'Balance Sheet Yahoo Input'!O46/1000</f>
        <v>144000</v>
      </c>
      <c r="Q46" s="9">
        <f>+'Balance Sheet Yahoo Input'!P46/1000</f>
        <v>145000</v>
      </c>
      <c r="R46" s="311">
        <f>+'Balance Sheet Yahoo Input'!Q46/1000</f>
        <v>196000</v>
      </c>
      <c r="S46" s="9">
        <f>+'Balance Sheet Yahoo Input'!R46/1000</f>
        <v>318000</v>
      </c>
      <c r="T46" s="9">
        <f>+'Balance Sheet Yahoo Input'!S46/1000</f>
        <v>303000</v>
      </c>
    </row>
    <row r="47" spans="2:21" ht="11.5" customHeight="1">
      <c r="B47" s="8" t="s">
        <v>34</v>
      </c>
      <c r="C47" s="9">
        <f>+'Balance Sheet Yahoo Input'!B49/1000</f>
        <v>565000</v>
      </c>
      <c r="D47" s="9">
        <f>+'Balance Sheet Yahoo Input'!C49/1000</f>
        <v>468000</v>
      </c>
      <c r="E47" s="9">
        <f>+'Balance Sheet Yahoo Input'!D49/1000</f>
        <v>415000</v>
      </c>
      <c r="F47" s="347">
        <f>+'Balance Sheet Yahoo Input'!E49/1000</f>
        <v>299000</v>
      </c>
      <c r="G47" s="347">
        <f>+'Balance Sheet Yahoo Input'!F49/1000</f>
        <v>200000</v>
      </c>
      <c r="H47" s="9">
        <f>+'Balance Sheet Yahoo Input'!G49/1000</f>
        <v>304000</v>
      </c>
      <c r="I47" s="9">
        <f>+'Balance Sheet Yahoo Input'!H49/1000</f>
        <v>361000</v>
      </c>
      <c r="J47" s="9">
        <f>+'Balance Sheet Yahoo Input'!I49/1000</f>
        <v>352000</v>
      </c>
      <c r="K47" s="9">
        <f>+'Balance Sheet Yahoo Input'!J49/1000</f>
        <v>514000</v>
      </c>
      <c r="L47" s="9">
        <f>+'Balance Sheet Yahoo Input'!K49/1000</f>
        <v>516000</v>
      </c>
      <c r="M47" s="9">
        <f>+'Balance Sheet Yahoo Input'!L49/1000</f>
        <v>468000</v>
      </c>
      <c r="N47" s="9">
        <f>+'Balance Sheet Yahoo Input'!M49/1000</f>
        <v>411000</v>
      </c>
      <c r="O47" s="9">
        <f>+'Balance Sheet Yahoo Input'!N49/1000</f>
        <v>338000</v>
      </c>
      <c r="P47" s="9">
        <f>+'Balance Sheet Yahoo Input'!O49/1000</f>
        <v>306000</v>
      </c>
      <c r="Q47" s="9">
        <f>+'Balance Sheet Yahoo Input'!P49/1000</f>
        <v>394000</v>
      </c>
      <c r="R47" s="311">
        <f>+'Balance Sheet Yahoo Input'!Q49/1000</f>
        <v>287000</v>
      </c>
      <c r="S47" s="9">
        <f>+'Balance Sheet Yahoo Input'!R49/1000</f>
        <v>274000</v>
      </c>
      <c r="T47" s="9">
        <f>+'Balance Sheet Yahoo Input'!S49/1000</f>
        <v>306000</v>
      </c>
    </row>
    <row r="48" spans="2:21" ht="11.5" customHeight="1">
      <c r="B48" s="8" t="s">
        <v>512</v>
      </c>
      <c r="C48" s="9">
        <f t="shared" ref="C48:D48" si="45">+C50-C46-C47-C49</f>
        <v>1778000</v>
      </c>
      <c r="D48" s="9">
        <f t="shared" si="45"/>
        <v>1866000</v>
      </c>
      <c r="E48" s="9">
        <f t="shared" ref="E48:P48" si="46">+E50-E46-E47-E49</f>
        <v>1712000</v>
      </c>
      <c r="F48" s="347">
        <f t="shared" si="46"/>
        <v>1400000</v>
      </c>
      <c r="G48" s="347">
        <f t="shared" si="46"/>
        <v>422000</v>
      </c>
      <c r="H48" s="9">
        <f t="shared" si="46"/>
        <v>621000</v>
      </c>
      <c r="I48" s="9">
        <f t="shared" si="46"/>
        <v>538000</v>
      </c>
      <c r="J48" s="9">
        <f t="shared" si="46"/>
        <v>504000</v>
      </c>
      <c r="K48" s="9">
        <f t="shared" si="46"/>
        <v>248000</v>
      </c>
      <c r="L48" s="9">
        <f t="shared" si="46"/>
        <v>450000</v>
      </c>
      <c r="M48" s="9">
        <f t="shared" si="46"/>
        <v>132000</v>
      </c>
      <c r="N48" s="9">
        <f t="shared" si="46"/>
        <v>327000</v>
      </c>
      <c r="O48" s="9">
        <f t="shared" si="46"/>
        <v>142000</v>
      </c>
      <c r="P48" s="9">
        <f t="shared" si="46"/>
        <v>118000</v>
      </c>
      <c r="Q48" s="9">
        <f t="shared" ref="Q48:R48" si="47">+Q50-Q46-Q47-Q49</f>
        <v>57000</v>
      </c>
      <c r="R48" s="311">
        <f t="shared" si="47"/>
        <v>12000</v>
      </c>
      <c r="S48" s="9">
        <f t="shared" ref="S48:T48" si="48">+S50-S46-S47-S49</f>
        <v>61000</v>
      </c>
      <c r="T48" s="9">
        <f t="shared" si="48"/>
        <v>88000</v>
      </c>
      <c r="U48" s="211" t="s">
        <v>513</v>
      </c>
    </row>
    <row r="49" spans="2:21" ht="11.5" customHeight="1">
      <c r="B49" s="141" t="s">
        <v>35</v>
      </c>
      <c r="C49" s="136">
        <f>+'Balance Sheet Yahoo Input'!B53/1000</f>
        <v>456000</v>
      </c>
      <c r="D49" s="136">
        <f>+'Balance Sheet Yahoo Input'!C53/1000</f>
        <v>751000</v>
      </c>
      <c r="E49" s="136">
        <f>+'Balance Sheet Yahoo Input'!D53/1000</f>
        <v>660000</v>
      </c>
      <c r="F49" s="347">
        <f>+'Balance Sheet Yahoo Input'!E53/1000</f>
        <v>10000</v>
      </c>
      <c r="G49" s="347">
        <f>+'Balance Sheet Yahoo Input'!F53/1000</f>
        <v>260000</v>
      </c>
      <c r="H49" s="136">
        <f>+'Balance Sheet Yahoo Input'!G53/1000</f>
        <v>11000</v>
      </c>
      <c r="I49" s="136">
        <f>+'Balance Sheet Yahoo Input'!H53/1000</f>
        <v>11000</v>
      </c>
      <c r="J49" s="136">
        <f>+'Balance Sheet Yahoo Input'!I53/1000</f>
        <v>0</v>
      </c>
      <c r="K49" s="136">
        <f>+'Balance Sheet Yahoo Input'!J53/1000</f>
        <v>0</v>
      </c>
      <c r="L49" s="136">
        <f>+'Balance Sheet Yahoo Input'!K53/1000</f>
        <v>0</v>
      </c>
      <c r="M49" s="136">
        <f>+'Balance Sheet Yahoo Input'!L53/1000</f>
        <v>0</v>
      </c>
      <c r="N49" s="136">
        <f>+'Balance Sheet Yahoo Input'!M53/1000</f>
        <v>0</v>
      </c>
      <c r="O49" s="136">
        <f>+'Balance Sheet Yahoo Input'!N53/1000</f>
        <v>0</v>
      </c>
      <c r="P49" s="136">
        <f>+'Balance Sheet Yahoo Input'!O53/1000</f>
        <v>0</v>
      </c>
      <c r="Q49" s="136">
        <f>+'Balance Sheet Yahoo Input'!P53/1000</f>
        <v>0</v>
      </c>
      <c r="R49" s="311">
        <f>+'Balance Sheet Yahoo Input'!Q53/1000</f>
        <v>0</v>
      </c>
      <c r="S49" s="136">
        <f>+'Balance Sheet Yahoo Input'!R53/1000</f>
        <v>0</v>
      </c>
      <c r="T49" s="136">
        <f>+'Balance Sheet Yahoo Input'!S53/1000</f>
        <v>0</v>
      </c>
    </row>
    <row r="50" spans="2:21" ht="11.5" customHeight="1">
      <c r="B50" s="8" t="s">
        <v>36</v>
      </c>
      <c r="C50" s="15">
        <f>'Balance Sheet Yahoo Input'!B43/1000</f>
        <v>3274000</v>
      </c>
      <c r="D50" s="15">
        <f>'Balance Sheet Yahoo Input'!C43/1000</f>
        <v>3578000</v>
      </c>
      <c r="E50" s="15">
        <f>'Balance Sheet Yahoo Input'!D43/1000</f>
        <v>3287000</v>
      </c>
      <c r="F50" s="357">
        <f>'Balance Sheet Yahoo Input'!E43/1000</f>
        <v>2232000</v>
      </c>
      <c r="G50" s="357">
        <f>'Balance Sheet Yahoo Input'!F43/1000</f>
        <v>984000</v>
      </c>
      <c r="H50" s="15">
        <f>'Balance Sheet Yahoo Input'!G43/1000</f>
        <v>1086000</v>
      </c>
      <c r="I50" s="15">
        <f>'Balance Sheet Yahoo Input'!H43/1000</f>
        <v>1061000</v>
      </c>
      <c r="J50" s="15">
        <f>'Balance Sheet Yahoo Input'!I43/1000</f>
        <v>992000</v>
      </c>
      <c r="K50" s="15">
        <f>'Balance Sheet Yahoo Input'!J43/1000</f>
        <v>924000</v>
      </c>
      <c r="L50" s="15">
        <f>'Balance Sheet Yahoo Input'!K43/1000</f>
        <v>1107000</v>
      </c>
      <c r="M50" s="15">
        <f>'Balance Sheet Yahoo Input'!L43/1000</f>
        <v>730000</v>
      </c>
      <c r="N50" s="15">
        <f>'Balance Sheet Yahoo Input'!M43/1000</f>
        <v>871000</v>
      </c>
      <c r="O50" s="15">
        <f>'Balance Sheet Yahoo Input'!N43/1000</f>
        <v>618000</v>
      </c>
      <c r="P50" s="15">
        <f>'Balance Sheet Yahoo Input'!O43/1000</f>
        <v>568000</v>
      </c>
      <c r="Q50" s="15">
        <f>'Balance Sheet Yahoo Input'!P43/1000</f>
        <v>596000</v>
      </c>
      <c r="R50" s="313">
        <f>'Balance Sheet Yahoo Input'!Q43/1000</f>
        <v>495000</v>
      </c>
      <c r="S50" s="15">
        <f>'Balance Sheet Yahoo Input'!R43/1000</f>
        <v>653000</v>
      </c>
      <c r="T50" s="15">
        <f>'Balance Sheet Yahoo Input'!S43/1000</f>
        <v>697000</v>
      </c>
    </row>
    <row r="51" spans="2:21" ht="11.5" customHeight="1">
      <c r="B51" s="17"/>
      <c r="C51" s="9"/>
      <c r="D51" s="9"/>
      <c r="E51" s="9"/>
      <c r="F51" s="347"/>
      <c r="G51" s="347"/>
      <c r="H51" s="9"/>
      <c r="I51" s="9"/>
      <c r="J51" s="9"/>
      <c r="K51" s="9"/>
      <c r="L51" s="9"/>
      <c r="M51" s="9"/>
      <c r="N51" s="9"/>
      <c r="O51" s="9"/>
      <c r="P51" s="9"/>
      <c r="Q51" s="9"/>
      <c r="R51" s="311"/>
      <c r="S51" s="9"/>
      <c r="T51" s="9"/>
    </row>
    <row r="52" spans="2:21" ht="11.5" customHeight="1">
      <c r="B52" s="11" t="s">
        <v>37</v>
      </c>
      <c r="C52" s="9"/>
      <c r="D52" s="9"/>
      <c r="E52" s="9"/>
      <c r="F52" s="347"/>
      <c r="G52" s="347"/>
      <c r="H52" s="9"/>
      <c r="I52" s="9"/>
      <c r="J52" s="9"/>
      <c r="K52" s="9"/>
      <c r="L52" s="9"/>
      <c r="M52" s="9"/>
      <c r="N52" s="9"/>
      <c r="O52" s="9"/>
      <c r="P52" s="9"/>
      <c r="Q52" s="9"/>
      <c r="R52" s="311"/>
      <c r="S52" s="9"/>
      <c r="T52" s="9"/>
    </row>
    <row r="53" spans="2:21" ht="11.5" customHeight="1">
      <c r="B53" s="141" t="s">
        <v>38</v>
      </c>
      <c r="C53" s="136">
        <f>'Balance Sheet Yahoo Input'!B61/1000</f>
        <v>3326000</v>
      </c>
      <c r="D53" s="136">
        <f>'Balance Sheet Yahoo Input'!C61/1000</f>
        <v>2305000</v>
      </c>
      <c r="E53" s="136">
        <f>'Balance Sheet Yahoo Input'!D61/1000</f>
        <v>2453000</v>
      </c>
      <c r="F53" s="347">
        <f>'Balance Sheet Yahoo Input'!E61/1000</f>
        <v>3968000</v>
      </c>
      <c r="G53" s="347">
        <f>'Balance Sheet Yahoo Input'!F61/1000</f>
        <v>2984000</v>
      </c>
      <c r="H53" s="136">
        <f>'Balance Sheet Yahoo Input'!G61/1000</f>
        <v>1612000</v>
      </c>
      <c r="I53" s="136">
        <f>'Balance Sheet Yahoo Input'!H61/1000</f>
        <v>1623000</v>
      </c>
      <c r="J53" s="136">
        <f>'Balance Sheet Yahoo Input'!I61/1000</f>
        <v>1440000</v>
      </c>
      <c r="K53" s="136">
        <f>'Balance Sheet Yahoo Input'!J61/1000</f>
        <v>1445000</v>
      </c>
      <c r="L53" s="136">
        <f>'Balance Sheet Yahoo Input'!K61/1000</f>
        <v>1042000</v>
      </c>
      <c r="M53" s="136">
        <f>'Balance Sheet Yahoo Input'!L61/1000</f>
        <v>1381000</v>
      </c>
      <c r="N53" s="136">
        <f>'Balance Sheet Yahoo Input'!M61/1000</f>
        <v>1289000</v>
      </c>
      <c r="O53" s="136">
        <f>'Balance Sheet Yahoo Input'!N61/1000</f>
        <v>1229000</v>
      </c>
      <c r="P53" s="136">
        <f>'Balance Sheet Yahoo Input'!O61/1000</f>
        <v>1221000</v>
      </c>
      <c r="Q53" s="136">
        <f>'Balance Sheet Yahoo Input'!P61/1000</f>
        <v>1516000</v>
      </c>
      <c r="R53" s="311">
        <f>'Balance Sheet Yahoo Input'!Q61/1000</f>
        <v>1620000</v>
      </c>
      <c r="S53" s="136">
        <f>'Balance Sheet Yahoo Input'!R61/1000</f>
        <v>1874000</v>
      </c>
      <c r="T53" s="136">
        <f>'Balance Sheet Yahoo Input'!S61/1000</f>
        <v>794000</v>
      </c>
    </row>
    <row r="54" spans="2:21" ht="11.5" customHeight="1">
      <c r="B54" s="8" t="s">
        <v>39</v>
      </c>
      <c r="C54" s="9">
        <f>'Balance Sheet Yahoo Input'!B64/1000</f>
        <v>171000</v>
      </c>
      <c r="D54" s="9">
        <f>'Balance Sheet Yahoo Input'!C64/1000</f>
        <v>66000</v>
      </c>
      <c r="E54" s="9">
        <f>'Balance Sheet Yahoo Input'!D64/1000</f>
        <v>72000</v>
      </c>
      <c r="F54" s="347">
        <f>'Balance Sheet Yahoo Input'!E64/1000</f>
        <v>93000</v>
      </c>
      <c r="G54" s="347">
        <f>'Balance Sheet Yahoo Input'!F64/1000</f>
        <v>48000</v>
      </c>
      <c r="H54" s="9">
        <f>'Balance Sheet Yahoo Input'!G64/1000</f>
        <v>47000</v>
      </c>
      <c r="I54" s="9">
        <f>'Balance Sheet Yahoo Input'!H64/1000</f>
        <v>54000</v>
      </c>
      <c r="J54" s="9">
        <f>'Balance Sheet Yahoo Input'!I64/1000</f>
        <v>62000</v>
      </c>
      <c r="K54" s="9">
        <f>'Balance Sheet Yahoo Input'!J64/1000</f>
        <v>57000</v>
      </c>
      <c r="L54" s="9">
        <f>'Balance Sheet Yahoo Input'!K64/1000</f>
        <v>59000</v>
      </c>
      <c r="M54" s="9">
        <f>'Balance Sheet Yahoo Input'!L64/1000</f>
        <v>66000</v>
      </c>
      <c r="N54" s="9">
        <f>'Balance Sheet Yahoo Input'!M64/1000</f>
        <v>74000</v>
      </c>
      <c r="O54" s="9">
        <f>'Balance Sheet Yahoo Input'!N64/1000</f>
        <v>80000</v>
      </c>
      <c r="P54" s="9">
        <f>'Balance Sheet Yahoo Input'!O64/1000</f>
        <v>5000</v>
      </c>
      <c r="Q54" s="9">
        <f>'Balance Sheet Yahoo Input'!P64/1000</f>
        <v>0</v>
      </c>
      <c r="R54" s="311">
        <f>'Balance Sheet Yahoo Input'!Q64/1000</f>
        <v>0</v>
      </c>
      <c r="S54" s="9">
        <f>'Balance Sheet Yahoo Input'!R64/1000</f>
        <v>0</v>
      </c>
      <c r="T54" s="9">
        <f>'Balance Sheet Yahoo Input'!S64/1000</f>
        <v>0</v>
      </c>
    </row>
    <row r="55" spans="2:21" ht="11.5" customHeight="1">
      <c r="B55" s="8" t="s">
        <v>514</v>
      </c>
      <c r="C55" s="12">
        <f>C56-C54-C53</f>
        <v>2727000</v>
      </c>
      <c r="D55" s="12">
        <f>D56-D54-D53</f>
        <v>3317000</v>
      </c>
      <c r="E55" s="12">
        <f t="shared" ref="E55:P55" si="49">E56-E54-E53</f>
        <v>2798000</v>
      </c>
      <c r="F55" s="356">
        <f t="shared" si="49"/>
        <v>2744000</v>
      </c>
      <c r="G55" s="356">
        <f t="shared" si="49"/>
        <v>1899000</v>
      </c>
      <c r="H55" s="12">
        <f t="shared" si="49"/>
        <v>1705000</v>
      </c>
      <c r="I55" s="12">
        <f t="shared" si="49"/>
        <v>1228000</v>
      </c>
      <c r="J55" s="12">
        <f t="shared" si="49"/>
        <v>1225000</v>
      </c>
      <c r="K55" s="12">
        <f t="shared" si="49"/>
        <v>1415000</v>
      </c>
      <c r="L55" s="12">
        <f t="shared" si="49"/>
        <v>1388000</v>
      </c>
      <c r="M55" s="12">
        <f t="shared" si="49"/>
        <v>1335000</v>
      </c>
      <c r="N55" s="12">
        <f t="shared" si="49"/>
        <v>1166000</v>
      </c>
      <c r="O55" s="12">
        <f t="shared" si="49"/>
        <v>882000</v>
      </c>
      <c r="P55" s="12">
        <f t="shared" si="49"/>
        <v>885000</v>
      </c>
      <c r="Q55" s="12">
        <f t="shared" ref="Q55" si="50">Q56-Q54-Q53</f>
        <v>0</v>
      </c>
      <c r="R55" s="312">
        <f t="shared" ref="R55:T55" si="51">R56-R54-R53</f>
        <v>0</v>
      </c>
      <c r="S55" s="12">
        <f t="shared" si="51"/>
        <v>0</v>
      </c>
      <c r="T55" s="12">
        <f t="shared" si="51"/>
        <v>1288000</v>
      </c>
      <c r="U55" s="211" t="s">
        <v>513</v>
      </c>
    </row>
    <row r="56" spans="2:21" ht="11.5" customHeight="1">
      <c r="B56" s="8" t="s">
        <v>40</v>
      </c>
      <c r="C56" s="9">
        <f>C57-C50</f>
        <v>6224000</v>
      </c>
      <c r="D56" s="9">
        <f>D57-D50</f>
        <v>5688000</v>
      </c>
      <c r="E56" s="9">
        <f t="shared" ref="E56:P56" si="52">E57-E50</f>
        <v>5323000</v>
      </c>
      <c r="F56" s="347">
        <f t="shared" si="52"/>
        <v>6805000</v>
      </c>
      <c r="G56" s="347">
        <f t="shared" si="52"/>
        <v>4931000</v>
      </c>
      <c r="H56" s="9">
        <f t="shared" si="52"/>
        <v>3364000</v>
      </c>
      <c r="I56" s="9">
        <f t="shared" si="52"/>
        <v>2905000</v>
      </c>
      <c r="J56" s="9">
        <f t="shared" si="52"/>
        <v>2727000</v>
      </c>
      <c r="K56" s="9">
        <f t="shared" si="52"/>
        <v>2917000</v>
      </c>
      <c r="L56" s="9">
        <f t="shared" si="52"/>
        <v>2489000</v>
      </c>
      <c r="M56" s="9">
        <f t="shared" si="52"/>
        <v>2782000</v>
      </c>
      <c r="N56" s="9">
        <f t="shared" si="52"/>
        <v>2529000</v>
      </c>
      <c r="O56" s="9">
        <f t="shared" si="52"/>
        <v>2191000</v>
      </c>
      <c r="P56" s="9">
        <f t="shared" si="52"/>
        <v>2111000</v>
      </c>
      <c r="Q56" s="9">
        <f t="shared" ref="Q56" si="53">Q57-Q50</f>
        <v>1516000</v>
      </c>
      <c r="R56" s="311">
        <f t="shared" ref="R56:T56" si="54">R57-R50</f>
        <v>1620000</v>
      </c>
      <c r="S56" s="9">
        <f t="shared" si="54"/>
        <v>1874000</v>
      </c>
      <c r="T56" s="9">
        <f t="shared" si="54"/>
        <v>2082000</v>
      </c>
    </row>
    <row r="57" spans="2:21" ht="11.5" customHeight="1">
      <c r="B57" s="8" t="s">
        <v>41</v>
      </c>
      <c r="C57" s="15">
        <f>'Balance Sheet Yahoo Input'!B42/1000</f>
        <v>9498000</v>
      </c>
      <c r="D57" s="15">
        <f>'Balance Sheet Yahoo Input'!C42/1000</f>
        <v>9266000</v>
      </c>
      <c r="E57" s="15">
        <f>'Balance Sheet Yahoo Input'!D42/1000</f>
        <v>8610000</v>
      </c>
      <c r="F57" s="357">
        <f>'Balance Sheet Yahoo Input'!E42/1000</f>
        <v>9037000</v>
      </c>
      <c r="G57" s="357">
        <f>'Balance Sheet Yahoo Input'!F42/1000</f>
        <v>5915000</v>
      </c>
      <c r="H57" s="15">
        <f>'Balance Sheet Yahoo Input'!G42/1000</f>
        <v>4450000</v>
      </c>
      <c r="I57" s="15">
        <f>'Balance Sheet Yahoo Input'!H42/1000</f>
        <v>3966000</v>
      </c>
      <c r="J57" s="15">
        <f>'Balance Sheet Yahoo Input'!I42/1000</f>
        <v>3719000</v>
      </c>
      <c r="K57" s="15">
        <f>'Balance Sheet Yahoo Input'!J42/1000</f>
        <v>3841000</v>
      </c>
      <c r="L57" s="15">
        <f>'Balance Sheet Yahoo Input'!K42/1000</f>
        <v>3596000</v>
      </c>
      <c r="M57" s="15">
        <f>'Balance Sheet Yahoo Input'!L42/1000</f>
        <v>3512000</v>
      </c>
      <c r="N57" s="15">
        <f>'Balance Sheet Yahoo Input'!M42/1000</f>
        <v>3400000</v>
      </c>
      <c r="O57" s="15">
        <f>'Balance Sheet Yahoo Input'!N42/1000</f>
        <v>2809000</v>
      </c>
      <c r="P57" s="15">
        <f>'Balance Sheet Yahoo Input'!O42/1000</f>
        <v>2679000</v>
      </c>
      <c r="Q57" s="15">
        <f>'Balance Sheet Yahoo Input'!P42/1000</f>
        <v>2112000</v>
      </c>
      <c r="R57" s="313">
        <f>'Balance Sheet Yahoo Input'!Q42/1000</f>
        <v>2115000</v>
      </c>
      <c r="S57" s="15">
        <f>'Balance Sheet Yahoo Input'!R42/1000</f>
        <v>2527000</v>
      </c>
      <c r="T57" s="15">
        <f>'Balance Sheet Yahoo Input'!S42/1000</f>
        <v>2779000</v>
      </c>
    </row>
    <row r="58" spans="2:21" ht="11.5" customHeight="1">
      <c r="B58" s="1"/>
      <c r="C58" s="9"/>
      <c r="D58" s="9"/>
      <c r="E58" s="9"/>
      <c r="F58" s="347"/>
      <c r="G58" s="347"/>
      <c r="H58" s="9"/>
      <c r="I58" s="9"/>
      <c r="J58" s="9"/>
      <c r="K58" s="9"/>
      <c r="L58" s="9"/>
      <c r="M58" s="9"/>
      <c r="N58" s="9"/>
      <c r="O58" s="9"/>
      <c r="P58" s="9"/>
      <c r="Q58" s="9"/>
      <c r="R58" s="311"/>
      <c r="S58" s="9"/>
      <c r="T58" s="9"/>
    </row>
    <row r="59" spans="2:21" ht="11.5" customHeight="1">
      <c r="B59" s="11" t="s">
        <v>516</v>
      </c>
      <c r="C59" s="9">
        <f>+'Balance Sheet Yahoo Input'!B80/1000</f>
        <v>279000</v>
      </c>
      <c r="D59" s="9">
        <f>+'Balance Sheet Yahoo Input'!C80/1000</f>
        <v>3000</v>
      </c>
      <c r="E59" s="9">
        <f>+'Balance Sheet Yahoo Input'!D80/1000</f>
        <v>3000</v>
      </c>
      <c r="F59" s="347">
        <f>+'Balance Sheet Yahoo Input'!E80/1000</f>
        <v>3000</v>
      </c>
      <c r="G59" s="347">
        <f>+'Balance Sheet Yahoo Input'!F80/1000</f>
        <v>3000</v>
      </c>
      <c r="H59" s="9">
        <f>+'Balance Sheet Yahoo Input'!G80/1000</f>
        <v>5000</v>
      </c>
      <c r="I59" s="9">
        <f>+'Balance Sheet Yahoo Input'!H80/1000</f>
        <v>7000</v>
      </c>
      <c r="J59" s="9">
        <f>+'Balance Sheet Yahoo Input'!I80/1000</f>
        <v>16000</v>
      </c>
      <c r="K59" s="9">
        <f>+'Balance Sheet Yahoo Input'!J80/1000</f>
        <v>5000</v>
      </c>
      <c r="L59" s="9">
        <f>+'Balance Sheet Yahoo Input'!K80/1000</f>
        <v>4000</v>
      </c>
      <c r="M59" s="9">
        <f>+'Balance Sheet Yahoo Input'!L80/1000</f>
        <v>4000</v>
      </c>
      <c r="N59" s="9">
        <f>+'Balance Sheet Yahoo Input'!M80/1000</f>
        <v>8000</v>
      </c>
      <c r="O59" s="9">
        <f>+'Balance Sheet Yahoo Input'!N80/1000</f>
        <v>10000</v>
      </c>
      <c r="P59" s="9">
        <f>+'Balance Sheet Yahoo Input'!O80/1000</f>
        <v>10000</v>
      </c>
      <c r="Q59" s="9">
        <f>+'Balance Sheet Yahoo Input'!P80/1000</f>
        <v>13000</v>
      </c>
      <c r="R59" s="311">
        <f>+'Balance Sheet Yahoo Input'!Q80/1000</f>
        <v>24000</v>
      </c>
      <c r="S59" s="9">
        <f>+'Balance Sheet Yahoo Input'!R80/1000</f>
        <v>28000</v>
      </c>
      <c r="T59" s="9">
        <f>+'Balance Sheet Yahoo Input'!S80/1000</f>
        <v>35000</v>
      </c>
    </row>
    <row r="60" spans="2:21" ht="11.5" customHeight="1">
      <c r="B60" s="8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</row>
    <row r="61" spans="2:21" ht="11.5" customHeight="1">
      <c r="B61" s="215" t="s">
        <v>42</v>
      </c>
      <c r="C61" s="214"/>
      <c r="D61" s="214"/>
      <c r="E61" s="214"/>
      <c r="F61" s="214"/>
      <c r="G61" s="214"/>
      <c r="H61" s="214"/>
      <c r="I61" s="214"/>
      <c r="J61" s="214"/>
      <c r="K61" s="214"/>
      <c r="L61" s="214"/>
      <c r="M61" s="214"/>
      <c r="N61" s="214"/>
      <c r="O61" s="214"/>
      <c r="P61" s="214"/>
      <c r="Q61" s="214"/>
      <c r="R61" s="214"/>
      <c r="S61" s="214"/>
      <c r="T61" s="214"/>
    </row>
    <row r="62" spans="2:21" ht="11.5" customHeight="1">
      <c r="B62" s="8" t="s">
        <v>43</v>
      </c>
      <c r="C62" s="9">
        <f>+'Balance Sheet Yahoo Input'!B74/1000</f>
        <v>1000</v>
      </c>
      <c r="D62" s="9">
        <f>+'Balance Sheet Yahoo Input'!C74/1000</f>
        <v>1000</v>
      </c>
      <c r="E62" s="9">
        <f>+'Balance Sheet Yahoo Input'!D74/1000</f>
        <v>1000</v>
      </c>
      <c r="F62" s="347">
        <f>+'Balance Sheet Yahoo Input'!E74/1000</f>
        <v>1000</v>
      </c>
      <c r="G62" s="347">
        <f>+'Balance Sheet Yahoo Input'!F74/1000</f>
        <v>1000</v>
      </c>
      <c r="H62" s="9">
        <f>+'Balance Sheet Yahoo Input'!G74/1000</f>
        <v>1000</v>
      </c>
      <c r="I62" s="9">
        <f>+'Balance Sheet Yahoo Input'!H74/1000</f>
        <v>1000</v>
      </c>
      <c r="J62" s="9">
        <f>+'Balance Sheet Yahoo Input'!I74/1000</f>
        <v>1000</v>
      </c>
      <c r="K62" s="9">
        <f>+'Balance Sheet Yahoo Input'!J74/1000</f>
        <v>1000</v>
      </c>
      <c r="L62" s="9">
        <f>+'Balance Sheet Yahoo Input'!K74/1000</f>
        <v>1000</v>
      </c>
      <c r="M62" s="9">
        <f>+'Balance Sheet Yahoo Input'!L74/1000</f>
        <v>2000</v>
      </c>
      <c r="N62" s="9">
        <f>+'Balance Sheet Yahoo Input'!M74/1000</f>
        <v>2000</v>
      </c>
      <c r="O62" s="9">
        <f>+'Balance Sheet Yahoo Input'!N74/1000</f>
        <v>2000</v>
      </c>
      <c r="P62" s="9">
        <f>+'Balance Sheet Yahoo Input'!O74/1000</f>
        <v>2000</v>
      </c>
      <c r="Q62" s="9">
        <f>+'Balance Sheet Yahoo Input'!P74/1000</f>
        <v>2000</v>
      </c>
      <c r="R62" s="311">
        <f>+'Balance Sheet Yahoo Input'!Q74/1000</f>
        <v>2000</v>
      </c>
      <c r="S62" s="9">
        <f>+'Balance Sheet Yahoo Input'!R74/1000</f>
        <v>1000</v>
      </c>
      <c r="T62" s="9">
        <f>+'Balance Sheet Yahoo Input'!S74/1000</f>
        <v>1000</v>
      </c>
    </row>
    <row r="63" spans="2:21" ht="11.5" customHeight="1">
      <c r="B63" s="8" t="s">
        <v>515</v>
      </c>
      <c r="C63" s="9">
        <f>+C42-C64-C62-C57</f>
        <v>10000</v>
      </c>
      <c r="D63" s="9">
        <f>+D42-D64-D62-D57</f>
        <v>-172000</v>
      </c>
      <c r="E63" s="9">
        <f t="shared" ref="E63:P63" si="55">+E42-E64-E62-E57</f>
        <v>79000</v>
      </c>
      <c r="F63" s="347">
        <f t="shared" si="55"/>
        <v>398000</v>
      </c>
      <c r="G63" s="347">
        <f t="shared" si="55"/>
        <v>-176000</v>
      </c>
      <c r="H63" s="9">
        <f t="shared" si="55"/>
        <v>-204000</v>
      </c>
      <c r="I63" s="9">
        <f t="shared" si="55"/>
        <v>-143000</v>
      </c>
      <c r="J63" s="9">
        <f t="shared" si="55"/>
        <v>798000</v>
      </c>
      <c r="K63" s="9">
        <f t="shared" si="55"/>
        <v>1414000</v>
      </c>
      <c r="L63" s="9">
        <f t="shared" si="55"/>
        <v>1705000</v>
      </c>
      <c r="M63" s="9">
        <f t="shared" si="55"/>
        <v>2464000</v>
      </c>
      <c r="N63" s="9">
        <f t="shared" si="55"/>
        <v>2954000</v>
      </c>
      <c r="O63" s="9">
        <f t="shared" si="55"/>
        <v>3205000</v>
      </c>
      <c r="P63" s="9">
        <f t="shared" si="55"/>
        <v>3309000</v>
      </c>
      <c r="Q63" s="9">
        <f t="shared" ref="Q63" si="56">+Q42-Q64-Q62-Q57</f>
        <v>3725000</v>
      </c>
      <c r="R63" s="311">
        <f t="shared" ref="R63:T63" si="57">+R42-R64-R62-R57</f>
        <v>3700000</v>
      </c>
      <c r="S63" s="9">
        <f t="shared" si="57"/>
        <v>2210000</v>
      </c>
      <c r="T63" s="9">
        <f t="shared" si="57"/>
        <v>2255000</v>
      </c>
      <c r="U63" s="211" t="s">
        <v>513</v>
      </c>
    </row>
    <row r="64" spans="2:21" ht="11.5" customHeight="1">
      <c r="B64" s="8" t="s">
        <v>44</v>
      </c>
      <c r="C64" s="9">
        <f>+'Balance Sheet Yahoo Input'!B76/1000</f>
        <v>3815000</v>
      </c>
      <c r="D64" s="9">
        <f>+'Balance Sheet Yahoo Input'!C76/1000</f>
        <v>3738000</v>
      </c>
      <c r="E64" s="9">
        <f>+'Balance Sheet Yahoo Input'!D76/1000</f>
        <v>3622000</v>
      </c>
      <c r="F64" s="347">
        <f>+'Balance Sheet Yahoo Input'!E76/1000</f>
        <v>3167000</v>
      </c>
      <c r="G64" s="347">
        <f>+'Balance Sheet Yahoo Input'!F76/1000</f>
        <v>3389000</v>
      </c>
      <c r="H64" s="9">
        <f>+'Balance Sheet Yahoo Input'!G76/1000</f>
        <v>4170000</v>
      </c>
      <c r="I64" s="9">
        <f>+'Balance Sheet Yahoo Input'!H76/1000</f>
        <v>3819000</v>
      </c>
      <c r="J64" s="9">
        <f>+'Balance Sheet Yahoo Input'!I76/1000</f>
        <v>3054000</v>
      </c>
      <c r="K64" s="9">
        <f>+'Balance Sheet Yahoo Input'!J76/1000</f>
        <v>2493000</v>
      </c>
      <c r="L64" s="9">
        <f>+'Balance Sheet Yahoo Input'!K76/1000</f>
        <v>2289000</v>
      </c>
      <c r="M64" s="9">
        <f>+'Balance Sheet Yahoo Input'!L76/1000</f>
        <v>2165000</v>
      </c>
      <c r="N64" s="9">
        <f>+'Balance Sheet Yahoo Input'!M76/1000</f>
        <v>1821000</v>
      </c>
      <c r="O64" s="9">
        <f>+'Balance Sheet Yahoo Input'!N76/1000</f>
        <v>1614000</v>
      </c>
      <c r="P64" s="9">
        <f>+'Balance Sheet Yahoo Input'!O76/1000</f>
        <v>1517000</v>
      </c>
      <c r="Q64" s="9">
        <f>+'Balance Sheet Yahoo Input'!P76/1000</f>
        <v>1404000</v>
      </c>
      <c r="R64" s="311">
        <f>+'Balance Sheet Yahoo Input'!Q76/1000</f>
        <v>1338000</v>
      </c>
      <c r="S64" s="9">
        <f>+'Balance Sheet Yahoo Input'!R76/1000</f>
        <v>1381000</v>
      </c>
      <c r="T64" s="9">
        <f>+'Balance Sheet Yahoo Input'!S76/1000</f>
        <v>1213000</v>
      </c>
    </row>
    <row r="65" spans="2:20" ht="11.5" customHeight="1">
      <c r="B65" s="8" t="s">
        <v>45</v>
      </c>
      <c r="C65" s="15">
        <f>+'Balance Sheet Yahoo Input'!B71/1000</f>
        <v>3547000</v>
      </c>
      <c r="D65" s="15">
        <f>+'Balance Sheet Yahoo Input'!C71/1000</f>
        <v>3564000</v>
      </c>
      <c r="E65" s="15">
        <f>+'Balance Sheet Yahoo Input'!D71/1000</f>
        <v>3699000</v>
      </c>
      <c r="F65" s="357">
        <f>+'Balance Sheet Yahoo Input'!E71/1000</f>
        <v>3563000</v>
      </c>
      <c r="G65" s="357">
        <f>+'Balance Sheet Yahoo Input'!F71/1000</f>
        <v>3211000</v>
      </c>
      <c r="H65" s="15">
        <f>+'Balance Sheet Yahoo Input'!G71/1000</f>
        <v>3962000</v>
      </c>
      <c r="I65" s="15">
        <f>+'Balance Sheet Yahoo Input'!H71/1000</f>
        <v>3670000</v>
      </c>
      <c r="J65" s="15">
        <f>+'Balance Sheet Yahoo Input'!I71/1000</f>
        <v>3837000</v>
      </c>
      <c r="K65" s="15">
        <f>+'Balance Sheet Yahoo Input'!J71/1000</f>
        <v>3903000</v>
      </c>
      <c r="L65" s="15">
        <f>+'Balance Sheet Yahoo Input'!K71/1000</f>
        <v>3991000</v>
      </c>
      <c r="M65" s="15">
        <f>+'Balance Sheet Yahoo Input'!L71/1000</f>
        <v>4627000</v>
      </c>
      <c r="N65" s="15">
        <f>+'Balance Sheet Yahoo Input'!M71/1000</f>
        <v>4769000</v>
      </c>
      <c r="O65" s="15">
        <f>+'Balance Sheet Yahoo Input'!N71/1000</f>
        <v>4811000</v>
      </c>
      <c r="P65" s="15">
        <f>+'Balance Sheet Yahoo Input'!O71/1000</f>
        <v>4818000</v>
      </c>
      <c r="Q65" s="15">
        <f>+'Balance Sheet Yahoo Input'!P71/1000</f>
        <v>5118000</v>
      </c>
      <c r="R65" s="313">
        <f>+'Balance Sheet Yahoo Input'!Q71/1000</f>
        <v>5016000</v>
      </c>
      <c r="S65" s="15">
        <f>+'Balance Sheet Yahoo Input'!R71/1000</f>
        <v>3564000</v>
      </c>
      <c r="T65" s="15">
        <f>+'Balance Sheet Yahoo Input'!S71/1000</f>
        <v>3434000</v>
      </c>
    </row>
    <row r="66" spans="2:20" ht="11.5" customHeight="1">
      <c r="B66" s="17"/>
      <c r="C66" s="9"/>
      <c r="D66" s="9"/>
      <c r="E66" s="9"/>
      <c r="F66" s="347"/>
      <c r="G66" s="347"/>
      <c r="H66" s="9"/>
      <c r="I66" s="9"/>
      <c r="J66" s="9"/>
      <c r="K66" s="9"/>
      <c r="L66" s="9"/>
      <c r="M66" s="9"/>
      <c r="N66" s="9"/>
      <c r="O66" s="9"/>
      <c r="P66" s="9"/>
      <c r="Q66" s="9"/>
      <c r="R66" s="311"/>
      <c r="S66" s="9"/>
      <c r="T66" s="9"/>
    </row>
    <row r="67" spans="2:20" ht="11.5" customHeight="1" thickBot="1">
      <c r="B67" s="18" t="s">
        <v>46</v>
      </c>
      <c r="C67" s="16">
        <f>+C65+C57+C59</f>
        <v>13324000</v>
      </c>
      <c r="D67" s="16">
        <f>+D65+D57+D59</f>
        <v>12833000</v>
      </c>
      <c r="E67" s="16">
        <f t="shared" ref="E67:P67" si="58">+E65+E57+E59</f>
        <v>12312000</v>
      </c>
      <c r="F67" s="358">
        <f t="shared" si="58"/>
        <v>12603000</v>
      </c>
      <c r="G67" s="358">
        <f t="shared" si="58"/>
        <v>9129000</v>
      </c>
      <c r="H67" s="16">
        <f t="shared" si="58"/>
        <v>8417000</v>
      </c>
      <c r="I67" s="16">
        <f t="shared" si="58"/>
        <v>7643000</v>
      </c>
      <c r="J67" s="16">
        <f t="shared" si="58"/>
        <v>7572000</v>
      </c>
      <c r="K67" s="16">
        <f t="shared" si="58"/>
        <v>7749000</v>
      </c>
      <c r="L67" s="16">
        <f t="shared" si="58"/>
        <v>7591000</v>
      </c>
      <c r="M67" s="16">
        <f t="shared" si="58"/>
        <v>8143000</v>
      </c>
      <c r="N67" s="16">
        <f t="shared" si="58"/>
        <v>8177000</v>
      </c>
      <c r="O67" s="16">
        <f t="shared" si="58"/>
        <v>7630000</v>
      </c>
      <c r="P67" s="16">
        <f t="shared" si="58"/>
        <v>7507000</v>
      </c>
      <c r="Q67" s="16">
        <f t="shared" ref="Q67:R67" si="59">+Q65+Q57+Q59</f>
        <v>7243000</v>
      </c>
      <c r="R67" s="314">
        <f t="shared" si="59"/>
        <v>7155000</v>
      </c>
      <c r="S67" s="16">
        <f t="shared" ref="S67:T67" si="60">+S65+S57+S59</f>
        <v>6119000</v>
      </c>
      <c r="T67" s="16">
        <f t="shared" si="60"/>
        <v>6248000</v>
      </c>
    </row>
    <row r="68" spans="2:20" ht="11.5" customHeight="1" thickTop="1">
      <c r="B68" s="19" t="s">
        <v>47</v>
      </c>
      <c r="C68" s="20">
        <f t="shared" ref="C68" si="61">+C42-C67</f>
        <v>0</v>
      </c>
      <c r="D68" s="20">
        <f t="shared" ref="D68:P68" si="62">+D42-D67</f>
        <v>0</v>
      </c>
      <c r="E68" s="20">
        <f t="shared" si="62"/>
        <v>0</v>
      </c>
      <c r="F68" s="20">
        <f t="shared" si="62"/>
        <v>0</v>
      </c>
      <c r="G68" s="20">
        <f t="shared" si="62"/>
        <v>0</v>
      </c>
      <c r="H68" s="20">
        <f t="shared" si="62"/>
        <v>0</v>
      </c>
      <c r="I68" s="20">
        <f t="shared" si="62"/>
        <v>0</v>
      </c>
      <c r="J68" s="20">
        <f t="shared" si="62"/>
        <v>0</v>
      </c>
      <c r="K68" s="20">
        <f t="shared" si="62"/>
        <v>0</v>
      </c>
      <c r="L68" s="20">
        <f t="shared" si="62"/>
        <v>0</v>
      </c>
      <c r="M68" s="20">
        <f t="shared" si="62"/>
        <v>0</v>
      </c>
      <c r="N68" s="20">
        <f t="shared" si="62"/>
        <v>0</v>
      </c>
      <c r="O68" s="20">
        <f t="shared" si="62"/>
        <v>0</v>
      </c>
      <c r="P68" s="20">
        <f t="shared" si="62"/>
        <v>0</v>
      </c>
      <c r="Q68" s="20">
        <f t="shared" ref="Q68:R68" si="63">+Q42-Q67</f>
        <v>0</v>
      </c>
      <c r="R68" s="20">
        <f t="shared" si="63"/>
        <v>0</v>
      </c>
      <c r="S68" s="20">
        <f t="shared" ref="S68:T68" si="64">+S42-S67</f>
        <v>0</v>
      </c>
      <c r="T68" s="20">
        <f t="shared" si="64"/>
        <v>0</v>
      </c>
    </row>
    <row r="69" spans="2:20" ht="17.149999999999999" customHeight="1">
      <c r="F69" s="10"/>
      <c r="J69" s="3"/>
      <c r="K69" s="4"/>
      <c r="M69" s="1"/>
      <c r="N69" s="54"/>
      <c r="O69" s="54"/>
      <c r="P69" s="54"/>
      <c r="Q69" s="54"/>
      <c r="R69" s="54"/>
      <c r="S69" s="54"/>
      <c r="T69" s="54"/>
    </row>
    <row r="70" spans="2:20" ht="17.149999999999999" customHeight="1">
      <c r="B70" s="99" t="s">
        <v>493</v>
      </c>
      <c r="C70" s="277" t="s">
        <v>83</v>
      </c>
      <c r="D70" s="277"/>
      <c r="E70" s="99"/>
      <c r="F70" s="100"/>
      <c r="G70" s="100"/>
      <c r="H70" s="100"/>
      <c r="I70" s="100"/>
      <c r="J70" s="101"/>
      <c r="K70" s="102"/>
      <c r="L70" s="102"/>
      <c r="M70" s="103"/>
      <c r="N70" s="103"/>
      <c r="O70" s="103"/>
      <c r="P70" s="103"/>
      <c r="Q70" s="103"/>
      <c r="R70" s="103"/>
      <c r="S70" s="103"/>
      <c r="T70" s="103"/>
    </row>
    <row r="71" spans="2:20" ht="19.75" customHeight="1">
      <c r="B71" s="94"/>
      <c r="C71" s="95" t="str">
        <f>+C5</f>
        <v>Dec 31</v>
      </c>
      <c r="D71" s="95" t="str">
        <f>+D5</f>
        <v>Dec 31</v>
      </c>
      <c r="E71" s="95" t="s">
        <v>219</v>
      </c>
      <c r="F71" s="359" t="str">
        <f t="shared" ref="F71:P71" si="65">+F5</f>
        <v>Dec 31</v>
      </c>
      <c r="G71" s="359" t="str">
        <f t="shared" si="65"/>
        <v>Dec 31</v>
      </c>
      <c r="H71" s="98" t="str">
        <f t="shared" si="65"/>
        <v>Dec 31</v>
      </c>
      <c r="I71" s="98" t="str">
        <f t="shared" si="65"/>
        <v>Dec 31</v>
      </c>
      <c r="J71" s="98" t="str">
        <f t="shared" si="65"/>
        <v>Dec 31</v>
      </c>
      <c r="K71" s="98" t="str">
        <f t="shared" si="65"/>
        <v>Dec 31</v>
      </c>
      <c r="L71" s="98" t="str">
        <f t="shared" si="65"/>
        <v>Dec 31</v>
      </c>
      <c r="M71" s="98" t="str">
        <f t="shared" si="65"/>
        <v>Dec 31</v>
      </c>
      <c r="N71" s="98" t="str">
        <f t="shared" si="65"/>
        <v>Dec 31</v>
      </c>
      <c r="O71" s="98" t="str">
        <f t="shared" si="65"/>
        <v>Dec 31</v>
      </c>
      <c r="P71" s="98" t="str">
        <f t="shared" si="65"/>
        <v>Dec 31</v>
      </c>
      <c r="Q71" s="98" t="str">
        <f t="shared" ref="Q71:R71" si="66">+Q5</f>
        <v>Dec 31</v>
      </c>
      <c r="R71" s="323" t="str">
        <f t="shared" si="66"/>
        <v>Dec 31</v>
      </c>
      <c r="S71" s="98" t="str">
        <f t="shared" ref="S71:T71" si="67">+S5</f>
        <v>Dec 31</v>
      </c>
      <c r="T71" s="98" t="str">
        <f t="shared" si="67"/>
        <v>Dec 31</v>
      </c>
    </row>
    <row r="72" spans="2:20" ht="17.149999999999999" customHeight="1" thickBot="1">
      <c r="B72" s="96" t="s">
        <v>1</v>
      </c>
      <c r="C72" s="97">
        <f>+C6</f>
        <v>2024</v>
      </c>
      <c r="D72" s="97">
        <f>+D6</f>
        <v>2023</v>
      </c>
      <c r="E72" s="97">
        <f t="shared" ref="E72:P72" si="68">+E21</f>
        <v>2022</v>
      </c>
      <c r="F72" s="343">
        <f t="shared" si="68"/>
        <v>2021</v>
      </c>
      <c r="G72" s="343">
        <f t="shared" si="68"/>
        <v>2020</v>
      </c>
      <c r="H72" s="97">
        <f t="shared" si="68"/>
        <v>2019</v>
      </c>
      <c r="I72" s="97">
        <f t="shared" si="68"/>
        <v>2018</v>
      </c>
      <c r="J72" s="97">
        <f t="shared" si="68"/>
        <v>2017</v>
      </c>
      <c r="K72" s="97">
        <f t="shared" si="68"/>
        <v>2016</v>
      </c>
      <c r="L72" s="97">
        <f t="shared" si="68"/>
        <v>2015</v>
      </c>
      <c r="M72" s="97">
        <f t="shared" si="68"/>
        <v>2014</v>
      </c>
      <c r="N72" s="97">
        <f t="shared" si="68"/>
        <v>2013</v>
      </c>
      <c r="O72" s="97">
        <f t="shared" si="68"/>
        <v>2012</v>
      </c>
      <c r="P72" s="97">
        <f t="shared" si="68"/>
        <v>2011</v>
      </c>
      <c r="Q72" s="97">
        <f t="shared" ref="Q72:R72" si="69">+Q21</f>
        <v>2010</v>
      </c>
      <c r="R72" s="316">
        <f t="shared" si="69"/>
        <v>2009</v>
      </c>
      <c r="S72" s="97">
        <f t="shared" ref="S72:T72" si="70">+S21</f>
        <v>2008</v>
      </c>
      <c r="T72" s="97">
        <f t="shared" si="70"/>
        <v>2007</v>
      </c>
    </row>
    <row r="73" spans="2:20" ht="13.75" customHeight="1">
      <c r="B73" s="137" t="s">
        <v>480</v>
      </c>
      <c r="C73" s="138">
        <f>+'Income Stat Yahoo Input'!B10/1000</f>
        <v>333000</v>
      </c>
      <c r="D73" s="138">
        <f>+'Income Stat Yahoo Input'!C10/1000</f>
        <v>397000</v>
      </c>
      <c r="E73" s="138">
        <f>+'Income Stat Yahoo Input'!D10/1000</f>
        <v>426000</v>
      </c>
      <c r="F73" s="344">
        <f>+'Income Stat Yahoo Input'!E10/1000</f>
        <v>310000</v>
      </c>
      <c r="G73" s="344">
        <f>+'Income Stat Yahoo Input'!F10/1000</f>
        <v>310000</v>
      </c>
      <c r="H73" s="138">
        <f>+'Income Stat Yahoo Input'!G10/1000</f>
        <v>329000</v>
      </c>
      <c r="I73" s="138">
        <f>+'Income Stat Yahoo Input'!H10/1000</f>
        <v>327000</v>
      </c>
      <c r="J73" s="138">
        <f>+'Income Stat Yahoo Input'!I10/1000</f>
        <v>348000</v>
      </c>
      <c r="K73" s="138">
        <f>+'Income Stat Yahoo Input'!J10/1000</f>
        <v>326000</v>
      </c>
      <c r="L73" s="138">
        <f>+'Income Stat Yahoo Input'!K10/1000</f>
        <v>320000</v>
      </c>
      <c r="M73" s="138">
        <f>+'Income Stat Yahoo Input'!L10/1000</f>
        <v>354000</v>
      </c>
      <c r="N73" s="138">
        <f>+'Income Stat Yahoo Input'!M10/1000</f>
        <v>345000</v>
      </c>
      <c r="O73" s="138">
        <f>+'Income Stat Yahoo Input'!N10/1000</f>
        <v>353000</v>
      </c>
      <c r="P73" s="138">
        <f>+'Income Stat Yahoo Input'!O10/1000</f>
        <v>305000</v>
      </c>
      <c r="Q73" s="138">
        <f>+'Income Stat Yahoo Input'!P10/1000</f>
        <v>279000</v>
      </c>
      <c r="R73" s="324">
        <f>+'Income Stat Yahoo Input'!Q10/1000</f>
        <v>269000</v>
      </c>
      <c r="S73" s="138">
        <f>+'Income Stat Yahoo Input'!R10/1000</f>
        <v>249000</v>
      </c>
      <c r="T73" s="138">
        <f>+'Income Stat Yahoo Input'!S10/1000</f>
        <v>214000</v>
      </c>
    </row>
    <row r="74" spans="2:20" ht="13.75" customHeight="1">
      <c r="B74" s="18"/>
      <c r="C74" s="24"/>
      <c r="D74" s="24"/>
      <c r="E74" s="24"/>
      <c r="F74" s="344"/>
      <c r="G74" s="34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324"/>
      <c r="S74" s="24"/>
      <c r="T74" s="24"/>
    </row>
    <row r="75" spans="2:20" ht="11.5" customHeight="1">
      <c r="B75" s="139" t="s">
        <v>495</v>
      </c>
      <c r="C75" s="138">
        <f>+'Cash Flow Yahoo Input'!B21/1000</f>
        <v>188000</v>
      </c>
      <c r="D75" s="138">
        <f>+'Cash Flow Yahoo Input'!C21/1000</f>
        <v>188000</v>
      </c>
      <c r="E75" s="138">
        <f>+'Cash Flow Yahoo Input'!D21/1000</f>
        <v>203000</v>
      </c>
      <c r="F75" s="344">
        <f>+'Cash Flow Yahoo Input'!E21/1000</f>
        <v>167000</v>
      </c>
      <c r="G75" s="344">
        <f>+'Cash Flow Yahoo Input'!F21/1000</f>
        <v>388000</v>
      </c>
      <c r="H75" s="138">
        <f>+'Cash Flow Yahoo Input'!G21/1000</f>
        <v>-424000</v>
      </c>
      <c r="I75" s="138">
        <f>+'Cash Flow Yahoo Input'!H21/1000</f>
        <v>-13000</v>
      </c>
      <c r="J75" s="138">
        <f>+'Cash Flow Yahoo Input'!I21/1000</f>
        <v>-79000</v>
      </c>
      <c r="K75" s="138">
        <f>+'Cash Flow Yahoo Input'!J21/1000</f>
        <v>125000</v>
      </c>
      <c r="L75" s="138">
        <f>+'Cash Flow Yahoo Input'!K21/1000</f>
        <v>-36000</v>
      </c>
      <c r="M75" s="138">
        <f>+'Cash Flow Yahoo Input'!L21/1000</f>
        <v>25000</v>
      </c>
      <c r="N75" s="138">
        <f>+'Cash Flow Yahoo Input'!M21/1000</f>
        <v>24000</v>
      </c>
      <c r="O75" s="138">
        <f>+'Cash Flow Yahoo Input'!N21/1000</f>
        <v>-31000</v>
      </c>
      <c r="P75" s="138">
        <f>+'Cash Flow Yahoo Input'!O21/1000</f>
        <v>-67000</v>
      </c>
      <c r="Q75" s="138">
        <f>+'Cash Flow Yahoo Input'!P21/1000</f>
        <v>35000</v>
      </c>
      <c r="R75" s="324">
        <f>+'Cash Flow Yahoo Input'!Q21/1000</f>
        <v>70000</v>
      </c>
      <c r="S75" s="138">
        <f>+'Cash Flow Yahoo Input'!R21/1000</f>
        <v>-82000</v>
      </c>
      <c r="T75" s="138">
        <f>+'Cash Flow Yahoo Input'!S21/1000</f>
        <v>-179000</v>
      </c>
    </row>
    <row r="76" spans="2:20" ht="11.5" customHeight="1">
      <c r="B76" s="17"/>
      <c r="C76" s="9"/>
      <c r="D76" s="9"/>
      <c r="E76" s="9"/>
      <c r="F76" s="347"/>
      <c r="G76" s="347"/>
      <c r="H76" s="9"/>
      <c r="I76" s="9"/>
      <c r="J76" s="9"/>
      <c r="K76" s="9"/>
      <c r="L76" s="9"/>
      <c r="M76" s="9"/>
      <c r="N76" s="9"/>
      <c r="O76" s="9"/>
      <c r="P76" s="9"/>
      <c r="Q76" s="9"/>
      <c r="R76" s="311"/>
      <c r="S76" s="9"/>
      <c r="T76" s="9"/>
    </row>
    <row r="77" spans="2:20" ht="11.5" customHeight="1">
      <c r="B77" s="23" t="s">
        <v>49</v>
      </c>
      <c r="C77" s="9"/>
      <c r="D77" s="9"/>
      <c r="E77" s="9"/>
      <c r="F77" s="347"/>
      <c r="G77" s="347"/>
      <c r="H77" s="9"/>
      <c r="I77" s="9"/>
      <c r="J77" s="9"/>
      <c r="K77" s="9"/>
      <c r="L77" s="9"/>
      <c r="M77" s="9"/>
      <c r="N77" s="9"/>
      <c r="O77" s="9"/>
      <c r="P77" s="9"/>
      <c r="Q77" s="9"/>
      <c r="R77" s="311"/>
      <c r="S77" s="9"/>
      <c r="T77" s="9"/>
    </row>
    <row r="78" spans="2:20" ht="11.5" customHeight="1">
      <c r="B78" s="140" t="s">
        <v>50</v>
      </c>
      <c r="C78" s="138">
        <f>+'Cash Flow Yahoo Input'!B35/1000</f>
        <v>-170000</v>
      </c>
      <c r="D78" s="138">
        <f>+'Cash Flow Yahoo Input'!C35/1000</f>
        <v>-170000</v>
      </c>
      <c r="E78" s="138">
        <f>+'Cash Flow Yahoo Input'!D35/1000</f>
        <v>-198000</v>
      </c>
      <c r="F78" s="344">
        <f>+'Cash Flow Yahoo Input'!E35/1000</f>
        <v>-201000</v>
      </c>
      <c r="G78" s="344">
        <f>+'Cash Flow Yahoo Input'!F35/1000</f>
        <v>-111000</v>
      </c>
      <c r="H78" s="138">
        <f>+'Cash Flow Yahoo Input'!G35/1000</f>
        <v>-122000</v>
      </c>
      <c r="I78" s="138">
        <f>+'Cash Flow Yahoo Input'!H35/1000</f>
        <v>-369000</v>
      </c>
      <c r="J78" s="138">
        <f>+'Cash Flow Yahoo Input'!I35/1000</f>
        <v>-297000</v>
      </c>
      <c r="K78" s="138">
        <f>+'Cash Flow Yahoo Input'!J35/1000</f>
        <v>-298000</v>
      </c>
      <c r="L78" s="138">
        <f>+'Cash Flow Yahoo Input'!K35/1000</f>
        <v>-211000</v>
      </c>
      <c r="M78" s="138">
        <f>+'Cash Flow Yahoo Input'!L35/1000</f>
        <v>-269000</v>
      </c>
      <c r="N78" s="138">
        <f>+'Cash Flow Yahoo Input'!M35/1000</f>
        <v>-253000</v>
      </c>
      <c r="O78" s="138">
        <f>+'Cash Flow Yahoo Input'!N35/1000</f>
        <v>-232000</v>
      </c>
      <c r="P78" s="138">
        <f>+'Cash Flow Yahoo Input'!O35/1000</f>
        <v>-301000</v>
      </c>
      <c r="Q78" s="138">
        <f>+'Cash Flow Yahoo Input'!P35/1000</f>
        <v>-331000</v>
      </c>
      <c r="R78" s="324">
        <f>+'Cash Flow Yahoo Input'!Q35/1000</f>
        <v>-310000</v>
      </c>
      <c r="S78" s="138">
        <f>+'Cash Flow Yahoo Input'!R35/1000</f>
        <v>-216000</v>
      </c>
      <c r="T78" s="138">
        <f>+'Cash Flow Yahoo Input'!S35/1000</f>
        <v>-258000</v>
      </c>
    </row>
    <row r="79" spans="2:20" ht="11.5" customHeight="1">
      <c r="B79" s="17"/>
      <c r="C79" s="9"/>
      <c r="D79" s="9"/>
      <c r="E79" s="9"/>
      <c r="F79" s="347"/>
      <c r="G79" s="347"/>
      <c r="H79" s="9"/>
      <c r="I79" s="9"/>
      <c r="N79" s="54"/>
      <c r="O79" s="54"/>
      <c r="P79" s="54"/>
      <c r="Q79" s="54"/>
      <c r="R79" s="325"/>
      <c r="S79" s="54"/>
      <c r="T79" s="54"/>
    </row>
    <row r="80" spans="2:20" ht="11.5" customHeight="1">
      <c r="B80" s="23" t="s">
        <v>51</v>
      </c>
      <c r="C80" s="9"/>
      <c r="D80" s="9"/>
      <c r="E80" s="9"/>
      <c r="F80" s="347"/>
      <c r="G80" s="347"/>
      <c r="H80" s="9"/>
      <c r="I80" s="9"/>
      <c r="N80" s="54"/>
      <c r="O80" s="54"/>
      <c r="P80" s="54"/>
      <c r="Q80" s="54"/>
      <c r="R80" s="325"/>
      <c r="S80" s="54"/>
      <c r="T80" s="54"/>
    </row>
    <row r="81" spans="2:20" ht="11.5" customHeight="1">
      <c r="B81" s="21" t="s">
        <v>52</v>
      </c>
      <c r="C81" s="9">
        <f t="shared" ref="C81:O81" si="71">+C49-D49</f>
        <v>-295000</v>
      </c>
      <c r="D81" s="9">
        <f t="shared" si="71"/>
        <v>91000</v>
      </c>
      <c r="E81" s="9">
        <f t="shared" si="71"/>
        <v>650000</v>
      </c>
      <c r="F81" s="347">
        <f t="shared" si="71"/>
        <v>-250000</v>
      </c>
      <c r="G81" s="347">
        <f t="shared" si="71"/>
        <v>249000</v>
      </c>
      <c r="H81" s="9">
        <f t="shared" si="71"/>
        <v>0</v>
      </c>
      <c r="I81" s="9">
        <f t="shared" si="71"/>
        <v>11000</v>
      </c>
      <c r="J81" s="9">
        <f t="shared" si="71"/>
        <v>0</v>
      </c>
      <c r="K81" s="9">
        <f t="shared" si="71"/>
        <v>0</v>
      </c>
      <c r="L81" s="9">
        <f t="shared" si="71"/>
        <v>0</v>
      </c>
      <c r="M81" s="9">
        <f t="shared" si="71"/>
        <v>0</v>
      </c>
      <c r="N81" s="9">
        <f t="shared" si="71"/>
        <v>0</v>
      </c>
      <c r="O81" s="9">
        <f t="shared" si="71"/>
        <v>0</v>
      </c>
      <c r="P81" s="9">
        <f>+P49-U49</f>
        <v>0</v>
      </c>
      <c r="Q81" s="9">
        <f>+Q49-V49</f>
        <v>0</v>
      </c>
      <c r="R81" s="311">
        <f>+R49-W49</f>
        <v>0</v>
      </c>
      <c r="S81" s="9">
        <f>+S49-X49</f>
        <v>0</v>
      </c>
      <c r="T81" s="9">
        <f>+T49-Y49</f>
        <v>0</v>
      </c>
    </row>
    <row r="82" spans="2:20" ht="11.5" customHeight="1">
      <c r="B82" s="21" t="s">
        <v>53</v>
      </c>
      <c r="C82" s="9">
        <f t="shared" ref="C82:O82" si="72">+C53-D53</f>
        <v>1021000</v>
      </c>
      <c r="D82" s="9">
        <f t="shared" si="72"/>
        <v>-148000</v>
      </c>
      <c r="E82" s="9">
        <f t="shared" si="72"/>
        <v>-1515000</v>
      </c>
      <c r="F82" s="347">
        <f t="shared" si="72"/>
        <v>984000</v>
      </c>
      <c r="G82" s="347">
        <f t="shared" si="72"/>
        <v>1372000</v>
      </c>
      <c r="H82" s="9">
        <f t="shared" si="72"/>
        <v>-11000</v>
      </c>
      <c r="I82" s="9">
        <f t="shared" si="72"/>
        <v>183000</v>
      </c>
      <c r="J82" s="9">
        <f t="shared" si="72"/>
        <v>-5000</v>
      </c>
      <c r="K82" s="9">
        <f t="shared" si="72"/>
        <v>403000</v>
      </c>
      <c r="L82" s="9">
        <f t="shared" si="72"/>
        <v>-339000</v>
      </c>
      <c r="M82" s="9">
        <f t="shared" si="72"/>
        <v>92000</v>
      </c>
      <c r="N82" s="9">
        <f t="shared" si="72"/>
        <v>60000</v>
      </c>
      <c r="O82" s="9">
        <f t="shared" si="72"/>
        <v>8000</v>
      </c>
      <c r="P82" s="9">
        <f>+P53-U53</f>
        <v>1221000</v>
      </c>
      <c r="Q82" s="9">
        <f>+Q53-V53</f>
        <v>1516000</v>
      </c>
      <c r="R82" s="311">
        <f>+R53-W53</f>
        <v>1620000</v>
      </c>
      <c r="S82" s="9">
        <f>+S53-X53</f>
        <v>1874000</v>
      </c>
      <c r="T82" s="9">
        <f>+T53-Y53</f>
        <v>794000</v>
      </c>
    </row>
    <row r="83" spans="2:20" ht="11.5" customHeight="1">
      <c r="B83" s="21" t="s">
        <v>54</v>
      </c>
      <c r="C83" s="9">
        <f t="shared" ref="C83:O83" si="73">+C55-D55</f>
        <v>-590000</v>
      </c>
      <c r="D83" s="9">
        <f t="shared" si="73"/>
        <v>519000</v>
      </c>
      <c r="E83" s="9">
        <f t="shared" si="73"/>
        <v>54000</v>
      </c>
      <c r="F83" s="347">
        <f t="shared" si="73"/>
        <v>845000</v>
      </c>
      <c r="G83" s="347">
        <f t="shared" si="73"/>
        <v>194000</v>
      </c>
      <c r="H83" s="9">
        <f t="shared" si="73"/>
        <v>477000</v>
      </c>
      <c r="I83" s="9">
        <f t="shared" si="73"/>
        <v>3000</v>
      </c>
      <c r="J83" s="9">
        <f t="shared" si="73"/>
        <v>-190000</v>
      </c>
      <c r="K83" s="9">
        <f t="shared" si="73"/>
        <v>27000</v>
      </c>
      <c r="L83" s="9">
        <f t="shared" si="73"/>
        <v>53000</v>
      </c>
      <c r="M83" s="9">
        <f t="shared" si="73"/>
        <v>169000</v>
      </c>
      <c r="N83" s="9">
        <f t="shared" si="73"/>
        <v>284000</v>
      </c>
      <c r="O83" s="9">
        <f t="shared" si="73"/>
        <v>-3000</v>
      </c>
      <c r="P83" s="9"/>
      <c r="Q83" s="9"/>
      <c r="R83" s="311"/>
      <c r="S83" s="9"/>
      <c r="T83" s="9"/>
    </row>
    <row r="84" spans="2:20" ht="11.5" customHeight="1">
      <c r="B84" s="21" t="s">
        <v>55</v>
      </c>
      <c r="C84" s="12">
        <v>0</v>
      </c>
      <c r="D84" s="12">
        <v>0</v>
      </c>
      <c r="E84" s="12">
        <v>0</v>
      </c>
      <c r="F84" s="356">
        <v>0</v>
      </c>
      <c r="G84" s="356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0</v>
      </c>
      <c r="Q84" s="12">
        <v>0</v>
      </c>
      <c r="R84" s="312">
        <v>0</v>
      </c>
      <c r="S84" s="12">
        <v>0</v>
      </c>
      <c r="T84" s="12">
        <v>0</v>
      </c>
    </row>
    <row r="85" spans="2:20" ht="11.5" customHeight="1">
      <c r="B85" s="18" t="s">
        <v>56</v>
      </c>
      <c r="C85" s="24">
        <f t="shared" ref="C85:H85" si="74">SUM(C81:C84)</f>
        <v>136000</v>
      </c>
      <c r="D85" s="24">
        <f t="shared" si="74"/>
        <v>462000</v>
      </c>
      <c r="E85" s="24">
        <f t="shared" si="74"/>
        <v>-811000</v>
      </c>
      <c r="F85" s="344">
        <f t="shared" si="74"/>
        <v>1579000</v>
      </c>
      <c r="G85" s="344">
        <f t="shared" si="74"/>
        <v>1815000</v>
      </c>
      <c r="H85" s="24">
        <f t="shared" si="74"/>
        <v>466000</v>
      </c>
      <c r="I85" s="24">
        <f t="shared" ref="I85:M85" si="75">SUM(I81:I84)</f>
        <v>197000</v>
      </c>
      <c r="J85" s="24">
        <f t="shared" si="75"/>
        <v>-195000</v>
      </c>
      <c r="K85" s="24">
        <f t="shared" si="75"/>
        <v>430000</v>
      </c>
      <c r="L85" s="24">
        <f t="shared" si="75"/>
        <v>-286000</v>
      </c>
      <c r="M85" s="24">
        <f t="shared" si="75"/>
        <v>261000</v>
      </c>
      <c r="N85" s="24">
        <f t="shared" ref="N85:O85" si="76">SUM(N81:N84)</f>
        <v>344000</v>
      </c>
      <c r="O85" s="24">
        <f t="shared" si="76"/>
        <v>5000</v>
      </c>
      <c r="P85" s="24">
        <f t="shared" ref="P85:R85" si="77">SUM(P81:P84)</f>
        <v>1221000</v>
      </c>
      <c r="Q85" s="24">
        <f t="shared" si="77"/>
        <v>1516000</v>
      </c>
      <c r="R85" s="324">
        <f t="shared" si="77"/>
        <v>1620000</v>
      </c>
      <c r="S85" s="24">
        <f t="shared" ref="S85:T85" si="78">SUM(S81:S84)</f>
        <v>1874000</v>
      </c>
      <c r="T85" s="24">
        <f t="shared" si="78"/>
        <v>794000</v>
      </c>
    </row>
    <row r="86" spans="2:20" ht="11.5" customHeight="1">
      <c r="B86" s="17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</row>
    <row r="87" spans="2:20" ht="11.5" customHeight="1">
      <c r="B87" s="21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</row>
    <row r="88" spans="2:20" ht="11.5" customHeight="1">
      <c r="B88" s="99" t="s">
        <v>57</v>
      </c>
      <c r="C88" s="99"/>
      <c r="D88" s="99"/>
      <c r="E88" s="99"/>
      <c r="F88" s="100"/>
      <c r="G88" s="100"/>
      <c r="H88" s="100"/>
      <c r="I88" s="100"/>
      <c r="J88" s="101"/>
      <c r="K88" s="102"/>
      <c r="L88" s="102"/>
      <c r="M88" s="103"/>
      <c r="N88" s="103"/>
      <c r="O88" s="103"/>
      <c r="P88" s="103"/>
      <c r="Q88" s="103"/>
      <c r="R88" s="103"/>
      <c r="S88" s="103"/>
      <c r="T88" s="103"/>
    </row>
    <row r="89" spans="2:20" ht="19.75" customHeight="1">
      <c r="B89" s="5"/>
      <c r="C89" s="95" t="str">
        <f>+C71</f>
        <v>Dec 31</v>
      </c>
      <c r="D89" s="95" t="str">
        <f>+D71</f>
        <v>Dec 31</v>
      </c>
      <c r="E89" s="95" t="str">
        <f>+E71</f>
        <v>Dec 31</v>
      </c>
      <c r="F89" s="359" t="s">
        <v>219</v>
      </c>
      <c r="G89" s="359" t="s">
        <v>219</v>
      </c>
      <c r="H89" s="98" t="s">
        <v>219</v>
      </c>
      <c r="I89" s="98" t="s">
        <v>219</v>
      </c>
      <c r="J89" s="98" t="s">
        <v>219</v>
      </c>
      <c r="K89" s="98" t="s">
        <v>219</v>
      </c>
      <c r="L89" s="98" t="s">
        <v>219</v>
      </c>
      <c r="M89" s="98" t="s">
        <v>219</v>
      </c>
      <c r="N89" s="98" t="s">
        <v>503</v>
      </c>
      <c r="O89" s="98" t="s">
        <v>504</v>
      </c>
      <c r="P89" s="98" t="s">
        <v>505</v>
      </c>
      <c r="Q89" s="98" t="s">
        <v>546</v>
      </c>
      <c r="R89" s="323" t="s">
        <v>547</v>
      </c>
      <c r="S89" s="98" t="s">
        <v>547</v>
      </c>
      <c r="T89" s="98" t="s">
        <v>547</v>
      </c>
    </row>
    <row r="90" spans="2:20" ht="20.149999999999999" customHeight="1" thickBot="1">
      <c r="B90" s="26"/>
      <c r="C90" s="97">
        <f t="shared" ref="C90:D90" si="79">+C72</f>
        <v>2024</v>
      </c>
      <c r="D90" s="97">
        <f t="shared" si="79"/>
        <v>2023</v>
      </c>
      <c r="E90" s="97">
        <f t="shared" ref="E90:P90" si="80">+E72</f>
        <v>2022</v>
      </c>
      <c r="F90" s="343">
        <f t="shared" si="80"/>
        <v>2021</v>
      </c>
      <c r="G90" s="343">
        <f t="shared" si="80"/>
        <v>2020</v>
      </c>
      <c r="H90" s="97">
        <f t="shared" si="80"/>
        <v>2019</v>
      </c>
      <c r="I90" s="97">
        <f t="shared" si="80"/>
        <v>2018</v>
      </c>
      <c r="J90" s="97">
        <f t="shared" si="80"/>
        <v>2017</v>
      </c>
      <c r="K90" s="97">
        <f t="shared" si="80"/>
        <v>2016</v>
      </c>
      <c r="L90" s="97">
        <f t="shared" si="80"/>
        <v>2015</v>
      </c>
      <c r="M90" s="97">
        <f t="shared" si="80"/>
        <v>2014</v>
      </c>
      <c r="N90" s="97">
        <f t="shared" si="80"/>
        <v>2013</v>
      </c>
      <c r="O90" s="97">
        <f t="shared" si="80"/>
        <v>2012</v>
      </c>
      <c r="P90" s="97">
        <f t="shared" si="80"/>
        <v>2011</v>
      </c>
      <c r="Q90" s="97">
        <f t="shared" ref="Q90:R90" si="81">+Q72</f>
        <v>2010</v>
      </c>
      <c r="R90" s="316">
        <f t="shared" si="81"/>
        <v>2009</v>
      </c>
      <c r="S90" s="97">
        <f t="shared" ref="S90:T90" si="82">+S72</f>
        <v>2008</v>
      </c>
      <c r="T90" s="97">
        <f t="shared" si="82"/>
        <v>2007</v>
      </c>
    </row>
    <row r="91" spans="2:20" ht="11.5" customHeight="1">
      <c r="B91" s="27" t="s">
        <v>58</v>
      </c>
      <c r="C91" s="188">
        <f t="shared" ref="C91" si="83">+C11+C73</f>
        <v>749000</v>
      </c>
      <c r="D91" s="188">
        <f t="shared" ref="D91:P91" si="84">+D11+D73</f>
        <v>728000</v>
      </c>
      <c r="E91" s="188">
        <f t="shared" si="84"/>
        <v>853000</v>
      </c>
      <c r="F91" s="360">
        <f t="shared" si="84"/>
        <v>37000</v>
      </c>
      <c r="G91" s="360">
        <f t="shared" si="84"/>
        <v>-322000</v>
      </c>
      <c r="H91" s="188">
        <f t="shared" si="84"/>
        <v>526000</v>
      </c>
      <c r="I91" s="188">
        <f t="shared" si="84"/>
        <v>659000</v>
      </c>
      <c r="J91" s="188">
        <f t="shared" si="84"/>
        <v>608000</v>
      </c>
      <c r="K91" s="188">
        <f t="shared" si="84"/>
        <v>594000</v>
      </c>
      <c r="L91" s="188">
        <f t="shared" si="84"/>
        <v>643000</v>
      </c>
      <c r="M91" s="188">
        <f t="shared" si="84"/>
        <v>633000</v>
      </c>
      <c r="N91" s="188">
        <f t="shared" si="84"/>
        <v>578000</v>
      </c>
      <c r="O91" s="188">
        <f t="shared" si="84"/>
        <v>512000</v>
      </c>
      <c r="P91" s="188">
        <f t="shared" si="84"/>
        <v>458000</v>
      </c>
      <c r="Q91" s="188">
        <f t="shared" ref="Q91:R91" si="85">+Q11+Q73</f>
        <v>387000</v>
      </c>
      <c r="R91" s="326">
        <f t="shared" si="85"/>
        <v>318000</v>
      </c>
      <c r="S91" s="188">
        <f t="shared" ref="S91:T91" si="86">+S11+S73</f>
        <v>613000</v>
      </c>
      <c r="T91" s="188">
        <f t="shared" si="86"/>
        <v>599000</v>
      </c>
    </row>
    <row r="92" spans="2:20" ht="11.5" customHeight="1">
      <c r="B92" s="17"/>
      <c r="C92" s="75"/>
      <c r="D92" s="75"/>
      <c r="E92" s="75"/>
      <c r="F92" s="361"/>
      <c r="G92" s="361" t="s">
        <v>481</v>
      </c>
      <c r="H92" s="1"/>
      <c r="I92" s="1"/>
      <c r="N92" s="54"/>
      <c r="O92" s="54"/>
      <c r="P92" s="54"/>
      <c r="Q92" s="54"/>
      <c r="R92" s="325"/>
      <c r="S92" s="54"/>
      <c r="T92" s="54"/>
    </row>
    <row r="93" spans="2:20" ht="11.5" customHeight="1">
      <c r="B93" s="28" t="s">
        <v>59</v>
      </c>
      <c r="C93" s="28"/>
      <c r="D93" s="28"/>
      <c r="E93" s="28"/>
      <c r="F93" s="362"/>
      <c r="G93" s="362"/>
      <c r="H93" s="26"/>
      <c r="I93" s="26"/>
      <c r="N93" s="54"/>
      <c r="O93" s="54"/>
      <c r="P93" s="54"/>
      <c r="Q93" s="54"/>
      <c r="R93" s="325"/>
      <c r="S93" s="54"/>
      <c r="T93" s="54"/>
    </row>
    <row r="94" spans="2:20" ht="11.5" customHeight="1">
      <c r="B94" s="21" t="s">
        <v>60</v>
      </c>
      <c r="C94" s="29">
        <f t="shared" ref="C94:O94" si="87">+C7/D7-1</f>
        <v>-2.8498575071246313E-3</v>
      </c>
      <c r="D94" s="29">
        <f t="shared" si="87"/>
        <v>0.13172636224749623</v>
      </c>
      <c r="E94" s="29">
        <f t="shared" si="87"/>
        <v>0.94550858652575953</v>
      </c>
      <c r="F94" s="346">
        <f t="shared" si="87"/>
        <v>0.46563407550822844</v>
      </c>
      <c r="G94" s="346">
        <f t="shared" si="87"/>
        <v>-0.58844621513944229</v>
      </c>
      <c r="H94" s="29">
        <f t="shared" si="87"/>
        <v>0.12707678491243835</v>
      </c>
      <c r="I94" s="29">
        <f t="shared" si="87"/>
        <v>-1.7929179740027168E-3</v>
      </c>
      <c r="J94" s="29">
        <f t="shared" si="87"/>
        <v>4.6189917936694025E-2</v>
      </c>
      <c r="K94" s="29">
        <f t="shared" si="87"/>
        <v>-1.455637707948243E-2</v>
      </c>
      <c r="L94" s="29">
        <f t="shared" si="87"/>
        <v>-1.9705549263873134E-2</v>
      </c>
      <c r="M94" s="29">
        <f t="shared" si="87"/>
        <v>5.5210325047801101E-2</v>
      </c>
      <c r="N94" s="29">
        <f t="shared" si="87"/>
        <v>5.950873638895926E-2</v>
      </c>
      <c r="O94" s="29">
        <f t="shared" si="87"/>
        <v>6.7874526771227739E-2</v>
      </c>
      <c r="P94" s="29">
        <f t="shared" ref="P94" si="88">+P7/Q7-1</f>
        <v>4.8483130138928354E-2</v>
      </c>
      <c r="Q94" s="29">
        <f t="shared" ref="Q94" si="89">+Q7/R7-1</f>
        <v>5.9159159159159147E-2</v>
      </c>
      <c r="R94" s="327">
        <f t="shared" ref="R94" si="90">+R7/S7-1</f>
        <v>-0.13213448006254891</v>
      </c>
      <c r="S94" s="29">
        <f t="shared" ref="S94" si="91">+S7/T7-1</f>
        <v>2.6484751203852408E-2</v>
      </c>
      <c r="T94" s="29"/>
    </row>
    <row r="95" spans="2:20" ht="11.5" customHeight="1">
      <c r="B95" s="17"/>
      <c r="C95" s="9"/>
      <c r="D95" s="9"/>
      <c r="E95" s="9"/>
      <c r="F95" s="347"/>
      <c r="G95" s="347"/>
      <c r="H95" s="9"/>
      <c r="I95" s="9"/>
      <c r="J95" s="9"/>
      <c r="K95" s="9"/>
      <c r="L95" s="9"/>
      <c r="M95" s="9"/>
      <c r="N95" s="9"/>
      <c r="O95" s="9"/>
      <c r="P95" s="9"/>
      <c r="Q95" s="9"/>
      <c r="R95" s="311"/>
      <c r="S95" s="9"/>
      <c r="T95" s="9"/>
    </row>
    <row r="96" spans="2:20" ht="11.5" customHeight="1">
      <c r="B96" s="23" t="s">
        <v>61</v>
      </c>
      <c r="C96" s="9"/>
      <c r="D96" s="9"/>
      <c r="E96" s="9"/>
      <c r="F96" s="347"/>
      <c r="G96" s="347"/>
      <c r="H96" s="9"/>
      <c r="I96" s="9"/>
      <c r="J96" s="9"/>
      <c r="K96" s="9"/>
      <c r="L96" s="9"/>
      <c r="M96" s="9"/>
      <c r="N96" s="9"/>
      <c r="O96" s="9"/>
      <c r="P96" s="9"/>
      <c r="Q96" s="9"/>
      <c r="R96" s="311"/>
      <c r="S96" s="9"/>
      <c r="T96" s="9"/>
    </row>
    <row r="97" spans="2:20" ht="11.5" customHeight="1">
      <c r="B97" s="21" t="s">
        <v>62</v>
      </c>
      <c r="C97" s="30">
        <f t="shared" ref="C97" si="92">+C31/C50</f>
        <v>0.51710445937690896</v>
      </c>
      <c r="D97" s="30">
        <f t="shared" ref="D97:P97" si="93">+D31/D50</f>
        <v>0.25796534376746788</v>
      </c>
      <c r="E97" s="30">
        <f t="shared" si="93"/>
        <v>0.37846060237298451</v>
      </c>
      <c r="F97" s="363">
        <f t="shared" si="93"/>
        <v>0.60976702508960579</v>
      </c>
      <c r="G97" s="363">
        <f t="shared" si="93"/>
        <v>2.5416666666666665</v>
      </c>
      <c r="H97" s="30">
        <f t="shared" si="93"/>
        <v>0.91804788213627997</v>
      </c>
      <c r="I97" s="30">
        <f t="shared" si="93"/>
        <v>0.73138548539114046</v>
      </c>
      <c r="J97" s="30">
        <f t="shared" si="93"/>
        <v>0.58467741935483875</v>
      </c>
      <c r="K97" s="30">
        <f t="shared" si="93"/>
        <v>0.62337662337662336</v>
      </c>
      <c r="L97" s="30">
        <f t="shared" si="93"/>
        <v>0.4823848238482385</v>
      </c>
      <c r="M97" s="30">
        <f t="shared" si="93"/>
        <v>1.4342465753424658</v>
      </c>
      <c r="N97" s="30">
        <f t="shared" si="93"/>
        <v>0.6027554535017221</v>
      </c>
      <c r="O97" s="30">
        <f t="shared" si="93"/>
        <v>2.4304207119741101</v>
      </c>
      <c r="P97" s="30">
        <f t="shared" si="93"/>
        <v>3.073943661971831</v>
      </c>
      <c r="Q97" s="30">
        <f t="shared" ref="Q97:R97" si="94">+Q31/Q50</f>
        <v>3.7181208053691277</v>
      </c>
      <c r="R97" s="328">
        <f t="shared" si="94"/>
        <v>3.1939393939393939</v>
      </c>
      <c r="S97" s="30">
        <f t="shared" ref="S97:T97" si="95">+S31/S50</f>
        <v>0.81163859111791725</v>
      </c>
      <c r="T97" s="30">
        <f t="shared" si="95"/>
        <v>0.65853658536585369</v>
      </c>
    </row>
    <row r="98" spans="2:20" ht="11.5" customHeight="1">
      <c r="B98" s="21" t="s">
        <v>63</v>
      </c>
      <c r="C98" s="30">
        <f t="shared" ref="C98" si="96">+(C26+C27)/C50</f>
        <v>0.51710445937690896</v>
      </c>
      <c r="D98" s="30">
        <f t="shared" ref="D98:P98" si="97">+(D26+D27)/D50</f>
        <v>0.24063722750139743</v>
      </c>
      <c r="E98" s="30">
        <f t="shared" si="97"/>
        <v>0.37846060237298451</v>
      </c>
      <c r="F98" s="363">
        <f t="shared" si="97"/>
        <v>0.60976702508960579</v>
      </c>
      <c r="G98" s="363">
        <f t="shared" si="97"/>
        <v>2.5416666666666665</v>
      </c>
      <c r="H98" s="30">
        <f t="shared" si="97"/>
        <v>0.91804788213627997</v>
      </c>
      <c r="I98" s="30">
        <f t="shared" si="97"/>
        <v>0.73138548539114046</v>
      </c>
      <c r="J98" s="30">
        <f t="shared" si="97"/>
        <v>0.58467741935483875</v>
      </c>
      <c r="K98" s="30">
        <f t="shared" si="97"/>
        <v>0.62337662337662336</v>
      </c>
      <c r="L98" s="30">
        <f t="shared" si="97"/>
        <v>0.4823848238482385</v>
      </c>
      <c r="M98" s="30">
        <f t="shared" si="97"/>
        <v>1.2767123287671234</v>
      </c>
      <c r="N98" s="30">
        <f t="shared" si="97"/>
        <v>0.5774971297359357</v>
      </c>
      <c r="O98" s="30">
        <f t="shared" si="97"/>
        <v>2.3139158576051782</v>
      </c>
      <c r="P98" s="30">
        <f t="shared" si="97"/>
        <v>2.992957746478873</v>
      </c>
      <c r="Q98" s="30">
        <f t="shared" ref="Q98:R98" si="98">+(Q26+Q27)/Q50</f>
        <v>3.6208053691275168</v>
      </c>
      <c r="R98" s="328">
        <f t="shared" si="98"/>
        <v>3.1010101010101012</v>
      </c>
      <c r="S98" s="30">
        <f t="shared" ref="S98:T98" si="99">+(S26+S27)/S50</f>
        <v>0.65543644716692195</v>
      </c>
      <c r="T98" s="30">
        <f t="shared" si="99"/>
        <v>0.58680057388809181</v>
      </c>
    </row>
    <row r="99" spans="2:20" ht="11.5" customHeight="1">
      <c r="B99" s="21" t="s">
        <v>64</v>
      </c>
      <c r="C99" s="30">
        <f t="shared" ref="C99:O99" si="100">+C7/((C27+D27)/2)</f>
        <v>-118.71428571428571</v>
      </c>
      <c r="D99" s="30">
        <f t="shared" si="100"/>
        <v>-118</v>
      </c>
      <c r="E99" s="30">
        <f t="shared" si="100"/>
        <v>-101.56896551724138</v>
      </c>
      <c r="F99" s="363">
        <f t="shared" si="100"/>
        <v>-55.559633027522935</v>
      </c>
      <c r="G99" s="363">
        <f t="shared" si="100"/>
        <v>-46.954545454545453</v>
      </c>
      <c r="H99" s="30">
        <f t="shared" si="100"/>
        <v>-173.10344827586206</v>
      </c>
      <c r="I99" s="30">
        <f t="shared" si="100"/>
        <v>-189.53191489361703</v>
      </c>
      <c r="J99" s="30">
        <f t="shared" si="100"/>
        <v>-228.82051282051282</v>
      </c>
      <c r="K99" s="30">
        <f t="shared" si="100"/>
        <v>-258.4848484848485</v>
      </c>
      <c r="L99" s="30">
        <f t="shared" si="100"/>
        <v>-309.14285714285717</v>
      </c>
      <c r="M99" s="30">
        <f t="shared" si="100"/>
        <v>-367.91666666666669</v>
      </c>
      <c r="N99" s="30">
        <f t="shared" si="100"/>
        <v>-380.36363636363637</v>
      </c>
      <c r="O99" s="30">
        <f t="shared" si="100"/>
        <v>-376.09523809523807</v>
      </c>
      <c r="P99" s="30">
        <f>+P7/((P27+U27)/2)</f>
        <v>-739.6</v>
      </c>
      <c r="Q99" s="30"/>
      <c r="R99" s="328"/>
      <c r="S99" s="30"/>
      <c r="T99" s="30"/>
    </row>
    <row r="100" spans="2:20" ht="11.5" customHeight="1">
      <c r="B100" s="21" t="s">
        <v>65</v>
      </c>
      <c r="C100" s="31">
        <f>365/C99</f>
        <v>-3.074608904933815</v>
      </c>
      <c r="D100" s="31">
        <f>365/D99</f>
        <v>-3.093220338983051</v>
      </c>
      <c r="E100" s="31">
        <f>365/E99</f>
        <v>-3.5936173824478015</v>
      </c>
      <c r="F100" s="364">
        <f t="shared" ref="F100:P100" si="101">365/F99</f>
        <v>-6.5695178335535012</v>
      </c>
      <c r="G100" s="364">
        <f t="shared" si="101"/>
        <v>-7.7734753146176185</v>
      </c>
      <c r="H100" s="31">
        <f t="shared" si="101"/>
        <v>-2.108565737051793</v>
      </c>
      <c r="I100" s="31">
        <f t="shared" si="101"/>
        <v>-1.9257970363718007</v>
      </c>
      <c r="J100" s="31">
        <f t="shared" si="101"/>
        <v>-1.5951367099955178</v>
      </c>
      <c r="K100" s="31">
        <f t="shared" si="101"/>
        <v>-1.4120750293083235</v>
      </c>
      <c r="L100" s="31">
        <f t="shared" si="101"/>
        <v>-1.1806839186691311</v>
      </c>
      <c r="M100" s="31">
        <f t="shared" si="101"/>
        <v>-0.99207248018120042</v>
      </c>
      <c r="N100" s="31">
        <f t="shared" si="101"/>
        <v>-0.95960803059273425</v>
      </c>
      <c r="O100" s="31">
        <f t="shared" si="101"/>
        <v>-0.97049886047100542</v>
      </c>
      <c r="P100" s="31">
        <f t="shared" si="101"/>
        <v>-0.49351000540832879</v>
      </c>
      <c r="Q100" s="31"/>
      <c r="R100" s="329"/>
      <c r="S100" s="31"/>
      <c r="T100" s="31"/>
    </row>
    <row r="101" spans="2:20" ht="11.5" customHeight="1">
      <c r="B101" s="17"/>
      <c r="C101" s="9"/>
      <c r="D101" s="9"/>
      <c r="E101" s="9"/>
      <c r="F101" s="347"/>
      <c r="G101" s="347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311"/>
      <c r="S101" s="9"/>
      <c r="T101" s="9"/>
    </row>
    <row r="102" spans="2:20" ht="11.5" customHeight="1">
      <c r="B102" s="23" t="s">
        <v>66</v>
      </c>
      <c r="C102" s="9"/>
      <c r="D102" s="9"/>
      <c r="E102" s="9"/>
      <c r="F102" s="347"/>
      <c r="G102" s="347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311"/>
      <c r="S102" s="9"/>
      <c r="T102" s="9"/>
    </row>
    <row r="103" spans="2:20" ht="11.5" customHeight="1">
      <c r="B103" s="21" t="s">
        <v>67</v>
      </c>
      <c r="C103" s="29">
        <f t="shared" ref="C103" si="102">+(C49+C53)/(C49+C53+C65)</f>
        <v>0.51603220084595447</v>
      </c>
      <c r="D103" s="29">
        <f t="shared" ref="D103:P103" si="103">+(D49+D53)/(D49+D53+D65)</f>
        <v>0.46163141993957701</v>
      </c>
      <c r="E103" s="29">
        <f t="shared" si="103"/>
        <v>0.45698766881972991</v>
      </c>
      <c r="F103" s="346">
        <f t="shared" si="103"/>
        <v>0.5275162445299032</v>
      </c>
      <c r="G103" s="346">
        <f t="shared" si="103"/>
        <v>0.50255615801704101</v>
      </c>
      <c r="H103" s="29">
        <f t="shared" si="103"/>
        <v>0.29059982094897047</v>
      </c>
      <c r="I103" s="29">
        <f t="shared" si="103"/>
        <v>0.30806938159879338</v>
      </c>
      <c r="J103" s="29">
        <f t="shared" si="103"/>
        <v>0.27288231949971575</v>
      </c>
      <c r="K103" s="29">
        <f t="shared" si="103"/>
        <v>0.27019446522064322</v>
      </c>
      <c r="L103" s="29">
        <f t="shared" si="103"/>
        <v>0.20703357838267436</v>
      </c>
      <c r="M103" s="29">
        <f t="shared" si="103"/>
        <v>0.22986018641810918</v>
      </c>
      <c r="N103" s="29">
        <f t="shared" si="103"/>
        <v>0.21277649389237371</v>
      </c>
      <c r="O103" s="29">
        <f t="shared" si="103"/>
        <v>0.20347682119205299</v>
      </c>
      <c r="P103" s="29">
        <f t="shared" si="103"/>
        <v>0.20218579234972678</v>
      </c>
      <c r="Q103" s="29">
        <f t="shared" ref="Q103:R103" si="104">+(Q49+Q53)/(Q49+Q53+Q65)</f>
        <v>0.22851974675911968</v>
      </c>
      <c r="R103" s="327">
        <f t="shared" si="104"/>
        <v>0.24412296564195299</v>
      </c>
      <c r="S103" s="29">
        <f t="shared" ref="S103:T103" si="105">+(S49+S53)/(S49+S53+S65)</f>
        <v>0.34461198970209633</v>
      </c>
      <c r="T103" s="29">
        <f t="shared" si="105"/>
        <v>0.18779564806054871</v>
      </c>
    </row>
    <row r="104" spans="2:20" ht="11.5" customHeight="1">
      <c r="B104" s="21" t="s">
        <v>68</v>
      </c>
      <c r="C104" s="30">
        <f t="shared" ref="C104" si="106">+C91/C12</f>
        <v>1.8004807692307692</v>
      </c>
      <c r="D104" s="30">
        <f t="shared" ref="D104:P104" si="107">+D91/D12</f>
        <v>2.1993957703927491</v>
      </c>
      <c r="E104" s="30">
        <f t="shared" si="107"/>
        <v>1.9976580796252927</v>
      </c>
      <c r="F104" s="363">
        <f t="shared" si="107"/>
        <v>-0.13553113553113552</v>
      </c>
      <c r="G104" s="363">
        <f t="shared" si="107"/>
        <v>0.509493670886076</v>
      </c>
      <c r="H104" s="30">
        <f t="shared" si="107"/>
        <v>2.6700507614213196</v>
      </c>
      <c r="I104" s="30">
        <f t="shared" si="107"/>
        <v>1.9849397590361446</v>
      </c>
      <c r="J104" s="30">
        <f t="shared" si="107"/>
        <v>2.3384615384615386</v>
      </c>
      <c r="K104" s="30">
        <f t="shared" si="107"/>
        <v>2.216417910447761</v>
      </c>
      <c r="L104" s="30">
        <f t="shared" si="107"/>
        <v>1.9907120743034055</v>
      </c>
      <c r="M104" s="30">
        <f t="shared" si="107"/>
        <v>2.2688172043010755</v>
      </c>
      <c r="N104" s="30">
        <f t="shared" si="107"/>
        <v>2.4806866952789699</v>
      </c>
      <c r="O104" s="30">
        <f t="shared" si="107"/>
        <v>3.2201257861635222</v>
      </c>
      <c r="P104" s="30">
        <f t="shared" si="107"/>
        <v>2.9934640522875817</v>
      </c>
      <c r="Q104" s="30">
        <f t="shared" ref="Q104:R104" si="108">+Q91/Q12</f>
        <v>3.5833333333333335</v>
      </c>
      <c r="R104" s="328">
        <f t="shared" si="108"/>
        <v>6.4897959183673466</v>
      </c>
      <c r="S104" s="30">
        <f t="shared" ref="S104:T104" si="109">+S91/S12</f>
        <v>1.6840659340659341</v>
      </c>
      <c r="T104" s="30">
        <f t="shared" si="109"/>
        <v>1.5558441558441558</v>
      </c>
    </row>
    <row r="105" spans="2:20" ht="11.5" customHeight="1">
      <c r="B105" s="21" t="s">
        <v>69</v>
      </c>
      <c r="C105" s="30">
        <f>+(C53+C49)/C91</f>
        <v>5.0493991989319094</v>
      </c>
      <c r="D105" s="30">
        <f>+(D53+D49)/D91</f>
        <v>4.197802197802198</v>
      </c>
      <c r="E105" s="30">
        <f t="shared" ref="E105:P105" si="110">+(E53+E49)/E91</f>
        <v>3.6494724501758498</v>
      </c>
      <c r="F105" s="363">
        <f t="shared" si="110"/>
        <v>107.51351351351352</v>
      </c>
      <c r="G105" s="363">
        <f t="shared" si="110"/>
        <v>-10.074534161490684</v>
      </c>
      <c r="H105" s="30">
        <f t="shared" si="110"/>
        <v>3.085551330798479</v>
      </c>
      <c r="I105" s="30">
        <f t="shared" si="110"/>
        <v>2.479514415781487</v>
      </c>
      <c r="J105" s="30">
        <f t="shared" si="110"/>
        <v>2.3684210526315788</v>
      </c>
      <c r="K105" s="30">
        <f t="shared" si="110"/>
        <v>2.4326599326599325</v>
      </c>
      <c r="L105" s="30">
        <f t="shared" si="110"/>
        <v>1.6205287713841368</v>
      </c>
      <c r="M105" s="30">
        <f t="shared" si="110"/>
        <v>2.1816745655608214</v>
      </c>
      <c r="N105" s="30">
        <f t="shared" si="110"/>
        <v>2.2301038062283736</v>
      </c>
      <c r="O105" s="30">
        <f t="shared" si="110"/>
        <v>2.400390625</v>
      </c>
      <c r="P105" s="30">
        <f t="shared" si="110"/>
        <v>2.6659388646288211</v>
      </c>
      <c r="Q105" s="30">
        <f t="shared" ref="Q105:R105" si="111">+(Q53+Q49)/Q91</f>
        <v>3.9173126614987082</v>
      </c>
      <c r="R105" s="328">
        <f t="shared" si="111"/>
        <v>5.0943396226415096</v>
      </c>
      <c r="S105" s="30">
        <f t="shared" ref="S105:T105" si="112">+(S53+S49)/S91</f>
        <v>3.0570962479608483</v>
      </c>
      <c r="T105" s="30">
        <f t="shared" si="112"/>
        <v>1.325542570951586</v>
      </c>
    </row>
    <row r="106" spans="2:20" ht="11.5" customHeight="1">
      <c r="B106" s="17"/>
      <c r="C106" s="9"/>
      <c r="D106" s="9"/>
      <c r="E106" s="9"/>
      <c r="F106" s="347"/>
      <c r="G106" s="347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311"/>
      <c r="S106" s="9"/>
      <c r="T106" s="9"/>
    </row>
    <row r="107" spans="2:20" ht="11.5" customHeight="1">
      <c r="B107" s="23" t="s">
        <v>70</v>
      </c>
      <c r="C107" s="9"/>
      <c r="D107" s="9"/>
      <c r="E107" s="9"/>
      <c r="F107" s="347"/>
      <c r="G107" s="347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311"/>
      <c r="S107" s="9"/>
      <c r="T107" s="9"/>
    </row>
    <row r="108" spans="2:20" ht="11.5" customHeight="1">
      <c r="B108" s="21" t="s">
        <v>4</v>
      </c>
      <c r="C108" s="29">
        <f t="shared" ref="C108" si="113">+C9/C7</f>
        <v>0.19509626955475332</v>
      </c>
      <c r="D108" s="29">
        <f t="shared" ref="D108:P108" si="114">+D9/D7</f>
        <v>0.19589020548972552</v>
      </c>
      <c r="E108" s="29">
        <f t="shared" si="114"/>
        <v>0.21863860125615345</v>
      </c>
      <c r="F108" s="346">
        <f t="shared" si="114"/>
        <v>0.14035667107001321</v>
      </c>
      <c r="G108" s="346">
        <f t="shared" si="114"/>
        <v>-4.8402710551790902E-4</v>
      </c>
      <c r="H108" s="29">
        <f t="shared" si="114"/>
        <v>0.18784860557768923</v>
      </c>
      <c r="I108" s="29">
        <f t="shared" si="114"/>
        <v>0.21980242478670858</v>
      </c>
      <c r="J108" s="29">
        <f t="shared" si="114"/>
        <v>0.22075302554908113</v>
      </c>
      <c r="K108" s="29">
        <f t="shared" si="114"/>
        <v>0.21313012895662367</v>
      </c>
      <c r="L108" s="29">
        <f t="shared" si="114"/>
        <v>0.21973197781885398</v>
      </c>
      <c r="M108" s="29">
        <f t="shared" si="114"/>
        <v>0.22242355605889014</v>
      </c>
      <c r="N108" s="29">
        <f t="shared" si="114"/>
        <v>0.21534416826003824</v>
      </c>
      <c r="O108" s="29">
        <f t="shared" si="114"/>
        <v>0.20967333502152444</v>
      </c>
      <c r="P108" s="29">
        <f t="shared" si="114"/>
        <v>0.20037858301784747</v>
      </c>
      <c r="Q108" s="29">
        <f t="shared" ref="Q108:R108" si="115">+Q9/Q7</f>
        <v>0.18797845194216048</v>
      </c>
      <c r="R108" s="327">
        <f t="shared" si="115"/>
        <v>0.17387387387387387</v>
      </c>
      <c r="S108" s="29">
        <f t="shared" ref="S108:T108" si="116">+S9/S7</f>
        <v>0.23534010946051603</v>
      </c>
      <c r="T108" s="29">
        <f t="shared" si="116"/>
        <v>0.23836276083467095</v>
      </c>
    </row>
    <row r="109" spans="2:20" ht="11.5" customHeight="1">
      <c r="B109" s="21" t="s">
        <v>71</v>
      </c>
      <c r="C109" s="29">
        <f t="shared" ref="C109" si="117">+C91/C7</f>
        <v>0.11266546329723225</v>
      </c>
      <c r="D109" s="29">
        <f t="shared" ref="D109:P109" si="118">+D91/D7</f>
        <v>0.10919454027298635</v>
      </c>
      <c r="E109" s="29">
        <f t="shared" si="118"/>
        <v>0.14479714819215753</v>
      </c>
      <c r="F109" s="346">
        <f t="shared" si="118"/>
        <v>1.2219286657859974E-2</v>
      </c>
      <c r="G109" s="346">
        <f t="shared" si="118"/>
        <v>-0.1558567279767667</v>
      </c>
      <c r="H109" s="29">
        <f t="shared" si="118"/>
        <v>0.1047808764940239</v>
      </c>
      <c r="I109" s="29">
        <f t="shared" si="118"/>
        <v>0.14795689268073642</v>
      </c>
      <c r="J109" s="29">
        <f t="shared" si="118"/>
        <v>0.13626176602420439</v>
      </c>
      <c r="K109" s="29">
        <f t="shared" si="118"/>
        <v>0.13927315357561548</v>
      </c>
      <c r="L109" s="29">
        <f t="shared" si="118"/>
        <v>0.14856746765249537</v>
      </c>
      <c r="M109" s="29">
        <f t="shared" si="118"/>
        <v>0.14337485843714609</v>
      </c>
      <c r="N109" s="29">
        <f t="shared" si="118"/>
        <v>0.1381453154875717</v>
      </c>
      <c r="O109" s="29">
        <f t="shared" si="118"/>
        <v>0.12965307672828563</v>
      </c>
      <c r="P109" s="29">
        <f t="shared" si="118"/>
        <v>0.12385073012439156</v>
      </c>
      <c r="Q109" s="29">
        <f t="shared" ref="Q109:R109" si="119">+Q91/Q7</f>
        <v>0.10972497873546924</v>
      </c>
      <c r="R109" s="327">
        <f t="shared" si="119"/>
        <v>9.5495495495495492E-2</v>
      </c>
      <c r="S109" s="29">
        <f t="shared" ref="S109:T109" si="120">+S91/S7</f>
        <v>0.15976022934584311</v>
      </c>
      <c r="T109" s="29">
        <f t="shared" si="120"/>
        <v>0.16024612092027823</v>
      </c>
    </row>
    <row r="110" spans="2:20" ht="11.5" customHeight="1">
      <c r="B110" s="21" t="s">
        <v>72</v>
      </c>
      <c r="C110" s="29">
        <f t="shared" ref="C110:O110" si="121">+C17/((C42+D42)/2)</f>
        <v>-1.7586114615590473E-3</v>
      </c>
      <c r="D110" s="29">
        <f t="shared" si="121"/>
        <v>-1.6703121893020482E-3</v>
      </c>
      <c r="E110" s="29">
        <f t="shared" si="121"/>
        <v>-1.2040939193257074E-3</v>
      </c>
      <c r="F110" s="346">
        <f t="shared" si="121"/>
        <v>-1.3804527885146328E-3</v>
      </c>
      <c r="G110" s="346">
        <f t="shared" si="121"/>
        <v>-2.6216801550210875E-3</v>
      </c>
      <c r="H110" s="29">
        <f t="shared" si="121"/>
        <v>-5.1058530510585303E-3</v>
      </c>
      <c r="I110" s="29">
        <f t="shared" si="121"/>
        <v>-1.9717384160368059E-3</v>
      </c>
      <c r="J110" s="29">
        <f t="shared" si="121"/>
        <v>-3.1329547679655374E-3</v>
      </c>
      <c r="K110" s="29">
        <f t="shared" si="121"/>
        <v>-2.2164276401564539E-3</v>
      </c>
      <c r="L110" s="29">
        <f t="shared" si="121"/>
        <v>-1.5253590949536036E-3</v>
      </c>
      <c r="M110" s="29">
        <f t="shared" si="121"/>
        <v>1.7156862745098039E-3</v>
      </c>
      <c r="N110" s="29">
        <f t="shared" si="121"/>
        <v>3.2896817865502625E-3</v>
      </c>
      <c r="O110" s="29">
        <f t="shared" si="121"/>
        <v>0</v>
      </c>
      <c r="P110" s="29">
        <f>+P17/((P42+U42)/2)</f>
        <v>2.3977620887171971E-3</v>
      </c>
      <c r="Q110" s="29">
        <f>+Q17/((Q42+V42)/2)</f>
        <v>-1.6843849233742925E-2</v>
      </c>
      <c r="R110" s="327">
        <f>+R17/((R42+W42)/2)</f>
        <v>1.3417190775681341E-2</v>
      </c>
      <c r="S110" s="29">
        <f>+S17/((S42+X42)/2)</f>
        <v>-7.517568230102958E-3</v>
      </c>
      <c r="T110" s="29">
        <f>+T17/((T42+Y42)/2)</f>
        <v>-5.3457106274007682E-2</v>
      </c>
    </row>
    <row r="111" spans="2:20" ht="11.5" customHeight="1">
      <c r="B111" s="21" t="s">
        <v>73</v>
      </c>
      <c r="C111" s="29">
        <f t="shared" ref="C111:O111" si="122">+C17/((C65+D65)/2)</f>
        <v>-6.4688510757980591E-3</v>
      </c>
      <c r="D111" s="29">
        <f t="shared" si="122"/>
        <v>-5.7827344072697235E-3</v>
      </c>
      <c r="E111" s="29">
        <f t="shared" si="122"/>
        <v>-4.1310933627099972E-3</v>
      </c>
      <c r="F111" s="346">
        <f t="shared" si="122"/>
        <v>-4.4286979627989375E-3</v>
      </c>
      <c r="G111" s="346">
        <f t="shared" si="122"/>
        <v>-6.4129374041544682E-3</v>
      </c>
      <c r="H111" s="29">
        <f t="shared" si="122"/>
        <v>-1.0744234800838574E-2</v>
      </c>
      <c r="I111" s="29">
        <f t="shared" si="122"/>
        <v>-3.9962701478619958E-3</v>
      </c>
      <c r="J111" s="29">
        <f t="shared" si="122"/>
        <v>-6.2015503875968991E-3</v>
      </c>
      <c r="K111" s="29">
        <f t="shared" si="122"/>
        <v>-4.3070686597415763E-3</v>
      </c>
      <c r="L111" s="29">
        <f t="shared" si="122"/>
        <v>-2.7848688790902761E-3</v>
      </c>
      <c r="M111" s="29">
        <f t="shared" si="122"/>
        <v>2.9799914857386121E-3</v>
      </c>
      <c r="N111" s="29">
        <f t="shared" si="122"/>
        <v>5.4279749478079332E-3</v>
      </c>
      <c r="O111" s="29">
        <f t="shared" si="122"/>
        <v>0</v>
      </c>
      <c r="P111" s="29">
        <f>+P17/((P65+U65)/2)</f>
        <v>3.7359900373599006E-3</v>
      </c>
      <c r="Q111" s="29">
        <f>+Q17/((Q65+V65)/2)</f>
        <v>-2.3837436498632278E-2</v>
      </c>
      <c r="R111" s="327">
        <f>+R17/((R65+W65)/2)</f>
        <v>1.9138755980861243E-2</v>
      </c>
      <c r="S111" s="29">
        <f>+S17/((S65+X65)/2)</f>
        <v>-1.2906846240179574E-2</v>
      </c>
      <c r="T111" s="29">
        <f>+T17/((T65+Y65)/2)</f>
        <v>-9.7262667443214906E-2</v>
      </c>
    </row>
    <row r="112" spans="2:20" ht="11.5" customHeight="1">
      <c r="B112" s="25"/>
      <c r="C112" s="25"/>
      <c r="D112" s="25"/>
      <c r="E112" s="25"/>
      <c r="F112" s="9"/>
      <c r="G112" s="9"/>
      <c r="H112" s="9"/>
      <c r="I112" s="9"/>
    </row>
    <row r="113" spans="2:11" ht="11.5" customHeight="1">
      <c r="B113" s="25"/>
      <c r="C113" s="25"/>
      <c r="D113" s="25"/>
      <c r="E113" s="25"/>
      <c r="F113" s="9"/>
      <c r="G113" s="9"/>
      <c r="H113" s="9"/>
      <c r="I113" s="9"/>
    </row>
    <row r="114" spans="2:11" ht="11.5" customHeight="1">
      <c r="B114" s="25"/>
      <c r="C114" s="25"/>
      <c r="D114" s="25"/>
      <c r="E114" s="25"/>
      <c r="F114" s="9"/>
      <c r="G114" s="9"/>
      <c r="H114" s="9"/>
      <c r="I114" s="9"/>
    </row>
    <row r="115" spans="2:11" ht="11.5" customHeight="1">
      <c r="B115" s="25"/>
      <c r="C115" s="25"/>
      <c r="D115" s="25"/>
      <c r="E115" s="25"/>
      <c r="F115" s="9"/>
      <c r="G115" s="9"/>
      <c r="H115" s="9"/>
      <c r="I115" s="9"/>
    </row>
    <row r="116" spans="2:11" ht="11.5" customHeight="1">
      <c r="B116" s="25"/>
      <c r="C116" s="25"/>
      <c r="D116" s="25"/>
      <c r="E116" s="25"/>
      <c r="F116" s="9"/>
      <c r="G116" s="9"/>
      <c r="H116" s="9"/>
      <c r="I116" s="9"/>
    </row>
    <row r="117" spans="2:11" ht="11.5" customHeight="1">
      <c r="B117" s="25"/>
      <c r="C117" s="25"/>
      <c r="D117" s="25"/>
      <c r="E117" s="25"/>
      <c r="F117" s="9"/>
      <c r="G117" s="9"/>
      <c r="H117" s="9"/>
      <c r="I117" s="9"/>
    </row>
    <row r="118" spans="2:11" ht="11.5" customHeight="1">
      <c r="B118" s="25"/>
      <c r="C118" s="25"/>
      <c r="D118" s="25"/>
      <c r="E118" s="25"/>
      <c r="F118" s="9"/>
      <c r="G118" s="9"/>
      <c r="H118" s="9"/>
      <c r="I118" s="9"/>
    </row>
    <row r="119" spans="2:11" ht="11.5" customHeight="1">
      <c r="B119" s="25"/>
      <c r="C119" s="25"/>
      <c r="D119" s="25"/>
      <c r="E119" s="25"/>
      <c r="F119" s="9"/>
      <c r="G119" s="9"/>
      <c r="H119" s="9"/>
      <c r="I119" s="9"/>
    </row>
    <row r="120" spans="2:11" ht="11.5" customHeight="1">
      <c r="B120" s="25"/>
      <c r="C120" s="25"/>
      <c r="D120" s="25"/>
      <c r="E120" s="25"/>
      <c r="F120" s="9"/>
      <c r="G120" s="9"/>
      <c r="H120" s="9"/>
      <c r="I120" s="9"/>
    </row>
    <row r="121" spans="2:11" ht="11.5" customHeight="1">
      <c r="B121" s="25"/>
      <c r="C121" s="25"/>
      <c r="D121" s="25"/>
      <c r="E121" s="25"/>
      <c r="F121" s="9"/>
      <c r="G121" s="9"/>
      <c r="H121" s="9"/>
      <c r="I121" s="9"/>
    </row>
    <row r="122" spans="2:11" ht="11.5" customHeight="1">
      <c r="B122" s="25"/>
      <c r="C122" s="25"/>
      <c r="D122" s="25"/>
      <c r="E122" s="25"/>
      <c r="F122" s="9"/>
      <c r="G122" s="9"/>
      <c r="H122" s="9"/>
      <c r="I122" s="9"/>
    </row>
    <row r="123" spans="2:11" ht="11.5" customHeight="1">
      <c r="B123" s="25"/>
      <c r="C123" s="25"/>
      <c r="D123" s="25"/>
      <c r="E123" s="25"/>
      <c r="F123" s="9"/>
      <c r="G123" s="9"/>
      <c r="H123" s="9"/>
      <c r="I123" s="9"/>
      <c r="J123" s="22"/>
      <c r="K123" s="13"/>
    </row>
    <row r="124" spans="2:11" ht="11.5" customHeight="1">
      <c r="B124" s="25"/>
      <c r="C124" s="25"/>
      <c r="D124" s="25"/>
      <c r="E124" s="25"/>
      <c r="F124" s="9"/>
      <c r="G124" s="9"/>
      <c r="H124" s="9"/>
      <c r="I124" s="9"/>
      <c r="J124" s="22"/>
      <c r="K124" s="13"/>
    </row>
    <row r="125" spans="2:11" ht="11.5" customHeight="1">
      <c r="B125" s="25"/>
      <c r="C125" s="25"/>
      <c r="D125" s="25"/>
      <c r="E125" s="25"/>
      <c r="F125" s="9"/>
      <c r="G125" s="9"/>
      <c r="H125" s="9"/>
      <c r="I125" s="9"/>
      <c r="J125" s="22"/>
      <c r="K125" s="13"/>
    </row>
    <row r="126" spans="2:11" ht="11.5" customHeight="1">
      <c r="B126" s="25"/>
      <c r="C126" s="25"/>
      <c r="D126" s="25"/>
      <c r="E126" s="25"/>
      <c r="F126" s="9"/>
      <c r="G126" s="9"/>
      <c r="H126" s="9"/>
      <c r="I126" s="9"/>
      <c r="J126" s="22"/>
      <c r="K126" s="13"/>
    </row>
    <row r="127" spans="2:11" ht="11.5" customHeight="1">
      <c r="B127" s="25"/>
      <c r="C127" s="25"/>
      <c r="D127" s="25"/>
      <c r="E127" s="25"/>
      <c r="F127" s="9"/>
      <c r="G127" s="9"/>
      <c r="H127" s="9"/>
      <c r="I127" s="9"/>
      <c r="J127" s="22"/>
      <c r="K127" s="13"/>
    </row>
    <row r="128" spans="2:11" ht="11.5" customHeight="1">
      <c r="B128" s="25"/>
      <c r="C128" s="25"/>
      <c r="D128" s="25"/>
      <c r="E128" s="25"/>
      <c r="F128" s="9"/>
      <c r="G128" s="9"/>
      <c r="H128" s="9"/>
      <c r="I128" s="9"/>
      <c r="J128" s="22"/>
      <c r="K128" s="13"/>
    </row>
    <row r="129" spans="2:11" ht="11.5" customHeight="1">
      <c r="B129" s="25"/>
      <c r="C129" s="25"/>
      <c r="D129" s="25"/>
      <c r="E129" s="25"/>
      <c r="F129" s="9"/>
      <c r="G129" s="9"/>
      <c r="H129" s="9"/>
      <c r="I129" s="9"/>
      <c r="J129" s="22"/>
      <c r="K129" s="13"/>
    </row>
    <row r="130" spans="2:11" ht="11.5" customHeight="1">
      <c r="B130" s="25"/>
      <c r="C130" s="25"/>
      <c r="D130" s="25"/>
      <c r="E130" s="25"/>
      <c r="F130" s="9"/>
      <c r="G130" s="9"/>
      <c r="H130" s="9"/>
      <c r="I130" s="9"/>
      <c r="J130" s="22"/>
      <c r="K130" s="13"/>
    </row>
    <row r="131" spans="2:11" ht="11.5" customHeight="1">
      <c r="B131" s="25"/>
      <c r="C131" s="25"/>
      <c r="D131" s="25"/>
      <c r="E131" s="25"/>
      <c r="F131" s="9"/>
      <c r="G131" s="9"/>
      <c r="H131" s="9"/>
      <c r="I131" s="9"/>
      <c r="J131" s="22"/>
      <c r="K131" s="13"/>
    </row>
    <row r="132" spans="2:11" ht="11.5" customHeight="1">
      <c r="B132" s="25"/>
      <c r="C132" s="25"/>
      <c r="D132" s="25"/>
      <c r="E132" s="25"/>
      <c r="F132" s="9"/>
      <c r="G132" s="9"/>
      <c r="H132" s="9"/>
      <c r="I132" s="9"/>
      <c r="J132" s="22"/>
      <c r="K132" s="13"/>
    </row>
    <row r="133" spans="2:11" ht="11.5" customHeight="1">
      <c r="B133" s="25"/>
      <c r="C133" s="25"/>
      <c r="D133" s="25"/>
      <c r="E133" s="25"/>
      <c r="F133" s="9"/>
      <c r="G133" s="9"/>
      <c r="H133" s="9"/>
      <c r="I133" s="9"/>
      <c r="J133" s="22"/>
      <c r="K133" s="13"/>
    </row>
    <row r="134" spans="2:11" ht="11.5" customHeight="1">
      <c r="B134" s="25"/>
      <c r="C134" s="25"/>
      <c r="D134" s="25"/>
      <c r="E134" s="25"/>
      <c r="F134" s="9"/>
      <c r="G134" s="9"/>
      <c r="H134" s="9"/>
      <c r="I134" s="9"/>
      <c r="J134" s="22"/>
      <c r="K134" s="13"/>
    </row>
    <row r="135" spans="2:11" ht="11.5" customHeight="1">
      <c r="B135" s="25"/>
      <c r="C135" s="25"/>
      <c r="D135" s="25"/>
      <c r="E135" s="25"/>
      <c r="F135" s="9"/>
      <c r="G135" s="9"/>
      <c r="H135" s="9"/>
      <c r="I135" s="9"/>
      <c r="J135" s="22"/>
      <c r="K135" s="13"/>
    </row>
    <row r="136" spans="2:11" ht="11.5" customHeight="1">
      <c r="B136" s="25"/>
      <c r="C136" s="25"/>
      <c r="D136" s="25"/>
      <c r="E136" s="25"/>
      <c r="F136" s="9"/>
      <c r="G136" s="9"/>
      <c r="H136" s="9"/>
      <c r="I136" s="9"/>
      <c r="J136" s="22"/>
      <c r="K136" s="13"/>
    </row>
    <row r="137" spans="2:11" ht="11.5" customHeight="1">
      <c r="B137" s="25"/>
      <c r="C137" s="25"/>
      <c r="D137" s="25"/>
      <c r="E137" s="25"/>
      <c r="F137" s="9"/>
      <c r="G137" s="9"/>
      <c r="H137" s="9"/>
      <c r="I137" s="9"/>
      <c r="J137" s="22"/>
      <c r="K137" s="13"/>
    </row>
    <row r="138" spans="2:11" ht="11.5" customHeight="1">
      <c r="B138" s="25"/>
      <c r="C138" s="25"/>
      <c r="D138" s="25"/>
      <c r="E138" s="25"/>
      <c r="F138" s="9"/>
      <c r="G138" s="9"/>
      <c r="H138" s="9"/>
      <c r="I138" s="9"/>
      <c r="J138" s="22"/>
      <c r="K138" s="13"/>
    </row>
    <row r="139" spans="2:11" ht="11.5" customHeight="1">
      <c r="B139" s="25"/>
      <c r="C139" s="25"/>
      <c r="D139" s="25"/>
      <c r="E139" s="25"/>
      <c r="F139" s="9"/>
      <c r="G139" s="9"/>
      <c r="H139" s="9"/>
      <c r="I139" s="9"/>
      <c r="J139" s="22"/>
      <c r="K139" s="13"/>
    </row>
    <row r="140" spans="2:11" ht="11.5" customHeight="1">
      <c r="B140" s="25"/>
      <c r="C140" s="25"/>
      <c r="D140" s="25"/>
      <c r="E140" s="25"/>
      <c r="F140" s="9"/>
      <c r="G140" s="9"/>
      <c r="H140" s="9"/>
      <c r="I140" s="9"/>
      <c r="J140" s="22"/>
      <c r="K140" s="13"/>
    </row>
    <row r="141" spans="2:11" ht="11.5" customHeight="1">
      <c r="B141" s="25"/>
      <c r="C141" s="25"/>
      <c r="D141" s="25"/>
      <c r="E141" s="25"/>
      <c r="F141" s="9"/>
      <c r="G141" s="9"/>
      <c r="H141" s="9"/>
      <c r="I141" s="9"/>
      <c r="J141" s="22"/>
      <c r="K141" s="13"/>
    </row>
    <row r="142" spans="2:11" ht="11.5" customHeight="1">
      <c r="B142" s="25"/>
      <c r="C142" s="25"/>
      <c r="D142" s="25"/>
      <c r="E142" s="25"/>
      <c r="F142" s="9"/>
      <c r="G142" s="9"/>
      <c r="H142" s="9"/>
      <c r="I142" s="9"/>
      <c r="J142" s="22"/>
      <c r="K142" s="13"/>
    </row>
    <row r="143" spans="2:11" ht="11.5" customHeight="1">
      <c r="B143" s="25"/>
      <c r="C143" s="25"/>
      <c r="D143" s="25"/>
      <c r="E143" s="25"/>
      <c r="F143" s="9"/>
      <c r="G143" s="9"/>
      <c r="H143" s="9"/>
      <c r="I143" s="9"/>
      <c r="J143" s="22"/>
      <c r="K143" s="13"/>
    </row>
    <row r="144" spans="2:11" ht="11.5" customHeight="1">
      <c r="B144" s="25"/>
      <c r="C144" s="25"/>
      <c r="D144" s="25"/>
      <c r="E144" s="25"/>
      <c r="F144" s="9"/>
      <c r="G144" s="9"/>
      <c r="H144" s="9"/>
      <c r="I144" s="9"/>
      <c r="J144" s="22"/>
      <c r="K144" s="13"/>
    </row>
    <row r="145" spans="2:11" ht="11.5" customHeight="1">
      <c r="B145" s="25"/>
      <c r="C145" s="25"/>
      <c r="D145" s="25"/>
      <c r="E145" s="25"/>
      <c r="F145" s="9"/>
      <c r="G145" s="9"/>
      <c r="H145" s="9"/>
      <c r="I145" s="9"/>
      <c r="J145" s="22"/>
      <c r="K145" s="13"/>
    </row>
    <row r="146" spans="2:11" ht="11.5" customHeight="1">
      <c r="B146" s="25"/>
      <c r="C146" s="25"/>
      <c r="D146" s="25"/>
      <c r="E146" s="25"/>
      <c r="F146" s="9"/>
      <c r="G146" s="9"/>
      <c r="H146" s="9"/>
      <c r="I146" s="9"/>
      <c r="J146" s="22"/>
      <c r="K146" s="13"/>
    </row>
    <row r="147" spans="2:11" ht="11.5" customHeight="1">
      <c r="B147" s="25"/>
      <c r="C147" s="25"/>
      <c r="D147" s="25"/>
      <c r="E147" s="25"/>
      <c r="F147" s="9"/>
      <c r="G147" s="9"/>
      <c r="H147" s="9"/>
      <c r="I147" s="9"/>
      <c r="J147" s="22"/>
      <c r="K147" s="13"/>
    </row>
    <row r="148" spans="2:11" ht="11.5" customHeight="1">
      <c r="B148" s="25"/>
      <c r="C148" s="25"/>
      <c r="D148" s="25"/>
      <c r="E148" s="25"/>
      <c r="F148" s="9"/>
      <c r="G148" s="9"/>
      <c r="H148" s="9"/>
      <c r="I148" s="9"/>
      <c r="J148" s="22"/>
      <c r="K148" s="13"/>
    </row>
    <row r="149" spans="2:11" ht="11.5" customHeight="1">
      <c r="B149" s="25"/>
      <c r="C149" s="25"/>
      <c r="D149" s="25"/>
      <c r="E149" s="25"/>
      <c r="F149" s="9"/>
      <c r="G149" s="9"/>
      <c r="H149" s="9"/>
      <c r="I149" s="9"/>
      <c r="J149" s="22"/>
      <c r="K149" s="13"/>
    </row>
    <row r="150" spans="2:11" ht="11.5" customHeight="1">
      <c r="B150" s="25"/>
      <c r="C150" s="25"/>
      <c r="D150" s="25"/>
      <c r="E150" s="25"/>
      <c r="F150" s="9"/>
      <c r="G150" s="9"/>
      <c r="H150" s="9"/>
      <c r="I150" s="9"/>
      <c r="J150" s="22"/>
      <c r="K150" s="13"/>
    </row>
    <row r="151" spans="2:11" ht="11.5" customHeight="1">
      <c r="B151" s="25"/>
      <c r="C151" s="25"/>
      <c r="D151" s="25"/>
      <c r="E151" s="25"/>
      <c r="F151" s="9"/>
      <c r="G151" s="9"/>
      <c r="H151" s="9"/>
      <c r="I151" s="9"/>
      <c r="J151" s="22"/>
      <c r="K151" s="13"/>
    </row>
    <row r="152" spans="2:11" ht="11.5" customHeight="1">
      <c r="B152" s="25"/>
      <c r="C152" s="25"/>
      <c r="D152" s="25"/>
      <c r="E152" s="25"/>
      <c r="F152" s="9"/>
      <c r="G152" s="9"/>
      <c r="H152" s="9"/>
      <c r="I152" s="9"/>
      <c r="J152" s="22"/>
      <c r="K152" s="13"/>
    </row>
    <row r="153" spans="2:11" ht="11.5" customHeight="1">
      <c r="B153" s="25"/>
      <c r="C153" s="25"/>
      <c r="D153" s="25"/>
      <c r="E153" s="25"/>
      <c r="F153" s="9"/>
      <c r="G153" s="9"/>
      <c r="H153" s="9"/>
      <c r="I153" s="9"/>
      <c r="J153" s="22"/>
      <c r="K153" s="13"/>
    </row>
    <row r="154" spans="2:11" ht="11.5" customHeight="1">
      <c r="B154" s="25"/>
      <c r="C154" s="25"/>
      <c r="D154" s="25"/>
      <c r="E154" s="25"/>
      <c r="F154" s="9"/>
      <c r="G154" s="9"/>
      <c r="H154" s="9"/>
      <c r="I154" s="9"/>
      <c r="J154" s="22"/>
      <c r="K154" s="13"/>
    </row>
    <row r="155" spans="2:11" ht="11.5" customHeight="1">
      <c r="B155" s="25"/>
      <c r="C155" s="25"/>
      <c r="D155" s="25"/>
      <c r="E155" s="25"/>
      <c r="F155" s="9"/>
      <c r="G155" s="9"/>
      <c r="H155" s="9"/>
      <c r="I155" s="9"/>
      <c r="J155" s="22"/>
      <c r="K155" s="13"/>
    </row>
    <row r="156" spans="2:11" ht="11.5" customHeight="1">
      <c r="B156" s="25"/>
      <c r="C156" s="25"/>
      <c r="D156" s="25"/>
      <c r="E156" s="25"/>
      <c r="F156" s="9"/>
      <c r="G156" s="9"/>
      <c r="H156" s="9"/>
      <c r="I156" s="9"/>
      <c r="J156" s="22"/>
      <c r="K156" s="13"/>
    </row>
    <row r="157" spans="2:11" ht="11.5" customHeight="1">
      <c r="B157" s="25"/>
      <c r="C157" s="25"/>
      <c r="D157" s="25"/>
      <c r="E157" s="25"/>
      <c r="F157" s="9"/>
      <c r="G157" s="9"/>
      <c r="H157" s="9"/>
      <c r="I157" s="9"/>
      <c r="J157" s="22"/>
      <c r="K157" s="13"/>
    </row>
    <row r="158" spans="2:11" ht="11.5" customHeight="1">
      <c r="B158" s="25"/>
      <c r="C158" s="25"/>
      <c r="D158" s="25"/>
      <c r="E158" s="25"/>
      <c r="F158" s="9"/>
      <c r="G158" s="9"/>
      <c r="H158" s="9"/>
      <c r="I158" s="9"/>
      <c r="J158" s="22"/>
      <c r="K158" s="13"/>
    </row>
    <row r="159" spans="2:11" ht="11.5" customHeight="1">
      <c r="B159" s="25"/>
      <c r="C159" s="25"/>
      <c r="D159" s="25"/>
      <c r="E159" s="25"/>
      <c r="F159" s="9"/>
      <c r="G159" s="9"/>
      <c r="H159" s="9"/>
      <c r="I159" s="9"/>
      <c r="J159" s="22"/>
      <c r="K159" s="13"/>
    </row>
    <row r="160" spans="2:11" ht="11.5" customHeight="1">
      <c r="B160" s="25"/>
      <c r="C160" s="25"/>
      <c r="D160" s="25"/>
      <c r="E160" s="25"/>
      <c r="F160" s="9"/>
      <c r="G160" s="9"/>
      <c r="H160" s="9"/>
      <c r="I160" s="9"/>
      <c r="J160" s="22"/>
      <c r="K160" s="13"/>
    </row>
    <row r="161" spans="2:11" ht="11.5" customHeight="1">
      <c r="B161" s="25"/>
      <c r="C161" s="25"/>
      <c r="D161" s="25"/>
      <c r="E161" s="25"/>
      <c r="F161" s="9"/>
      <c r="G161" s="9"/>
      <c r="H161" s="9"/>
      <c r="I161" s="9"/>
      <c r="J161" s="22"/>
      <c r="K161" s="13"/>
    </row>
    <row r="162" spans="2:11" ht="11.5" customHeight="1">
      <c r="B162" s="25"/>
      <c r="C162" s="25"/>
      <c r="D162" s="25"/>
      <c r="E162" s="25"/>
      <c r="F162" s="9"/>
      <c r="G162" s="9"/>
      <c r="H162" s="9"/>
      <c r="I162" s="9"/>
      <c r="J162" s="22"/>
      <c r="K162" s="13"/>
    </row>
    <row r="163" spans="2:11" ht="11.5" customHeight="1">
      <c r="B163" s="25"/>
      <c r="C163" s="25"/>
      <c r="D163" s="25"/>
      <c r="E163" s="25"/>
      <c r="F163" s="9"/>
      <c r="G163" s="9"/>
      <c r="H163" s="9"/>
      <c r="I163" s="9"/>
      <c r="J163" s="22"/>
      <c r="K163" s="13"/>
    </row>
    <row r="164" spans="2:11" ht="11.5" customHeight="1">
      <c r="B164" s="25"/>
      <c r="C164" s="25"/>
      <c r="D164" s="25"/>
      <c r="E164" s="25"/>
      <c r="F164" s="9"/>
      <c r="G164" s="9"/>
      <c r="H164" s="9"/>
      <c r="I164" s="9"/>
      <c r="J164" s="22"/>
      <c r="K164" s="13"/>
    </row>
    <row r="165" spans="2:11" ht="11.5" customHeight="1">
      <c r="B165" s="25"/>
      <c r="C165" s="25"/>
      <c r="D165" s="25"/>
      <c r="E165" s="25"/>
      <c r="F165" s="9"/>
      <c r="G165" s="9"/>
      <c r="H165" s="9"/>
      <c r="I165" s="9"/>
      <c r="J165" s="22"/>
      <c r="K165" s="13"/>
    </row>
    <row r="166" spans="2:11" ht="11.5" customHeight="1">
      <c r="B166" s="25"/>
      <c r="C166" s="25"/>
      <c r="D166" s="25"/>
      <c r="E166" s="25"/>
      <c r="F166" s="9"/>
      <c r="G166" s="9"/>
      <c r="H166" s="9"/>
      <c r="I166" s="9"/>
      <c r="J166" s="22"/>
      <c r="K166" s="13"/>
    </row>
    <row r="167" spans="2:11" ht="11.5" customHeight="1">
      <c r="B167" s="25"/>
      <c r="C167" s="25"/>
      <c r="D167" s="25"/>
      <c r="E167" s="25"/>
      <c r="F167" s="9"/>
      <c r="G167" s="9"/>
      <c r="H167" s="9"/>
      <c r="I167" s="9"/>
      <c r="J167" s="22"/>
      <c r="K167" s="13"/>
    </row>
    <row r="168" spans="2:11" ht="11.5" customHeight="1">
      <c r="B168" s="25"/>
      <c r="C168" s="25"/>
      <c r="D168" s="25"/>
      <c r="E168" s="25"/>
      <c r="F168" s="9"/>
      <c r="G168" s="9"/>
      <c r="H168" s="9"/>
      <c r="I168" s="9"/>
      <c r="J168" s="22"/>
      <c r="K168" s="13"/>
    </row>
    <row r="169" spans="2:11" ht="11.5" customHeight="1">
      <c r="B169" s="25"/>
      <c r="C169" s="25"/>
      <c r="D169" s="25"/>
      <c r="E169" s="25"/>
      <c r="F169" s="9"/>
      <c r="G169" s="9"/>
      <c r="H169" s="9"/>
      <c r="I169" s="9"/>
      <c r="J169" s="22"/>
      <c r="K169" s="13"/>
    </row>
    <row r="170" spans="2:11" ht="11.5" customHeight="1">
      <c r="B170" s="25"/>
      <c r="C170" s="25"/>
      <c r="D170" s="25"/>
      <c r="E170" s="25"/>
      <c r="F170" s="9"/>
      <c r="G170" s="9"/>
      <c r="H170" s="9"/>
      <c r="I170" s="9"/>
      <c r="J170" s="22"/>
      <c r="K170" s="13"/>
    </row>
    <row r="171" spans="2:11" ht="11.5" customHeight="1">
      <c r="B171" s="25"/>
      <c r="C171" s="25"/>
      <c r="D171" s="25"/>
      <c r="E171" s="25"/>
      <c r="F171" s="9"/>
      <c r="G171" s="9"/>
      <c r="H171" s="9"/>
      <c r="I171" s="9"/>
      <c r="J171" s="22"/>
      <c r="K171" s="13"/>
    </row>
    <row r="172" spans="2:11" ht="11.5" customHeight="1">
      <c r="B172" s="25"/>
      <c r="C172" s="25"/>
      <c r="D172" s="25"/>
      <c r="E172" s="25"/>
      <c r="F172" s="9"/>
      <c r="G172" s="9"/>
      <c r="H172" s="9"/>
      <c r="I172" s="9"/>
      <c r="J172" s="22"/>
      <c r="K172" s="13"/>
    </row>
    <row r="173" spans="2:11" ht="17.149999999999999" customHeight="1">
      <c r="B173" s="25"/>
      <c r="C173" s="25"/>
      <c r="D173" s="25"/>
      <c r="E173" s="25"/>
      <c r="F173" s="9"/>
      <c r="G173" s="9"/>
      <c r="H173" s="9"/>
      <c r="I173" s="9"/>
      <c r="J173" s="22"/>
      <c r="K173" s="13"/>
    </row>
    <row r="174" spans="2:11" ht="17.149999999999999" customHeight="1">
      <c r="B174" s="25"/>
      <c r="C174" s="25"/>
      <c r="D174" s="25"/>
      <c r="E174" s="25"/>
      <c r="F174" s="9"/>
      <c r="G174" s="9"/>
      <c r="H174" s="9"/>
      <c r="I174" s="9"/>
      <c r="J174" s="22"/>
      <c r="K174" s="13"/>
    </row>
  </sheetData>
  <phoneticPr fontId="23" type="noConversion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71511-9D76-4F9E-861A-C90CD6C9E8DE}">
  <sheetPr>
    <tabColor rgb="FFFF0000"/>
  </sheetPr>
  <dimension ref="A1:T79"/>
  <sheetViews>
    <sheetView topLeftCell="A31" workbookViewId="0">
      <selection activeCell="G16" sqref="G16"/>
    </sheetView>
  </sheetViews>
  <sheetFormatPr defaultColWidth="8.90625" defaultRowHeight="14.5"/>
  <cols>
    <col min="1" max="1" width="40.36328125" bestFit="1" customWidth="1"/>
    <col min="2" max="3" width="13.1796875" bestFit="1" customWidth="1"/>
    <col min="4" max="4" width="12.453125" bestFit="1" customWidth="1"/>
    <col min="5" max="7" width="13.1796875" bestFit="1" customWidth="1"/>
    <col min="8" max="9" width="12.453125" bestFit="1" customWidth="1"/>
    <col min="10" max="12" width="11.54296875" bestFit="1" customWidth="1"/>
    <col min="13" max="13" width="13.1796875" bestFit="1" customWidth="1"/>
    <col min="14" max="14" width="12.453125" bestFit="1" customWidth="1"/>
    <col min="15" max="15" width="11.54296875" bestFit="1" customWidth="1"/>
    <col min="16" max="18" width="13.1796875" bestFit="1" customWidth="1"/>
    <col min="19" max="19" width="11.54296875" bestFit="1" customWidth="1"/>
    <col min="20" max="20" width="13.1796875" bestFit="1" customWidth="1"/>
  </cols>
  <sheetData>
    <row r="1" spans="1:20">
      <c r="A1" t="s">
        <v>258</v>
      </c>
      <c r="B1" t="s">
        <v>630</v>
      </c>
      <c r="C1" s="53">
        <v>45657</v>
      </c>
      <c r="D1" s="53">
        <v>45291</v>
      </c>
      <c r="E1" s="53">
        <v>44926</v>
      </c>
      <c r="F1" s="53">
        <v>44561</v>
      </c>
      <c r="G1" s="53">
        <v>44196</v>
      </c>
      <c r="H1" s="53">
        <v>43830</v>
      </c>
      <c r="I1" s="53">
        <v>43465</v>
      </c>
      <c r="J1" s="53">
        <v>43100</v>
      </c>
      <c r="K1" s="53">
        <v>42735</v>
      </c>
      <c r="L1" s="53">
        <v>42369</v>
      </c>
      <c r="M1" s="53">
        <v>42004</v>
      </c>
      <c r="N1" s="53">
        <v>41639</v>
      </c>
      <c r="O1" s="53">
        <v>41274</v>
      </c>
      <c r="P1" s="53">
        <v>40908</v>
      </c>
      <c r="Q1" s="53">
        <v>40543</v>
      </c>
      <c r="R1" s="53">
        <v>40178</v>
      </c>
      <c r="S1" s="53">
        <v>39813</v>
      </c>
      <c r="T1" s="53">
        <v>39447</v>
      </c>
    </row>
    <row r="2" spans="1:20">
      <c r="A2" t="s">
        <v>403</v>
      </c>
      <c r="B2" s="41">
        <v>633000000</v>
      </c>
      <c r="C2" s="41">
        <v>633000000</v>
      </c>
      <c r="D2" s="41">
        <v>800000000</v>
      </c>
      <c r="E2" s="41">
        <v>674000000</v>
      </c>
      <c r="F2" s="41">
        <v>315000000</v>
      </c>
      <c r="G2" s="41">
        <v>-611000000</v>
      </c>
      <c r="H2" s="41">
        <v>396000000</v>
      </c>
      <c r="I2" s="41">
        <v>341000000</v>
      </c>
      <c r="J2" s="41">
        <v>587000000</v>
      </c>
      <c r="K2" s="41">
        <v>462000000</v>
      </c>
      <c r="L2" s="41">
        <v>538000000</v>
      </c>
      <c r="M2" s="41">
        <v>473000000</v>
      </c>
      <c r="N2" s="41">
        <v>456000000</v>
      </c>
      <c r="O2" s="41">
        <v>499000000</v>
      </c>
      <c r="P2" s="41">
        <v>393000000</v>
      </c>
      <c r="Q2" s="41">
        <v>450000000</v>
      </c>
      <c r="R2" s="41">
        <v>276000000</v>
      </c>
      <c r="S2" s="41">
        <v>291000000</v>
      </c>
      <c r="T2" s="41">
        <v>386000000</v>
      </c>
    </row>
    <row r="3" spans="1:20">
      <c r="A3" t="s">
        <v>404</v>
      </c>
      <c r="B3" s="41">
        <v>633000000</v>
      </c>
      <c r="C3" s="41">
        <v>633000000</v>
      </c>
      <c r="D3" s="41">
        <v>800000000</v>
      </c>
      <c r="E3" s="41">
        <v>674000000</v>
      </c>
      <c r="F3" s="41">
        <v>315000000</v>
      </c>
      <c r="G3" s="41">
        <v>-611000000</v>
      </c>
      <c r="H3" s="41">
        <v>396000000</v>
      </c>
      <c r="I3" s="41">
        <v>341000000</v>
      </c>
      <c r="J3" s="41">
        <v>586000000</v>
      </c>
      <c r="K3" s="41">
        <v>462000000</v>
      </c>
      <c r="L3" s="41">
        <v>538000000</v>
      </c>
      <c r="M3" s="41">
        <v>473000000</v>
      </c>
      <c r="N3" s="41">
        <v>456000000</v>
      </c>
      <c r="O3" s="41">
        <v>499000000</v>
      </c>
      <c r="P3" s="41">
        <v>393000000</v>
      </c>
      <c r="Q3" s="41">
        <v>450000000</v>
      </c>
      <c r="R3" s="41">
        <v>276000000</v>
      </c>
      <c r="S3" s="41">
        <v>287000000</v>
      </c>
      <c r="T3" s="41">
        <v>362000000</v>
      </c>
    </row>
    <row r="4" spans="1:20">
      <c r="A4" t="s">
        <v>405</v>
      </c>
      <c r="B4" s="41">
        <v>1296000000</v>
      </c>
      <c r="C4" s="41">
        <v>1296000000</v>
      </c>
      <c r="D4" s="41">
        <v>220000000</v>
      </c>
      <c r="E4" s="41">
        <v>455000000</v>
      </c>
      <c r="F4" s="41">
        <v>-222000000</v>
      </c>
      <c r="G4" s="41">
        <v>-703000000</v>
      </c>
      <c r="H4" s="41">
        <v>766000000</v>
      </c>
      <c r="I4" s="41">
        <v>769000000</v>
      </c>
      <c r="J4" s="41">
        <v>390000000</v>
      </c>
      <c r="K4" s="41">
        <v>206000000</v>
      </c>
      <c r="L4" s="41">
        <v>124000000</v>
      </c>
      <c r="M4" s="41">
        <v>346000000</v>
      </c>
      <c r="N4" s="41">
        <v>205000000</v>
      </c>
      <c r="O4" s="41">
        <v>87000000</v>
      </c>
      <c r="P4" s="41">
        <v>111000000</v>
      </c>
      <c r="Q4" s="41">
        <v>51000000</v>
      </c>
      <c r="R4" s="41">
        <v>-43000000</v>
      </c>
      <c r="S4" s="41">
        <v>114000000</v>
      </c>
      <c r="T4" s="41">
        <v>266000000</v>
      </c>
    </row>
    <row r="5" spans="1:20">
      <c r="A5" t="s">
        <v>406</v>
      </c>
      <c r="B5" s="41">
        <v>-1329000000</v>
      </c>
      <c r="C5" s="41">
        <v>-1329000000</v>
      </c>
      <c r="D5" s="41">
        <v>-53000000</v>
      </c>
      <c r="E5" s="41">
        <v>-213000000</v>
      </c>
      <c r="F5" s="41">
        <v>-440000000</v>
      </c>
      <c r="G5" s="41">
        <v>106000000</v>
      </c>
      <c r="H5" s="41">
        <v>-729000000</v>
      </c>
      <c r="I5" s="41">
        <v>-780000000</v>
      </c>
      <c r="J5" s="41">
        <v>-414000000</v>
      </c>
      <c r="K5" s="41">
        <v>-57000000</v>
      </c>
      <c r="L5" s="41">
        <v>55000000</v>
      </c>
      <c r="M5" s="41">
        <v>-257000000</v>
      </c>
      <c r="N5" s="41">
        <v>-70000000</v>
      </c>
      <c r="O5" s="41">
        <v>30000000</v>
      </c>
      <c r="P5" s="41">
        <v>24000000</v>
      </c>
      <c r="Q5" s="41">
        <v>-4000000</v>
      </c>
      <c r="R5" s="41">
        <v>13000000</v>
      </c>
      <c r="S5" s="41">
        <v>-9000000</v>
      </c>
      <c r="T5" s="41">
        <v>-50000000</v>
      </c>
    </row>
    <row r="6" spans="1:20">
      <c r="A6" t="s">
        <v>407</v>
      </c>
      <c r="B6" s="41">
        <v>-730000000</v>
      </c>
      <c r="H6" s="41">
        <v>-723000000</v>
      </c>
      <c r="I6" s="41">
        <v>-772000000</v>
      </c>
      <c r="J6" s="41">
        <v>-236000000</v>
      </c>
      <c r="K6" s="41">
        <v>6000000</v>
      </c>
      <c r="L6" s="41">
        <v>-9000000</v>
      </c>
      <c r="M6" s="41">
        <v>-311000000</v>
      </c>
      <c r="N6" s="41">
        <v>-125000000</v>
      </c>
      <c r="O6">
        <v>0</v>
      </c>
      <c r="P6" s="41">
        <v>2000000</v>
      </c>
      <c r="Q6" s="41">
        <v>-26000000</v>
      </c>
    </row>
    <row r="7" spans="1:20">
      <c r="A7" t="s">
        <v>408</v>
      </c>
      <c r="E7" s="41">
        <v>-263000000</v>
      </c>
      <c r="F7" s="41">
        <v>-414000000</v>
      </c>
      <c r="G7" s="41">
        <v>36000000</v>
      </c>
      <c r="H7" s="41">
        <v>-739000000</v>
      </c>
      <c r="I7" s="41">
        <v>-772000000</v>
      </c>
      <c r="J7" s="41">
        <v>-236000000</v>
      </c>
      <c r="K7" s="41">
        <v>6000000</v>
      </c>
      <c r="L7" s="41">
        <v>-9000000</v>
      </c>
      <c r="M7" s="41">
        <v>-311000000</v>
      </c>
      <c r="N7" s="41">
        <v>-125000000</v>
      </c>
      <c r="O7">
        <v>0</v>
      </c>
      <c r="P7" s="41">
        <v>2000000</v>
      </c>
      <c r="Q7" s="41">
        <v>-26000000</v>
      </c>
      <c r="R7">
        <v>0</v>
      </c>
      <c r="S7">
        <v>0</v>
      </c>
      <c r="T7" s="41">
        <v>-22000000</v>
      </c>
    </row>
    <row r="8" spans="1:20">
      <c r="A8" t="s">
        <v>409</v>
      </c>
      <c r="L8" s="41">
        <v>14000000</v>
      </c>
      <c r="M8" s="41">
        <v>3000000</v>
      </c>
      <c r="N8" s="41">
        <v>5000000</v>
      </c>
      <c r="O8" s="41">
        <v>3000000</v>
      </c>
      <c r="P8" s="41">
        <v>5000000</v>
      </c>
      <c r="Q8" s="41">
        <v>3000000</v>
      </c>
      <c r="R8" s="41">
        <v>-5000000</v>
      </c>
      <c r="S8" s="41">
        <v>23000000</v>
      </c>
      <c r="T8" s="41">
        <v>-17000000</v>
      </c>
    </row>
    <row r="9" spans="1:20">
      <c r="A9" t="s">
        <v>410</v>
      </c>
      <c r="B9" s="41">
        <v>-1298000000</v>
      </c>
      <c r="C9" s="41">
        <v>-1298000000</v>
      </c>
      <c r="D9" s="41">
        <v>-54000000</v>
      </c>
      <c r="E9" s="41">
        <v>-208000000</v>
      </c>
      <c r="F9" s="41">
        <v>-414000000</v>
      </c>
      <c r="H9" s="41">
        <v>-2000000</v>
      </c>
      <c r="I9" s="41">
        <v>3000000</v>
      </c>
      <c r="J9" s="41">
        <v>41000000</v>
      </c>
      <c r="K9" s="41">
        <v>4000000</v>
      </c>
      <c r="N9" s="41">
        <v>-2000000</v>
      </c>
      <c r="O9" s="41">
        <v>-17000000</v>
      </c>
      <c r="Q9" s="41">
        <v>-19000000</v>
      </c>
      <c r="R9" s="41">
        <v>-10000000</v>
      </c>
      <c r="S9" s="41">
        <v>37000000</v>
      </c>
      <c r="T9" s="41">
        <v>-12000000</v>
      </c>
    </row>
    <row r="10" spans="1:20">
      <c r="A10" t="s">
        <v>411</v>
      </c>
      <c r="B10" s="41">
        <v>-31000000</v>
      </c>
      <c r="C10" s="41">
        <v>-31000000</v>
      </c>
      <c r="D10" s="41">
        <v>1000000</v>
      </c>
      <c r="E10" s="41">
        <v>-5000000</v>
      </c>
      <c r="F10" s="41">
        <v>-28000000</v>
      </c>
      <c r="G10" s="41">
        <v>70000000</v>
      </c>
      <c r="H10" s="41">
        <v>10000000</v>
      </c>
      <c r="I10" s="41">
        <v>-8000000</v>
      </c>
      <c r="J10" s="41">
        <v>-219000000</v>
      </c>
      <c r="K10" s="41">
        <v>-67000000</v>
      </c>
      <c r="L10" s="41">
        <v>64000000</v>
      </c>
      <c r="M10" s="41">
        <v>54000000</v>
      </c>
      <c r="N10" s="41">
        <v>50000000</v>
      </c>
      <c r="O10" s="41">
        <v>44000000</v>
      </c>
      <c r="P10" s="41">
        <v>17000000</v>
      </c>
      <c r="Q10" s="41">
        <v>54000000</v>
      </c>
      <c r="R10" s="41">
        <v>28000000</v>
      </c>
      <c r="S10" s="41">
        <v>-5000000</v>
      </c>
      <c r="T10" s="41">
        <v>1000000</v>
      </c>
    </row>
    <row r="11" spans="1:20">
      <c r="A11" t="s">
        <v>412</v>
      </c>
      <c r="B11" s="41">
        <v>369000000</v>
      </c>
      <c r="C11" s="41">
        <v>369000000</v>
      </c>
      <c r="D11" s="41">
        <v>439000000</v>
      </c>
      <c r="E11" s="41">
        <v>461000000</v>
      </c>
      <c r="F11" s="41">
        <v>337000000</v>
      </c>
      <c r="G11" s="41">
        <v>341000000</v>
      </c>
      <c r="H11" s="41">
        <v>364000000</v>
      </c>
      <c r="I11" s="41">
        <v>327000000</v>
      </c>
      <c r="J11" s="41">
        <v>348000000</v>
      </c>
      <c r="K11" s="41">
        <v>326000000</v>
      </c>
      <c r="L11" s="41">
        <v>320000000</v>
      </c>
      <c r="M11" s="41">
        <v>354000000</v>
      </c>
      <c r="N11" s="41">
        <v>345000000</v>
      </c>
      <c r="O11" s="41">
        <v>353000000</v>
      </c>
      <c r="P11" s="41">
        <v>305000000</v>
      </c>
      <c r="Q11" s="41">
        <v>279000000</v>
      </c>
      <c r="R11" s="41">
        <v>269000000</v>
      </c>
      <c r="S11" s="41">
        <v>249000000</v>
      </c>
      <c r="T11" s="41">
        <v>214000000</v>
      </c>
    </row>
    <row r="12" spans="1:20">
      <c r="A12" t="s">
        <v>413</v>
      </c>
      <c r="B12" s="41">
        <v>369000000</v>
      </c>
      <c r="C12" s="41">
        <v>369000000</v>
      </c>
      <c r="D12" s="41">
        <v>439000000</v>
      </c>
      <c r="E12" s="41">
        <v>461000000</v>
      </c>
      <c r="F12" s="41">
        <v>337000000</v>
      </c>
      <c r="G12" s="41">
        <v>341000000</v>
      </c>
      <c r="H12" s="41">
        <v>364000000</v>
      </c>
      <c r="I12" s="41">
        <v>327000000</v>
      </c>
      <c r="J12" s="41">
        <v>348000000</v>
      </c>
      <c r="K12" s="41">
        <v>326000000</v>
      </c>
      <c r="L12" s="41">
        <v>320000000</v>
      </c>
      <c r="M12" s="41">
        <v>354000000</v>
      </c>
      <c r="N12" s="41">
        <v>345000000</v>
      </c>
      <c r="O12" s="41">
        <v>353000000</v>
      </c>
      <c r="P12" s="41">
        <v>305000000</v>
      </c>
      <c r="Q12" s="41">
        <v>279000000</v>
      </c>
      <c r="R12" s="41">
        <v>269000000</v>
      </c>
      <c r="S12" s="41">
        <v>249000000</v>
      </c>
      <c r="T12" s="41">
        <v>214000000</v>
      </c>
    </row>
    <row r="13" spans="1:20">
      <c r="A13" t="s">
        <v>414</v>
      </c>
      <c r="B13" s="41">
        <v>369000000</v>
      </c>
      <c r="C13" s="41">
        <v>369000000</v>
      </c>
      <c r="D13" s="41">
        <v>439000000</v>
      </c>
      <c r="E13" s="41">
        <v>461000000</v>
      </c>
      <c r="F13" s="41">
        <v>337000000</v>
      </c>
      <c r="G13" s="41">
        <v>341000000</v>
      </c>
      <c r="H13" s="41">
        <v>364000000</v>
      </c>
      <c r="I13" s="41">
        <v>327000000</v>
      </c>
      <c r="J13" s="41">
        <v>348000000</v>
      </c>
    </row>
    <row r="14" spans="1:20">
      <c r="A14" t="s">
        <v>415</v>
      </c>
      <c r="B14" s="41">
        <v>-123000000</v>
      </c>
      <c r="C14" s="41">
        <v>-123000000</v>
      </c>
      <c r="D14" s="41">
        <v>-125000000</v>
      </c>
      <c r="E14" s="41">
        <v>-259000000</v>
      </c>
      <c r="F14" s="41">
        <v>200000000</v>
      </c>
      <c r="G14" s="41">
        <v>-59000000</v>
      </c>
      <c r="H14" s="41">
        <v>28000000</v>
      </c>
      <c r="I14" s="41">
        <v>-33000000</v>
      </c>
      <c r="J14" s="41">
        <v>56000000</v>
      </c>
      <c r="K14" s="41">
        <v>-12000000</v>
      </c>
      <c r="L14" s="41">
        <v>-103000000</v>
      </c>
      <c r="M14" s="41">
        <v>-28000000</v>
      </c>
      <c r="N14" s="41">
        <v>-7000000</v>
      </c>
      <c r="O14" s="41">
        <v>65000000</v>
      </c>
      <c r="P14" s="41">
        <v>-137000000</v>
      </c>
      <c r="Q14" s="41">
        <v>-8000000</v>
      </c>
      <c r="R14" s="41">
        <v>73000000</v>
      </c>
      <c r="S14" s="41">
        <v>6000000</v>
      </c>
      <c r="T14" s="41">
        <v>-100000000</v>
      </c>
    </row>
    <row r="15" spans="1:20">
      <c r="A15" t="s">
        <v>416</v>
      </c>
      <c r="B15" s="41">
        <v>-123000000</v>
      </c>
      <c r="C15" s="41">
        <v>-123000000</v>
      </c>
      <c r="D15" s="41">
        <v>-125000000</v>
      </c>
      <c r="E15" s="41">
        <v>-259000000</v>
      </c>
      <c r="F15" s="41">
        <v>200000000</v>
      </c>
      <c r="G15" s="41">
        <v>-59000000</v>
      </c>
      <c r="H15" s="41">
        <v>28000000</v>
      </c>
      <c r="I15" s="41">
        <v>-33000000</v>
      </c>
      <c r="J15" s="41">
        <v>56000000</v>
      </c>
      <c r="K15" s="41">
        <v>-12000000</v>
      </c>
      <c r="L15" s="41">
        <v>-103000000</v>
      </c>
      <c r="M15" s="41">
        <v>-28000000</v>
      </c>
      <c r="N15" s="41">
        <v>-7000000</v>
      </c>
      <c r="O15" s="41">
        <v>65000000</v>
      </c>
      <c r="P15" s="41">
        <v>-137000000</v>
      </c>
      <c r="Q15" s="41">
        <v>-8000000</v>
      </c>
      <c r="R15" s="41">
        <v>73000000</v>
      </c>
      <c r="S15" s="41">
        <v>6000000</v>
      </c>
      <c r="T15" s="41">
        <v>-100000000</v>
      </c>
    </row>
    <row r="16" spans="1:20">
      <c r="A16" t="s">
        <v>417</v>
      </c>
      <c r="B16" s="41">
        <v>213000000</v>
      </c>
      <c r="C16" s="41">
        <v>213000000</v>
      </c>
      <c r="D16" s="41">
        <v>30000000</v>
      </c>
      <c r="E16" s="41">
        <v>38000000</v>
      </c>
      <c r="F16" s="41">
        <v>8000000</v>
      </c>
      <c r="G16" s="41">
        <v>62000000</v>
      </c>
      <c r="H16" s="41">
        <v>18000000</v>
      </c>
      <c r="I16" s="41">
        <v>47000000</v>
      </c>
      <c r="J16">
        <v>0</v>
      </c>
      <c r="K16">
        <v>0</v>
      </c>
      <c r="L16" s="41">
        <v>5000000</v>
      </c>
      <c r="M16" s="41">
        <v>17000000</v>
      </c>
      <c r="N16" s="41">
        <v>22000000</v>
      </c>
      <c r="O16">
        <v>0</v>
      </c>
      <c r="P16" s="41">
        <v>6000000</v>
      </c>
      <c r="Q16" s="41">
        <v>44000000</v>
      </c>
      <c r="R16" s="41">
        <v>12000000</v>
      </c>
      <c r="S16" s="41">
        <v>86000000</v>
      </c>
      <c r="T16" s="41">
        <v>61000000</v>
      </c>
    </row>
    <row r="17" spans="1:20">
      <c r="A17" t="s">
        <v>418</v>
      </c>
      <c r="L17" s="41">
        <v>-6000000</v>
      </c>
      <c r="M17">
        <v>0</v>
      </c>
      <c r="N17" s="41">
        <v>6000000</v>
      </c>
      <c r="O17" s="41">
        <v>4000000</v>
      </c>
      <c r="P17" s="41">
        <v>4000000</v>
      </c>
      <c r="Q17" s="41">
        <v>1000000</v>
      </c>
    </row>
    <row r="18" spans="1:20">
      <c r="A18" t="s">
        <v>419</v>
      </c>
      <c r="D18" s="41">
        <v>-36000000</v>
      </c>
      <c r="E18" s="41">
        <v>55000000</v>
      </c>
      <c r="F18" s="41">
        <v>-14000000</v>
      </c>
      <c r="G18" s="41">
        <v>13000000</v>
      </c>
      <c r="H18" s="41">
        <v>-26000000</v>
      </c>
      <c r="I18" s="41">
        <v>47000000</v>
      </c>
      <c r="J18" s="41">
        <v>-1000000</v>
      </c>
      <c r="N18">
        <v>0</v>
      </c>
      <c r="O18">
        <v>0</v>
      </c>
      <c r="P18" s="41">
        <v>13000000</v>
      </c>
      <c r="Q18" s="41">
        <v>-19000000</v>
      </c>
    </row>
    <row r="19" spans="1:20">
      <c r="A19" t="s">
        <v>420</v>
      </c>
      <c r="B19" s="41">
        <v>64000000</v>
      </c>
      <c r="C19" s="41">
        <v>64000000</v>
      </c>
      <c r="D19" s="41">
        <v>75000000</v>
      </c>
      <c r="E19" s="41">
        <v>61000000</v>
      </c>
      <c r="F19" s="41">
        <v>59000000</v>
      </c>
      <c r="G19" s="41">
        <v>28000000</v>
      </c>
      <c r="H19" s="41">
        <v>35000000</v>
      </c>
      <c r="I19" s="41">
        <v>28000000</v>
      </c>
      <c r="J19" s="41">
        <v>32000000</v>
      </c>
      <c r="K19" s="41">
        <v>26000000</v>
      </c>
      <c r="L19" s="41">
        <v>26000000</v>
      </c>
      <c r="M19" s="41">
        <v>52000000</v>
      </c>
      <c r="N19" s="41">
        <v>27000000</v>
      </c>
      <c r="O19" s="41">
        <v>22000000</v>
      </c>
    </row>
    <row r="20" spans="1:20">
      <c r="A20" t="s">
        <v>421</v>
      </c>
      <c r="B20" s="41">
        <v>-45000000</v>
      </c>
      <c r="C20" s="41">
        <v>-45000000</v>
      </c>
      <c r="D20" s="41">
        <v>11000000</v>
      </c>
      <c r="E20" s="41">
        <v>-36000000</v>
      </c>
      <c r="F20" s="41">
        <v>-3000000</v>
      </c>
      <c r="G20" s="41">
        <v>25000000</v>
      </c>
      <c r="H20" s="41">
        <v>-47000000</v>
      </c>
      <c r="I20" s="41">
        <v>-2000000</v>
      </c>
      <c r="J20" s="41">
        <v>22000000</v>
      </c>
      <c r="K20" s="41">
        <v>-26000000</v>
      </c>
      <c r="L20" s="41">
        <v>55000000</v>
      </c>
      <c r="M20" s="41">
        <v>-18000000</v>
      </c>
      <c r="N20" s="41">
        <v>-41000000</v>
      </c>
      <c r="O20" s="41">
        <v>5000000</v>
      </c>
      <c r="P20" s="41">
        <v>32000000</v>
      </c>
      <c r="Q20" s="41">
        <v>36000000</v>
      </c>
      <c r="R20" s="41">
        <v>34000000</v>
      </c>
      <c r="S20" s="41">
        <v>20000000</v>
      </c>
      <c r="T20" s="41">
        <v>-76000000</v>
      </c>
    </row>
    <row r="21" spans="1:20">
      <c r="A21" t="s">
        <v>422</v>
      </c>
      <c r="B21" s="41">
        <v>188000000</v>
      </c>
      <c r="C21" s="41">
        <v>188000000</v>
      </c>
      <c r="D21" s="41">
        <v>203000000</v>
      </c>
      <c r="E21" s="41">
        <v>167000000</v>
      </c>
      <c r="F21" s="41">
        <v>388000000</v>
      </c>
      <c r="G21" s="41">
        <v>-424000000</v>
      </c>
      <c r="H21" s="41">
        <v>-13000000</v>
      </c>
      <c r="I21" s="41">
        <v>-79000000</v>
      </c>
      <c r="J21" s="41">
        <v>125000000</v>
      </c>
      <c r="K21" s="41">
        <v>-36000000</v>
      </c>
      <c r="L21" s="41">
        <v>25000000</v>
      </c>
      <c r="M21" s="41">
        <v>24000000</v>
      </c>
      <c r="N21" s="41">
        <v>-31000000</v>
      </c>
      <c r="O21" s="41">
        <v>-67000000</v>
      </c>
      <c r="P21" s="41">
        <v>35000000</v>
      </c>
      <c r="Q21" s="41">
        <v>70000000</v>
      </c>
      <c r="R21" s="41">
        <v>-82000000</v>
      </c>
      <c r="S21" s="41">
        <v>-179000000</v>
      </c>
      <c r="T21" s="41">
        <v>47000000</v>
      </c>
    </row>
    <row r="22" spans="1:20">
      <c r="A22" t="s">
        <v>423</v>
      </c>
      <c r="B22" s="41">
        <v>-15000000</v>
      </c>
      <c r="C22" s="41">
        <v>-15000000</v>
      </c>
      <c r="D22">
        <v>0</v>
      </c>
      <c r="E22" s="41">
        <v>-209000000</v>
      </c>
      <c r="F22" s="41">
        <v>-85000000</v>
      </c>
      <c r="G22" s="41">
        <v>120000000</v>
      </c>
      <c r="H22" s="41">
        <v>-26000000</v>
      </c>
      <c r="I22" s="41">
        <v>14000000</v>
      </c>
      <c r="J22" s="41">
        <v>-37000000</v>
      </c>
      <c r="K22" s="41">
        <v>-14000000</v>
      </c>
      <c r="L22" s="41">
        <v>29000000</v>
      </c>
      <c r="M22" s="41">
        <v>-28000000</v>
      </c>
      <c r="N22" s="41">
        <v>-9000000</v>
      </c>
      <c r="O22" s="41">
        <v>-33000000</v>
      </c>
      <c r="P22" s="41">
        <v>-17000000</v>
      </c>
      <c r="Q22" s="41">
        <v>22000000</v>
      </c>
      <c r="R22" s="41">
        <v>57000000</v>
      </c>
      <c r="S22" s="41">
        <v>4000000</v>
      </c>
      <c r="T22" s="41">
        <v>-19000000</v>
      </c>
    </row>
    <row r="23" spans="1:20">
      <c r="A23" t="s">
        <v>424</v>
      </c>
      <c r="H23" s="41">
        <v>1000000</v>
      </c>
      <c r="I23">
        <v>0</v>
      </c>
      <c r="J23" s="41">
        <v>12000000</v>
      </c>
      <c r="K23" s="41">
        <v>2000000</v>
      </c>
      <c r="L23" s="41">
        <v>1000000</v>
      </c>
      <c r="M23" s="41">
        <v>8000000</v>
      </c>
      <c r="N23" s="41">
        <v>3000000</v>
      </c>
      <c r="O23" s="41">
        <v>8000000</v>
      </c>
      <c r="P23" s="41">
        <v>7000000</v>
      </c>
      <c r="Q23" s="41">
        <v>4000000</v>
      </c>
      <c r="R23" s="41">
        <v>-10000000</v>
      </c>
      <c r="S23" s="41">
        <v>-21000000</v>
      </c>
      <c r="T23" s="41">
        <v>14000000</v>
      </c>
    </row>
    <row r="24" spans="1:20">
      <c r="A24" t="s">
        <v>425</v>
      </c>
      <c r="B24" s="41">
        <v>-51000000</v>
      </c>
      <c r="C24" s="41">
        <v>-51000000</v>
      </c>
      <c r="D24" s="41">
        <v>-90000000</v>
      </c>
      <c r="E24" s="41">
        <v>-112000000</v>
      </c>
      <c r="F24" s="41">
        <v>201000000</v>
      </c>
      <c r="G24" s="41">
        <v>-265000000</v>
      </c>
      <c r="H24" s="41">
        <v>-22000000</v>
      </c>
      <c r="I24" s="41">
        <v>-5000000</v>
      </c>
      <c r="J24" s="41">
        <v>14000000</v>
      </c>
      <c r="K24" s="41">
        <v>21000000</v>
      </c>
      <c r="L24" s="41">
        <v>-16000000</v>
      </c>
      <c r="M24" s="41">
        <v>-53000000</v>
      </c>
      <c r="N24" s="41">
        <v>16000000</v>
      </c>
      <c r="O24" s="41">
        <v>8000000</v>
      </c>
      <c r="P24" s="41">
        <v>-6000000</v>
      </c>
      <c r="Q24" s="41">
        <v>76000000</v>
      </c>
      <c r="R24" s="41">
        <v>-66000000</v>
      </c>
      <c r="S24" s="41">
        <v>-15000000</v>
      </c>
    </row>
    <row r="25" spans="1:20">
      <c r="A25" t="s">
        <v>426</v>
      </c>
      <c r="B25" s="41">
        <v>56000000</v>
      </c>
      <c r="C25" s="41">
        <v>56000000</v>
      </c>
      <c r="D25" s="41">
        <v>-29000000</v>
      </c>
      <c r="E25" s="41">
        <v>96000000</v>
      </c>
      <c r="F25" s="41">
        <v>87000000</v>
      </c>
      <c r="G25" s="41">
        <v>-256000000</v>
      </c>
      <c r="H25" s="41">
        <v>-33000000</v>
      </c>
      <c r="I25" s="41">
        <v>-130000000</v>
      </c>
      <c r="J25" s="41">
        <v>102000000</v>
      </c>
      <c r="K25" s="41">
        <v>7000000</v>
      </c>
      <c r="L25" s="41">
        <v>-7000000</v>
      </c>
      <c r="M25" s="41">
        <v>186000000</v>
      </c>
      <c r="N25" s="41">
        <v>71000000</v>
      </c>
      <c r="O25" s="41">
        <v>81000000</v>
      </c>
      <c r="P25" s="41">
        <v>10000000</v>
      </c>
      <c r="Q25" s="41">
        <v>11000000</v>
      </c>
      <c r="R25" s="41">
        <v>-42000000</v>
      </c>
      <c r="S25" s="41">
        <v>-136000000</v>
      </c>
      <c r="T25" s="41">
        <v>75000000</v>
      </c>
    </row>
    <row r="26" spans="1:20">
      <c r="A26" t="s">
        <v>427</v>
      </c>
      <c r="B26" s="41">
        <v>56000000</v>
      </c>
      <c r="C26" s="41">
        <v>56000000</v>
      </c>
      <c r="D26" s="41">
        <v>-29000000</v>
      </c>
      <c r="E26" s="41">
        <v>96000000</v>
      </c>
      <c r="F26" s="41">
        <v>87000000</v>
      </c>
      <c r="G26" s="41">
        <v>-256000000</v>
      </c>
      <c r="H26" s="41">
        <v>-33000000</v>
      </c>
      <c r="I26" s="41">
        <v>-130000000</v>
      </c>
      <c r="J26" s="41">
        <v>102000000</v>
      </c>
      <c r="K26" s="41">
        <v>7000000</v>
      </c>
      <c r="L26" s="41">
        <v>-7000000</v>
      </c>
      <c r="M26" s="41">
        <v>186000000</v>
      </c>
      <c r="N26" s="41">
        <v>71000000</v>
      </c>
      <c r="O26" s="41">
        <v>81000000</v>
      </c>
      <c r="P26" s="41">
        <v>10000000</v>
      </c>
      <c r="Q26" s="41">
        <v>11000000</v>
      </c>
      <c r="R26" s="41">
        <v>-42000000</v>
      </c>
      <c r="S26" s="41">
        <v>-136000000</v>
      </c>
      <c r="T26" s="41">
        <v>75000000</v>
      </c>
    </row>
    <row r="27" spans="1:20">
      <c r="A27" t="s">
        <v>428</v>
      </c>
      <c r="B27" s="41">
        <v>56000000</v>
      </c>
      <c r="C27" s="41">
        <v>56000000</v>
      </c>
      <c r="D27" s="41">
        <v>-29000000</v>
      </c>
      <c r="E27" s="41">
        <v>96000000</v>
      </c>
      <c r="F27" s="41">
        <v>87000000</v>
      </c>
      <c r="G27" s="41">
        <v>-256000000</v>
      </c>
      <c r="H27" s="41">
        <v>-33000000</v>
      </c>
      <c r="I27" s="41">
        <v>-130000000</v>
      </c>
      <c r="J27" s="41">
        <v>102000000</v>
      </c>
      <c r="K27" s="41">
        <v>7000000</v>
      </c>
      <c r="L27" s="41">
        <v>-7000000</v>
      </c>
      <c r="M27" s="41">
        <v>186000000</v>
      </c>
      <c r="N27" s="41">
        <v>71000000</v>
      </c>
      <c r="O27" s="41">
        <v>81000000</v>
      </c>
      <c r="P27" s="41">
        <v>10000000</v>
      </c>
      <c r="Q27" s="41">
        <v>11000000</v>
      </c>
      <c r="R27" s="41">
        <v>-19000000</v>
      </c>
      <c r="S27" s="41">
        <v>-10000000</v>
      </c>
      <c r="T27" s="41">
        <v>-19000000</v>
      </c>
    </row>
    <row r="28" spans="1:20">
      <c r="A28" t="s">
        <v>429</v>
      </c>
      <c r="B28" s="41">
        <v>-6000000</v>
      </c>
      <c r="C28" s="41">
        <v>-6000000</v>
      </c>
      <c r="D28" s="41">
        <v>-92000000</v>
      </c>
      <c r="E28" s="41">
        <v>-110000000</v>
      </c>
      <c r="F28" s="41">
        <v>-10000000</v>
      </c>
      <c r="J28" s="41">
        <v>13000000</v>
      </c>
      <c r="K28" s="41">
        <v>-4000000</v>
      </c>
      <c r="L28" s="41">
        <v>78000000</v>
      </c>
      <c r="M28" s="41">
        <v>-18000000</v>
      </c>
      <c r="N28" s="41">
        <v>-73000000</v>
      </c>
      <c r="O28" s="41">
        <v>-1000000</v>
      </c>
      <c r="P28" s="41">
        <v>-2000000</v>
      </c>
    </row>
    <row r="29" spans="1:20">
      <c r="A29" t="s">
        <v>430</v>
      </c>
      <c r="B29" s="41">
        <v>-41000000</v>
      </c>
      <c r="C29" s="41">
        <v>-41000000</v>
      </c>
      <c r="D29" s="41">
        <v>-56000000</v>
      </c>
      <c r="E29" s="41">
        <v>-35000000</v>
      </c>
      <c r="F29" s="41">
        <v>-50000000</v>
      </c>
      <c r="G29" s="41">
        <v>-50000000</v>
      </c>
      <c r="H29" s="41">
        <v>-43000000</v>
      </c>
      <c r="I29" s="41">
        <v>7000000</v>
      </c>
      <c r="J29" s="41">
        <v>53000000</v>
      </c>
      <c r="K29" s="41">
        <v>34000000</v>
      </c>
      <c r="L29" s="41">
        <v>1000000</v>
      </c>
      <c r="M29" s="41">
        <v>-19000000</v>
      </c>
      <c r="N29" s="41">
        <v>-6000000</v>
      </c>
      <c r="O29" s="41">
        <v>-118000000</v>
      </c>
      <c r="P29" s="41">
        <v>62000000</v>
      </c>
      <c r="Q29" s="41">
        <v>-11000000</v>
      </c>
    </row>
    <row r="30" spans="1:20">
      <c r="A30" t="s">
        <v>431</v>
      </c>
      <c r="B30" s="41">
        <v>245000000</v>
      </c>
      <c r="C30" s="41">
        <v>245000000</v>
      </c>
      <c r="D30" s="41">
        <v>470000000</v>
      </c>
      <c r="E30" s="41">
        <v>537000000</v>
      </c>
      <c r="F30" s="41">
        <v>245000000</v>
      </c>
      <c r="G30" s="41">
        <v>27000000</v>
      </c>
      <c r="H30" s="41">
        <v>111000000</v>
      </c>
      <c r="I30" s="41">
        <v>35000000</v>
      </c>
      <c r="J30" s="41">
        <v>-19000000</v>
      </c>
      <c r="K30" s="41">
        <v>-86000000</v>
      </c>
      <c r="L30" s="41">
        <v>17000000</v>
      </c>
      <c r="M30" s="41">
        <v>-70000000</v>
      </c>
      <c r="N30" s="41">
        <v>-106000000</v>
      </c>
      <c r="O30" s="41">
        <v>-13000000</v>
      </c>
      <c r="P30" s="41">
        <v>-21000000</v>
      </c>
      <c r="Q30" s="41">
        <v>-32000000</v>
      </c>
      <c r="R30" s="41">
        <v>-21000000</v>
      </c>
      <c r="S30" s="41">
        <v>-11000000</v>
      </c>
      <c r="T30" s="41">
        <v>-23000000</v>
      </c>
    </row>
    <row r="31" spans="1:20">
      <c r="A31" t="s">
        <v>432</v>
      </c>
      <c r="D31" s="41">
        <v>9000000</v>
      </c>
      <c r="E31" s="41">
        <v>16000000</v>
      </c>
      <c r="F31" s="41">
        <v>2000000</v>
      </c>
      <c r="G31" s="41">
        <v>3000000</v>
      </c>
      <c r="H31" s="41">
        <v>13000000</v>
      </c>
      <c r="I31" s="41">
        <v>17000000</v>
      </c>
      <c r="J31" s="41">
        <v>29000000</v>
      </c>
      <c r="K31" s="41">
        <v>35000000</v>
      </c>
      <c r="L31" s="41">
        <v>36000000</v>
      </c>
    </row>
    <row r="32" spans="1:20">
      <c r="A32" t="s">
        <v>433</v>
      </c>
      <c r="Q32">
        <v>0</v>
      </c>
      <c r="R32">
        <v>0</v>
      </c>
      <c r="S32" s="41">
        <v>4000000</v>
      </c>
      <c r="T32" s="41">
        <v>24000000</v>
      </c>
    </row>
    <row r="33" spans="1:20">
      <c r="A33" t="s">
        <v>434</v>
      </c>
      <c r="B33" s="41">
        <v>81000000</v>
      </c>
      <c r="C33" s="41">
        <v>81000000</v>
      </c>
      <c r="D33" s="41">
        <v>-365000000</v>
      </c>
      <c r="E33" s="41">
        <v>416000000</v>
      </c>
      <c r="F33" s="41">
        <v>-1772000000</v>
      </c>
      <c r="G33" s="41">
        <v>-736000000</v>
      </c>
      <c r="H33" s="41">
        <v>585000000</v>
      </c>
      <c r="I33" s="41">
        <v>374000000</v>
      </c>
      <c r="J33" s="41">
        <v>457000000</v>
      </c>
      <c r="K33" s="41">
        <v>-372000000</v>
      </c>
      <c r="L33" s="41">
        <v>-47000000</v>
      </c>
      <c r="M33" s="41">
        <v>373000000</v>
      </c>
      <c r="N33" s="41">
        <v>-147000000</v>
      </c>
      <c r="O33" s="41">
        <v>-489000000</v>
      </c>
      <c r="P33" s="41">
        <v>-1015000000</v>
      </c>
      <c r="Q33" s="41">
        <v>-663000000</v>
      </c>
      <c r="R33" s="41">
        <v>-427000000</v>
      </c>
      <c r="S33" s="41">
        <v>-284000000</v>
      </c>
      <c r="T33" s="41">
        <v>-389000000</v>
      </c>
    </row>
    <row r="34" spans="1:20">
      <c r="A34" t="s">
        <v>435</v>
      </c>
      <c r="B34" s="41">
        <v>81000000</v>
      </c>
      <c r="C34" s="41">
        <v>81000000</v>
      </c>
      <c r="D34" s="41">
        <v>-365000000</v>
      </c>
      <c r="E34" s="41">
        <v>416000000</v>
      </c>
      <c r="F34" s="41">
        <v>-1772000000</v>
      </c>
      <c r="G34" s="41">
        <v>-736000000</v>
      </c>
      <c r="H34" s="41">
        <v>585000000</v>
      </c>
      <c r="I34" s="41">
        <v>374000000</v>
      </c>
      <c r="J34" s="41">
        <v>457000000</v>
      </c>
      <c r="K34" s="41">
        <v>-372000000</v>
      </c>
      <c r="L34" s="41">
        <v>-47000000</v>
      </c>
      <c r="M34" s="41">
        <v>373000000</v>
      </c>
      <c r="N34" s="41">
        <v>-147000000</v>
      </c>
      <c r="O34" s="41">
        <v>-489000000</v>
      </c>
      <c r="P34" s="41">
        <v>-1015000000</v>
      </c>
      <c r="Q34" s="41">
        <v>-663000000</v>
      </c>
      <c r="R34" s="41">
        <v>-427000000</v>
      </c>
      <c r="S34" s="41">
        <v>-423000000</v>
      </c>
      <c r="T34" s="41">
        <v>-396000000</v>
      </c>
    </row>
    <row r="35" spans="1:20">
      <c r="A35" t="s">
        <v>436</v>
      </c>
      <c r="B35" s="41">
        <v>-170000000</v>
      </c>
      <c r="C35" s="41">
        <v>-170000000</v>
      </c>
      <c r="D35" s="41">
        <v>-198000000</v>
      </c>
      <c r="E35" s="41">
        <v>-201000000</v>
      </c>
      <c r="F35" s="41">
        <v>-111000000</v>
      </c>
      <c r="G35" s="41">
        <v>-122000000</v>
      </c>
      <c r="H35" s="41">
        <v>-369000000</v>
      </c>
      <c r="I35" s="41">
        <v>-297000000</v>
      </c>
      <c r="J35" s="41">
        <v>-298000000</v>
      </c>
      <c r="K35" s="41">
        <v>-211000000</v>
      </c>
      <c r="L35" s="41">
        <v>-269000000</v>
      </c>
      <c r="M35" s="41">
        <v>-253000000</v>
      </c>
      <c r="N35" s="41">
        <v>-232000000</v>
      </c>
      <c r="O35" s="41">
        <v>-301000000</v>
      </c>
      <c r="P35" s="41">
        <v>-331000000</v>
      </c>
      <c r="Q35" s="41">
        <v>-310000000</v>
      </c>
      <c r="R35" s="41">
        <v>-216000000</v>
      </c>
      <c r="S35" s="41">
        <v>-258000000</v>
      </c>
    </row>
    <row r="36" spans="1:20">
      <c r="A36" t="s">
        <v>437</v>
      </c>
      <c r="B36" s="41">
        <v>1421000000</v>
      </c>
      <c r="C36" s="41">
        <v>1421000000</v>
      </c>
      <c r="D36" s="41">
        <v>-10000000</v>
      </c>
      <c r="E36" s="41">
        <v>625000000</v>
      </c>
      <c r="F36" s="41">
        <v>758000000</v>
      </c>
      <c r="G36" s="41">
        <v>85000000</v>
      </c>
      <c r="H36" s="41">
        <v>940000000</v>
      </c>
      <c r="I36" s="41">
        <v>1382000000</v>
      </c>
      <c r="J36" s="41">
        <v>663000000</v>
      </c>
      <c r="K36" s="41">
        <v>289000000</v>
      </c>
      <c r="L36" s="41">
        <v>231000000</v>
      </c>
      <c r="M36" s="41">
        <v>1311000000</v>
      </c>
      <c r="N36" s="41">
        <v>569000000</v>
      </c>
      <c r="O36" s="41">
        <v>43000000</v>
      </c>
      <c r="P36" s="41">
        <v>205000000</v>
      </c>
      <c r="Q36" s="41">
        <v>136000000</v>
      </c>
      <c r="R36" s="41">
        <v>-109000000</v>
      </c>
      <c r="S36" s="41">
        <v>-28000000</v>
      </c>
      <c r="T36" s="41">
        <v>-519000000</v>
      </c>
    </row>
    <row r="37" spans="1:20">
      <c r="A37" t="s">
        <v>438</v>
      </c>
      <c r="D37" s="41">
        <v>-10000000</v>
      </c>
      <c r="J37" s="41">
        <v>-474000000</v>
      </c>
      <c r="L37">
        <v>0</v>
      </c>
      <c r="M37" s="41">
        <v>-870000000</v>
      </c>
      <c r="N37" s="41">
        <v>-498000000</v>
      </c>
      <c r="O37" s="41">
        <v>-44000000</v>
      </c>
      <c r="P37" s="41">
        <v>-35000000</v>
      </c>
      <c r="Q37" s="41">
        <v>-210000000</v>
      </c>
      <c r="R37" s="41">
        <v>-109000000</v>
      </c>
      <c r="S37" s="41">
        <v>-28000000</v>
      </c>
      <c r="T37" s="41">
        <v>-617000000</v>
      </c>
    </row>
    <row r="38" spans="1:20">
      <c r="A38" t="s">
        <v>439</v>
      </c>
      <c r="B38" s="41">
        <v>1421000000</v>
      </c>
      <c r="C38" s="41">
        <v>1421000000</v>
      </c>
      <c r="E38" s="41">
        <v>625000000</v>
      </c>
      <c r="F38" s="41">
        <v>758000000</v>
      </c>
      <c r="G38" s="41">
        <v>85000000</v>
      </c>
      <c r="H38" s="41">
        <v>940000000</v>
      </c>
      <c r="I38" s="41">
        <v>1382000000</v>
      </c>
      <c r="J38" s="41">
        <v>663000000</v>
      </c>
      <c r="K38" s="41">
        <v>289000000</v>
      </c>
      <c r="L38" s="41">
        <v>231000000</v>
      </c>
      <c r="M38" s="41">
        <v>2181000000</v>
      </c>
      <c r="N38" s="41">
        <v>1067000000</v>
      </c>
      <c r="O38" s="41">
        <v>87000000</v>
      </c>
      <c r="P38" s="41">
        <v>240000000</v>
      </c>
      <c r="Q38" s="41">
        <v>346000000</v>
      </c>
      <c r="R38">
        <v>0</v>
      </c>
      <c r="S38">
        <v>0</v>
      </c>
      <c r="T38" s="41">
        <v>98000000</v>
      </c>
    </row>
    <row r="39" spans="1:20">
      <c r="A39" t="s">
        <v>440</v>
      </c>
      <c r="F39">
        <v>0</v>
      </c>
      <c r="G39">
        <v>0</v>
      </c>
      <c r="H39" s="41">
        <v>21000000</v>
      </c>
      <c r="I39">
        <v>0</v>
      </c>
      <c r="J39">
        <v>0</v>
      </c>
    </row>
    <row r="40" spans="1:20">
      <c r="A40" t="s">
        <v>441</v>
      </c>
      <c r="F40">
        <v>0</v>
      </c>
      <c r="G40">
        <v>0</v>
      </c>
      <c r="H40" s="41">
        <v>21000000</v>
      </c>
      <c r="I40">
        <v>0</v>
      </c>
      <c r="J40">
        <v>0</v>
      </c>
    </row>
    <row r="41" spans="1:20">
      <c r="A41" t="s">
        <v>442</v>
      </c>
      <c r="B41" s="41">
        <v>-635000000</v>
      </c>
      <c r="C41" s="41">
        <v>-635000000</v>
      </c>
      <c r="D41" s="41">
        <v>-211000000</v>
      </c>
      <c r="E41" s="41">
        <v>-128000000</v>
      </c>
      <c r="F41" s="41">
        <v>-2847000000</v>
      </c>
      <c r="G41" s="41">
        <v>-60000000</v>
      </c>
      <c r="H41" s="41">
        <v>-38000000</v>
      </c>
      <c r="I41" s="41">
        <v>-687000000</v>
      </c>
      <c r="J41" s="41">
        <v>77000000</v>
      </c>
      <c r="K41" s="41">
        <v>-467000000</v>
      </c>
      <c r="L41" s="41">
        <v>-3000000</v>
      </c>
      <c r="M41" s="41">
        <v>-548000000</v>
      </c>
      <c r="N41" s="41">
        <v>-814000000</v>
      </c>
      <c r="O41" s="41">
        <v>-233000000</v>
      </c>
      <c r="P41" s="41">
        <v>-716000000</v>
      </c>
      <c r="Q41">
        <v>0</v>
      </c>
    </row>
    <row r="42" spans="1:20">
      <c r="A42" t="s">
        <v>443</v>
      </c>
      <c r="B42" s="41">
        <v>-697000000</v>
      </c>
      <c r="C42" s="41">
        <v>-697000000</v>
      </c>
      <c r="D42" s="41">
        <v>-218000000</v>
      </c>
      <c r="E42" s="41">
        <v>-182000000</v>
      </c>
      <c r="F42" s="41">
        <v>-2945000000</v>
      </c>
      <c r="G42" s="41">
        <v>-65000000</v>
      </c>
      <c r="H42" s="41">
        <v>-66000000</v>
      </c>
      <c r="I42" s="41">
        <v>-738000000</v>
      </c>
      <c r="J42" s="41">
        <v>-348000000</v>
      </c>
      <c r="K42" s="41">
        <v>-599000000</v>
      </c>
      <c r="L42" s="41">
        <v>-3000000</v>
      </c>
      <c r="M42" s="41">
        <v>-548000000</v>
      </c>
      <c r="N42" s="41">
        <v>-814000000</v>
      </c>
      <c r="O42" s="41">
        <v>-233000000</v>
      </c>
      <c r="P42" s="41">
        <v>-716000000</v>
      </c>
      <c r="Q42">
        <v>0</v>
      </c>
    </row>
    <row r="43" spans="1:20">
      <c r="A43" t="s">
        <v>444</v>
      </c>
      <c r="B43" s="41">
        <v>62000000</v>
      </c>
      <c r="C43" s="41">
        <v>62000000</v>
      </c>
      <c r="D43" s="41">
        <v>7000000</v>
      </c>
      <c r="E43" s="41">
        <v>54000000</v>
      </c>
      <c r="F43" s="41">
        <v>98000000</v>
      </c>
      <c r="G43" s="41">
        <v>5000000</v>
      </c>
      <c r="H43" s="41">
        <v>28000000</v>
      </c>
      <c r="I43" s="41">
        <v>51000000</v>
      </c>
      <c r="J43" s="41">
        <v>425000000</v>
      </c>
      <c r="K43" s="41">
        <v>132000000</v>
      </c>
    </row>
    <row r="44" spans="1:20">
      <c r="A44" t="s">
        <v>445</v>
      </c>
      <c r="B44" s="41">
        <v>-437000000</v>
      </c>
      <c r="C44" s="41">
        <v>-437000000</v>
      </c>
      <c r="D44" s="41">
        <v>93000000</v>
      </c>
      <c r="E44" s="41">
        <v>108000000</v>
      </c>
      <c r="F44" s="41">
        <v>447000000</v>
      </c>
      <c r="G44" s="41">
        <v>-601000000</v>
      </c>
      <c r="H44" s="41">
        <v>-1000000</v>
      </c>
      <c r="I44" s="41">
        <v>-41000000</v>
      </c>
      <c r="J44" s="41">
        <v>11000000</v>
      </c>
      <c r="K44" s="41">
        <v>-7000000</v>
      </c>
      <c r="L44" s="41">
        <v>-27000000</v>
      </c>
      <c r="M44" s="41">
        <v>-158000000</v>
      </c>
      <c r="N44" s="41">
        <v>98000000</v>
      </c>
      <c r="O44" s="41">
        <v>98000000</v>
      </c>
      <c r="P44" s="41">
        <v>-127000000</v>
      </c>
      <c r="Q44" s="41">
        <v>-482000000</v>
      </c>
      <c r="R44" s="41">
        <v>-132000000</v>
      </c>
      <c r="S44" s="41">
        <v>-132000000</v>
      </c>
      <c r="T44" s="41">
        <v>80000000</v>
      </c>
    </row>
    <row r="45" spans="1:20">
      <c r="A45" t="s">
        <v>446</v>
      </c>
      <c r="B45" s="41">
        <v>-1775000000</v>
      </c>
      <c r="C45" s="41">
        <v>-1775000000</v>
      </c>
      <c r="D45" s="41">
        <v>-483000000</v>
      </c>
      <c r="E45" s="41">
        <v>-952000000</v>
      </c>
      <c r="F45" s="41">
        <v>-793000000</v>
      </c>
      <c r="G45" s="41">
        <v>-1143000000</v>
      </c>
      <c r="H45" s="41">
        <v>-350000000</v>
      </c>
      <c r="I45" s="41">
        <v>-665000000</v>
      </c>
      <c r="J45" s="41">
        <v>-469000000</v>
      </c>
      <c r="K45" s="41">
        <v>-464000000</v>
      </c>
      <c r="L45" s="41">
        <v>-567000000</v>
      </c>
      <c r="M45" s="41">
        <v>-535000000</v>
      </c>
      <c r="N45" s="41">
        <v>-729000000</v>
      </c>
      <c r="O45" s="41">
        <v>-460000000</v>
      </c>
      <c r="P45" s="41">
        <v>-547000000</v>
      </c>
      <c r="Q45" s="41">
        <v>-1825000000</v>
      </c>
      <c r="R45" s="41">
        <v>-453000000</v>
      </c>
      <c r="S45" s="41">
        <v>-368000000</v>
      </c>
      <c r="T45" s="41">
        <v>-55000000</v>
      </c>
    </row>
    <row r="46" spans="1:20">
      <c r="A46" t="s">
        <v>447</v>
      </c>
      <c r="B46" s="41">
        <v>1338000000</v>
      </c>
      <c r="C46" s="41">
        <v>1338000000</v>
      </c>
      <c r="D46" s="41">
        <v>576000000</v>
      </c>
      <c r="E46" s="41">
        <v>1060000000</v>
      </c>
      <c r="F46" s="41">
        <v>1240000000</v>
      </c>
      <c r="G46" s="41">
        <v>542000000</v>
      </c>
      <c r="H46" s="41">
        <v>349000000</v>
      </c>
      <c r="I46" s="41">
        <v>624000000</v>
      </c>
      <c r="J46" s="41">
        <v>480000000</v>
      </c>
      <c r="K46" s="41">
        <v>457000000</v>
      </c>
      <c r="L46" s="41">
        <v>540000000</v>
      </c>
      <c r="M46" s="41">
        <v>377000000</v>
      </c>
      <c r="N46" s="41">
        <v>827000000</v>
      </c>
      <c r="O46" s="41">
        <v>558000000</v>
      </c>
      <c r="P46" s="41">
        <v>420000000</v>
      </c>
      <c r="Q46" s="41">
        <v>1343000000</v>
      </c>
      <c r="R46" s="41">
        <v>321000000</v>
      </c>
      <c r="S46" s="41">
        <v>236000000</v>
      </c>
      <c r="T46" s="41">
        <v>135000000</v>
      </c>
    </row>
    <row r="47" spans="1:20">
      <c r="A47" t="s">
        <v>448</v>
      </c>
      <c r="B47" s="41">
        <v>-98000000</v>
      </c>
      <c r="C47" s="41">
        <v>-98000000</v>
      </c>
      <c r="D47" s="41">
        <v>-39000000</v>
      </c>
      <c r="E47" s="41">
        <v>12000000</v>
      </c>
      <c r="F47" s="41">
        <v>-19000000</v>
      </c>
      <c r="G47" s="41">
        <v>-38000000</v>
      </c>
      <c r="H47" s="41">
        <v>32000000</v>
      </c>
      <c r="I47" s="41">
        <v>17000000</v>
      </c>
      <c r="J47" s="41">
        <v>4000000</v>
      </c>
      <c r="K47" s="41">
        <v>24000000</v>
      </c>
      <c r="L47" s="41">
        <v>21000000</v>
      </c>
      <c r="M47" s="41">
        <v>21000000</v>
      </c>
      <c r="N47" s="41">
        <v>232000000</v>
      </c>
      <c r="O47" s="41">
        <v>-96000000</v>
      </c>
      <c r="P47" s="41">
        <v>-46000000</v>
      </c>
      <c r="Q47" s="41">
        <v>-7000000</v>
      </c>
      <c r="R47" s="41">
        <v>30000000</v>
      </c>
      <c r="S47" s="41">
        <v>-5000000</v>
      </c>
      <c r="T47" s="41">
        <v>43000000</v>
      </c>
    </row>
    <row r="48" spans="1:20">
      <c r="A48" t="s">
        <v>449</v>
      </c>
      <c r="P48">
        <v>0</v>
      </c>
      <c r="Q48" s="41">
        <v>27000000</v>
      </c>
      <c r="R48">
        <v>0</v>
      </c>
      <c r="S48" s="41">
        <v>139000000</v>
      </c>
      <c r="T48" s="41">
        <v>7000000</v>
      </c>
    </row>
    <row r="49" spans="1:20">
      <c r="A49" t="s">
        <v>450</v>
      </c>
      <c r="B49" s="41">
        <v>-618000000</v>
      </c>
      <c r="C49" s="41">
        <v>-618000000</v>
      </c>
      <c r="D49" s="41">
        <v>-578000000</v>
      </c>
      <c r="E49" s="41">
        <v>-1106000000</v>
      </c>
      <c r="F49" s="41">
        <v>1288000000</v>
      </c>
      <c r="G49" s="41">
        <v>1525000000</v>
      </c>
      <c r="H49" s="41">
        <v>-541000000</v>
      </c>
      <c r="I49" s="41">
        <v>-850000000</v>
      </c>
      <c r="J49" s="41">
        <v>-858000000</v>
      </c>
      <c r="K49" s="41">
        <v>-96000000</v>
      </c>
      <c r="L49" s="41">
        <v>-715000000</v>
      </c>
      <c r="M49" s="41">
        <v>-607000000</v>
      </c>
      <c r="N49" s="41">
        <v>-264000000</v>
      </c>
      <c r="O49" s="41">
        <v>-124000000</v>
      </c>
      <c r="P49" s="41">
        <v>56000000</v>
      </c>
      <c r="Q49" s="41">
        <v>-39000000</v>
      </c>
      <c r="R49" s="41">
        <v>1056000000</v>
      </c>
      <c r="S49" s="41">
        <v>-20000000</v>
      </c>
      <c r="T49" s="41">
        <v>-374000000</v>
      </c>
    </row>
    <row r="50" spans="1:20">
      <c r="A50" t="s">
        <v>451</v>
      </c>
      <c r="B50" s="41">
        <v>-618000000</v>
      </c>
      <c r="C50" s="41">
        <v>-618000000</v>
      </c>
      <c r="D50" s="41">
        <v>-578000000</v>
      </c>
      <c r="E50" s="41">
        <v>-1106000000</v>
      </c>
      <c r="F50" s="41">
        <v>1288000000</v>
      </c>
      <c r="G50" s="41">
        <v>1525000000</v>
      </c>
      <c r="H50" s="41">
        <v>-541000000</v>
      </c>
      <c r="I50" s="41">
        <v>-850000000</v>
      </c>
      <c r="J50" s="41">
        <v>-858000000</v>
      </c>
      <c r="K50" s="41">
        <v>-96000000</v>
      </c>
      <c r="L50" s="41">
        <v>-715000000</v>
      </c>
      <c r="M50" s="41">
        <v>-607000000</v>
      </c>
      <c r="N50" s="41">
        <v>-264000000</v>
      </c>
      <c r="O50" s="41">
        <v>-124000000</v>
      </c>
      <c r="P50" s="41">
        <v>56000000</v>
      </c>
      <c r="Q50" s="41">
        <v>-39000000</v>
      </c>
      <c r="R50" s="41">
        <v>1056000000</v>
      </c>
      <c r="S50" s="41">
        <v>-20000000</v>
      </c>
      <c r="T50" s="41">
        <v>-374000000</v>
      </c>
    </row>
    <row r="51" spans="1:20">
      <c r="A51" t="s">
        <v>452</v>
      </c>
      <c r="B51" s="41">
        <v>674000000</v>
      </c>
      <c r="C51" s="41">
        <v>674000000</v>
      </c>
      <c r="D51" s="41">
        <v>-64000000</v>
      </c>
      <c r="E51" s="41">
        <v>-711000000</v>
      </c>
      <c r="F51" s="41">
        <v>731000000</v>
      </c>
      <c r="G51" s="41">
        <v>1629000000</v>
      </c>
      <c r="H51" s="41">
        <v>-9000000</v>
      </c>
      <c r="I51" s="41">
        <v>185000000</v>
      </c>
      <c r="J51" s="41">
        <v>-112000000</v>
      </c>
      <c r="K51" s="41">
        <v>182000000</v>
      </c>
      <c r="L51" s="41">
        <v>7000000</v>
      </c>
      <c r="M51" s="41">
        <v>-150000000</v>
      </c>
      <c r="N51" s="41">
        <v>17000000</v>
      </c>
      <c r="O51" s="41">
        <v>10000000</v>
      </c>
      <c r="P51" s="41">
        <v>465000000</v>
      </c>
      <c r="Q51" s="41">
        <v>-39000000</v>
      </c>
      <c r="R51" s="41">
        <v>-389000000</v>
      </c>
      <c r="S51" s="41">
        <v>6000000</v>
      </c>
      <c r="T51" s="41">
        <v>228000000</v>
      </c>
    </row>
    <row r="52" spans="1:20">
      <c r="A52" t="s">
        <v>453</v>
      </c>
      <c r="B52" s="41">
        <v>674000000</v>
      </c>
      <c r="C52" s="41">
        <v>674000000</v>
      </c>
      <c r="D52" s="41">
        <v>-64000000</v>
      </c>
      <c r="E52" s="41">
        <v>-711000000</v>
      </c>
      <c r="F52" s="41">
        <v>731000000</v>
      </c>
      <c r="G52" s="41">
        <v>1629000000</v>
      </c>
      <c r="H52" s="41">
        <v>-9000000</v>
      </c>
      <c r="I52" s="41">
        <v>185000000</v>
      </c>
      <c r="J52" s="41">
        <v>-112000000</v>
      </c>
      <c r="K52" s="41">
        <v>182000000</v>
      </c>
      <c r="L52" s="41">
        <v>7000000</v>
      </c>
      <c r="M52" s="41">
        <v>-150000000</v>
      </c>
      <c r="N52" s="41">
        <v>17000000</v>
      </c>
      <c r="O52" s="41">
        <v>10000000</v>
      </c>
      <c r="P52" s="41">
        <v>465000000</v>
      </c>
      <c r="Q52" s="41">
        <v>-39000000</v>
      </c>
      <c r="R52" s="41">
        <v>-359000000</v>
      </c>
      <c r="S52" s="41">
        <v>-24000000</v>
      </c>
      <c r="T52" s="41">
        <v>228000000</v>
      </c>
    </row>
    <row r="53" spans="1:20">
      <c r="A53" t="s">
        <v>454</v>
      </c>
      <c r="B53" s="41">
        <v>1424000000</v>
      </c>
      <c r="C53" s="41">
        <v>1424000000</v>
      </c>
      <c r="D53" s="41">
        <v>596000000</v>
      </c>
      <c r="E53">
        <v>0</v>
      </c>
      <c r="F53" s="41">
        <v>1949000000</v>
      </c>
      <c r="G53" s="41">
        <v>2035000000</v>
      </c>
      <c r="H53" s="41">
        <v>400000000</v>
      </c>
      <c r="I53" s="41">
        <v>416000000</v>
      </c>
      <c r="J53" s="41">
        <v>670000000</v>
      </c>
      <c r="K53" s="41">
        <v>620000000</v>
      </c>
      <c r="L53" s="41">
        <v>12000000</v>
      </c>
      <c r="M53" s="41">
        <v>249000000</v>
      </c>
      <c r="N53" s="41">
        <v>385000000</v>
      </c>
      <c r="O53" s="41">
        <v>10000000</v>
      </c>
      <c r="P53" s="41">
        <v>519000000</v>
      </c>
      <c r="Q53">
        <v>0</v>
      </c>
      <c r="R53" s="41">
        <v>498000000</v>
      </c>
      <c r="S53">
        <v>0</v>
      </c>
      <c r="T53" s="41">
        <v>1386000000</v>
      </c>
    </row>
    <row r="54" spans="1:20">
      <c r="A54" t="s">
        <v>455</v>
      </c>
      <c r="B54" s="41">
        <v>-750000000</v>
      </c>
      <c r="C54" s="41">
        <v>-750000000</v>
      </c>
      <c r="D54" s="41">
        <v>-660000000</v>
      </c>
      <c r="E54" s="41">
        <v>-711000000</v>
      </c>
      <c r="F54" s="41">
        <v>-1218000000</v>
      </c>
      <c r="G54" s="41">
        <v>-406000000</v>
      </c>
      <c r="H54" s="41">
        <v>-409000000</v>
      </c>
      <c r="I54" s="41">
        <v>-231000000</v>
      </c>
      <c r="J54" s="41">
        <v>-782000000</v>
      </c>
      <c r="K54" s="41">
        <v>-438000000</v>
      </c>
      <c r="L54" s="41">
        <v>-5000000</v>
      </c>
      <c r="M54" s="41">
        <v>-399000000</v>
      </c>
      <c r="N54" s="41">
        <v>-368000000</v>
      </c>
      <c r="O54">
        <v>0</v>
      </c>
      <c r="P54" s="41">
        <v>-54000000</v>
      </c>
      <c r="Q54" s="41">
        <v>-39000000</v>
      </c>
      <c r="R54" s="41">
        <v>-857000000</v>
      </c>
      <c r="S54" s="41">
        <v>-24000000</v>
      </c>
      <c r="T54" s="41">
        <v>-1158000000</v>
      </c>
    </row>
    <row r="55" spans="1:20">
      <c r="A55" t="s">
        <v>456</v>
      </c>
      <c r="P55">
        <v>0</v>
      </c>
      <c r="Q55">
        <v>0</v>
      </c>
      <c r="R55" s="41">
        <v>-30000000</v>
      </c>
      <c r="S55" s="41">
        <v>30000000</v>
      </c>
    </row>
    <row r="56" spans="1:20">
      <c r="A56" t="s">
        <v>457</v>
      </c>
      <c r="P56">
        <v>0</v>
      </c>
      <c r="Q56">
        <v>0</v>
      </c>
      <c r="R56" s="41">
        <v>675000000</v>
      </c>
      <c r="S56" s="41">
        <v>175000000</v>
      </c>
    </row>
    <row r="57" spans="1:20">
      <c r="A57" t="s">
        <v>458</v>
      </c>
      <c r="P57">
        <v>0</v>
      </c>
      <c r="Q57">
        <v>0</v>
      </c>
      <c r="R57" s="41">
        <v>-705000000</v>
      </c>
      <c r="S57" s="41">
        <v>-145000000</v>
      </c>
    </row>
    <row r="58" spans="1:20">
      <c r="A58" t="s">
        <v>459</v>
      </c>
      <c r="B58" s="41">
        <v>-1190000000</v>
      </c>
      <c r="C58" s="41">
        <v>-1190000000</v>
      </c>
      <c r="D58" s="41">
        <v>-453000000</v>
      </c>
      <c r="E58" s="41">
        <v>-369000000</v>
      </c>
      <c r="F58" s="41">
        <v>575000000</v>
      </c>
      <c r="G58" s="41">
        <v>-69000000</v>
      </c>
      <c r="H58" s="41">
        <v>-421000000</v>
      </c>
      <c r="I58" s="41">
        <v>-946000000</v>
      </c>
      <c r="J58" s="41">
        <v>-743000000</v>
      </c>
      <c r="K58" s="41">
        <v>-272000000</v>
      </c>
      <c r="L58" s="41">
        <v>-715000000</v>
      </c>
      <c r="M58" s="41">
        <v>-443000000</v>
      </c>
      <c r="N58" s="41">
        <v>-275000000</v>
      </c>
      <c r="O58" s="41">
        <v>-136000000</v>
      </c>
      <c r="P58" s="41">
        <v>-396000000</v>
      </c>
      <c r="Q58">
        <v>0</v>
      </c>
      <c r="R58" s="41">
        <v>1482000000</v>
      </c>
      <c r="T58" s="41">
        <v>-1101000000</v>
      </c>
    </row>
    <row r="59" spans="1:20">
      <c r="A59" t="s">
        <v>460</v>
      </c>
      <c r="D59">
        <v>0</v>
      </c>
      <c r="E59">
        <v>0</v>
      </c>
      <c r="F59" s="41">
        <v>575000000</v>
      </c>
      <c r="G59">
        <v>0</v>
      </c>
      <c r="H59">
        <v>0</v>
      </c>
      <c r="P59">
        <v>0</v>
      </c>
      <c r="Q59">
        <v>0</v>
      </c>
      <c r="R59" s="41">
        <v>1482000000</v>
      </c>
      <c r="S59">
        <v>0</v>
      </c>
    </row>
    <row r="60" spans="1:20">
      <c r="A60" t="s">
        <v>461</v>
      </c>
      <c r="B60" s="41">
        <v>-1190000000</v>
      </c>
      <c r="C60" s="41">
        <v>-1190000000</v>
      </c>
      <c r="D60" s="41">
        <v>-453000000</v>
      </c>
      <c r="E60" s="41">
        <v>-369000000</v>
      </c>
      <c r="F60">
        <v>0</v>
      </c>
      <c r="G60" s="41">
        <v>-69000000</v>
      </c>
      <c r="H60" s="41">
        <v>-421000000</v>
      </c>
      <c r="I60" s="41">
        <v>-946000000</v>
      </c>
      <c r="J60" s="41">
        <v>-743000000</v>
      </c>
      <c r="K60" s="41">
        <v>-272000000</v>
      </c>
      <c r="L60" s="41">
        <v>-715000000</v>
      </c>
      <c r="M60" s="41">
        <v>-443000000</v>
      </c>
      <c r="N60" s="41">
        <v>-275000000</v>
      </c>
      <c r="O60" s="41">
        <v>-136000000</v>
      </c>
      <c r="P60" s="41">
        <v>-396000000</v>
      </c>
      <c r="Q60">
        <v>0</v>
      </c>
      <c r="R60">
        <v>0</v>
      </c>
      <c r="S60">
        <v>0</v>
      </c>
      <c r="T60" s="41">
        <v>-1101000000</v>
      </c>
    </row>
    <row r="61" spans="1:20">
      <c r="A61" t="s">
        <v>462</v>
      </c>
      <c r="R61">
        <v>0</v>
      </c>
      <c r="S61">
        <v>0</v>
      </c>
      <c r="T61" s="41">
        <v>500000000</v>
      </c>
    </row>
    <row r="62" spans="1:20">
      <c r="A62" t="s">
        <v>463</v>
      </c>
      <c r="R62">
        <v>0</v>
      </c>
      <c r="S62">
        <v>0</v>
      </c>
      <c r="T62" s="41">
        <v>500000000</v>
      </c>
    </row>
    <row r="63" spans="1:20">
      <c r="A63" t="s">
        <v>464</v>
      </c>
      <c r="B63" s="41">
        <v>-60000000</v>
      </c>
      <c r="C63" s="41">
        <v>-60000000</v>
      </c>
      <c r="D63" s="41">
        <v>-47000000</v>
      </c>
      <c r="E63">
        <v>0</v>
      </c>
      <c r="F63">
        <v>0</v>
      </c>
      <c r="G63" s="41">
        <v>-20000000</v>
      </c>
      <c r="H63" s="41">
        <v>-80000000</v>
      </c>
      <c r="I63" s="41">
        <v>-68000000</v>
      </c>
      <c r="J63">
        <v>0</v>
      </c>
      <c r="K63">
        <v>0</v>
      </c>
      <c r="R63" s="41">
        <v>-1000000</v>
      </c>
      <c r="S63" s="41">
        <v>-2000000</v>
      </c>
      <c r="T63" s="41">
        <v>-1000000</v>
      </c>
    </row>
    <row r="64" spans="1:20">
      <c r="A64" t="s">
        <v>465</v>
      </c>
      <c r="B64" s="41">
        <v>-60000000</v>
      </c>
      <c r="C64" s="41">
        <v>-60000000</v>
      </c>
      <c r="D64" s="41">
        <v>-47000000</v>
      </c>
      <c r="E64">
        <v>0</v>
      </c>
      <c r="F64">
        <v>0</v>
      </c>
      <c r="G64" s="41">
        <v>-20000000</v>
      </c>
      <c r="H64" s="41">
        <v>-80000000</v>
      </c>
      <c r="I64" s="41">
        <v>-68000000</v>
      </c>
      <c r="J64">
        <v>0</v>
      </c>
      <c r="K64">
        <v>0</v>
      </c>
    </row>
    <row r="65" spans="1:20">
      <c r="A65" t="s">
        <v>466</v>
      </c>
      <c r="B65" s="41">
        <v>-42000000</v>
      </c>
      <c r="C65" s="41">
        <v>-42000000</v>
      </c>
      <c r="D65" s="41">
        <v>-14000000</v>
      </c>
      <c r="E65" s="41">
        <v>-26000000</v>
      </c>
      <c r="F65" s="41">
        <v>-18000000</v>
      </c>
      <c r="G65" s="41">
        <v>-15000000</v>
      </c>
      <c r="H65" s="41">
        <v>-31000000</v>
      </c>
      <c r="I65" s="41">
        <v>-21000000</v>
      </c>
      <c r="J65" s="41">
        <v>-3000000</v>
      </c>
      <c r="K65" s="41">
        <v>-6000000</v>
      </c>
      <c r="L65" s="41">
        <v>-7000000</v>
      </c>
      <c r="M65" s="41">
        <v>-14000000</v>
      </c>
      <c r="N65" s="41">
        <v>-6000000</v>
      </c>
      <c r="O65" s="41">
        <v>2000000</v>
      </c>
      <c r="P65" s="41">
        <v>-13000000</v>
      </c>
      <c r="R65" s="41">
        <v>-37000000</v>
      </c>
      <c r="S65" s="41">
        <v>-24000000</v>
      </c>
    </row>
    <row r="66" spans="1:20">
      <c r="A66" t="s">
        <v>467</v>
      </c>
      <c r="O66">
        <v>0</v>
      </c>
      <c r="Q66" s="41">
        <v>27000000</v>
      </c>
    </row>
    <row r="67" spans="1:20">
      <c r="A67" t="s">
        <v>591</v>
      </c>
      <c r="B67" s="41">
        <v>3000000</v>
      </c>
      <c r="C67" s="41">
        <v>3000000</v>
      </c>
      <c r="D67" s="41">
        <v>-3000000</v>
      </c>
      <c r="E67">
        <v>0</v>
      </c>
      <c r="F67">
        <v>0</v>
      </c>
    </row>
    <row r="68" spans="1:20">
      <c r="A68" t="s">
        <v>468</v>
      </c>
      <c r="B68" s="41">
        <v>1015000000</v>
      </c>
      <c r="C68" s="41">
        <v>1015000000</v>
      </c>
      <c r="D68" s="41">
        <v>919000000</v>
      </c>
      <c r="E68" s="41">
        <v>1067000000</v>
      </c>
      <c r="F68" s="41">
        <v>1065000000</v>
      </c>
      <c r="G68" s="41">
        <v>1237000000</v>
      </c>
      <c r="H68" s="41">
        <v>1063000000</v>
      </c>
      <c r="I68" s="41">
        <v>622000000</v>
      </c>
      <c r="J68" s="41">
        <v>752000000</v>
      </c>
      <c r="K68" s="41">
        <v>573000000</v>
      </c>
      <c r="L68" s="41">
        <v>457000000</v>
      </c>
      <c r="M68" s="41">
        <v>685000000</v>
      </c>
      <c r="N68" s="41">
        <v>454000000</v>
      </c>
      <c r="O68" s="41">
        <v>413000000</v>
      </c>
      <c r="P68" s="41">
        <v>534000000</v>
      </c>
      <c r="Q68" s="41">
        <v>1110000000</v>
      </c>
      <c r="R68" s="41">
        <v>1327000000</v>
      </c>
      <c r="S68" s="41">
        <v>428000000</v>
      </c>
      <c r="T68" s="41">
        <v>416000000</v>
      </c>
    </row>
    <row r="69" spans="1:20">
      <c r="A69" t="s">
        <v>469</v>
      </c>
      <c r="B69" s="41">
        <v>99000000</v>
      </c>
      <c r="C69" s="41">
        <v>99000000</v>
      </c>
      <c r="D69" s="41">
        <v>-146000000</v>
      </c>
      <c r="E69" s="41">
        <v>-16000000</v>
      </c>
      <c r="F69" s="41">
        <v>-169000000</v>
      </c>
      <c r="G69" s="41">
        <v>178000000</v>
      </c>
      <c r="H69" s="41">
        <v>440000000</v>
      </c>
      <c r="I69" s="41">
        <v>-135000000</v>
      </c>
      <c r="J69" s="41">
        <v>186000000</v>
      </c>
      <c r="K69" s="41">
        <v>-6000000</v>
      </c>
      <c r="L69" s="41">
        <v>-224000000</v>
      </c>
      <c r="M69" s="41">
        <v>239000000</v>
      </c>
      <c r="N69" s="41">
        <v>45000000</v>
      </c>
      <c r="O69" s="41">
        <v>-114000000</v>
      </c>
      <c r="P69" s="41">
        <v>-566000000</v>
      </c>
      <c r="Q69" s="41">
        <v>-225000000</v>
      </c>
      <c r="R69" s="41">
        <v>905000000</v>
      </c>
      <c r="S69" s="41">
        <v>-13000000</v>
      </c>
      <c r="T69" s="41">
        <v>-377000000</v>
      </c>
    </row>
    <row r="70" spans="1:20">
      <c r="A70" t="s">
        <v>470</v>
      </c>
      <c r="B70" s="41">
        <v>-3000000</v>
      </c>
      <c r="C70" s="41">
        <v>-3000000</v>
      </c>
      <c r="D70" s="41">
        <v>-2000000</v>
      </c>
      <c r="E70" s="41">
        <v>18000000</v>
      </c>
      <c r="F70" s="41">
        <v>-3000000</v>
      </c>
      <c r="G70" s="41">
        <v>-4000000</v>
      </c>
      <c r="H70" s="41">
        <v>1000000</v>
      </c>
      <c r="I70" s="41">
        <v>5000000</v>
      </c>
      <c r="J70" s="41">
        <v>-7000000</v>
      </c>
      <c r="K70" s="41">
        <v>12000000</v>
      </c>
      <c r="L70" s="41">
        <v>-4000000</v>
      </c>
      <c r="M70" s="41">
        <v>-8000000</v>
      </c>
      <c r="N70" s="41">
        <v>-4000000</v>
      </c>
      <c r="O70" s="41">
        <v>-7000000</v>
      </c>
      <c r="P70" s="41">
        <v>-10000000</v>
      </c>
      <c r="Q70" s="41">
        <v>8000000</v>
      </c>
      <c r="R70" s="41">
        <v>-6000000</v>
      </c>
      <c r="S70" s="41">
        <v>25000000</v>
      </c>
      <c r="T70" s="41">
        <v>-14000000</v>
      </c>
    </row>
    <row r="71" spans="1:20">
      <c r="A71" t="s">
        <v>471</v>
      </c>
      <c r="B71" s="41">
        <v>919000000</v>
      </c>
      <c r="C71" s="41">
        <v>919000000</v>
      </c>
      <c r="D71" s="41">
        <v>1067000000</v>
      </c>
      <c r="E71" s="41">
        <v>1065000000</v>
      </c>
      <c r="F71" s="41">
        <v>1237000000</v>
      </c>
      <c r="G71" s="41">
        <v>1063000000</v>
      </c>
      <c r="H71" s="41">
        <v>622000000</v>
      </c>
      <c r="I71" s="41">
        <v>752000000</v>
      </c>
      <c r="J71" s="41">
        <v>573000000</v>
      </c>
      <c r="K71" s="41">
        <v>567000000</v>
      </c>
      <c r="L71" s="41">
        <v>685000000</v>
      </c>
      <c r="M71" s="41">
        <v>454000000</v>
      </c>
      <c r="N71" s="41">
        <v>413000000</v>
      </c>
      <c r="O71" s="41">
        <v>534000000</v>
      </c>
      <c r="P71" s="41">
        <v>1110000000</v>
      </c>
      <c r="Q71" s="41">
        <v>1327000000</v>
      </c>
      <c r="R71" s="41">
        <v>428000000</v>
      </c>
      <c r="S71" s="41">
        <v>416000000</v>
      </c>
      <c r="T71" s="41">
        <v>807000000</v>
      </c>
    </row>
    <row r="72" spans="1:20">
      <c r="A72" t="s">
        <v>472</v>
      </c>
      <c r="B72" s="41">
        <v>106000000</v>
      </c>
      <c r="C72" s="41">
        <v>106000000</v>
      </c>
      <c r="D72" s="41">
        <v>153000000</v>
      </c>
      <c r="E72" s="41">
        <v>101000000</v>
      </c>
      <c r="G72" s="41">
        <v>63000000</v>
      </c>
      <c r="H72" s="41">
        <v>175000000</v>
      </c>
      <c r="I72" s="41">
        <v>292000000</v>
      </c>
      <c r="J72" s="41">
        <v>175000000</v>
      </c>
      <c r="K72" s="41">
        <v>95000000</v>
      </c>
      <c r="L72" s="41">
        <v>145000000</v>
      </c>
      <c r="M72" s="41">
        <v>267000000</v>
      </c>
      <c r="N72" s="41">
        <v>119000000</v>
      </c>
      <c r="O72" s="41">
        <v>50000000</v>
      </c>
      <c r="P72" s="41">
        <v>60000000</v>
      </c>
      <c r="Q72" s="41">
        <v>63000000</v>
      </c>
      <c r="R72" s="41">
        <v>60000000</v>
      </c>
      <c r="S72" s="41">
        <v>198000000</v>
      </c>
    </row>
    <row r="73" spans="1:20">
      <c r="A73" t="s">
        <v>473</v>
      </c>
      <c r="B73" s="41">
        <v>167000000</v>
      </c>
      <c r="C73" s="41">
        <v>167000000</v>
      </c>
      <c r="D73" s="41">
        <v>115000000</v>
      </c>
      <c r="E73" s="41">
        <v>138000000</v>
      </c>
      <c r="F73" s="41">
        <v>145000000</v>
      </c>
      <c r="G73" s="41">
        <v>105000000</v>
      </c>
      <c r="H73" s="41">
        <v>79000000</v>
      </c>
      <c r="I73" s="41">
        <v>73000000</v>
      </c>
      <c r="J73" s="41">
        <v>80000000</v>
      </c>
      <c r="K73" s="41">
        <v>75000000</v>
      </c>
      <c r="L73" s="41">
        <v>69000000</v>
      </c>
      <c r="M73" s="41">
        <v>71000000</v>
      </c>
      <c r="N73" s="41">
        <v>66000000</v>
      </c>
      <c r="O73" s="41">
        <v>68000000</v>
      </c>
      <c r="P73" s="41">
        <v>49000000</v>
      </c>
      <c r="Q73" s="41">
        <v>57000000</v>
      </c>
      <c r="R73" s="41">
        <v>50000000</v>
      </c>
      <c r="S73" s="41">
        <v>62000000</v>
      </c>
    </row>
    <row r="74" spans="1:20">
      <c r="A74" t="s">
        <v>474</v>
      </c>
      <c r="B74" s="41">
        <v>-170000000</v>
      </c>
      <c r="C74" s="41">
        <v>-170000000</v>
      </c>
      <c r="D74" s="41">
        <v>-208000000</v>
      </c>
      <c r="E74" s="41">
        <v>-201000000</v>
      </c>
      <c r="F74" s="41">
        <v>-111000000</v>
      </c>
      <c r="G74" s="41">
        <v>-122000000</v>
      </c>
      <c r="H74" s="41">
        <v>-369000000</v>
      </c>
      <c r="I74" s="41">
        <v>-297000000</v>
      </c>
      <c r="J74" s="41">
        <v>-298000000</v>
      </c>
      <c r="K74" s="41">
        <v>-211000000</v>
      </c>
      <c r="L74" s="41">
        <v>-269000000</v>
      </c>
      <c r="M74" s="41">
        <v>-1123000000</v>
      </c>
      <c r="N74" s="41">
        <v>-730000000</v>
      </c>
      <c r="O74" s="41">
        <v>-345000000</v>
      </c>
      <c r="P74" s="41">
        <v>-366000000</v>
      </c>
      <c r="Q74" s="41">
        <v>-520000000</v>
      </c>
      <c r="R74" s="41">
        <v>-325000000</v>
      </c>
      <c r="S74" s="41">
        <v>-286000000</v>
      </c>
      <c r="T74" s="41">
        <v>-617000000</v>
      </c>
    </row>
    <row r="75" spans="1:20">
      <c r="A75" t="s">
        <v>475</v>
      </c>
      <c r="D75">
        <v>0</v>
      </c>
      <c r="E75">
        <v>0</v>
      </c>
      <c r="F75" s="41">
        <v>575000000</v>
      </c>
      <c r="G75">
        <v>0</v>
      </c>
      <c r="H75">
        <v>0</v>
      </c>
      <c r="P75">
        <v>0</v>
      </c>
      <c r="Q75">
        <v>0</v>
      </c>
      <c r="R75" s="41">
        <v>1482000000</v>
      </c>
      <c r="S75">
        <v>0</v>
      </c>
      <c r="T75" s="41">
        <v>500000000</v>
      </c>
    </row>
    <row r="76" spans="1:20">
      <c r="A76" t="s">
        <v>476</v>
      </c>
      <c r="B76" s="41">
        <v>1424000000</v>
      </c>
      <c r="C76" s="41">
        <v>1424000000</v>
      </c>
      <c r="D76" s="41">
        <v>596000000</v>
      </c>
      <c r="E76">
        <v>0</v>
      </c>
      <c r="F76" s="41">
        <v>1949000000</v>
      </c>
      <c r="G76" s="41">
        <v>2035000000</v>
      </c>
      <c r="H76" s="41">
        <v>400000000</v>
      </c>
      <c r="I76" s="41">
        <v>416000000</v>
      </c>
      <c r="J76" s="41">
        <v>670000000</v>
      </c>
      <c r="K76" s="41">
        <v>620000000</v>
      </c>
      <c r="L76" s="41">
        <v>12000000</v>
      </c>
      <c r="M76" s="41">
        <v>249000000</v>
      </c>
      <c r="N76" s="41">
        <v>385000000</v>
      </c>
      <c r="O76" s="41">
        <v>10000000</v>
      </c>
      <c r="P76" s="41">
        <v>519000000</v>
      </c>
      <c r="Q76">
        <v>0</v>
      </c>
      <c r="R76" s="41">
        <v>1173000000</v>
      </c>
      <c r="S76" s="41">
        <v>175000000</v>
      </c>
      <c r="T76" s="41">
        <v>1386000000</v>
      </c>
    </row>
    <row r="77" spans="1:20">
      <c r="A77" t="s">
        <v>477</v>
      </c>
      <c r="B77" s="41">
        <v>-750000000</v>
      </c>
      <c r="C77" s="41">
        <v>-750000000</v>
      </c>
      <c r="D77" s="41">
        <v>-660000000</v>
      </c>
      <c r="E77" s="41">
        <v>-711000000</v>
      </c>
      <c r="F77" s="41">
        <v>-1218000000</v>
      </c>
      <c r="G77" s="41">
        <v>-406000000</v>
      </c>
      <c r="H77" s="41">
        <v>-409000000</v>
      </c>
      <c r="I77" s="41">
        <v>-231000000</v>
      </c>
      <c r="J77" s="41">
        <v>-782000000</v>
      </c>
      <c r="K77" s="41">
        <v>-438000000</v>
      </c>
      <c r="L77" s="41">
        <v>-5000000</v>
      </c>
      <c r="M77" s="41">
        <v>-399000000</v>
      </c>
      <c r="N77" s="41">
        <v>-368000000</v>
      </c>
      <c r="O77">
        <v>0</v>
      </c>
      <c r="P77" s="41">
        <v>-54000000</v>
      </c>
      <c r="Q77" s="41">
        <v>-39000000</v>
      </c>
      <c r="R77" s="41">
        <v>-1562000000</v>
      </c>
      <c r="S77" s="41">
        <v>-169000000</v>
      </c>
      <c r="T77" s="41">
        <v>-1158000000</v>
      </c>
    </row>
    <row r="78" spans="1:20">
      <c r="A78" t="s">
        <v>478</v>
      </c>
      <c r="B78" s="41">
        <v>-1190000000</v>
      </c>
      <c r="C78" s="41">
        <v>-1190000000</v>
      </c>
      <c r="D78" s="41">
        <v>-453000000</v>
      </c>
      <c r="E78" s="41">
        <v>-369000000</v>
      </c>
      <c r="F78">
        <v>0</v>
      </c>
      <c r="G78" s="41">
        <v>-69000000</v>
      </c>
      <c r="H78" s="41">
        <v>-421000000</v>
      </c>
      <c r="I78" s="41">
        <v>-946000000</v>
      </c>
      <c r="J78" s="41">
        <v>-743000000</v>
      </c>
      <c r="K78" s="41">
        <v>-272000000</v>
      </c>
      <c r="L78" s="41">
        <v>-715000000</v>
      </c>
      <c r="M78" s="41">
        <v>-443000000</v>
      </c>
      <c r="N78" s="41">
        <v>-275000000</v>
      </c>
      <c r="O78" s="41">
        <v>-136000000</v>
      </c>
      <c r="P78" s="41">
        <v>-396000000</v>
      </c>
      <c r="Q78">
        <v>0</v>
      </c>
      <c r="R78">
        <v>0</v>
      </c>
      <c r="S78">
        <v>0</v>
      </c>
      <c r="T78" s="41">
        <v>-1101000000</v>
      </c>
    </row>
    <row r="79" spans="1:20">
      <c r="A79" t="s">
        <v>479</v>
      </c>
      <c r="B79" s="41">
        <v>463000000</v>
      </c>
      <c r="C79" s="41">
        <v>463000000</v>
      </c>
      <c r="D79" s="41">
        <v>592000000</v>
      </c>
      <c r="E79" s="41">
        <v>473000000</v>
      </c>
      <c r="F79" s="41">
        <v>204000000</v>
      </c>
      <c r="G79" s="41">
        <v>-733000000</v>
      </c>
      <c r="H79" s="41">
        <v>27000000</v>
      </c>
      <c r="I79" s="41">
        <v>44000000</v>
      </c>
      <c r="J79" s="41">
        <v>289000000</v>
      </c>
      <c r="K79" s="41">
        <v>251000000</v>
      </c>
      <c r="L79" s="41">
        <v>269000000</v>
      </c>
      <c r="M79" s="41">
        <v>-650000000</v>
      </c>
      <c r="N79" s="41">
        <v>-274000000</v>
      </c>
      <c r="O79" s="41">
        <v>154000000</v>
      </c>
      <c r="P79" s="41">
        <v>27000000</v>
      </c>
      <c r="Q79" s="41">
        <v>-70000000</v>
      </c>
      <c r="R79" s="41">
        <v>-49000000</v>
      </c>
      <c r="S79" s="41">
        <v>5000000</v>
      </c>
      <c r="T79" s="41">
        <v>-231000000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EE899-A583-4FD2-AB99-ACA050B9284A}">
  <sheetPr>
    <tabColor rgb="FFFF0000"/>
  </sheetPr>
  <dimension ref="A1:BL95"/>
  <sheetViews>
    <sheetView workbookViewId="0">
      <selection activeCell="B1" sqref="B1:B94"/>
    </sheetView>
  </sheetViews>
  <sheetFormatPr defaultRowHeight="14.5"/>
  <cols>
    <col min="1" max="1" width="50.1796875" bestFit="1" customWidth="1"/>
    <col min="2" max="13" width="13.54296875" bestFit="1" customWidth="1"/>
    <col min="14" max="16" width="12.453125" bestFit="1" customWidth="1"/>
    <col min="17" max="17" width="13.1796875" bestFit="1" customWidth="1"/>
    <col min="18" max="20" width="12.453125" bestFit="1" customWidth="1"/>
    <col min="21" max="21" width="13.1796875" bestFit="1" customWidth="1"/>
    <col min="22" max="24" width="12.453125" bestFit="1" customWidth="1"/>
    <col min="25" max="25" width="13.1796875" bestFit="1" customWidth="1"/>
    <col min="26" max="28" width="12.453125" bestFit="1" customWidth="1"/>
    <col min="29" max="29" width="13.1796875" bestFit="1" customWidth="1"/>
    <col min="30" max="32" width="12.453125" bestFit="1" customWidth="1"/>
    <col min="33" max="33" width="13.1796875" bestFit="1" customWidth="1"/>
    <col min="34" max="36" width="12.453125" bestFit="1" customWidth="1"/>
    <col min="37" max="37" width="13.1796875" bestFit="1" customWidth="1"/>
    <col min="38" max="40" width="12.453125" bestFit="1" customWidth="1"/>
    <col min="41" max="41" width="13.1796875" bestFit="1" customWidth="1"/>
    <col min="42" max="44" width="12.453125" bestFit="1" customWidth="1"/>
    <col min="45" max="45" width="13.1796875" bestFit="1" customWidth="1"/>
    <col min="46" max="48" width="12.453125" bestFit="1" customWidth="1"/>
    <col min="49" max="49" width="13.1796875" bestFit="1" customWidth="1"/>
    <col min="50" max="52" width="12.453125" bestFit="1" customWidth="1"/>
    <col min="53" max="53" width="13.1796875" bestFit="1" customWidth="1"/>
    <col min="54" max="56" width="12.453125" bestFit="1" customWidth="1"/>
    <col min="57" max="57" width="13.1796875" bestFit="1" customWidth="1"/>
    <col min="58" max="60" width="12.453125" bestFit="1" customWidth="1"/>
    <col min="61" max="64" width="13.1796875" bestFit="1" customWidth="1"/>
  </cols>
  <sheetData>
    <row r="1" spans="1:64">
      <c r="A1" t="s">
        <v>258</v>
      </c>
      <c r="B1" s="53">
        <v>45565</v>
      </c>
      <c r="C1" s="53">
        <v>45473</v>
      </c>
      <c r="D1" s="53">
        <v>45382</v>
      </c>
      <c r="E1" s="53">
        <v>45291</v>
      </c>
      <c r="F1" s="53">
        <v>45199</v>
      </c>
      <c r="G1" s="53">
        <v>45107</v>
      </c>
      <c r="H1" s="53">
        <v>45016</v>
      </c>
      <c r="I1" s="53">
        <v>44926</v>
      </c>
      <c r="J1" s="53">
        <v>44834</v>
      </c>
      <c r="K1" s="53">
        <v>44742</v>
      </c>
      <c r="L1" s="53">
        <v>44651</v>
      </c>
      <c r="M1" s="53">
        <v>44561</v>
      </c>
      <c r="N1" s="53">
        <v>44469</v>
      </c>
      <c r="O1" s="53">
        <v>44377</v>
      </c>
      <c r="P1" s="53">
        <v>44286</v>
      </c>
      <c r="Q1" s="53">
        <v>44196</v>
      </c>
      <c r="R1" s="53">
        <v>44104</v>
      </c>
      <c r="S1" s="53">
        <v>44012</v>
      </c>
      <c r="T1" s="53">
        <v>43921</v>
      </c>
      <c r="U1" s="53">
        <v>43830</v>
      </c>
      <c r="V1" s="53">
        <v>43738</v>
      </c>
      <c r="W1" s="53">
        <v>43646</v>
      </c>
      <c r="X1" s="53">
        <v>43555</v>
      </c>
      <c r="Y1" s="53">
        <v>43465</v>
      </c>
      <c r="Z1" s="53">
        <v>43373</v>
      </c>
      <c r="AA1" s="53">
        <v>43281</v>
      </c>
      <c r="AB1" s="53">
        <v>43190</v>
      </c>
      <c r="AC1" s="53">
        <v>43100</v>
      </c>
      <c r="AD1" s="53">
        <v>43008</v>
      </c>
      <c r="AE1" s="53">
        <v>42916</v>
      </c>
      <c r="AF1" s="53">
        <v>42825</v>
      </c>
      <c r="AG1" s="53">
        <v>42735</v>
      </c>
      <c r="AH1" s="53">
        <v>42643</v>
      </c>
      <c r="AI1" s="53">
        <v>42551</v>
      </c>
      <c r="AJ1" s="53">
        <v>42460</v>
      </c>
      <c r="AK1" s="53">
        <v>42369</v>
      </c>
      <c r="AL1" s="53">
        <v>42277</v>
      </c>
      <c r="AM1" s="53">
        <v>42185</v>
      </c>
      <c r="AN1" s="53">
        <v>42094</v>
      </c>
      <c r="AO1" s="53">
        <v>42004</v>
      </c>
      <c r="AP1" s="53">
        <v>41912</v>
      </c>
      <c r="AQ1" s="53">
        <v>41820</v>
      </c>
      <c r="AR1" s="53">
        <v>41729</v>
      </c>
      <c r="AS1" s="53">
        <v>41639</v>
      </c>
      <c r="AT1" s="53">
        <v>41547</v>
      </c>
      <c r="AU1" s="53">
        <v>41455</v>
      </c>
      <c r="AV1" s="53">
        <v>41364</v>
      </c>
      <c r="AW1" s="53">
        <v>41274</v>
      </c>
      <c r="AX1" s="53">
        <v>41182</v>
      </c>
      <c r="AY1" s="53">
        <v>41090</v>
      </c>
      <c r="AZ1" s="53">
        <v>40999</v>
      </c>
      <c r="BA1" s="53">
        <v>40908</v>
      </c>
      <c r="BB1" s="53">
        <v>40816</v>
      </c>
      <c r="BC1" s="53">
        <v>40724</v>
      </c>
      <c r="BD1" s="53">
        <v>40633</v>
      </c>
      <c r="BE1" s="53">
        <v>40543</v>
      </c>
      <c r="BF1" s="53">
        <v>40451</v>
      </c>
      <c r="BG1" s="53">
        <v>40359</v>
      </c>
      <c r="BH1" s="53">
        <v>40268</v>
      </c>
      <c r="BI1" s="53">
        <v>40178</v>
      </c>
      <c r="BJ1" s="53">
        <v>40086</v>
      </c>
      <c r="BK1" s="53">
        <v>39994</v>
      </c>
      <c r="BL1" s="53">
        <v>39813</v>
      </c>
    </row>
    <row r="2" spans="1:64">
      <c r="A2" t="s">
        <v>312</v>
      </c>
      <c r="B2" s="41">
        <v>11865000000</v>
      </c>
      <c r="C2" s="41">
        <v>12757000000</v>
      </c>
      <c r="D2" s="41">
        <v>11719000000</v>
      </c>
      <c r="E2" s="41">
        <v>12833000000</v>
      </c>
      <c r="F2" s="41">
        <v>12317000000</v>
      </c>
      <c r="G2" s="41">
        <v>12589000000</v>
      </c>
      <c r="H2" s="41">
        <v>12618000000</v>
      </c>
      <c r="I2" s="41">
        <v>12312000000</v>
      </c>
      <c r="J2" s="41">
        <v>12402000000</v>
      </c>
      <c r="K2" s="41">
        <v>12650000000</v>
      </c>
      <c r="L2" s="41">
        <v>12689000000</v>
      </c>
      <c r="M2" s="41">
        <v>12603000000</v>
      </c>
      <c r="N2" s="41">
        <v>9477000000</v>
      </c>
      <c r="O2" s="41">
        <v>8962000000</v>
      </c>
      <c r="P2" s="41">
        <v>8769000000</v>
      </c>
      <c r="Q2" s="41">
        <v>9129000000</v>
      </c>
      <c r="R2" s="41">
        <v>9225000000</v>
      </c>
      <c r="S2" s="41">
        <v>8580000000</v>
      </c>
      <c r="T2" s="41">
        <v>8298000000</v>
      </c>
      <c r="U2" s="41">
        <v>8417000000</v>
      </c>
      <c r="V2" s="41">
        <v>8129000000</v>
      </c>
      <c r="W2" s="41">
        <v>8082000000</v>
      </c>
      <c r="X2" s="41">
        <v>8035000000</v>
      </c>
      <c r="Y2" s="41">
        <v>7643000000</v>
      </c>
      <c r="Z2" s="41">
        <v>7724000000</v>
      </c>
      <c r="AA2" s="41">
        <v>7316000000</v>
      </c>
      <c r="AB2" s="41">
        <v>7987000000</v>
      </c>
      <c r="AC2" s="41">
        <v>7572000000</v>
      </c>
      <c r="AD2" s="41">
        <v>7861000000</v>
      </c>
      <c r="AE2" s="41">
        <v>7901000000</v>
      </c>
      <c r="AF2" s="41">
        <v>7763000000</v>
      </c>
      <c r="AG2" s="41">
        <v>7749000000</v>
      </c>
      <c r="AH2" s="41">
        <v>7647000000</v>
      </c>
      <c r="AI2" s="41">
        <v>7706000000</v>
      </c>
      <c r="AJ2" s="41">
        <v>7899000000</v>
      </c>
      <c r="AK2" s="41">
        <v>7591000000</v>
      </c>
      <c r="AL2" s="41">
        <v>7672000000</v>
      </c>
      <c r="AM2" s="41">
        <v>7842000000</v>
      </c>
      <c r="AN2" s="41">
        <v>7909000000</v>
      </c>
      <c r="AO2" s="41">
        <v>8143000000</v>
      </c>
      <c r="AP2" s="41">
        <v>8069000000</v>
      </c>
      <c r="AQ2" s="41">
        <v>8013000000</v>
      </c>
      <c r="AR2" s="41">
        <v>8176000000</v>
      </c>
      <c r="AS2" s="41">
        <v>8177000000</v>
      </c>
      <c r="AT2" s="41">
        <v>7869000000</v>
      </c>
      <c r="AU2" s="41">
        <v>7707000000</v>
      </c>
      <c r="AV2" s="41">
        <v>7722000000</v>
      </c>
      <c r="AW2" s="41">
        <v>7630000000</v>
      </c>
      <c r="AX2" s="41">
        <v>7736000000</v>
      </c>
      <c r="AY2" s="41">
        <v>7681000000</v>
      </c>
      <c r="AZ2" s="41">
        <v>7562000000</v>
      </c>
      <c r="BA2" s="41">
        <v>7507000000</v>
      </c>
      <c r="BB2" s="41">
        <v>7387000000</v>
      </c>
      <c r="BC2" s="41">
        <v>6997000000</v>
      </c>
      <c r="BD2" s="41">
        <v>7278000000</v>
      </c>
      <c r="BE2" s="41">
        <v>7243000000</v>
      </c>
      <c r="BF2" s="41">
        <v>7232000000</v>
      </c>
      <c r="BG2" s="41">
        <v>7170000000</v>
      </c>
      <c r="BH2" s="41">
        <v>7154000000</v>
      </c>
      <c r="BI2" s="41">
        <v>7155000000</v>
      </c>
      <c r="BJ2" s="41">
        <v>7054000000</v>
      </c>
      <c r="BK2" s="41">
        <v>6739000000</v>
      </c>
      <c r="BL2" s="41">
        <v>6119000000</v>
      </c>
    </row>
    <row r="3" spans="1:64">
      <c r="A3" t="s">
        <v>313</v>
      </c>
      <c r="B3" s="41">
        <v>2316000000</v>
      </c>
      <c r="C3" s="41">
        <v>3084000000</v>
      </c>
      <c r="D3" s="41">
        <v>2007000000</v>
      </c>
      <c r="E3" s="41">
        <v>2130000000</v>
      </c>
      <c r="F3" s="41">
        <v>1751000000</v>
      </c>
      <c r="G3" s="41">
        <v>1990000000</v>
      </c>
      <c r="H3" s="41">
        <v>2150000000</v>
      </c>
      <c r="I3" s="41">
        <v>2250000000</v>
      </c>
      <c r="J3" s="41">
        <v>2634000000</v>
      </c>
      <c r="K3" s="41">
        <v>2892000000</v>
      </c>
      <c r="L3" s="41">
        <v>2597000000</v>
      </c>
      <c r="M3" s="41">
        <v>2062000000</v>
      </c>
      <c r="N3" s="41">
        <v>3239000000</v>
      </c>
      <c r="O3" s="41">
        <v>2474000000</v>
      </c>
      <c r="P3" s="41">
        <v>2332000000</v>
      </c>
      <c r="Q3" s="41">
        <v>2563000000</v>
      </c>
      <c r="R3" s="41">
        <v>2638000000</v>
      </c>
      <c r="S3" s="41">
        <v>1938000000</v>
      </c>
      <c r="T3" s="41">
        <v>1753000000</v>
      </c>
      <c r="U3" s="41">
        <v>1706000000</v>
      </c>
      <c r="V3" s="41">
        <v>1476000000</v>
      </c>
      <c r="W3" s="41">
        <v>1304000000</v>
      </c>
      <c r="X3" s="41">
        <v>1302000000</v>
      </c>
      <c r="Y3" s="41">
        <v>1345000000</v>
      </c>
      <c r="Z3" s="41">
        <v>1943000000</v>
      </c>
      <c r="AA3" s="41">
        <v>1727000000</v>
      </c>
      <c r="AB3" s="41">
        <v>2196000000</v>
      </c>
      <c r="AC3" s="41">
        <v>1327000000</v>
      </c>
      <c r="AD3" s="41">
        <v>1268000000</v>
      </c>
      <c r="AE3" s="41">
        <v>1363000000</v>
      </c>
      <c r="AF3" s="41">
        <v>1048000000</v>
      </c>
      <c r="AG3" s="41">
        <v>1139000000</v>
      </c>
      <c r="AH3" s="41">
        <v>1219000000</v>
      </c>
      <c r="AI3" s="41">
        <v>1347000000</v>
      </c>
      <c r="AJ3" s="41">
        <v>1462000000</v>
      </c>
      <c r="AK3" s="41">
        <v>1124000000</v>
      </c>
      <c r="AL3" s="41">
        <v>1287000000</v>
      </c>
      <c r="AM3" s="41">
        <v>1483000000</v>
      </c>
      <c r="AN3" s="41">
        <v>1574000000</v>
      </c>
      <c r="AO3" s="41">
        <v>1709000000</v>
      </c>
      <c r="AP3" s="41">
        <v>1113000000</v>
      </c>
      <c r="AQ3" s="41">
        <v>1354000000</v>
      </c>
      <c r="AR3" s="41">
        <v>1462000000</v>
      </c>
      <c r="AS3" s="41">
        <v>1163000000</v>
      </c>
      <c r="AT3" s="41">
        <v>1756000000</v>
      </c>
      <c r="AU3" s="41">
        <v>1839000000</v>
      </c>
      <c r="AV3" s="41">
        <v>1696000000</v>
      </c>
      <c r="AW3" s="41">
        <v>1758000000</v>
      </c>
      <c r="AX3" s="41">
        <v>1876000000</v>
      </c>
      <c r="AY3" s="41">
        <v>1440000000</v>
      </c>
      <c r="AZ3" s="41">
        <v>1581000000</v>
      </c>
      <c r="BA3" s="41">
        <v>1591000000</v>
      </c>
      <c r="BB3" s="41">
        <v>1688000000</v>
      </c>
      <c r="BC3" s="41">
        <v>1898000000</v>
      </c>
      <c r="BD3" s="41">
        <v>2185000000</v>
      </c>
      <c r="BE3" s="41">
        <v>2165000000</v>
      </c>
      <c r="BF3" s="41">
        <v>2200000000</v>
      </c>
      <c r="BG3" s="41">
        <v>2211000000</v>
      </c>
      <c r="BH3" s="41">
        <v>2162000000</v>
      </c>
      <c r="BI3" s="41">
        <v>2009000000</v>
      </c>
      <c r="BJ3" s="41">
        <v>1894000000</v>
      </c>
      <c r="BK3" s="41">
        <v>1529000000</v>
      </c>
      <c r="BL3" s="41">
        <v>1057000000</v>
      </c>
    </row>
    <row r="4" spans="1:64">
      <c r="A4" t="s">
        <v>314</v>
      </c>
      <c r="B4" s="41">
        <v>1134000000</v>
      </c>
      <c r="C4" s="41">
        <v>1957000000</v>
      </c>
      <c r="D4" s="41">
        <v>794000000</v>
      </c>
      <c r="E4" s="41">
        <v>896000000</v>
      </c>
      <c r="F4" s="41">
        <v>727000000</v>
      </c>
      <c r="G4" s="41">
        <v>906000000</v>
      </c>
      <c r="H4" s="41">
        <v>1051000000</v>
      </c>
      <c r="I4" s="41">
        <v>1149000000</v>
      </c>
      <c r="J4" s="41">
        <v>1374000000</v>
      </c>
      <c r="K4" s="41">
        <v>1955000000</v>
      </c>
      <c r="L4" s="41">
        <v>1305000000</v>
      </c>
      <c r="M4" s="41">
        <v>1187000000</v>
      </c>
      <c r="N4" s="41">
        <v>2775000000</v>
      </c>
      <c r="O4" s="41">
        <v>1737000000</v>
      </c>
      <c r="P4" s="41">
        <v>1628000000</v>
      </c>
      <c r="Q4" s="41">
        <v>1882000000</v>
      </c>
      <c r="R4" s="41">
        <v>2088000000</v>
      </c>
      <c r="S4" s="41">
        <v>1503000000</v>
      </c>
      <c r="T4" s="41">
        <v>1262000000</v>
      </c>
      <c r="U4" s="41">
        <v>961000000</v>
      </c>
      <c r="V4" s="41">
        <v>723000000</v>
      </c>
      <c r="W4" s="41">
        <v>577000000</v>
      </c>
      <c r="X4" s="41">
        <v>601000000</v>
      </c>
      <c r="Y4" s="41">
        <v>686000000</v>
      </c>
      <c r="Z4" s="41">
        <v>1231000000</v>
      </c>
      <c r="AA4" s="41">
        <v>782000000</v>
      </c>
      <c r="AB4" s="41">
        <v>1214000000</v>
      </c>
      <c r="AC4" s="41">
        <v>552000000</v>
      </c>
      <c r="AD4" s="41">
        <v>439000000</v>
      </c>
      <c r="AE4" s="41">
        <v>451000000</v>
      </c>
      <c r="AF4" s="41">
        <v>426000000</v>
      </c>
      <c r="AG4" s="41">
        <v>538000000</v>
      </c>
      <c r="AH4" s="41">
        <v>590000000</v>
      </c>
      <c r="AI4" s="41">
        <v>691000000</v>
      </c>
      <c r="AJ4" s="41">
        <v>826000000</v>
      </c>
      <c r="AK4" s="41">
        <v>503000000</v>
      </c>
      <c r="AL4" s="41">
        <v>634000000</v>
      </c>
      <c r="AM4" s="41">
        <v>724000000</v>
      </c>
      <c r="AN4" s="41">
        <v>643000000</v>
      </c>
      <c r="AO4" s="41">
        <v>815000000</v>
      </c>
      <c r="AP4" s="41">
        <v>293000000</v>
      </c>
      <c r="AQ4" s="41">
        <v>583000000</v>
      </c>
      <c r="AR4" s="41">
        <v>795000000</v>
      </c>
      <c r="AS4" s="41">
        <v>484000000</v>
      </c>
      <c r="AT4" s="41">
        <v>812000000</v>
      </c>
      <c r="AU4" s="41">
        <v>805000000</v>
      </c>
      <c r="AV4" s="41">
        <v>787000000</v>
      </c>
      <c r="AW4" s="41">
        <v>927000000</v>
      </c>
      <c r="AX4" s="41">
        <v>988000000</v>
      </c>
      <c r="AY4" s="41">
        <v>906000000</v>
      </c>
      <c r="AZ4" s="41">
        <v>1051000000</v>
      </c>
      <c r="BA4" s="41">
        <v>1122000000</v>
      </c>
      <c r="BB4" s="41">
        <v>1196000000</v>
      </c>
      <c r="BC4" s="41">
        <v>1397000000</v>
      </c>
      <c r="BD4" s="41">
        <v>1663000000</v>
      </c>
      <c r="BE4" s="41">
        <v>1634000000</v>
      </c>
      <c r="BF4" s="41">
        <v>1610000000</v>
      </c>
      <c r="BG4" s="41">
        <v>1623000000</v>
      </c>
      <c r="BH4" s="41">
        <v>1308000000</v>
      </c>
      <c r="BI4" s="41">
        <v>1431000000</v>
      </c>
      <c r="BJ4" s="41">
        <v>1297000000</v>
      </c>
      <c r="BK4" s="41">
        <v>968000000</v>
      </c>
      <c r="BL4" s="41">
        <v>428000000</v>
      </c>
    </row>
    <row r="5" spans="1:64">
      <c r="A5" t="s">
        <v>315</v>
      </c>
      <c r="B5" s="41">
        <v>1095000000</v>
      </c>
      <c r="C5" s="41">
        <v>1253000000</v>
      </c>
      <c r="D5" s="41">
        <v>740000000</v>
      </c>
      <c r="E5" s="41">
        <v>881000000</v>
      </c>
      <c r="F5" s="41">
        <v>701000000</v>
      </c>
      <c r="G5" s="41">
        <v>882000000</v>
      </c>
      <c r="H5" s="41">
        <v>948000000</v>
      </c>
      <c r="I5" s="41">
        <v>991000000</v>
      </c>
      <c r="J5" s="41">
        <v>1223000000</v>
      </c>
      <c r="K5" s="41">
        <v>1428000000</v>
      </c>
      <c r="L5" s="41">
        <v>1023000000</v>
      </c>
      <c r="M5" s="41">
        <v>960000000</v>
      </c>
      <c r="N5" s="41">
        <v>2418000000</v>
      </c>
      <c r="O5" s="41">
        <v>1144000000</v>
      </c>
      <c r="P5" s="41">
        <v>1078000000</v>
      </c>
      <c r="Q5" s="41">
        <v>1207000000</v>
      </c>
      <c r="R5" s="41">
        <v>1778000000</v>
      </c>
      <c r="S5" s="41">
        <v>1438000000</v>
      </c>
      <c r="T5" s="41">
        <v>1194000000</v>
      </c>
      <c r="U5" s="41">
        <v>893000000</v>
      </c>
      <c r="V5" s="41">
        <v>660000000</v>
      </c>
      <c r="W5" s="41">
        <v>515000000</v>
      </c>
      <c r="X5" s="41">
        <v>547000000</v>
      </c>
      <c r="Y5" s="41">
        <v>570000000</v>
      </c>
      <c r="Z5" s="41">
        <v>1014000000</v>
      </c>
      <c r="AA5" s="41">
        <v>628000000</v>
      </c>
      <c r="AB5" s="41">
        <v>1160000000</v>
      </c>
      <c r="AC5" s="41">
        <v>503000000</v>
      </c>
      <c r="AD5" s="41">
        <v>383000000</v>
      </c>
      <c r="AE5" s="41">
        <v>400000000</v>
      </c>
      <c r="AF5" s="41">
        <v>374000000</v>
      </c>
      <c r="AG5" s="41">
        <v>482000000</v>
      </c>
      <c r="AH5" s="41">
        <v>544000000</v>
      </c>
      <c r="AI5" s="41">
        <v>642000000</v>
      </c>
      <c r="AJ5" s="41">
        <v>771000000</v>
      </c>
      <c r="AK5" s="41">
        <v>457000000</v>
      </c>
      <c r="AL5" s="41">
        <v>569000000</v>
      </c>
      <c r="AM5" s="41">
        <v>644000000</v>
      </c>
      <c r="AN5" s="41">
        <v>563000000</v>
      </c>
      <c r="AO5" s="41">
        <v>685000000</v>
      </c>
      <c r="AP5" s="41">
        <v>263000000</v>
      </c>
      <c r="AQ5" s="41">
        <v>553000000</v>
      </c>
      <c r="AR5" s="41">
        <v>765000000</v>
      </c>
      <c r="AS5" s="41">
        <v>454000000</v>
      </c>
      <c r="AT5" s="41">
        <v>774000000</v>
      </c>
      <c r="AU5" s="41">
        <v>718000000</v>
      </c>
      <c r="AV5" s="41">
        <v>330000000</v>
      </c>
      <c r="AW5" s="41">
        <v>413000000</v>
      </c>
      <c r="AX5" s="41">
        <v>446000000</v>
      </c>
      <c r="AY5" s="41">
        <v>404000000</v>
      </c>
      <c r="AZ5" s="41">
        <v>542000000</v>
      </c>
      <c r="BA5" s="41">
        <v>534000000</v>
      </c>
      <c r="BB5" s="41">
        <v>690000000</v>
      </c>
      <c r="BC5" s="41">
        <v>876000000</v>
      </c>
      <c r="BD5" s="41">
        <v>1136000000</v>
      </c>
      <c r="BE5" s="41">
        <v>1110000000</v>
      </c>
      <c r="BF5" s="41">
        <v>1006000000</v>
      </c>
      <c r="BG5" s="41">
        <v>1179000000</v>
      </c>
      <c r="BH5" s="41">
        <v>1308000000</v>
      </c>
      <c r="BI5" s="41">
        <v>1327000000</v>
      </c>
      <c r="BJ5" s="41">
        <v>1297000000</v>
      </c>
      <c r="BK5" s="41">
        <v>968000000</v>
      </c>
      <c r="BL5" s="41">
        <v>428000000</v>
      </c>
    </row>
    <row r="6" spans="1:64">
      <c r="A6" t="s">
        <v>631</v>
      </c>
      <c r="H6" s="41">
        <v>414000000</v>
      </c>
    </row>
    <row r="7" spans="1:64">
      <c r="A7" t="s">
        <v>632</v>
      </c>
      <c r="H7" s="41">
        <v>534000000</v>
      </c>
    </row>
    <row r="8" spans="1:64">
      <c r="A8" t="s">
        <v>316</v>
      </c>
      <c r="B8" s="41">
        <v>39000000</v>
      </c>
      <c r="C8" s="41">
        <v>704000000</v>
      </c>
      <c r="D8" s="41">
        <v>54000000</v>
      </c>
      <c r="E8" s="41">
        <v>15000000</v>
      </c>
      <c r="F8" s="41">
        <v>26000000</v>
      </c>
      <c r="G8" s="41">
        <v>24000000</v>
      </c>
      <c r="H8" s="41">
        <v>103000000</v>
      </c>
      <c r="I8" s="41">
        <v>158000000</v>
      </c>
      <c r="J8" s="41">
        <v>151000000</v>
      </c>
      <c r="K8" s="41">
        <v>527000000</v>
      </c>
      <c r="L8" s="41">
        <v>282000000</v>
      </c>
      <c r="M8" s="41">
        <v>227000000</v>
      </c>
      <c r="N8" s="41">
        <v>357000000</v>
      </c>
      <c r="O8" s="41">
        <v>593000000</v>
      </c>
      <c r="P8" s="41">
        <v>550000000</v>
      </c>
      <c r="Q8" s="41">
        <v>675000000</v>
      </c>
      <c r="R8" s="41">
        <v>310000000</v>
      </c>
      <c r="S8" s="41">
        <v>65000000</v>
      </c>
      <c r="T8" s="41">
        <v>68000000</v>
      </c>
      <c r="U8" s="41">
        <v>68000000</v>
      </c>
      <c r="V8" s="41">
        <v>63000000</v>
      </c>
      <c r="W8" s="41">
        <v>62000000</v>
      </c>
      <c r="X8" s="41">
        <v>54000000</v>
      </c>
      <c r="Y8" s="41">
        <v>116000000</v>
      </c>
      <c r="Z8" s="41">
        <v>217000000</v>
      </c>
      <c r="AA8" s="41">
        <v>154000000</v>
      </c>
      <c r="AB8" s="41">
        <v>54000000</v>
      </c>
      <c r="AC8" s="41">
        <v>49000000</v>
      </c>
      <c r="AD8" s="41">
        <v>56000000</v>
      </c>
      <c r="AE8" s="41">
        <v>51000000</v>
      </c>
      <c r="AF8" s="41">
        <v>52000000</v>
      </c>
      <c r="AG8" s="41">
        <v>56000000</v>
      </c>
      <c r="AH8" s="41">
        <v>46000000</v>
      </c>
      <c r="AI8" s="41">
        <v>49000000</v>
      </c>
      <c r="AJ8" s="41">
        <v>55000000</v>
      </c>
      <c r="AK8" s="41">
        <v>46000000</v>
      </c>
      <c r="AL8" s="41">
        <v>65000000</v>
      </c>
      <c r="AM8" s="41">
        <v>80000000</v>
      </c>
      <c r="AN8" s="41">
        <v>80000000</v>
      </c>
      <c r="AO8" s="41">
        <v>130000000</v>
      </c>
      <c r="AP8" s="41">
        <v>30000000</v>
      </c>
      <c r="AQ8" s="41">
        <v>30000000</v>
      </c>
      <c r="AR8" s="41">
        <v>30000000</v>
      </c>
      <c r="AS8" s="41">
        <v>30000000</v>
      </c>
      <c r="AT8" s="41">
        <v>38000000</v>
      </c>
      <c r="AU8" s="41">
        <v>87000000</v>
      </c>
      <c r="AV8" s="41">
        <v>457000000</v>
      </c>
      <c r="AW8" s="41">
        <v>514000000</v>
      </c>
      <c r="AX8" s="41">
        <v>542000000</v>
      </c>
      <c r="AY8" s="41">
        <v>502000000</v>
      </c>
      <c r="AZ8" s="41">
        <v>509000000</v>
      </c>
      <c r="BA8" s="41">
        <v>588000000</v>
      </c>
      <c r="BB8" s="41">
        <v>506000000</v>
      </c>
      <c r="BC8" s="41">
        <v>521000000</v>
      </c>
      <c r="BD8" s="41">
        <v>527000000</v>
      </c>
      <c r="BE8" s="41">
        <v>524000000</v>
      </c>
      <c r="BF8" s="41">
        <v>604000000</v>
      </c>
      <c r="BG8" s="41">
        <v>444000000</v>
      </c>
      <c r="BI8" s="41">
        <v>104000000</v>
      </c>
    </row>
    <row r="9" spans="1:64">
      <c r="A9" t="s">
        <v>317</v>
      </c>
      <c r="B9" s="41">
        <v>960000000</v>
      </c>
      <c r="C9" s="41">
        <v>866000000</v>
      </c>
      <c r="D9" s="41">
        <v>895000000</v>
      </c>
      <c r="E9" s="41">
        <v>883000000</v>
      </c>
      <c r="F9" s="41">
        <v>762000000</v>
      </c>
      <c r="G9" s="41">
        <v>787000000</v>
      </c>
      <c r="H9" s="41">
        <v>828000000</v>
      </c>
      <c r="I9" s="41">
        <v>834000000</v>
      </c>
      <c r="J9" s="41">
        <v>702000000</v>
      </c>
      <c r="K9" s="41">
        <v>699000000</v>
      </c>
      <c r="L9" s="41">
        <v>655000000</v>
      </c>
      <c r="M9" s="41">
        <v>633000000</v>
      </c>
      <c r="N9" s="41">
        <v>373000000</v>
      </c>
      <c r="O9" s="41">
        <v>360000000</v>
      </c>
      <c r="P9" s="41">
        <v>340000000</v>
      </c>
      <c r="Q9" s="41">
        <v>316000000</v>
      </c>
      <c r="R9" s="41">
        <v>322000000</v>
      </c>
      <c r="S9" s="41">
        <v>313000000</v>
      </c>
      <c r="T9" s="41">
        <v>365000000</v>
      </c>
      <c r="U9" s="41">
        <v>421000000</v>
      </c>
      <c r="V9" s="41">
        <v>434000000</v>
      </c>
      <c r="W9" s="41">
        <v>497000000</v>
      </c>
      <c r="X9" s="41">
        <v>472000000</v>
      </c>
      <c r="Y9" s="41">
        <v>427000000</v>
      </c>
      <c r="Z9" s="41">
        <v>436000000</v>
      </c>
      <c r="AA9" s="41">
        <v>379000000</v>
      </c>
      <c r="AB9" s="41">
        <v>367000000</v>
      </c>
      <c r="AC9" s="41">
        <v>350000000</v>
      </c>
      <c r="AD9" s="41">
        <v>360000000</v>
      </c>
      <c r="AE9" s="41">
        <v>368000000</v>
      </c>
      <c r="AF9" s="41">
        <v>367000000</v>
      </c>
      <c r="AG9" s="41">
        <v>304000000</v>
      </c>
      <c r="AH9" s="41">
        <v>318000000</v>
      </c>
      <c r="AI9" s="41">
        <v>330000000</v>
      </c>
      <c r="AJ9" s="41">
        <v>328000000</v>
      </c>
      <c r="AK9" s="41">
        <v>298000000</v>
      </c>
      <c r="AL9" s="41">
        <v>325000000</v>
      </c>
      <c r="AM9" s="41">
        <v>343000000</v>
      </c>
      <c r="AN9" s="41">
        <v>362000000</v>
      </c>
      <c r="AO9" s="41">
        <v>274000000</v>
      </c>
      <c r="AP9" s="41">
        <v>309000000</v>
      </c>
      <c r="AQ9" s="41">
        <v>316000000</v>
      </c>
      <c r="AR9" s="41">
        <v>323000000</v>
      </c>
      <c r="AS9" s="41">
        <v>273000000</v>
      </c>
      <c r="AT9" s="41">
        <v>290000000</v>
      </c>
      <c r="AU9" s="41">
        <v>606000000</v>
      </c>
      <c r="AV9" s="41">
        <v>572000000</v>
      </c>
      <c r="AW9" s="41">
        <v>531000000</v>
      </c>
      <c r="AX9" s="41">
        <v>605000000</v>
      </c>
      <c r="AY9" s="41">
        <v>358000000</v>
      </c>
      <c r="AZ9" s="41">
        <v>349000000</v>
      </c>
      <c r="BA9" s="41">
        <v>225000000</v>
      </c>
      <c r="BB9" s="41">
        <v>286000000</v>
      </c>
      <c r="BC9" s="41">
        <v>233000000</v>
      </c>
      <c r="BD9" s="41">
        <v>215000000</v>
      </c>
      <c r="BE9" s="41">
        <v>272000000</v>
      </c>
      <c r="BF9" s="41">
        <v>287000000</v>
      </c>
      <c r="BG9" s="41">
        <v>313000000</v>
      </c>
      <c r="BI9" s="41">
        <v>306000000</v>
      </c>
      <c r="BJ9" s="41">
        <v>330000000</v>
      </c>
      <c r="BK9" s="41">
        <v>255000000</v>
      </c>
      <c r="BL9" s="41">
        <v>353000000</v>
      </c>
    </row>
    <row r="10" spans="1:64">
      <c r="A10" t="s">
        <v>318</v>
      </c>
      <c r="B10" s="41">
        <v>960000000</v>
      </c>
      <c r="C10" s="41">
        <v>866000000</v>
      </c>
      <c r="D10" s="41">
        <v>895000000</v>
      </c>
      <c r="E10" s="41">
        <v>883000000</v>
      </c>
      <c r="F10" s="41">
        <v>762000000</v>
      </c>
      <c r="G10" s="41">
        <v>787000000</v>
      </c>
      <c r="H10" s="41">
        <v>828000000</v>
      </c>
      <c r="I10" s="41">
        <v>834000000</v>
      </c>
      <c r="J10" s="41">
        <v>702000000</v>
      </c>
      <c r="K10" s="41">
        <v>699000000</v>
      </c>
      <c r="L10" s="41">
        <v>655000000</v>
      </c>
      <c r="M10" s="41">
        <v>633000000</v>
      </c>
      <c r="N10" s="41">
        <v>373000000</v>
      </c>
      <c r="O10" s="41">
        <v>360000000</v>
      </c>
      <c r="P10" s="41">
        <v>340000000</v>
      </c>
      <c r="Q10" s="41">
        <v>316000000</v>
      </c>
      <c r="R10" s="41">
        <v>322000000</v>
      </c>
      <c r="S10" s="41">
        <v>313000000</v>
      </c>
      <c r="T10" s="41">
        <v>365000000</v>
      </c>
      <c r="U10" s="41">
        <v>421000000</v>
      </c>
      <c r="V10" s="41">
        <v>434000000</v>
      </c>
      <c r="W10" s="41">
        <v>497000000</v>
      </c>
      <c r="X10" s="41">
        <v>472000000</v>
      </c>
      <c r="Y10" s="41">
        <v>427000000</v>
      </c>
      <c r="Z10" s="41">
        <v>436000000</v>
      </c>
      <c r="AA10" s="41">
        <v>379000000</v>
      </c>
      <c r="AB10" s="41">
        <v>367000000</v>
      </c>
      <c r="AC10" s="41">
        <v>350000000</v>
      </c>
      <c r="AD10" s="41">
        <v>360000000</v>
      </c>
      <c r="AE10" s="41">
        <v>368000000</v>
      </c>
      <c r="AF10" s="41">
        <v>367000000</v>
      </c>
      <c r="AG10" s="41">
        <v>304000000</v>
      </c>
      <c r="AH10" s="41">
        <v>318000000</v>
      </c>
      <c r="AI10" s="41">
        <v>330000000</v>
      </c>
      <c r="AJ10" s="41">
        <v>328000000</v>
      </c>
      <c r="AK10" s="41">
        <v>298000000</v>
      </c>
      <c r="AL10" s="41">
        <v>325000000</v>
      </c>
      <c r="AM10" s="41">
        <v>343000000</v>
      </c>
      <c r="AN10" s="41">
        <v>362000000</v>
      </c>
      <c r="AO10" s="41">
        <v>274000000</v>
      </c>
      <c r="AP10" s="41">
        <v>309000000</v>
      </c>
      <c r="AQ10" s="41">
        <v>316000000</v>
      </c>
      <c r="AR10" s="41">
        <v>323000000</v>
      </c>
      <c r="AS10" s="41">
        <v>273000000</v>
      </c>
      <c r="AT10" s="41">
        <v>290000000</v>
      </c>
      <c r="AU10" s="41">
        <v>606000000</v>
      </c>
      <c r="AV10" s="41">
        <v>572000000</v>
      </c>
      <c r="AW10" s="41">
        <v>531000000</v>
      </c>
      <c r="AX10" s="41">
        <v>542000000</v>
      </c>
      <c r="AY10" s="41">
        <v>280000000</v>
      </c>
      <c r="AZ10" s="41">
        <v>267000000</v>
      </c>
      <c r="BA10" s="41">
        <v>225000000</v>
      </c>
      <c r="BB10" s="41">
        <v>218000000</v>
      </c>
      <c r="BC10" s="41">
        <v>233000000</v>
      </c>
      <c r="BD10" s="41">
        <v>215000000</v>
      </c>
      <c r="BK10" s="41">
        <v>255000000</v>
      </c>
    </row>
    <row r="11" spans="1:64">
      <c r="A11" t="s">
        <v>319</v>
      </c>
      <c r="B11" s="41">
        <v>1013000000</v>
      </c>
      <c r="C11" s="41">
        <v>915000000</v>
      </c>
      <c r="D11" s="41">
        <v>946000000</v>
      </c>
      <c r="E11" s="41">
        <v>933000000</v>
      </c>
      <c r="F11" s="41">
        <v>816000000</v>
      </c>
      <c r="G11" s="41">
        <v>842000000</v>
      </c>
      <c r="H11" s="41">
        <v>891000000</v>
      </c>
      <c r="I11" s="41">
        <v>897000000</v>
      </c>
      <c r="J11" s="41">
        <v>760000000</v>
      </c>
      <c r="K11" s="41">
        <v>758000000</v>
      </c>
      <c r="L11" s="41">
        <v>711000000</v>
      </c>
      <c r="M11" s="41">
        <v>686000000</v>
      </c>
      <c r="N11" s="41">
        <v>431000000</v>
      </c>
      <c r="O11" s="41">
        <v>418000000</v>
      </c>
      <c r="P11" s="41">
        <v>397000000</v>
      </c>
      <c r="Q11" s="41">
        <v>372000000</v>
      </c>
      <c r="R11" s="41">
        <v>368000000</v>
      </c>
      <c r="S11" s="41">
        <v>351000000</v>
      </c>
      <c r="T11" s="41">
        <v>403000000</v>
      </c>
      <c r="U11" s="41">
        <v>453000000</v>
      </c>
      <c r="V11" s="41">
        <v>464000000</v>
      </c>
      <c r="W11" s="41">
        <v>525000000</v>
      </c>
      <c r="X11" s="41">
        <v>502000000</v>
      </c>
      <c r="Y11" s="41">
        <v>453000000</v>
      </c>
      <c r="Z11" s="41">
        <v>461000000</v>
      </c>
      <c r="AA11" s="41">
        <v>403000000</v>
      </c>
      <c r="AB11" s="41">
        <v>390000000</v>
      </c>
      <c r="AC11" s="41">
        <v>371000000</v>
      </c>
      <c r="AD11" s="41">
        <v>381000000</v>
      </c>
      <c r="AE11" s="41">
        <v>389000000</v>
      </c>
      <c r="AF11" s="41">
        <v>385000000</v>
      </c>
      <c r="AG11" s="41">
        <v>322000000</v>
      </c>
      <c r="AH11" s="41">
        <v>335000000</v>
      </c>
      <c r="AI11" s="41">
        <v>347000000</v>
      </c>
      <c r="AJ11" s="41">
        <v>344000000</v>
      </c>
      <c r="AK11" s="41">
        <v>313000000</v>
      </c>
      <c r="AL11" s="41">
        <v>340000000</v>
      </c>
      <c r="AM11" s="41">
        <v>358000000</v>
      </c>
      <c r="AN11" s="41">
        <v>377000000</v>
      </c>
      <c r="AO11" s="41">
        <v>287000000</v>
      </c>
      <c r="AP11" s="41">
        <v>321000000</v>
      </c>
      <c r="AQ11" s="41">
        <v>328000000</v>
      </c>
      <c r="AR11" s="41">
        <v>335000000</v>
      </c>
      <c r="AS11" s="41">
        <v>284000000</v>
      </c>
      <c r="AT11" s="41">
        <v>302000000</v>
      </c>
      <c r="AU11" s="41">
        <v>618000000</v>
      </c>
      <c r="AV11" s="41">
        <v>584000000</v>
      </c>
      <c r="AW11" s="41">
        <v>542000000</v>
      </c>
      <c r="AX11" s="41">
        <v>551000000</v>
      </c>
      <c r="AY11" s="41">
        <v>289000000</v>
      </c>
      <c r="AZ11" s="41">
        <v>276000000</v>
      </c>
      <c r="BA11" s="41">
        <v>235000000</v>
      </c>
      <c r="BB11" s="41">
        <v>229000000</v>
      </c>
      <c r="BC11" s="41">
        <v>245000000</v>
      </c>
      <c r="BD11" s="41">
        <v>230000000</v>
      </c>
      <c r="BK11" s="41">
        <v>270000000</v>
      </c>
    </row>
    <row r="12" spans="1:64">
      <c r="A12" t="s">
        <v>320</v>
      </c>
      <c r="B12" s="41">
        <v>-53000000</v>
      </c>
      <c r="C12" s="41">
        <v>-49000000</v>
      </c>
      <c r="D12" s="41">
        <v>-51000000</v>
      </c>
      <c r="E12" s="41">
        <v>-50000000</v>
      </c>
      <c r="F12" s="41">
        <v>-54000000</v>
      </c>
      <c r="G12" s="41">
        <v>-55000000</v>
      </c>
      <c r="H12" s="41">
        <v>-63000000</v>
      </c>
      <c r="I12" s="41">
        <v>-63000000</v>
      </c>
      <c r="J12" s="41">
        <v>-58000000</v>
      </c>
      <c r="K12" s="41">
        <v>-59000000</v>
      </c>
      <c r="L12" s="41">
        <v>-56000000</v>
      </c>
      <c r="M12" s="41">
        <v>-53000000</v>
      </c>
      <c r="N12" s="41">
        <v>-58000000</v>
      </c>
      <c r="O12" s="41">
        <v>-58000000</v>
      </c>
      <c r="P12" s="41">
        <v>-57000000</v>
      </c>
      <c r="Q12" s="41">
        <v>-56000000</v>
      </c>
      <c r="R12" s="41">
        <v>-46000000</v>
      </c>
      <c r="S12" s="41">
        <v>-38000000</v>
      </c>
      <c r="T12" s="41">
        <v>-38000000</v>
      </c>
      <c r="U12" s="41">
        <v>-32000000</v>
      </c>
      <c r="V12" s="41">
        <v>-30000000</v>
      </c>
      <c r="W12" s="41">
        <v>-28000000</v>
      </c>
      <c r="X12" s="41">
        <v>-30000000</v>
      </c>
      <c r="Y12" s="41">
        <v>-26000000</v>
      </c>
      <c r="Z12" s="41">
        <v>-25000000</v>
      </c>
      <c r="AA12" s="41">
        <v>-24000000</v>
      </c>
      <c r="AB12" s="41">
        <v>-23000000</v>
      </c>
      <c r="AC12" s="41">
        <v>-21000000</v>
      </c>
      <c r="AD12" s="41">
        <v>-21000000</v>
      </c>
      <c r="AE12" s="41">
        <v>-21000000</v>
      </c>
      <c r="AF12" s="41">
        <v>-18000000</v>
      </c>
      <c r="AG12" s="41">
        <v>-18000000</v>
      </c>
      <c r="AH12" s="41">
        <v>-17000000</v>
      </c>
      <c r="AI12" s="41">
        <v>-17000000</v>
      </c>
      <c r="AJ12" s="41">
        <v>-16000000</v>
      </c>
      <c r="AK12" s="41">
        <v>-15000000</v>
      </c>
      <c r="AL12" s="41">
        <v>-15000000</v>
      </c>
      <c r="AM12" s="41">
        <v>-15000000</v>
      </c>
      <c r="AN12" s="41">
        <v>-15000000</v>
      </c>
      <c r="AO12" s="41">
        <v>-13000000</v>
      </c>
      <c r="AP12" s="41">
        <v>-12000000</v>
      </c>
      <c r="AQ12" s="41">
        <v>-12000000</v>
      </c>
      <c r="AR12" s="41">
        <v>-12000000</v>
      </c>
      <c r="AS12" s="41">
        <v>-11000000</v>
      </c>
      <c r="AT12" s="41">
        <v>-12000000</v>
      </c>
      <c r="AU12" s="41">
        <v>-12000000</v>
      </c>
      <c r="AV12" s="41">
        <v>-12000000</v>
      </c>
      <c r="AW12" s="41">
        <v>-11000000</v>
      </c>
      <c r="AX12" s="41">
        <v>-9000000</v>
      </c>
      <c r="AY12" s="41">
        <v>-9000000</v>
      </c>
      <c r="AZ12" s="41">
        <v>-9000000</v>
      </c>
      <c r="BA12" s="41">
        <v>-10000000</v>
      </c>
      <c r="BB12" s="41">
        <v>-11000000</v>
      </c>
      <c r="BC12" s="41">
        <v>-12000000</v>
      </c>
      <c r="BD12" s="41">
        <v>-15000000</v>
      </c>
      <c r="BK12" s="41">
        <v>-15000000</v>
      </c>
    </row>
    <row r="13" spans="1:64">
      <c r="A13" t="s">
        <v>633</v>
      </c>
      <c r="AX13" s="41">
        <v>63000000</v>
      </c>
      <c r="AY13" s="41">
        <v>78000000</v>
      </c>
      <c r="AZ13" s="41">
        <v>82000000</v>
      </c>
      <c r="BB13" s="41">
        <v>68000000</v>
      </c>
    </row>
    <row r="14" spans="1:64">
      <c r="A14" t="s">
        <v>321</v>
      </c>
      <c r="B14" s="41">
        <v>8000000</v>
      </c>
      <c r="C14" s="41">
        <v>9000000</v>
      </c>
      <c r="D14" s="41">
        <v>9000000</v>
      </c>
      <c r="E14" s="41">
        <v>9000000</v>
      </c>
      <c r="F14" s="41">
        <v>10000000</v>
      </c>
      <c r="G14" s="41">
        <v>10000000</v>
      </c>
      <c r="H14" s="41">
        <v>10000000</v>
      </c>
      <c r="I14" s="41">
        <v>9000000</v>
      </c>
      <c r="J14" s="41">
        <v>9000000</v>
      </c>
      <c r="K14" s="41">
        <v>8000000</v>
      </c>
      <c r="L14" s="41">
        <v>8000000</v>
      </c>
      <c r="M14" s="41">
        <v>10000000</v>
      </c>
      <c r="N14" s="41">
        <v>9000000</v>
      </c>
      <c r="O14" s="41">
        <v>9000000</v>
      </c>
      <c r="P14" s="41">
        <v>9000000</v>
      </c>
      <c r="Q14" s="41">
        <v>9000000</v>
      </c>
      <c r="R14" s="41">
        <v>14000000</v>
      </c>
      <c r="S14" s="41">
        <v>11000000</v>
      </c>
      <c r="T14" s="41">
        <v>12000000</v>
      </c>
      <c r="U14" s="41">
        <v>12000000</v>
      </c>
      <c r="V14" s="41">
        <v>12000000</v>
      </c>
      <c r="W14" s="41">
        <v>13000000</v>
      </c>
      <c r="X14" s="41">
        <v>14000000</v>
      </c>
      <c r="Y14" s="41">
        <v>14000000</v>
      </c>
      <c r="Z14" s="41">
        <v>13000000</v>
      </c>
      <c r="AA14" s="41">
        <v>13000000</v>
      </c>
      <c r="AB14" s="41">
        <v>13000000</v>
      </c>
      <c r="AC14" s="41">
        <v>14000000</v>
      </c>
      <c r="AD14" s="41">
        <v>15000000</v>
      </c>
      <c r="AE14" s="41">
        <v>15000000</v>
      </c>
      <c r="AF14" s="41">
        <v>16000000</v>
      </c>
      <c r="AG14" s="41">
        <v>28000000</v>
      </c>
      <c r="AH14" s="41">
        <v>16000000</v>
      </c>
      <c r="AI14" s="41">
        <v>16000000</v>
      </c>
      <c r="AJ14" s="41">
        <v>16000000</v>
      </c>
      <c r="AK14" s="41">
        <v>12000000</v>
      </c>
      <c r="AL14" s="41">
        <v>13000000</v>
      </c>
      <c r="AM14" s="41">
        <v>15000000</v>
      </c>
      <c r="AN14" s="41">
        <v>16000000</v>
      </c>
      <c r="AO14" s="41">
        <v>17000000</v>
      </c>
      <c r="AP14" s="41">
        <v>18000000</v>
      </c>
      <c r="AQ14" s="41">
        <v>17000000</v>
      </c>
      <c r="AR14" s="41">
        <v>75000000</v>
      </c>
      <c r="AS14" s="41">
        <v>77000000</v>
      </c>
      <c r="AT14" s="41">
        <v>71000000</v>
      </c>
      <c r="AU14" s="41">
        <v>74000000</v>
      </c>
      <c r="AV14" s="41">
        <v>77000000</v>
      </c>
      <c r="AW14" s="41">
        <v>80000000</v>
      </c>
      <c r="AX14" s="41">
        <v>82000000</v>
      </c>
      <c r="AY14" s="41">
        <v>85000000</v>
      </c>
      <c r="AZ14" s="41">
        <v>86000000</v>
      </c>
      <c r="BA14" s="41">
        <v>87000000</v>
      </c>
      <c r="BB14" s="41">
        <v>93000000</v>
      </c>
      <c r="BC14" s="41">
        <v>96000000</v>
      </c>
      <c r="BD14" s="41">
        <v>99000000</v>
      </c>
      <c r="BE14" s="41">
        <v>100000000</v>
      </c>
      <c r="BF14" s="41">
        <v>128000000</v>
      </c>
      <c r="BG14" s="41">
        <v>129000000</v>
      </c>
      <c r="BH14" s="41">
        <v>130000000</v>
      </c>
      <c r="BI14" s="41">
        <v>133000000</v>
      </c>
      <c r="BJ14" s="41">
        <v>134000000</v>
      </c>
      <c r="BK14" s="41">
        <v>134000000</v>
      </c>
      <c r="BL14" s="41">
        <v>170000000</v>
      </c>
    </row>
    <row r="15" spans="1:64">
      <c r="A15" t="s">
        <v>322</v>
      </c>
      <c r="B15" s="41">
        <v>50000000</v>
      </c>
      <c r="C15" s="41">
        <v>61000000</v>
      </c>
      <c r="D15" s="41">
        <v>58000000</v>
      </c>
      <c r="E15" s="41">
        <v>51000000</v>
      </c>
      <c r="F15" s="41">
        <v>56000000</v>
      </c>
      <c r="G15" s="41">
        <v>50000000</v>
      </c>
      <c r="H15" s="41">
        <v>36000000</v>
      </c>
      <c r="I15" s="41">
        <v>39000000</v>
      </c>
      <c r="J15" s="41">
        <v>35000000</v>
      </c>
      <c r="K15" s="41">
        <v>18000000</v>
      </c>
      <c r="L15" s="41">
        <v>53000000</v>
      </c>
      <c r="M15" s="41">
        <v>26000000</v>
      </c>
      <c r="N15" s="41">
        <v>8000000</v>
      </c>
      <c r="O15" s="41">
        <v>286000000</v>
      </c>
      <c r="P15" s="41">
        <v>288000000</v>
      </c>
      <c r="Q15" s="41">
        <v>281000000</v>
      </c>
      <c r="R15" s="41">
        <v>160000000</v>
      </c>
      <c r="S15" s="41">
        <v>37000000</v>
      </c>
      <c r="T15" s="41">
        <v>31000000</v>
      </c>
      <c r="U15" s="41">
        <v>28000000</v>
      </c>
      <c r="V15" s="41">
        <v>21000000</v>
      </c>
      <c r="W15" s="41">
        <v>38000000</v>
      </c>
      <c r="X15" s="41">
        <v>35000000</v>
      </c>
      <c r="Y15" s="41">
        <v>36000000</v>
      </c>
      <c r="Z15" s="41">
        <v>56000000</v>
      </c>
      <c r="AA15" s="41">
        <v>12000000</v>
      </c>
      <c r="AB15" s="41">
        <v>16000000</v>
      </c>
      <c r="AC15" s="41">
        <v>24000000</v>
      </c>
      <c r="AD15" s="41">
        <v>80000000</v>
      </c>
      <c r="AE15" s="41">
        <v>36000000</v>
      </c>
      <c r="AF15" s="41">
        <v>18000000</v>
      </c>
      <c r="AG15" s="41">
        <v>40000000</v>
      </c>
      <c r="AH15" s="41">
        <v>49000000</v>
      </c>
      <c r="AI15" s="41">
        <v>45000000</v>
      </c>
      <c r="AJ15" s="41">
        <v>59000000</v>
      </c>
      <c r="AK15" s="41">
        <v>63000000</v>
      </c>
      <c r="AL15" s="41">
        <v>84000000</v>
      </c>
      <c r="AM15" s="41">
        <v>48000000</v>
      </c>
      <c r="AN15" s="41">
        <v>35000000</v>
      </c>
      <c r="AO15" s="41">
        <v>47000000</v>
      </c>
      <c r="AP15" s="41">
        <v>46000000</v>
      </c>
      <c r="AQ15" s="41">
        <v>24000000</v>
      </c>
      <c r="AR15" s="41">
        <v>27000000</v>
      </c>
      <c r="AS15" s="41">
        <v>12000000</v>
      </c>
      <c r="AT15" s="41">
        <v>19000000</v>
      </c>
      <c r="AU15" s="41">
        <v>22000000</v>
      </c>
      <c r="AV15" s="41">
        <v>26000000</v>
      </c>
      <c r="AW15" s="41">
        <v>12000000</v>
      </c>
      <c r="AX15" s="41">
        <v>24000000</v>
      </c>
      <c r="AY15" s="41">
        <v>30000000</v>
      </c>
      <c r="AZ15" s="41">
        <v>34000000</v>
      </c>
      <c r="BA15" s="41">
        <v>29000000</v>
      </c>
      <c r="BB15" s="41">
        <v>14000000</v>
      </c>
      <c r="BC15" s="41">
        <v>95000000</v>
      </c>
      <c r="BD15" s="41">
        <v>84000000</v>
      </c>
      <c r="BE15" s="41">
        <v>6000000</v>
      </c>
      <c r="BF15" s="41">
        <v>82000000</v>
      </c>
      <c r="BG15" s="41">
        <v>83000000</v>
      </c>
      <c r="BI15" s="41">
        <v>85000000</v>
      </c>
      <c r="BJ15" s="41">
        <v>55000000</v>
      </c>
      <c r="BK15" s="41">
        <v>109000000</v>
      </c>
      <c r="BL15" s="41">
        <v>18000000</v>
      </c>
    </row>
    <row r="16" spans="1:64">
      <c r="A16" t="s">
        <v>323</v>
      </c>
      <c r="B16" s="41">
        <v>9000000</v>
      </c>
      <c r="C16" s="41">
        <v>11000000</v>
      </c>
      <c r="D16" s="41">
        <v>16000000</v>
      </c>
      <c r="E16" s="41">
        <v>34000000</v>
      </c>
      <c r="F16" s="41">
        <v>13000000</v>
      </c>
      <c r="G16" s="41">
        <v>45000000</v>
      </c>
      <c r="H16" s="41">
        <v>20000000</v>
      </c>
      <c r="I16" s="41">
        <v>39000000</v>
      </c>
      <c r="J16" s="41">
        <v>356000000</v>
      </c>
      <c r="K16" s="41">
        <v>53000000</v>
      </c>
      <c r="L16" s="41">
        <v>47000000</v>
      </c>
      <c r="M16" s="41">
        <v>57000000</v>
      </c>
      <c r="N16" s="41">
        <v>15000000</v>
      </c>
      <c r="O16" s="41">
        <v>18000000</v>
      </c>
      <c r="P16" s="41">
        <v>9000000</v>
      </c>
      <c r="Q16" s="41">
        <v>11000000</v>
      </c>
      <c r="R16" s="41">
        <v>12000000</v>
      </c>
      <c r="S16" s="41">
        <v>21000000</v>
      </c>
      <c r="T16" s="41">
        <v>18000000</v>
      </c>
      <c r="U16" s="41">
        <v>150000000</v>
      </c>
      <c r="V16" s="41">
        <v>140000000</v>
      </c>
      <c r="W16" s="41">
        <v>32000000</v>
      </c>
      <c r="X16" s="41">
        <v>24000000</v>
      </c>
      <c r="Y16" s="41">
        <v>33000000</v>
      </c>
      <c r="Z16" s="41">
        <v>23000000</v>
      </c>
      <c r="AA16" s="41">
        <v>254000000</v>
      </c>
      <c r="AB16" s="41">
        <v>450000000</v>
      </c>
      <c r="AC16" s="41">
        <v>234000000</v>
      </c>
      <c r="AD16" s="41">
        <v>224000000</v>
      </c>
      <c r="AE16" s="41">
        <v>340000000</v>
      </c>
      <c r="AF16" s="41">
        <v>64000000</v>
      </c>
      <c r="AG16" s="41">
        <v>76000000</v>
      </c>
      <c r="AH16" s="41">
        <v>66000000</v>
      </c>
      <c r="AI16" s="41">
        <v>77000000</v>
      </c>
      <c r="AJ16" s="41">
        <v>73000000</v>
      </c>
      <c r="AK16" s="41">
        <v>96000000</v>
      </c>
      <c r="AL16" s="41">
        <v>97000000</v>
      </c>
      <c r="AM16" s="41">
        <v>204000000</v>
      </c>
      <c r="AN16" s="41">
        <v>341000000</v>
      </c>
      <c r="AO16" s="41">
        <v>359000000</v>
      </c>
      <c r="AP16" s="41">
        <v>95000000</v>
      </c>
      <c r="AQ16" s="41">
        <v>103000000</v>
      </c>
      <c r="AR16" s="41">
        <v>100000000</v>
      </c>
      <c r="AS16" s="41">
        <v>184000000</v>
      </c>
      <c r="AT16" s="41">
        <v>434000000</v>
      </c>
      <c r="AU16" s="41">
        <v>151000000</v>
      </c>
      <c r="AV16" s="41">
        <v>94000000</v>
      </c>
      <c r="AW16" s="41">
        <v>72000000</v>
      </c>
      <c r="AX16" s="41">
        <v>49000000</v>
      </c>
      <c r="AY16" s="41">
        <v>43000000</v>
      </c>
      <c r="AZ16" s="41">
        <v>38000000</v>
      </c>
      <c r="BA16" s="41">
        <v>27000000</v>
      </c>
      <c r="BB16" s="41">
        <v>60000000</v>
      </c>
      <c r="BC16" s="41">
        <v>47000000</v>
      </c>
      <c r="BD16" s="41">
        <v>95000000</v>
      </c>
      <c r="BE16" s="41">
        <v>106000000</v>
      </c>
      <c r="BF16" s="41">
        <v>52000000</v>
      </c>
      <c r="BG16" s="41">
        <v>36000000</v>
      </c>
      <c r="BH16" s="41">
        <v>125000000</v>
      </c>
      <c r="BI16" s="41">
        <v>11000000</v>
      </c>
      <c r="BJ16" s="41">
        <v>13000000</v>
      </c>
      <c r="BK16" s="41">
        <v>12000000</v>
      </c>
      <c r="BL16" s="41">
        <v>37000000</v>
      </c>
    </row>
    <row r="17" spans="1:64">
      <c r="A17" t="s">
        <v>324</v>
      </c>
      <c r="AL17" s="41">
        <v>25000000</v>
      </c>
      <c r="AM17" s="41">
        <v>31000000</v>
      </c>
      <c r="AN17" s="41">
        <v>33000000</v>
      </c>
      <c r="AO17" s="41">
        <v>26000000</v>
      </c>
      <c r="AP17" s="41">
        <v>22000000</v>
      </c>
      <c r="AQ17" s="41">
        <v>27000000</v>
      </c>
      <c r="AR17" s="41">
        <v>20000000</v>
      </c>
      <c r="AS17" s="41">
        <v>11000000</v>
      </c>
      <c r="AT17" s="41">
        <v>17000000</v>
      </c>
      <c r="AU17" s="41">
        <v>1000000</v>
      </c>
      <c r="AV17" s="41">
        <v>60000000</v>
      </c>
      <c r="AW17" s="41">
        <v>19000000</v>
      </c>
      <c r="AX17" s="41">
        <v>54000000</v>
      </c>
      <c r="AY17" s="41">
        <v>18000000</v>
      </c>
      <c r="AZ17" s="41">
        <v>23000000</v>
      </c>
      <c r="BA17" s="41">
        <v>23000000</v>
      </c>
      <c r="BB17" s="41">
        <v>39000000</v>
      </c>
      <c r="BC17" s="41">
        <v>30000000</v>
      </c>
      <c r="BD17" s="41">
        <v>29000000</v>
      </c>
      <c r="BE17" s="41">
        <v>29000000</v>
      </c>
      <c r="BF17" s="41">
        <v>23000000</v>
      </c>
      <c r="BG17" s="41">
        <v>23000000</v>
      </c>
      <c r="BI17" s="41">
        <v>23000000</v>
      </c>
      <c r="BJ17" s="41">
        <v>65000000</v>
      </c>
      <c r="BK17" s="41">
        <v>51000000</v>
      </c>
      <c r="BL17" s="41">
        <v>51000000</v>
      </c>
    </row>
    <row r="18" spans="1:64">
      <c r="A18" t="s">
        <v>325</v>
      </c>
      <c r="AL18" s="41">
        <v>25000000</v>
      </c>
      <c r="AM18" s="41">
        <v>31000000</v>
      </c>
      <c r="AN18" s="41">
        <v>33000000</v>
      </c>
      <c r="AO18" s="41">
        <v>26000000</v>
      </c>
      <c r="AP18" s="41">
        <v>22000000</v>
      </c>
      <c r="AQ18" s="41">
        <v>27000000</v>
      </c>
      <c r="AR18" s="41">
        <v>20000000</v>
      </c>
      <c r="AS18" s="41">
        <v>11000000</v>
      </c>
      <c r="AT18" s="41">
        <v>17000000</v>
      </c>
      <c r="AU18" s="41">
        <v>1000000</v>
      </c>
      <c r="AV18" s="41">
        <v>60000000</v>
      </c>
      <c r="AW18" s="41">
        <v>19000000</v>
      </c>
      <c r="AX18" s="41">
        <v>54000000</v>
      </c>
      <c r="AY18" s="41">
        <v>18000000</v>
      </c>
      <c r="AZ18" s="41">
        <v>23000000</v>
      </c>
      <c r="BA18" s="41">
        <v>23000000</v>
      </c>
      <c r="BB18" s="41">
        <v>39000000</v>
      </c>
      <c r="BC18" s="41">
        <v>30000000</v>
      </c>
      <c r="BD18" s="41">
        <v>29000000</v>
      </c>
      <c r="BE18" s="41">
        <v>29000000</v>
      </c>
      <c r="BF18" s="41">
        <v>23000000</v>
      </c>
      <c r="BG18" s="41">
        <v>23000000</v>
      </c>
      <c r="BI18" s="41">
        <v>23000000</v>
      </c>
      <c r="BJ18" s="41">
        <v>65000000</v>
      </c>
      <c r="BK18" s="41">
        <v>51000000</v>
      </c>
      <c r="BL18" s="41">
        <v>51000000</v>
      </c>
    </row>
    <row r="19" spans="1:64">
      <c r="A19" t="s">
        <v>326</v>
      </c>
      <c r="B19">
        <v>0</v>
      </c>
      <c r="C19">
        <v>0</v>
      </c>
      <c r="D19" s="41">
        <v>42000000</v>
      </c>
      <c r="E19" s="41">
        <v>62000000</v>
      </c>
      <c r="I19">
        <v>0</v>
      </c>
      <c r="J19" s="41">
        <v>30000000</v>
      </c>
      <c r="L19" s="41">
        <v>375000000</v>
      </c>
      <c r="V19" s="41">
        <v>17000000</v>
      </c>
      <c r="Z19" s="41">
        <v>44000000</v>
      </c>
      <c r="AA19" s="41">
        <v>135000000</v>
      </c>
      <c r="AL19">
        <v>0</v>
      </c>
      <c r="AM19">
        <v>0</v>
      </c>
      <c r="AN19" s="41">
        <v>5000000</v>
      </c>
      <c r="AO19" s="41">
        <v>63000000</v>
      </c>
      <c r="AP19" s="41">
        <v>221000000</v>
      </c>
      <c r="AQ19" s="41">
        <v>175000000</v>
      </c>
      <c r="AS19">
        <v>0</v>
      </c>
      <c r="AT19">
        <v>0</v>
      </c>
      <c r="AU19" s="41">
        <v>95000000</v>
      </c>
      <c r="AV19" s="41">
        <v>4000000</v>
      </c>
      <c r="AW19" s="41">
        <v>34000000</v>
      </c>
      <c r="AX19" s="41">
        <v>74000000</v>
      </c>
      <c r="BA19">
        <v>0</v>
      </c>
      <c r="BB19">
        <v>0</v>
      </c>
      <c r="BC19">
        <v>0</v>
      </c>
      <c r="BD19">
        <v>0</v>
      </c>
    </row>
    <row r="20" spans="1:64">
      <c r="A20" t="s">
        <v>327</v>
      </c>
      <c r="B20" s="41">
        <v>155000000</v>
      </c>
      <c r="C20" s="41">
        <v>180000000</v>
      </c>
      <c r="D20" s="41">
        <v>193000000</v>
      </c>
      <c r="E20" s="41">
        <v>195000000</v>
      </c>
      <c r="F20" s="41">
        <v>183000000</v>
      </c>
      <c r="G20" s="41">
        <v>192000000</v>
      </c>
      <c r="H20" s="41">
        <v>205000000</v>
      </c>
      <c r="I20" s="41">
        <v>180000000</v>
      </c>
      <c r="J20" s="41">
        <v>128000000</v>
      </c>
      <c r="K20" s="41">
        <v>159000000</v>
      </c>
      <c r="L20" s="41">
        <v>154000000</v>
      </c>
      <c r="M20" s="41">
        <v>149000000</v>
      </c>
      <c r="N20" s="41">
        <v>59000000</v>
      </c>
      <c r="O20" s="41">
        <v>64000000</v>
      </c>
      <c r="P20" s="41">
        <v>58000000</v>
      </c>
      <c r="Q20" s="41">
        <v>64000000</v>
      </c>
      <c r="R20" s="41">
        <v>42000000</v>
      </c>
      <c r="S20" s="41">
        <v>53000000</v>
      </c>
      <c r="T20" s="41">
        <v>65000000</v>
      </c>
      <c r="U20" s="41">
        <v>134000000</v>
      </c>
      <c r="V20" s="41">
        <v>129000000</v>
      </c>
      <c r="W20" s="41">
        <v>147000000</v>
      </c>
      <c r="X20" s="41">
        <v>156000000</v>
      </c>
      <c r="Y20" s="41">
        <v>149000000</v>
      </c>
      <c r="Z20" s="41">
        <v>140000000</v>
      </c>
      <c r="AA20" s="41">
        <v>152000000</v>
      </c>
      <c r="AB20" s="41">
        <v>136000000</v>
      </c>
      <c r="AC20" s="41">
        <v>153000000</v>
      </c>
      <c r="AD20" s="41">
        <v>150000000</v>
      </c>
      <c r="AE20" s="41">
        <v>153000000</v>
      </c>
      <c r="AF20" s="41">
        <v>157000000</v>
      </c>
      <c r="AG20" s="41">
        <v>153000000</v>
      </c>
      <c r="AH20" s="41">
        <v>180000000</v>
      </c>
      <c r="AI20" s="41">
        <v>188000000</v>
      </c>
      <c r="AJ20" s="41">
        <v>160000000</v>
      </c>
      <c r="AK20" s="41">
        <v>152000000</v>
      </c>
      <c r="AL20" s="41">
        <v>109000000</v>
      </c>
      <c r="AM20" s="41">
        <v>118000000</v>
      </c>
      <c r="AN20" s="41">
        <v>139000000</v>
      </c>
      <c r="AO20" s="41">
        <v>108000000</v>
      </c>
      <c r="AP20" s="41">
        <v>109000000</v>
      </c>
      <c r="AQ20" s="41">
        <v>109000000</v>
      </c>
      <c r="AR20" s="41">
        <v>122000000</v>
      </c>
      <c r="AS20" s="41">
        <v>122000000</v>
      </c>
      <c r="AT20" s="41">
        <v>113000000</v>
      </c>
      <c r="AU20" s="41">
        <v>85000000</v>
      </c>
      <c r="AV20" s="41">
        <v>76000000</v>
      </c>
      <c r="AW20" s="41">
        <v>83000000</v>
      </c>
      <c r="BA20" s="41">
        <v>78000000</v>
      </c>
      <c r="BE20" s="41">
        <v>18000000</v>
      </c>
      <c r="BF20" s="41">
        <v>18000000</v>
      </c>
      <c r="BG20" s="41">
        <v>4000000</v>
      </c>
      <c r="BH20" s="41">
        <v>599000000</v>
      </c>
      <c r="BI20" s="41">
        <v>20000000</v>
      </c>
    </row>
    <row r="21" spans="1:64">
      <c r="A21" t="s">
        <v>328</v>
      </c>
      <c r="B21" s="41">
        <v>9549000000</v>
      </c>
      <c r="C21" s="41">
        <v>9673000000</v>
      </c>
      <c r="D21" s="41">
        <v>9712000000</v>
      </c>
      <c r="E21" s="41">
        <v>10703000000</v>
      </c>
      <c r="F21" s="41">
        <v>10566000000</v>
      </c>
      <c r="G21" s="41">
        <v>10599000000</v>
      </c>
      <c r="H21" s="41">
        <v>10468000000</v>
      </c>
      <c r="I21" s="41">
        <v>10062000000</v>
      </c>
      <c r="J21" s="41">
        <v>9768000000</v>
      </c>
      <c r="K21" s="41">
        <v>9758000000</v>
      </c>
      <c r="L21" s="41">
        <v>10092000000</v>
      </c>
      <c r="M21" s="41">
        <v>10541000000</v>
      </c>
      <c r="N21" s="41">
        <v>6238000000</v>
      </c>
      <c r="O21" s="41">
        <v>6488000000</v>
      </c>
      <c r="P21" s="41">
        <v>6437000000</v>
      </c>
      <c r="Q21" s="41">
        <v>6566000000</v>
      </c>
      <c r="R21" s="41">
        <v>6587000000</v>
      </c>
      <c r="S21" s="41">
        <v>6642000000</v>
      </c>
      <c r="T21" s="41">
        <v>6545000000</v>
      </c>
      <c r="U21" s="41">
        <v>6711000000</v>
      </c>
      <c r="V21" s="41">
        <v>6653000000</v>
      </c>
      <c r="W21" s="41">
        <v>6778000000</v>
      </c>
      <c r="X21" s="41">
        <v>6733000000</v>
      </c>
      <c r="Y21" s="41">
        <v>6298000000</v>
      </c>
      <c r="Z21" s="41">
        <v>5781000000</v>
      </c>
      <c r="AA21" s="41">
        <v>5589000000</v>
      </c>
      <c r="AB21" s="41">
        <v>5791000000</v>
      </c>
      <c r="AC21" s="41">
        <v>6245000000</v>
      </c>
      <c r="AD21" s="41">
        <v>6593000000</v>
      </c>
      <c r="AE21" s="41">
        <v>6538000000</v>
      </c>
      <c r="AF21" s="41">
        <v>6715000000</v>
      </c>
      <c r="AG21" s="41">
        <v>6610000000</v>
      </c>
      <c r="AH21" s="41">
        <v>6428000000</v>
      </c>
      <c r="AI21" s="41">
        <v>6359000000</v>
      </c>
      <c r="AJ21" s="41">
        <v>6437000000</v>
      </c>
      <c r="AK21" s="41">
        <v>6467000000</v>
      </c>
      <c r="AL21" s="41">
        <v>6385000000</v>
      </c>
      <c r="AM21" s="41">
        <v>6359000000</v>
      </c>
      <c r="AN21" s="41">
        <v>6335000000</v>
      </c>
      <c r="AO21" s="41">
        <v>6434000000</v>
      </c>
      <c r="AP21" s="41">
        <v>6956000000</v>
      </c>
      <c r="AQ21" s="41">
        <v>6659000000</v>
      </c>
      <c r="AR21" s="41">
        <v>6714000000</v>
      </c>
      <c r="AS21" s="41">
        <v>7014000000</v>
      </c>
      <c r="AT21" s="41">
        <v>6113000000</v>
      </c>
      <c r="AU21" s="41">
        <v>5868000000</v>
      </c>
      <c r="AV21" s="41">
        <v>6026000000</v>
      </c>
      <c r="AW21" s="41">
        <v>5872000000</v>
      </c>
      <c r="AX21" s="41">
        <v>5860000000</v>
      </c>
      <c r="AY21" s="41">
        <v>6241000000</v>
      </c>
      <c r="AZ21" s="41">
        <v>5981000000</v>
      </c>
      <c r="BA21" s="41">
        <v>5916000000</v>
      </c>
      <c r="BB21" s="41">
        <v>5699000000</v>
      </c>
      <c r="BC21" s="41">
        <v>5099000000</v>
      </c>
      <c r="BD21" s="41">
        <v>5093000000</v>
      </c>
      <c r="BE21" s="41">
        <v>5078000000</v>
      </c>
      <c r="BF21" s="41">
        <v>5032000000</v>
      </c>
      <c r="BG21" s="41">
        <v>4959000000</v>
      </c>
      <c r="BH21" s="41">
        <v>4992000000</v>
      </c>
      <c r="BI21" s="41">
        <v>5146000000</v>
      </c>
      <c r="BJ21" s="41">
        <v>5160000000</v>
      </c>
      <c r="BK21" s="41">
        <v>5210000000</v>
      </c>
      <c r="BL21" s="41">
        <v>5062000000</v>
      </c>
    </row>
    <row r="22" spans="1:64">
      <c r="A22" t="s">
        <v>329</v>
      </c>
      <c r="B22" s="41">
        <v>1973000000</v>
      </c>
      <c r="C22" s="41">
        <v>2425000000</v>
      </c>
      <c r="D22" s="41">
        <v>2601000000</v>
      </c>
      <c r="E22" s="41">
        <v>2709000000</v>
      </c>
      <c r="F22" s="41">
        <v>2739000000</v>
      </c>
      <c r="G22" s="41">
        <v>2767000000</v>
      </c>
      <c r="H22" s="41">
        <v>2755000000</v>
      </c>
      <c r="I22" s="41">
        <v>2769000000</v>
      </c>
      <c r="J22" s="41">
        <v>2731000000</v>
      </c>
      <c r="K22" s="41">
        <v>2663000000</v>
      </c>
      <c r="L22" s="41">
        <v>2936000000</v>
      </c>
      <c r="M22" s="41">
        <v>3294000000</v>
      </c>
      <c r="N22" s="41">
        <v>3331000000</v>
      </c>
      <c r="O22" s="41">
        <v>3586000000</v>
      </c>
      <c r="P22" s="41">
        <v>3617000000</v>
      </c>
      <c r="Q22" s="41">
        <v>3600000000</v>
      </c>
      <c r="R22" s="41">
        <v>3663000000</v>
      </c>
      <c r="S22" s="41">
        <v>3710000000</v>
      </c>
      <c r="T22" s="41">
        <v>3773000000</v>
      </c>
      <c r="U22" s="41">
        <v>3949000000</v>
      </c>
      <c r="V22" s="41">
        <v>4007000000</v>
      </c>
      <c r="W22" s="41">
        <v>4120000000</v>
      </c>
      <c r="X22" s="41">
        <v>4112000000</v>
      </c>
      <c r="Y22" s="41">
        <v>3608000000</v>
      </c>
      <c r="Z22" s="41">
        <v>3570000000</v>
      </c>
      <c r="AA22" s="41">
        <v>3376000000</v>
      </c>
      <c r="AB22" s="41">
        <v>3572000000</v>
      </c>
      <c r="AC22" s="41">
        <v>4034000000</v>
      </c>
      <c r="AD22" s="41">
        <v>4243000000</v>
      </c>
      <c r="AE22" s="41">
        <v>4239000000</v>
      </c>
      <c r="AF22" s="41">
        <v>4472000000</v>
      </c>
      <c r="AG22" s="41">
        <v>4270000000</v>
      </c>
      <c r="AH22" s="41">
        <v>3971000000</v>
      </c>
      <c r="AI22" s="41">
        <v>3959000000</v>
      </c>
      <c r="AJ22" s="41">
        <v>4023000000</v>
      </c>
      <c r="AK22" s="41">
        <v>4031000000</v>
      </c>
      <c r="AL22" s="41">
        <v>4032000000</v>
      </c>
      <c r="AM22" s="41">
        <v>4093000000</v>
      </c>
      <c r="AN22" s="41">
        <v>4100000000</v>
      </c>
      <c r="AO22" s="41">
        <v>4186000000</v>
      </c>
      <c r="AP22" s="41">
        <v>4640000000</v>
      </c>
      <c r="AQ22" s="41">
        <v>4366000000</v>
      </c>
      <c r="AR22" s="41">
        <v>4378000000</v>
      </c>
      <c r="AS22" s="41">
        <v>4671000000</v>
      </c>
      <c r="AT22" s="41">
        <v>3827000000</v>
      </c>
      <c r="AU22" s="41">
        <v>3942000000</v>
      </c>
      <c r="AV22" s="41">
        <v>4148000000</v>
      </c>
      <c r="AW22" s="41">
        <v>4139000000</v>
      </c>
      <c r="AX22" s="41">
        <v>4487000000</v>
      </c>
      <c r="AY22" s="41">
        <v>4184000000</v>
      </c>
      <c r="AZ22" s="41">
        <v>4040000000</v>
      </c>
      <c r="BA22" s="41">
        <v>4043000000</v>
      </c>
      <c r="BB22" s="41">
        <v>3990000000</v>
      </c>
      <c r="BC22" s="41">
        <v>3451000000</v>
      </c>
      <c r="BD22" s="41">
        <v>3380000000</v>
      </c>
      <c r="BE22" s="41">
        <v>3453000000</v>
      </c>
      <c r="BF22" s="41">
        <v>3407000000</v>
      </c>
      <c r="BG22" s="41">
        <v>3414000000</v>
      </c>
      <c r="BH22" s="41">
        <v>3454000000</v>
      </c>
      <c r="BI22" s="41">
        <v>3585000000</v>
      </c>
      <c r="BJ22" s="41">
        <v>3617000000</v>
      </c>
      <c r="BK22" s="41">
        <v>3616000000</v>
      </c>
      <c r="BL22" s="41">
        <v>3495000000</v>
      </c>
    </row>
    <row r="23" spans="1:64">
      <c r="A23" t="s">
        <v>330</v>
      </c>
      <c r="B23" s="41">
        <v>1973000000</v>
      </c>
      <c r="C23" s="41">
        <v>2425000000</v>
      </c>
      <c r="D23" s="41">
        <v>2601000000</v>
      </c>
      <c r="E23" s="41">
        <v>4958000000</v>
      </c>
      <c r="F23" s="41">
        <v>2739000000</v>
      </c>
      <c r="G23" s="41">
        <v>2767000000</v>
      </c>
      <c r="H23" s="41">
        <v>2755000000</v>
      </c>
      <c r="I23" s="41">
        <v>4950000000</v>
      </c>
      <c r="J23" s="41">
        <v>2731000000</v>
      </c>
      <c r="K23" s="41">
        <v>2663000000</v>
      </c>
      <c r="L23" s="41">
        <v>2936000000</v>
      </c>
      <c r="M23" s="41">
        <v>5612000000</v>
      </c>
      <c r="N23" s="41">
        <v>3331000000</v>
      </c>
      <c r="O23" s="41">
        <v>3586000000</v>
      </c>
      <c r="P23" s="41">
        <v>3617000000</v>
      </c>
      <c r="Q23" s="41">
        <v>5948000000</v>
      </c>
      <c r="R23" s="41">
        <v>3663000000</v>
      </c>
      <c r="S23" s="41">
        <v>3710000000</v>
      </c>
      <c r="T23" s="41">
        <v>3773000000</v>
      </c>
      <c r="U23" s="41">
        <v>6098000000</v>
      </c>
      <c r="V23" s="41">
        <v>4007000000</v>
      </c>
      <c r="W23" s="41">
        <v>4120000000</v>
      </c>
      <c r="X23" s="41">
        <v>4112000000</v>
      </c>
      <c r="Y23" s="41">
        <v>5847000000</v>
      </c>
      <c r="AC23" s="41">
        <v>6332000000</v>
      </c>
      <c r="AG23" s="41">
        <v>6634000000</v>
      </c>
      <c r="AK23" s="41">
        <v>6252000000</v>
      </c>
      <c r="AO23" s="41">
        <v>6208000000</v>
      </c>
      <c r="AS23" s="41">
        <v>7016000000</v>
      </c>
      <c r="AW23" s="41">
        <v>6351000000</v>
      </c>
      <c r="AX23" s="41">
        <v>4567000000</v>
      </c>
      <c r="BA23" s="41">
        <v>6083000000</v>
      </c>
      <c r="BD23" s="41">
        <v>3453000000</v>
      </c>
      <c r="BE23" s="41">
        <v>5437000000</v>
      </c>
      <c r="BI23" s="41">
        <v>5499000000</v>
      </c>
      <c r="BJ23" s="41">
        <v>5484000000</v>
      </c>
      <c r="BK23" s="41">
        <v>5412000000</v>
      </c>
      <c r="BL23" s="41">
        <v>5211000000</v>
      </c>
    </row>
    <row r="24" spans="1:64">
      <c r="A24" t="s">
        <v>331</v>
      </c>
      <c r="E24">
        <v>0</v>
      </c>
      <c r="I24">
        <v>0</v>
      </c>
      <c r="M24">
        <v>0</v>
      </c>
      <c r="Q24">
        <v>0</v>
      </c>
      <c r="U24">
        <v>0</v>
      </c>
      <c r="Y24">
        <v>0</v>
      </c>
      <c r="AC24">
        <v>0</v>
      </c>
      <c r="AG24">
        <v>0</v>
      </c>
      <c r="AK24">
        <v>0</v>
      </c>
      <c r="AO24">
        <v>0</v>
      </c>
      <c r="AS24">
        <v>0</v>
      </c>
      <c r="AW24">
        <v>0</v>
      </c>
      <c r="BA24">
        <v>0</v>
      </c>
      <c r="BE24">
        <v>0</v>
      </c>
      <c r="BI24">
        <v>0</v>
      </c>
      <c r="BJ24">
        <v>0</v>
      </c>
      <c r="BK24">
        <v>0</v>
      </c>
      <c r="BL24">
        <v>0</v>
      </c>
    </row>
    <row r="25" spans="1:64">
      <c r="A25" t="s">
        <v>332</v>
      </c>
      <c r="E25" s="41">
        <v>564000000</v>
      </c>
      <c r="I25" s="41">
        <v>557000000</v>
      </c>
      <c r="M25" s="41">
        <v>676000000</v>
      </c>
      <c r="Q25" s="41">
        <v>658000000</v>
      </c>
      <c r="U25" s="41">
        <v>690000000</v>
      </c>
      <c r="Y25" s="41">
        <v>713000000</v>
      </c>
      <c r="AC25" s="41">
        <v>916000000</v>
      </c>
      <c r="AG25" s="41">
        <v>901000000</v>
      </c>
      <c r="AK25" s="41">
        <v>674000000</v>
      </c>
      <c r="AO25" s="41">
        <v>710000000</v>
      </c>
      <c r="AS25" s="41">
        <v>672000000</v>
      </c>
      <c r="AW25" s="41">
        <v>688000000</v>
      </c>
      <c r="BA25" s="41">
        <v>666000000</v>
      </c>
      <c r="BE25" s="41">
        <v>621000000</v>
      </c>
      <c r="BI25" s="41">
        <v>557000000</v>
      </c>
      <c r="BJ25" s="41">
        <v>563000000</v>
      </c>
      <c r="BK25" s="41">
        <v>560000000</v>
      </c>
      <c r="BL25" s="41">
        <v>560000000</v>
      </c>
    </row>
    <row r="26" spans="1:64">
      <c r="A26" t="s">
        <v>333</v>
      </c>
      <c r="E26" s="41">
        <v>2645000000</v>
      </c>
      <c r="I26" s="41">
        <v>2658000000</v>
      </c>
      <c r="M26" s="41">
        <v>3065000000</v>
      </c>
      <c r="Q26" s="41">
        <v>3381000000</v>
      </c>
      <c r="U26" s="41">
        <v>3285000000</v>
      </c>
      <c r="Y26" s="41">
        <v>3583000000</v>
      </c>
      <c r="AC26" s="41">
        <v>3880000000</v>
      </c>
      <c r="AG26" s="41">
        <v>4125000000</v>
      </c>
      <c r="AK26" s="41">
        <v>3898000000</v>
      </c>
      <c r="AO26" s="41">
        <v>3948000000</v>
      </c>
      <c r="AS26" s="41">
        <v>4628000000</v>
      </c>
      <c r="AW26" s="41">
        <v>4062000000</v>
      </c>
      <c r="BA26" s="41">
        <v>3878000000</v>
      </c>
      <c r="BE26" s="41">
        <v>3365000000</v>
      </c>
      <c r="BI26" s="41">
        <v>3310000000</v>
      </c>
      <c r="BJ26" s="41">
        <v>3315000000</v>
      </c>
      <c r="BK26" s="41">
        <v>3276000000</v>
      </c>
      <c r="BL26" s="41">
        <v>3158000000</v>
      </c>
    </row>
    <row r="27" spans="1:64">
      <c r="A27" t="s">
        <v>334</v>
      </c>
      <c r="E27" s="41">
        <v>1166000000</v>
      </c>
      <c r="I27" s="41">
        <v>1136000000</v>
      </c>
      <c r="M27" s="41">
        <v>1186000000</v>
      </c>
      <c r="Q27" s="41">
        <v>1216000000</v>
      </c>
      <c r="U27" s="41">
        <v>1183000000</v>
      </c>
      <c r="Y27" s="41">
        <v>1178000000</v>
      </c>
      <c r="AC27" s="41">
        <v>1204000000</v>
      </c>
      <c r="AG27" s="41">
        <v>1316000000</v>
      </c>
      <c r="AK27" s="41">
        <v>1209000000</v>
      </c>
      <c r="AO27" s="41">
        <v>1173000000</v>
      </c>
      <c r="AS27" s="41">
        <v>1376000000</v>
      </c>
      <c r="AW27" s="41">
        <v>1288000000</v>
      </c>
      <c r="BA27" s="41">
        <v>1243000000</v>
      </c>
      <c r="BE27" s="41">
        <v>1106000000</v>
      </c>
      <c r="BI27" s="41">
        <v>1123000000</v>
      </c>
      <c r="BJ27" s="41">
        <v>1113000000</v>
      </c>
      <c r="BK27" s="41">
        <v>1077000000</v>
      </c>
      <c r="BL27" s="41">
        <v>1057000000</v>
      </c>
    </row>
    <row r="28" spans="1:64">
      <c r="A28" t="s">
        <v>335</v>
      </c>
      <c r="B28" s="41">
        <v>1973000000</v>
      </c>
      <c r="C28" s="41">
        <v>2425000000</v>
      </c>
      <c r="D28" s="41">
        <v>2601000000</v>
      </c>
      <c r="E28" s="41">
        <v>369000000</v>
      </c>
      <c r="F28" s="41">
        <v>2739000000</v>
      </c>
      <c r="G28" s="41">
        <v>2767000000</v>
      </c>
      <c r="H28" s="41">
        <v>2755000000</v>
      </c>
      <c r="I28" s="41">
        <v>385000000</v>
      </c>
      <c r="J28" s="41">
        <v>2731000000</v>
      </c>
      <c r="K28" s="41">
        <v>2663000000</v>
      </c>
      <c r="L28" s="41">
        <v>2936000000</v>
      </c>
      <c r="M28" s="41">
        <v>446000000</v>
      </c>
      <c r="N28" s="41">
        <v>3331000000</v>
      </c>
      <c r="O28" s="41">
        <v>3586000000</v>
      </c>
      <c r="P28" s="41">
        <v>3617000000</v>
      </c>
      <c r="Q28" s="41">
        <v>474000000</v>
      </c>
      <c r="R28" s="41">
        <v>3663000000</v>
      </c>
      <c r="S28" s="41">
        <v>3710000000</v>
      </c>
      <c r="T28" s="41">
        <v>3773000000</v>
      </c>
      <c r="U28" s="41">
        <v>493000000</v>
      </c>
      <c r="V28" s="41">
        <v>4007000000</v>
      </c>
      <c r="W28" s="41">
        <v>4120000000</v>
      </c>
      <c r="X28" s="41">
        <v>4112000000</v>
      </c>
    </row>
    <row r="29" spans="1:64">
      <c r="A29" t="s">
        <v>336</v>
      </c>
      <c r="E29" s="41">
        <v>23000000</v>
      </c>
      <c r="I29" s="41">
        <v>30000000</v>
      </c>
      <c r="M29" s="41">
        <v>47000000</v>
      </c>
      <c r="Q29" s="41">
        <v>32000000</v>
      </c>
      <c r="U29" s="41">
        <v>253000000</v>
      </c>
      <c r="Y29" s="41">
        <v>158000000</v>
      </c>
      <c r="AC29" s="41">
        <v>122000000</v>
      </c>
      <c r="AG29" s="41">
        <v>90000000</v>
      </c>
      <c r="AK29" s="41">
        <v>251000000</v>
      </c>
      <c r="AO29" s="41">
        <v>151000000</v>
      </c>
      <c r="AS29" s="41">
        <v>86000000</v>
      </c>
      <c r="AW29" s="41">
        <v>65000000</v>
      </c>
      <c r="BA29" s="41">
        <v>56000000</v>
      </c>
      <c r="BE29" s="41">
        <v>84000000</v>
      </c>
      <c r="BI29" s="41">
        <v>246000000</v>
      </c>
      <c r="BJ29" s="41">
        <v>230000000</v>
      </c>
      <c r="BK29" s="41">
        <v>235000000</v>
      </c>
      <c r="BL29" s="41">
        <v>202000000</v>
      </c>
    </row>
    <row r="30" spans="1:64">
      <c r="A30" t="s">
        <v>337</v>
      </c>
      <c r="E30" s="41">
        <v>191000000</v>
      </c>
      <c r="I30" s="41">
        <v>184000000</v>
      </c>
      <c r="M30" s="41">
        <v>192000000</v>
      </c>
      <c r="Q30" s="41">
        <v>187000000</v>
      </c>
      <c r="U30" s="41">
        <v>194000000</v>
      </c>
      <c r="Y30" s="41">
        <v>215000000</v>
      </c>
      <c r="AC30" s="41">
        <v>210000000</v>
      </c>
      <c r="AG30" s="41">
        <v>202000000</v>
      </c>
      <c r="AK30" s="41">
        <v>220000000</v>
      </c>
      <c r="AO30" s="41">
        <v>226000000</v>
      </c>
      <c r="AS30" s="41">
        <v>254000000</v>
      </c>
      <c r="AW30" s="41">
        <v>248000000</v>
      </c>
      <c r="BA30" s="41">
        <v>240000000</v>
      </c>
      <c r="BE30" s="41">
        <v>261000000</v>
      </c>
      <c r="BI30" s="41">
        <v>263000000</v>
      </c>
      <c r="BJ30" s="41">
        <v>263000000</v>
      </c>
      <c r="BK30" s="41">
        <v>264000000</v>
      </c>
      <c r="BL30" s="41">
        <v>234000000</v>
      </c>
    </row>
    <row r="31" spans="1:64">
      <c r="A31" t="s">
        <v>338</v>
      </c>
      <c r="E31" s="41">
        <v>-2249000000</v>
      </c>
      <c r="I31" s="41">
        <v>-2181000000</v>
      </c>
      <c r="M31" s="41">
        <v>-2318000000</v>
      </c>
      <c r="Q31" s="41">
        <v>-2348000000</v>
      </c>
      <c r="U31" s="41">
        <v>-2149000000</v>
      </c>
      <c r="Y31" s="41">
        <v>-2239000000</v>
      </c>
      <c r="AC31" s="41">
        <v>-2298000000</v>
      </c>
      <c r="AG31" s="41">
        <v>-2364000000</v>
      </c>
      <c r="AK31" s="41">
        <v>-2221000000</v>
      </c>
      <c r="AO31" s="41">
        <v>-2022000000</v>
      </c>
      <c r="AS31" s="41">
        <v>-2345000000</v>
      </c>
      <c r="AW31" s="41">
        <v>-2212000000</v>
      </c>
      <c r="AX31" s="41">
        <v>-80000000</v>
      </c>
      <c r="BA31" s="41">
        <v>-2040000000</v>
      </c>
      <c r="BD31" s="41">
        <v>-73000000</v>
      </c>
      <c r="BE31" s="41">
        <v>-1984000000</v>
      </c>
      <c r="BI31" s="41">
        <v>-1914000000</v>
      </c>
      <c r="BJ31" s="41">
        <v>-1867000000</v>
      </c>
      <c r="BK31" s="41">
        <v>-1796000000</v>
      </c>
      <c r="BL31" s="41">
        <v>-1716000000</v>
      </c>
    </row>
    <row r="32" spans="1:64">
      <c r="A32" t="s">
        <v>339</v>
      </c>
      <c r="B32" s="41">
        <v>3803000000</v>
      </c>
      <c r="C32" s="41">
        <v>3833000000</v>
      </c>
      <c r="D32" s="41">
        <v>3838000000</v>
      </c>
      <c r="E32" s="41">
        <v>4875000000</v>
      </c>
      <c r="F32" s="41">
        <v>4930000000</v>
      </c>
      <c r="G32" s="41">
        <v>4990000000</v>
      </c>
      <c r="H32" s="41">
        <v>4956000000</v>
      </c>
      <c r="I32" s="41">
        <v>4769000000</v>
      </c>
      <c r="J32" s="41">
        <v>4869000000</v>
      </c>
      <c r="K32" s="41">
        <v>4890000000</v>
      </c>
      <c r="L32" s="41">
        <v>4886000000</v>
      </c>
      <c r="M32" s="41">
        <v>4942000000</v>
      </c>
      <c r="N32" s="41">
        <v>651000000</v>
      </c>
      <c r="O32" s="41">
        <v>657000000</v>
      </c>
      <c r="P32" s="41">
        <v>666000000</v>
      </c>
      <c r="Q32" s="41">
        <v>673000000</v>
      </c>
      <c r="R32" s="41">
        <v>700000000</v>
      </c>
      <c r="S32" s="41">
        <v>706000000</v>
      </c>
      <c r="T32" s="41">
        <v>753000000</v>
      </c>
      <c r="U32" s="41">
        <v>763000000</v>
      </c>
      <c r="V32" s="41">
        <v>775000000</v>
      </c>
      <c r="W32" s="41">
        <v>793000000</v>
      </c>
      <c r="X32" s="41">
        <v>801000000</v>
      </c>
      <c r="Y32" s="41">
        <v>911000000</v>
      </c>
      <c r="Z32" s="41">
        <v>428000000</v>
      </c>
      <c r="AA32" s="41">
        <v>446000000</v>
      </c>
      <c r="AB32" s="41">
        <v>459000000</v>
      </c>
      <c r="AC32" s="41">
        <v>455000000</v>
      </c>
      <c r="AD32" s="41">
        <v>834000000</v>
      </c>
      <c r="AE32" s="41">
        <v>816000000</v>
      </c>
      <c r="AF32" s="41">
        <v>805000000</v>
      </c>
      <c r="AG32" s="41">
        <v>724000000</v>
      </c>
      <c r="AH32" s="41">
        <v>718000000</v>
      </c>
      <c r="AI32" s="41">
        <v>669000000</v>
      </c>
      <c r="AJ32" s="41">
        <v>675000000</v>
      </c>
      <c r="AK32" s="41">
        <v>676000000</v>
      </c>
      <c r="AL32" s="41">
        <v>671000000</v>
      </c>
      <c r="AM32" s="41">
        <v>678000000</v>
      </c>
      <c r="AN32" s="41">
        <v>664000000</v>
      </c>
      <c r="AO32" s="41">
        <v>685000000</v>
      </c>
      <c r="AP32" s="41">
        <v>704000000</v>
      </c>
      <c r="AQ32" s="41">
        <v>723000000</v>
      </c>
      <c r="AR32" s="41">
        <v>742000000</v>
      </c>
      <c r="AS32" s="41">
        <v>738000000</v>
      </c>
      <c r="AT32" s="41">
        <v>662000000</v>
      </c>
      <c r="AU32" s="41">
        <v>645000000</v>
      </c>
      <c r="AV32" s="41">
        <v>643000000</v>
      </c>
      <c r="AW32" s="41">
        <v>521000000</v>
      </c>
      <c r="AX32" s="41">
        <v>134000000</v>
      </c>
      <c r="AY32" s="41">
        <v>508000000</v>
      </c>
      <c r="AZ32" s="41">
        <v>466000000</v>
      </c>
      <c r="BA32" s="41">
        <v>461000000</v>
      </c>
      <c r="BB32" s="41">
        <v>458000000</v>
      </c>
      <c r="BC32" s="41">
        <v>384000000</v>
      </c>
      <c r="BD32" s="41">
        <v>460000000</v>
      </c>
      <c r="BE32" s="41">
        <v>382000000</v>
      </c>
      <c r="BF32" s="41">
        <v>395000000</v>
      </c>
      <c r="BG32" s="41">
        <v>392000000</v>
      </c>
      <c r="BH32" s="41">
        <v>262000000</v>
      </c>
      <c r="BI32" s="41">
        <v>397000000</v>
      </c>
      <c r="BJ32" s="41">
        <v>394000000</v>
      </c>
      <c r="BK32" s="41">
        <v>396000000</v>
      </c>
      <c r="BL32" s="41">
        <v>376000000</v>
      </c>
    </row>
    <row r="33" spans="1:64">
      <c r="A33" t="s">
        <v>340</v>
      </c>
      <c r="B33" s="41">
        <v>2277000000</v>
      </c>
      <c r="C33" s="41">
        <v>2272000000</v>
      </c>
      <c r="D33" s="41">
        <v>2273000000</v>
      </c>
      <c r="E33" s="41">
        <v>3205000000</v>
      </c>
      <c r="F33" s="41">
        <v>3202000000</v>
      </c>
      <c r="G33" s="41">
        <v>3205000000</v>
      </c>
      <c r="H33" s="41">
        <v>3143000000</v>
      </c>
      <c r="I33" s="41">
        <v>3101000000</v>
      </c>
      <c r="J33" s="41">
        <v>3120000000</v>
      </c>
      <c r="K33" s="41">
        <v>3080000000</v>
      </c>
      <c r="L33" s="41">
        <v>3006000000</v>
      </c>
      <c r="M33" s="41">
        <v>2965000000</v>
      </c>
      <c r="N33" s="41">
        <v>288000000</v>
      </c>
      <c r="O33" s="41">
        <v>288000000</v>
      </c>
      <c r="P33" s="41">
        <v>288000000</v>
      </c>
      <c r="Q33" s="41">
        <v>288000000</v>
      </c>
      <c r="R33" s="41">
        <v>288000000</v>
      </c>
      <c r="S33" s="41">
        <v>288000000</v>
      </c>
      <c r="T33" s="41">
        <v>326000000</v>
      </c>
      <c r="U33" s="41">
        <v>326000000</v>
      </c>
      <c r="V33" s="41">
        <v>322000000</v>
      </c>
      <c r="W33" s="41">
        <v>322000000</v>
      </c>
      <c r="X33" s="41">
        <v>320000000</v>
      </c>
      <c r="Y33" s="41">
        <v>283000000</v>
      </c>
      <c r="Z33" s="41">
        <v>132000000</v>
      </c>
      <c r="AA33" s="41">
        <v>152000000</v>
      </c>
      <c r="AB33" s="41">
        <v>154000000</v>
      </c>
      <c r="AC33" s="41">
        <v>150000000</v>
      </c>
      <c r="AD33" s="41">
        <v>152000000</v>
      </c>
      <c r="AE33" s="41">
        <v>145000000</v>
      </c>
      <c r="AF33" s="41">
        <v>147000000</v>
      </c>
      <c r="AG33" s="41">
        <v>125000000</v>
      </c>
      <c r="AH33" s="41">
        <v>127000000</v>
      </c>
      <c r="AI33" s="41">
        <v>128000000</v>
      </c>
      <c r="AJ33" s="41">
        <v>129000000</v>
      </c>
      <c r="AK33" s="41">
        <v>129000000</v>
      </c>
      <c r="AL33" s="41">
        <v>130000000</v>
      </c>
      <c r="AM33" s="41">
        <v>132000000</v>
      </c>
      <c r="AN33" s="41">
        <v>132000000</v>
      </c>
      <c r="AO33" s="41">
        <v>133000000</v>
      </c>
      <c r="AP33" s="41">
        <v>135000000</v>
      </c>
      <c r="AQ33" s="41">
        <v>136000000</v>
      </c>
      <c r="AR33" s="41">
        <v>147000000</v>
      </c>
      <c r="AS33" s="41">
        <v>147000000</v>
      </c>
      <c r="AT33" s="41">
        <v>133000000</v>
      </c>
      <c r="AU33" s="41">
        <v>133000000</v>
      </c>
      <c r="AV33" s="41">
        <v>144000000</v>
      </c>
      <c r="AW33" s="41">
        <v>133000000</v>
      </c>
      <c r="AX33" s="41">
        <v>134000000</v>
      </c>
      <c r="AY33" s="41">
        <v>132000000</v>
      </c>
      <c r="AZ33" s="41">
        <v>102000000</v>
      </c>
      <c r="BA33" s="41">
        <v>102000000</v>
      </c>
      <c r="BB33" s="41">
        <v>102000000</v>
      </c>
      <c r="BC33" s="41">
        <v>102000000</v>
      </c>
      <c r="BD33" s="41">
        <v>102000000</v>
      </c>
      <c r="BE33" s="41">
        <v>102000000</v>
      </c>
      <c r="BF33" s="41">
        <v>113000000</v>
      </c>
      <c r="BG33" s="41">
        <v>113000000</v>
      </c>
      <c r="BI33" s="41">
        <v>113000000</v>
      </c>
      <c r="BJ33" s="41">
        <v>120000000</v>
      </c>
      <c r="BK33" s="41">
        <v>120000000</v>
      </c>
      <c r="BL33" s="41">
        <v>120000000</v>
      </c>
    </row>
    <row r="34" spans="1:64">
      <c r="A34" t="s">
        <v>341</v>
      </c>
      <c r="B34" s="41">
        <v>1526000000</v>
      </c>
      <c r="C34" s="41">
        <v>1561000000</v>
      </c>
      <c r="D34" s="41">
        <v>1565000000</v>
      </c>
      <c r="E34" s="41">
        <v>1670000000</v>
      </c>
      <c r="F34" s="41">
        <v>1728000000</v>
      </c>
      <c r="G34" s="41">
        <v>1785000000</v>
      </c>
      <c r="H34" s="41">
        <v>1813000000</v>
      </c>
      <c r="I34" s="41">
        <v>1668000000</v>
      </c>
      <c r="J34" s="41">
        <v>1749000000</v>
      </c>
      <c r="K34" s="41">
        <v>1810000000</v>
      </c>
      <c r="L34" s="41">
        <v>1880000000</v>
      </c>
      <c r="M34" s="41">
        <v>1977000000</v>
      </c>
      <c r="N34" s="41">
        <v>363000000</v>
      </c>
      <c r="O34" s="41">
        <v>369000000</v>
      </c>
      <c r="P34" s="41">
        <v>378000000</v>
      </c>
      <c r="Q34" s="41">
        <v>385000000</v>
      </c>
      <c r="R34" s="41">
        <v>412000000</v>
      </c>
      <c r="S34" s="41">
        <v>418000000</v>
      </c>
      <c r="T34" s="41">
        <v>427000000</v>
      </c>
      <c r="U34" s="41">
        <v>437000000</v>
      </c>
      <c r="V34" s="41">
        <v>453000000</v>
      </c>
      <c r="W34" s="41">
        <v>471000000</v>
      </c>
      <c r="X34" s="41">
        <v>481000000</v>
      </c>
      <c r="Y34" s="41">
        <v>628000000</v>
      </c>
      <c r="Z34" s="41">
        <v>296000000</v>
      </c>
      <c r="AA34" s="41">
        <v>294000000</v>
      </c>
      <c r="AB34" s="41">
        <v>305000000</v>
      </c>
      <c r="AC34" s="41">
        <v>305000000</v>
      </c>
      <c r="AD34" s="41">
        <v>682000000</v>
      </c>
      <c r="AE34" s="41">
        <v>671000000</v>
      </c>
      <c r="AF34" s="41">
        <v>658000000</v>
      </c>
      <c r="AG34" s="41">
        <v>599000000</v>
      </c>
      <c r="AH34" s="41">
        <v>591000000</v>
      </c>
      <c r="AI34" s="41">
        <v>541000000</v>
      </c>
      <c r="AJ34" s="41">
        <v>546000000</v>
      </c>
      <c r="AK34" s="41">
        <v>547000000</v>
      </c>
      <c r="AL34" s="41">
        <v>541000000</v>
      </c>
      <c r="AM34" s="41">
        <v>546000000</v>
      </c>
      <c r="AN34" s="41">
        <v>532000000</v>
      </c>
      <c r="AO34" s="41">
        <v>552000000</v>
      </c>
      <c r="AP34" s="41">
        <v>569000000</v>
      </c>
      <c r="AQ34" s="41">
        <v>587000000</v>
      </c>
      <c r="AR34" s="41">
        <v>595000000</v>
      </c>
      <c r="AS34" s="41">
        <v>591000000</v>
      </c>
      <c r="AT34" s="41">
        <v>529000000</v>
      </c>
      <c r="AU34" s="41">
        <v>512000000</v>
      </c>
      <c r="AV34" s="41">
        <v>499000000</v>
      </c>
      <c r="AW34" s="41">
        <v>388000000</v>
      </c>
      <c r="AY34" s="41">
        <v>376000000</v>
      </c>
      <c r="AZ34" s="41">
        <v>364000000</v>
      </c>
      <c r="BA34" s="41">
        <v>359000000</v>
      </c>
      <c r="BB34" s="41">
        <v>356000000</v>
      </c>
      <c r="BC34" s="41">
        <v>282000000</v>
      </c>
      <c r="BD34" s="41">
        <v>358000000</v>
      </c>
      <c r="BE34" s="41">
        <v>280000000</v>
      </c>
      <c r="BF34" s="41">
        <v>282000000</v>
      </c>
      <c r="BG34" s="41">
        <v>279000000</v>
      </c>
      <c r="BH34" s="41">
        <v>262000000</v>
      </c>
      <c r="BI34" s="41">
        <v>284000000</v>
      </c>
      <c r="BJ34" s="41">
        <v>274000000</v>
      </c>
      <c r="BK34" s="41">
        <v>276000000</v>
      </c>
      <c r="BL34" s="41">
        <v>256000000</v>
      </c>
    </row>
    <row r="35" spans="1:64">
      <c r="A35" t="s">
        <v>342</v>
      </c>
      <c r="B35" s="41">
        <v>1397000000</v>
      </c>
      <c r="C35" s="41">
        <v>1155000000</v>
      </c>
      <c r="D35" s="41">
        <v>1163000000</v>
      </c>
      <c r="E35" s="41">
        <v>993000000</v>
      </c>
      <c r="F35" s="41">
        <v>953000000</v>
      </c>
      <c r="G35" s="41">
        <v>958000000</v>
      </c>
      <c r="H35" s="41">
        <v>915000000</v>
      </c>
      <c r="I35" s="41">
        <v>833000000</v>
      </c>
      <c r="J35" s="41">
        <v>830000000</v>
      </c>
      <c r="K35" s="41">
        <v>867000000</v>
      </c>
      <c r="L35" s="41">
        <v>908000000</v>
      </c>
      <c r="M35" s="41">
        <v>954000000</v>
      </c>
      <c r="N35" s="41">
        <v>999000000</v>
      </c>
      <c r="O35" s="41">
        <v>1011000000</v>
      </c>
      <c r="P35" s="41">
        <v>1015000000</v>
      </c>
      <c r="Q35" s="41">
        <v>980000000</v>
      </c>
      <c r="R35" s="41">
        <v>935000000</v>
      </c>
      <c r="S35" s="41">
        <v>919000000</v>
      </c>
      <c r="T35" s="41">
        <v>865000000</v>
      </c>
      <c r="U35" s="41">
        <v>843000000</v>
      </c>
      <c r="V35" s="41">
        <v>773000000</v>
      </c>
      <c r="W35" s="41">
        <v>750000000</v>
      </c>
      <c r="X35" s="41">
        <v>738000000</v>
      </c>
      <c r="Y35" s="41">
        <v>735000000</v>
      </c>
      <c r="Z35" s="41">
        <v>747000000</v>
      </c>
      <c r="AA35" s="41">
        <v>731000000</v>
      </c>
      <c r="AB35" s="41">
        <v>724000000</v>
      </c>
      <c r="AC35" s="41">
        <v>750000000</v>
      </c>
      <c r="AD35" s="41">
        <v>199000000</v>
      </c>
      <c r="AE35" s="41">
        <v>181000000</v>
      </c>
      <c r="AF35" s="41">
        <v>169000000</v>
      </c>
      <c r="AG35" s="41">
        <v>186000000</v>
      </c>
      <c r="AH35" s="41">
        <v>306000000</v>
      </c>
      <c r="AI35" s="41">
        <v>308000000</v>
      </c>
      <c r="AJ35" s="41">
        <v>332000000</v>
      </c>
      <c r="AK35" s="41">
        <v>327000000</v>
      </c>
      <c r="AL35" s="41">
        <v>323000000</v>
      </c>
      <c r="AM35" s="41">
        <v>331000000</v>
      </c>
      <c r="AN35" s="41">
        <v>342000000</v>
      </c>
      <c r="AO35" s="41">
        <v>334000000</v>
      </c>
      <c r="AP35" s="41">
        <v>341000000</v>
      </c>
      <c r="AQ35" s="41">
        <v>319000000</v>
      </c>
      <c r="AR35" s="41">
        <v>322000000</v>
      </c>
      <c r="AS35" s="41">
        <v>329000000</v>
      </c>
      <c r="AT35" s="41">
        <v>473000000</v>
      </c>
      <c r="AU35" s="41">
        <v>348000000</v>
      </c>
      <c r="AV35" s="41">
        <v>332000000</v>
      </c>
      <c r="AW35" s="41">
        <v>283000000</v>
      </c>
      <c r="AX35" s="41">
        <v>298000000</v>
      </c>
      <c r="AY35" s="41">
        <v>317000000</v>
      </c>
      <c r="AZ35" s="41">
        <v>300000000</v>
      </c>
      <c r="BA35" s="41">
        <v>280000000</v>
      </c>
      <c r="BB35" s="41">
        <v>278000000</v>
      </c>
      <c r="BC35" s="41">
        <v>278000000</v>
      </c>
      <c r="BD35" s="41">
        <v>248000000</v>
      </c>
      <c r="BE35" s="41">
        <v>245000000</v>
      </c>
      <c r="BF35" s="41">
        <v>260000000</v>
      </c>
      <c r="BG35" s="41">
        <v>208000000</v>
      </c>
      <c r="BH35" s="41">
        <v>222000000</v>
      </c>
      <c r="BI35" s="41">
        <v>223000000</v>
      </c>
      <c r="BJ35" s="41">
        <v>224000000</v>
      </c>
      <c r="BK35" s="41">
        <v>224000000</v>
      </c>
      <c r="BL35" s="41">
        <v>204000000</v>
      </c>
    </row>
    <row r="36" spans="1:64">
      <c r="A36" t="s">
        <v>343</v>
      </c>
      <c r="B36" s="41">
        <v>272000000</v>
      </c>
      <c r="C36" s="41">
        <v>279000000</v>
      </c>
      <c r="D36" s="41">
        <v>277000000</v>
      </c>
      <c r="E36" s="41">
        <v>211000000</v>
      </c>
      <c r="F36" s="41">
        <v>212000000</v>
      </c>
      <c r="G36" s="41">
        <v>182000000</v>
      </c>
      <c r="H36" s="41">
        <v>180000000</v>
      </c>
      <c r="I36" s="41">
        <v>178000000</v>
      </c>
      <c r="J36" s="41">
        <v>182000000</v>
      </c>
      <c r="K36" s="41">
        <v>185000000</v>
      </c>
      <c r="L36" s="41">
        <v>209000000</v>
      </c>
      <c r="M36" s="41">
        <v>216000000</v>
      </c>
      <c r="N36" s="41">
        <v>249000000</v>
      </c>
      <c r="O36" s="41">
        <v>262000000</v>
      </c>
      <c r="P36" s="41">
        <v>259000000</v>
      </c>
      <c r="Q36" s="41">
        <v>260000000</v>
      </c>
      <c r="R36" s="41">
        <v>260000000</v>
      </c>
      <c r="S36" s="41">
        <v>259000000</v>
      </c>
      <c r="T36" s="41">
        <v>259000000</v>
      </c>
      <c r="U36" s="41">
        <v>232000000</v>
      </c>
      <c r="V36" s="41">
        <v>229000000</v>
      </c>
      <c r="W36" s="41">
        <v>222000000</v>
      </c>
      <c r="X36" s="41">
        <v>230000000</v>
      </c>
      <c r="Y36" s="41">
        <v>233000000</v>
      </c>
      <c r="AA36" s="41">
        <v>207000000</v>
      </c>
      <c r="AB36" s="41">
        <v>174000000</v>
      </c>
      <c r="AC36" s="41">
        <v>212000000</v>
      </c>
      <c r="AD36" s="41">
        <v>199000000</v>
      </c>
    </row>
    <row r="37" spans="1:64">
      <c r="A37" t="s">
        <v>344</v>
      </c>
      <c r="B37" s="41">
        <v>793000000</v>
      </c>
      <c r="C37" s="41">
        <v>777000000</v>
      </c>
      <c r="D37" s="41">
        <v>790000000</v>
      </c>
      <c r="E37" s="41">
        <v>686000000</v>
      </c>
      <c r="F37" s="41">
        <v>648000000</v>
      </c>
      <c r="G37" s="41">
        <v>663000000</v>
      </c>
      <c r="H37" s="41">
        <v>627000000</v>
      </c>
      <c r="I37" s="41">
        <v>578000000</v>
      </c>
      <c r="J37" s="41">
        <v>572000000</v>
      </c>
      <c r="K37" s="41">
        <v>597000000</v>
      </c>
      <c r="L37" s="41">
        <v>633000000</v>
      </c>
      <c r="M37" s="41">
        <v>673000000</v>
      </c>
      <c r="N37" s="41">
        <v>676000000</v>
      </c>
      <c r="O37" s="41">
        <v>669000000</v>
      </c>
      <c r="P37" s="41">
        <v>663000000</v>
      </c>
      <c r="Q37" s="41">
        <v>627000000</v>
      </c>
      <c r="R37" s="41">
        <v>583000000</v>
      </c>
      <c r="S37" s="41">
        <v>568000000</v>
      </c>
      <c r="T37" s="41">
        <v>532000000</v>
      </c>
      <c r="U37" s="41">
        <v>546000000</v>
      </c>
      <c r="V37" s="41">
        <v>433000000</v>
      </c>
      <c r="W37" s="41">
        <v>418000000</v>
      </c>
      <c r="X37" s="41">
        <v>395000000</v>
      </c>
      <c r="Y37" s="41">
        <v>390000000</v>
      </c>
      <c r="Z37" s="41">
        <v>410000000</v>
      </c>
      <c r="AA37" s="41">
        <v>416000000</v>
      </c>
      <c r="AB37" s="41">
        <v>421000000</v>
      </c>
      <c r="AC37" s="41">
        <v>429000000</v>
      </c>
    </row>
    <row r="38" spans="1:64">
      <c r="A38" t="s">
        <v>345</v>
      </c>
      <c r="B38" s="41">
        <v>793000000</v>
      </c>
      <c r="C38" s="41">
        <v>777000000</v>
      </c>
      <c r="D38" s="41">
        <v>790000000</v>
      </c>
      <c r="E38" s="41">
        <v>686000000</v>
      </c>
      <c r="F38" s="41">
        <v>648000000</v>
      </c>
      <c r="G38" s="41">
        <v>663000000</v>
      </c>
      <c r="H38" s="41">
        <v>627000000</v>
      </c>
      <c r="I38" s="41">
        <v>578000000</v>
      </c>
      <c r="J38" s="41">
        <v>572000000</v>
      </c>
      <c r="K38" s="41">
        <v>597000000</v>
      </c>
      <c r="L38" s="41">
        <v>633000000</v>
      </c>
      <c r="M38" s="41">
        <v>673000000</v>
      </c>
      <c r="N38" s="41">
        <v>676000000</v>
      </c>
      <c r="O38" s="41">
        <v>669000000</v>
      </c>
      <c r="P38" s="41">
        <v>663000000</v>
      </c>
      <c r="Q38" s="41">
        <v>627000000</v>
      </c>
      <c r="R38" s="41">
        <v>583000000</v>
      </c>
      <c r="S38" s="41">
        <v>568000000</v>
      </c>
      <c r="T38" s="41">
        <v>532000000</v>
      </c>
      <c r="U38" s="41">
        <v>546000000</v>
      </c>
      <c r="V38" s="41">
        <v>433000000</v>
      </c>
      <c r="W38" s="41">
        <v>418000000</v>
      </c>
      <c r="X38" s="41">
        <v>395000000</v>
      </c>
      <c r="Y38" s="41">
        <v>390000000</v>
      </c>
      <c r="Z38" s="41">
        <v>410000000</v>
      </c>
      <c r="AA38" s="41">
        <v>416000000</v>
      </c>
      <c r="AB38" s="41">
        <v>421000000</v>
      </c>
      <c r="AC38" s="41">
        <v>429000000</v>
      </c>
    </row>
    <row r="39" spans="1:64">
      <c r="A39" t="s">
        <v>346</v>
      </c>
      <c r="B39" s="41">
        <v>332000000</v>
      </c>
      <c r="C39" s="41">
        <v>99000000</v>
      </c>
      <c r="D39" s="41">
        <v>96000000</v>
      </c>
      <c r="E39" s="41">
        <v>96000000</v>
      </c>
      <c r="F39" s="41">
        <v>93000000</v>
      </c>
      <c r="G39" s="41">
        <v>113000000</v>
      </c>
      <c r="H39" s="41">
        <v>108000000</v>
      </c>
      <c r="I39" s="41">
        <v>77000000</v>
      </c>
      <c r="J39" s="41">
        <v>76000000</v>
      </c>
      <c r="K39" s="41">
        <v>85000000</v>
      </c>
      <c r="L39" s="41">
        <v>66000000</v>
      </c>
      <c r="M39" s="41">
        <v>65000000</v>
      </c>
      <c r="N39" s="41">
        <v>74000000</v>
      </c>
      <c r="O39" s="41">
        <v>80000000</v>
      </c>
      <c r="P39" s="41">
        <v>93000000</v>
      </c>
      <c r="Q39" s="41">
        <v>93000000</v>
      </c>
      <c r="R39" s="41">
        <v>92000000</v>
      </c>
      <c r="S39" s="41">
        <v>92000000</v>
      </c>
      <c r="T39" s="41">
        <v>74000000</v>
      </c>
      <c r="U39" s="41">
        <v>65000000</v>
      </c>
      <c r="V39" s="41">
        <v>111000000</v>
      </c>
      <c r="W39" s="41">
        <v>110000000</v>
      </c>
      <c r="X39" s="41">
        <v>113000000</v>
      </c>
      <c r="Y39" s="41">
        <v>112000000</v>
      </c>
      <c r="Z39" s="41">
        <v>337000000</v>
      </c>
      <c r="AA39" s="41">
        <v>108000000</v>
      </c>
      <c r="AB39" s="41">
        <v>129000000</v>
      </c>
      <c r="AC39" s="41">
        <v>109000000</v>
      </c>
      <c r="BK39" s="41">
        <v>224000000</v>
      </c>
    </row>
    <row r="40" spans="1:64">
      <c r="A40" t="s">
        <v>347</v>
      </c>
      <c r="S40" s="41">
        <v>33000000</v>
      </c>
      <c r="T40" s="41">
        <v>35000000</v>
      </c>
      <c r="U40" s="41">
        <v>35000000</v>
      </c>
      <c r="V40" s="41">
        <v>19000000</v>
      </c>
      <c r="W40" s="41">
        <v>16000000</v>
      </c>
      <c r="X40" s="41">
        <v>17000000</v>
      </c>
      <c r="Y40" s="41">
        <v>13000000</v>
      </c>
      <c r="Z40" s="41">
        <v>14000000</v>
      </c>
      <c r="AA40" s="41">
        <v>14000000</v>
      </c>
      <c r="AB40" s="41">
        <v>18000000</v>
      </c>
      <c r="AC40" s="41">
        <v>19000000</v>
      </c>
      <c r="AD40" s="41">
        <v>19000000</v>
      </c>
      <c r="AE40" s="41">
        <v>19000000</v>
      </c>
      <c r="AF40" s="41">
        <v>19000000</v>
      </c>
      <c r="AG40" s="41">
        <v>19000000</v>
      </c>
      <c r="AH40" s="41">
        <v>21000000</v>
      </c>
      <c r="AI40" s="41">
        <v>21000000</v>
      </c>
      <c r="AJ40" s="41">
        <v>20000000</v>
      </c>
      <c r="AK40" s="41">
        <v>20000000</v>
      </c>
      <c r="AL40" s="41">
        <v>20000000</v>
      </c>
      <c r="AM40" s="41">
        <v>20000000</v>
      </c>
      <c r="AN40" s="41">
        <v>19000000</v>
      </c>
      <c r="AO40" s="41">
        <v>40000000</v>
      </c>
      <c r="AP40" s="41">
        <v>95000000</v>
      </c>
      <c r="AQ40" s="41">
        <v>91000000</v>
      </c>
      <c r="AR40" s="41">
        <v>119000000</v>
      </c>
      <c r="AS40" s="41">
        <v>119000000</v>
      </c>
      <c r="AT40" s="41">
        <v>125000000</v>
      </c>
      <c r="AU40" s="41">
        <v>125000000</v>
      </c>
      <c r="AV40" s="41">
        <v>125000000</v>
      </c>
      <c r="AW40" s="41">
        <v>126000000</v>
      </c>
      <c r="AX40" s="41">
        <v>132000000</v>
      </c>
      <c r="AY40" s="41">
        <v>410000000</v>
      </c>
      <c r="AZ40" s="41">
        <v>361000000</v>
      </c>
      <c r="BA40" s="41">
        <v>360000000</v>
      </c>
      <c r="BB40" s="41">
        <v>354000000</v>
      </c>
      <c r="BC40" s="41">
        <v>355000000</v>
      </c>
      <c r="BD40" s="41">
        <v>366000000</v>
      </c>
    </row>
    <row r="41" spans="1:64">
      <c r="A41" t="s">
        <v>348</v>
      </c>
      <c r="B41" s="41">
        <v>310000000</v>
      </c>
      <c r="C41" s="41">
        <v>261000000</v>
      </c>
      <c r="D41" s="41">
        <v>136000000</v>
      </c>
      <c r="E41" s="41">
        <v>73000000</v>
      </c>
      <c r="F41" s="41">
        <v>71000000</v>
      </c>
      <c r="G41" s="41">
        <v>64000000</v>
      </c>
      <c r="H41" s="41">
        <v>58000000</v>
      </c>
      <c r="I41" s="41">
        <v>60000000</v>
      </c>
      <c r="J41" s="41">
        <v>63000000</v>
      </c>
      <c r="K41" s="41">
        <v>63000000</v>
      </c>
      <c r="L41" s="41">
        <v>57000000</v>
      </c>
      <c r="M41" s="41">
        <v>41000000</v>
      </c>
      <c r="N41" s="41">
        <v>31000000</v>
      </c>
      <c r="O41" s="41">
        <v>26000000</v>
      </c>
      <c r="P41" s="41">
        <v>24000000</v>
      </c>
      <c r="Q41" s="41">
        <v>29000000</v>
      </c>
      <c r="R41" s="41">
        <v>32000000</v>
      </c>
      <c r="S41" s="41">
        <v>33000000</v>
      </c>
      <c r="T41" s="41">
        <v>35000000</v>
      </c>
      <c r="U41" s="41">
        <v>35000000</v>
      </c>
      <c r="W41" s="41">
        <v>16000000</v>
      </c>
      <c r="X41" s="41">
        <v>17000000</v>
      </c>
      <c r="Y41" s="41">
        <v>13000000</v>
      </c>
      <c r="Z41" s="41">
        <v>14000000</v>
      </c>
      <c r="AA41" s="41">
        <v>14000000</v>
      </c>
      <c r="AB41" s="41">
        <v>18000000</v>
      </c>
      <c r="AC41" s="41">
        <v>19000000</v>
      </c>
      <c r="AD41" s="41">
        <v>19000000</v>
      </c>
      <c r="AE41" s="41">
        <v>19000000</v>
      </c>
      <c r="AF41" s="41">
        <v>19000000</v>
      </c>
      <c r="AG41" s="41">
        <v>19000000</v>
      </c>
      <c r="AH41" s="41">
        <v>21000000</v>
      </c>
      <c r="AI41" s="41">
        <v>21000000</v>
      </c>
      <c r="AJ41" s="41">
        <v>20000000</v>
      </c>
      <c r="AK41" s="41">
        <v>20000000</v>
      </c>
      <c r="AL41" s="41">
        <v>20000000</v>
      </c>
      <c r="AM41" s="41">
        <v>20000000</v>
      </c>
      <c r="AN41" s="41">
        <v>19000000</v>
      </c>
      <c r="AO41" s="41">
        <v>40000000</v>
      </c>
      <c r="AP41" s="41">
        <v>95000000</v>
      </c>
      <c r="AQ41" s="41">
        <v>91000000</v>
      </c>
      <c r="AR41" s="41">
        <v>119000000</v>
      </c>
      <c r="AS41" s="41">
        <v>119000000</v>
      </c>
      <c r="AT41" s="41">
        <v>125000000</v>
      </c>
      <c r="AU41" s="41">
        <v>125000000</v>
      </c>
      <c r="AV41" s="41">
        <v>125000000</v>
      </c>
      <c r="AW41" s="41">
        <v>126000000</v>
      </c>
      <c r="BA41" s="41">
        <v>360000000</v>
      </c>
      <c r="BF41" s="41">
        <v>372000000</v>
      </c>
      <c r="BG41" s="41">
        <v>375000000</v>
      </c>
      <c r="BH41" s="41">
        <v>378000000</v>
      </c>
      <c r="BI41" s="41">
        <v>385000000</v>
      </c>
      <c r="BJ41" s="41">
        <v>397000000</v>
      </c>
      <c r="BK41" s="41">
        <v>396000000</v>
      </c>
      <c r="BL41" s="41">
        <v>410000000</v>
      </c>
    </row>
    <row r="42" spans="1:64">
      <c r="A42" t="s">
        <v>349</v>
      </c>
      <c r="B42" s="41">
        <v>438000000</v>
      </c>
      <c r="C42" s="41">
        <v>436000000</v>
      </c>
      <c r="D42" s="41">
        <v>434000000</v>
      </c>
      <c r="E42" s="41">
        <v>552000000</v>
      </c>
      <c r="F42" s="41">
        <v>484000000</v>
      </c>
      <c r="G42" s="41">
        <v>443000000</v>
      </c>
      <c r="H42" s="41">
        <v>405000000</v>
      </c>
      <c r="I42" s="41">
        <v>363000000</v>
      </c>
      <c r="J42" s="41">
        <v>96000000</v>
      </c>
      <c r="K42" s="41">
        <v>12000000</v>
      </c>
      <c r="L42" s="41">
        <v>14000000</v>
      </c>
      <c r="M42" s="41">
        <v>28000000</v>
      </c>
      <c r="N42" s="41">
        <v>15000000</v>
      </c>
      <c r="O42" s="41">
        <v>16000000</v>
      </c>
      <c r="P42" s="41">
        <v>15000000</v>
      </c>
      <c r="Q42" s="41">
        <v>207000000</v>
      </c>
      <c r="R42" s="41">
        <v>243000000</v>
      </c>
      <c r="S42" s="41">
        <v>223000000</v>
      </c>
      <c r="T42" s="41">
        <v>199000000</v>
      </c>
      <c r="U42" s="41">
        <v>144000000</v>
      </c>
      <c r="V42" s="41">
        <v>147000000</v>
      </c>
      <c r="W42" s="41">
        <v>172000000</v>
      </c>
      <c r="X42" s="41">
        <v>173000000</v>
      </c>
      <c r="Y42" s="41">
        <v>180000000</v>
      </c>
      <c r="Z42" s="41">
        <v>149000000</v>
      </c>
      <c r="AA42" s="41">
        <v>153000000</v>
      </c>
      <c r="AB42" s="41">
        <v>149000000</v>
      </c>
      <c r="AC42" s="41">
        <v>141000000</v>
      </c>
      <c r="AD42" s="41">
        <v>298000000</v>
      </c>
      <c r="AE42" s="41">
        <v>290000000</v>
      </c>
      <c r="AF42" s="41">
        <v>303000000</v>
      </c>
      <c r="AG42" s="41">
        <v>313000000</v>
      </c>
      <c r="AH42" s="41">
        <v>318000000</v>
      </c>
      <c r="AI42" s="41">
        <v>298000000</v>
      </c>
      <c r="AJ42" s="41">
        <v>305000000</v>
      </c>
      <c r="AK42" s="41">
        <v>301000000</v>
      </c>
      <c r="AL42" s="41">
        <v>233000000</v>
      </c>
      <c r="AM42" s="41">
        <v>198000000</v>
      </c>
      <c r="AN42" s="41">
        <v>186000000</v>
      </c>
      <c r="AO42" s="41">
        <v>196000000</v>
      </c>
      <c r="AP42" s="41">
        <v>193000000</v>
      </c>
      <c r="AQ42" s="41">
        <v>173000000</v>
      </c>
      <c r="AR42" s="41">
        <v>181000000</v>
      </c>
      <c r="AS42" s="41">
        <v>198000000</v>
      </c>
      <c r="AT42" s="41">
        <v>142000000</v>
      </c>
      <c r="AU42" s="41">
        <v>170000000</v>
      </c>
      <c r="AV42" s="41">
        <v>137000000</v>
      </c>
      <c r="AW42" s="41">
        <v>183000000</v>
      </c>
      <c r="AX42" s="41">
        <v>216000000</v>
      </c>
      <c r="AY42" s="41">
        <v>244000000</v>
      </c>
      <c r="AZ42" s="41">
        <v>240000000</v>
      </c>
      <c r="BA42" s="41">
        <v>197000000</v>
      </c>
      <c r="BB42" s="41">
        <v>55000000</v>
      </c>
      <c r="BC42" s="41">
        <v>48000000</v>
      </c>
      <c r="BD42" s="41">
        <v>63000000</v>
      </c>
      <c r="BE42" s="41">
        <v>62000000</v>
      </c>
      <c r="BF42" s="41">
        <v>80000000</v>
      </c>
      <c r="BG42" s="41">
        <v>76000000</v>
      </c>
      <c r="BI42" s="41">
        <v>74000000</v>
      </c>
      <c r="BJ42" s="41">
        <v>68000000</v>
      </c>
      <c r="BK42" s="41">
        <v>140000000</v>
      </c>
      <c r="BL42" s="41">
        <v>126000000</v>
      </c>
    </row>
    <row r="43" spans="1:64">
      <c r="A43" t="s">
        <v>350</v>
      </c>
      <c r="B43" s="41">
        <v>438000000</v>
      </c>
      <c r="C43" s="41">
        <v>436000000</v>
      </c>
      <c r="D43" s="41">
        <v>434000000</v>
      </c>
      <c r="E43" s="41">
        <v>358000000</v>
      </c>
      <c r="F43" s="41">
        <v>312000000</v>
      </c>
      <c r="G43" s="41">
        <v>293000000</v>
      </c>
      <c r="H43" s="41">
        <v>276000000</v>
      </c>
      <c r="I43" s="41">
        <v>257000000</v>
      </c>
      <c r="J43" s="41">
        <v>11000000</v>
      </c>
      <c r="K43" s="41">
        <v>12000000</v>
      </c>
      <c r="L43" s="41">
        <v>14000000</v>
      </c>
      <c r="M43" s="41">
        <v>14000000</v>
      </c>
      <c r="N43" s="41">
        <v>15000000</v>
      </c>
      <c r="O43" s="41">
        <v>16000000</v>
      </c>
      <c r="P43" s="41">
        <v>15000000</v>
      </c>
      <c r="Q43" s="41">
        <v>207000000</v>
      </c>
      <c r="R43" s="41">
        <v>243000000</v>
      </c>
      <c r="S43" s="41">
        <v>223000000</v>
      </c>
      <c r="T43" s="41">
        <v>199000000</v>
      </c>
      <c r="U43" s="41">
        <v>144000000</v>
      </c>
      <c r="V43" s="41">
        <v>147000000</v>
      </c>
      <c r="W43" s="41">
        <v>172000000</v>
      </c>
      <c r="X43" s="41">
        <v>173000000</v>
      </c>
      <c r="Y43" s="41">
        <v>180000000</v>
      </c>
      <c r="Z43" s="41">
        <v>149000000</v>
      </c>
      <c r="AA43" s="41">
        <v>153000000</v>
      </c>
      <c r="AB43" s="41">
        <v>149000000</v>
      </c>
      <c r="AC43" s="41">
        <v>141000000</v>
      </c>
      <c r="AD43" s="41">
        <v>298000000</v>
      </c>
      <c r="AE43" s="41">
        <v>290000000</v>
      </c>
      <c r="AF43" s="41">
        <v>303000000</v>
      </c>
      <c r="AG43" s="41">
        <v>313000000</v>
      </c>
      <c r="AH43" s="41">
        <v>318000000</v>
      </c>
      <c r="AI43" s="41">
        <v>298000000</v>
      </c>
      <c r="AJ43" s="41">
        <v>305000000</v>
      </c>
      <c r="AK43" s="41">
        <v>301000000</v>
      </c>
      <c r="AL43" s="41">
        <v>233000000</v>
      </c>
      <c r="AM43" s="41">
        <v>198000000</v>
      </c>
      <c r="AN43" s="41">
        <v>186000000</v>
      </c>
      <c r="AO43" s="41">
        <v>196000000</v>
      </c>
      <c r="AP43" s="41">
        <v>193000000</v>
      </c>
      <c r="AQ43" s="41">
        <v>173000000</v>
      </c>
      <c r="AR43" s="41">
        <v>181000000</v>
      </c>
      <c r="AS43" s="41">
        <v>198000000</v>
      </c>
      <c r="AT43" s="41">
        <v>142000000</v>
      </c>
      <c r="AU43" s="41">
        <v>170000000</v>
      </c>
      <c r="AV43" s="41">
        <v>137000000</v>
      </c>
      <c r="AW43" s="41">
        <v>183000000</v>
      </c>
      <c r="AX43" s="41">
        <v>216000000</v>
      </c>
      <c r="AY43" s="41">
        <v>244000000</v>
      </c>
      <c r="AZ43" s="41">
        <v>240000000</v>
      </c>
      <c r="BA43" s="41">
        <v>197000000</v>
      </c>
      <c r="BB43" s="41">
        <v>55000000</v>
      </c>
      <c r="BC43" s="41">
        <v>48000000</v>
      </c>
      <c r="BD43" s="41">
        <v>63000000</v>
      </c>
      <c r="BE43" s="41">
        <v>62000000</v>
      </c>
      <c r="BF43" s="41">
        <v>80000000</v>
      </c>
      <c r="BG43" s="41">
        <v>76000000</v>
      </c>
      <c r="BI43" s="41">
        <v>74000000</v>
      </c>
      <c r="BJ43" s="41">
        <v>68000000</v>
      </c>
      <c r="BK43" s="41">
        <v>140000000</v>
      </c>
      <c r="BL43" s="41">
        <v>126000000</v>
      </c>
    </row>
    <row r="44" spans="1:64">
      <c r="A44" t="s">
        <v>351</v>
      </c>
      <c r="B44" s="41">
        <v>1628000000</v>
      </c>
      <c r="C44" s="41">
        <v>1563000000</v>
      </c>
      <c r="D44" s="41">
        <v>1540000000</v>
      </c>
      <c r="E44" s="41">
        <v>1501000000</v>
      </c>
      <c r="F44" s="41">
        <v>1389000000</v>
      </c>
      <c r="G44" s="41">
        <v>1377000000</v>
      </c>
      <c r="H44" s="41">
        <v>1379000000</v>
      </c>
      <c r="I44" s="41">
        <v>1268000000</v>
      </c>
      <c r="J44" s="41">
        <v>1179000000</v>
      </c>
      <c r="K44" s="41">
        <v>1263000000</v>
      </c>
      <c r="L44" s="41">
        <v>1291000000</v>
      </c>
      <c r="M44" s="41">
        <v>1282000000</v>
      </c>
      <c r="N44" s="41">
        <v>1211000000</v>
      </c>
      <c r="O44" s="41">
        <v>1192000000</v>
      </c>
      <c r="P44" s="41">
        <v>1100000000</v>
      </c>
      <c r="Q44" s="41">
        <v>1077000000</v>
      </c>
      <c r="R44" s="41">
        <v>1014000000</v>
      </c>
      <c r="S44" s="41">
        <v>1051000000</v>
      </c>
      <c r="T44" s="41">
        <v>920000000</v>
      </c>
      <c r="U44" s="41">
        <v>977000000</v>
      </c>
      <c r="V44" s="41">
        <v>932000000</v>
      </c>
      <c r="W44" s="41">
        <v>927000000</v>
      </c>
      <c r="X44" s="41">
        <v>892000000</v>
      </c>
      <c r="Y44" s="41">
        <v>851000000</v>
      </c>
      <c r="Z44" s="41">
        <v>873000000</v>
      </c>
      <c r="AA44" s="41">
        <v>869000000</v>
      </c>
      <c r="AB44" s="41">
        <v>869000000</v>
      </c>
      <c r="AC44" s="41">
        <v>846000000</v>
      </c>
      <c r="AD44" s="41">
        <v>1000000000</v>
      </c>
      <c r="AE44" s="41">
        <v>993000000</v>
      </c>
      <c r="AF44" s="41">
        <v>947000000</v>
      </c>
      <c r="AG44" s="41">
        <v>1098000000</v>
      </c>
      <c r="AH44" s="41">
        <v>1094000000</v>
      </c>
      <c r="AI44" s="41">
        <v>1104000000</v>
      </c>
      <c r="AJ44" s="41">
        <v>1082000000</v>
      </c>
      <c r="AK44" s="41">
        <v>1112000000</v>
      </c>
      <c r="AL44" s="41">
        <v>1106000000</v>
      </c>
      <c r="AM44" s="41">
        <v>1039000000</v>
      </c>
      <c r="AN44" s="41">
        <v>1024000000</v>
      </c>
      <c r="AO44" s="41">
        <v>993000000</v>
      </c>
      <c r="AP44" s="41">
        <v>983000000</v>
      </c>
      <c r="AQ44" s="41">
        <v>987000000</v>
      </c>
      <c r="AR44" s="41">
        <v>972000000</v>
      </c>
      <c r="AS44" s="41">
        <v>959000000</v>
      </c>
      <c r="AT44" s="41">
        <v>884000000</v>
      </c>
      <c r="AU44" s="41">
        <v>638000000</v>
      </c>
      <c r="AV44" s="41">
        <v>641000000</v>
      </c>
      <c r="AW44" s="41">
        <v>620000000</v>
      </c>
      <c r="AX44" s="41">
        <v>593000000</v>
      </c>
      <c r="AY44" s="41">
        <v>578000000</v>
      </c>
      <c r="AZ44" s="41">
        <v>574000000</v>
      </c>
      <c r="BA44" s="41">
        <v>575000000</v>
      </c>
      <c r="BB44" s="41">
        <v>564000000</v>
      </c>
      <c r="BC44" s="41">
        <v>583000000</v>
      </c>
      <c r="BD44" s="41">
        <v>576000000</v>
      </c>
      <c r="BE44" s="41">
        <v>936000000</v>
      </c>
      <c r="BF44" s="41">
        <v>518000000</v>
      </c>
      <c r="BG44" s="41">
        <v>494000000</v>
      </c>
      <c r="BH44" s="41">
        <v>676000000</v>
      </c>
      <c r="BI44" s="41">
        <v>867000000</v>
      </c>
      <c r="BJ44" s="41">
        <v>460000000</v>
      </c>
      <c r="BK44" s="41">
        <v>438000000</v>
      </c>
      <c r="BL44" s="41">
        <v>451000000</v>
      </c>
    </row>
    <row r="45" spans="1:64">
      <c r="A45" t="s">
        <v>352</v>
      </c>
      <c r="B45" s="41">
        <v>8165000000</v>
      </c>
      <c r="C45" s="41">
        <v>8904000000</v>
      </c>
      <c r="D45" s="41">
        <v>8059000000</v>
      </c>
      <c r="E45" s="41">
        <v>9266000000</v>
      </c>
      <c r="F45" s="41">
        <v>8728000000</v>
      </c>
      <c r="G45" s="41">
        <v>8904000000</v>
      </c>
      <c r="H45" s="41">
        <v>8922000000</v>
      </c>
      <c r="I45" s="41">
        <v>8610000000</v>
      </c>
      <c r="J45" s="41">
        <v>8956000000</v>
      </c>
      <c r="K45" s="41">
        <v>9038000000</v>
      </c>
      <c r="L45" s="41">
        <v>9165000000</v>
      </c>
      <c r="M45" s="41">
        <v>9037000000</v>
      </c>
      <c r="N45" s="41">
        <v>5888000000</v>
      </c>
      <c r="O45" s="41">
        <v>6053000000</v>
      </c>
      <c r="P45" s="41">
        <v>5881000000</v>
      </c>
      <c r="Q45" s="41">
        <v>5915000000</v>
      </c>
      <c r="R45" s="41">
        <v>5872000000</v>
      </c>
      <c r="S45" s="41">
        <v>5087000000</v>
      </c>
      <c r="T45" s="41">
        <v>4590000000</v>
      </c>
      <c r="U45" s="41">
        <v>4450000000</v>
      </c>
      <c r="V45" s="41">
        <v>4368000000</v>
      </c>
      <c r="W45" s="41">
        <v>4435000000</v>
      </c>
      <c r="X45" s="41">
        <v>4407000000</v>
      </c>
      <c r="Y45" s="41">
        <v>3966000000</v>
      </c>
      <c r="Z45" s="41">
        <v>3789000000</v>
      </c>
      <c r="AA45" s="41">
        <v>3615000000</v>
      </c>
      <c r="AB45" s="41">
        <v>3793000000</v>
      </c>
      <c r="AC45" s="41">
        <v>3719000000</v>
      </c>
      <c r="AD45" s="41">
        <v>4194000000</v>
      </c>
      <c r="AE45" s="41">
        <v>4049000000</v>
      </c>
      <c r="AF45" s="41">
        <v>4034000000</v>
      </c>
      <c r="AG45" s="41">
        <v>3841000000</v>
      </c>
      <c r="AH45" s="41">
        <v>3730000000</v>
      </c>
      <c r="AI45" s="41">
        <v>3698000000</v>
      </c>
      <c r="AJ45" s="41">
        <v>3899000000</v>
      </c>
      <c r="AK45" s="41">
        <v>3596000000</v>
      </c>
      <c r="AL45" s="41">
        <v>3538000000</v>
      </c>
      <c r="AM45" s="41">
        <v>3514000000</v>
      </c>
      <c r="AN45" s="41">
        <v>3483000000</v>
      </c>
      <c r="AO45" s="41">
        <v>3512000000</v>
      </c>
      <c r="AP45" s="41">
        <v>3378000000</v>
      </c>
      <c r="AQ45" s="41">
        <v>3234000000</v>
      </c>
      <c r="AR45" s="41">
        <v>3401000000</v>
      </c>
      <c r="AS45" s="41">
        <v>3400000000</v>
      </c>
      <c r="AT45" s="41">
        <v>3116000000</v>
      </c>
      <c r="AU45" s="41">
        <v>2993000000</v>
      </c>
      <c r="AV45" s="41">
        <v>2908000000</v>
      </c>
      <c r="AW45" s="41">
        <v>2809000000</v>
      </c>
      <c r="AX45" s="41">
        <v>2831000000</v>
      </c>
      <c r="AY45" s="41">
        <v>2798000000</v>
      </c>
      <c r="AZ45" s="41">
        <v>2698000000</v>
      </c>
      <c r="BA45" s="41">
        <v>2679000000</v>
      </c>
      <c r="BB45" s="41">
        <v>2600000000</v>
      </c>
      <c r="BC45" s="41">
        <v>2163000000</v>
      </c>
      <c r="BD45" s="41">
        <v>2109000000</v>
      </c>
      <c r="BE45" s="41">
        <v>2112000000</v>
      </c>
      <c r="BF45" s="41">
        <v>2105000000</v>
      </c>
      <c r="BG45" s="41">
        <v>2109000000</v>
      </c>
      <c r="BH45" s="41">
        <v>2105000000</v>
      </c>
      <c r="BI45" s="41">
        <v>2115000000</v>
      </c>
      <c r="BJ45" s="41">
        <v>2126000000</v>
      </c>
      <c r="BK45" s="41">
        <v>1839000000</v>
      </c>
      <c r="BL45" s="41">
        <v>2527000000</v>
      </c>
    </row>
    <row r="46" spans="1:64">
      <c r="A46" t="s">
        <v>353</v>
      </c>
      <c r="B46" s="41">
        <v>2936000000</v>
      </c>
      <c r="C46" s="41">
        <v>3744000000</v>
      </c>
      <c r="D46" s="41">
        <v>3382000000</v>
      </c>
      <c r="E46" s="41">
        <v>3578000000</v>
      </c>
      <c r="F46" s="41">
        <v>2408000000</v>
      </c>
      <c r="G46" s="41">
        <v>2621000000</v>
      </c>
      <c r="H46" s="41">
        <v>3347000000</v>
      </c>
      <c r="I46" s="41">
        <v>3287000000</v>
      </c>
      <c r="J46" s="41">
        <v>2957000000</v>
      </c>
      <c r="K46" s="41">
        <v>2411000000</v>
      </c>
      <c r="L46" s="41">
        <v>2520000000</v>
      </c>
      <c r="M46" s="41">
        <v>2232000000</v>
      </c>
      <c r="N46" s="41">
        <v>876000000</v>
      </c>
      <c r="O46" s="41">
        <v>1017000000</v>
      </c>
      <c r="P46" s="41">
        <v>950000000</v>
      </c>
      <c r="Q46" s="41">
        <v>984000000</v>
      </c>
      <c r="R46" s="41">
        <v>970000000</v>
      </c>
      <c r="S46" s="41">
        <v>701000000</v>
      </c>
      <c r="T46" s="41">
        <v>1183000000</v>
      </c>
      <c r="U46" s="41">
        <v>1086000000</v>
      </c>
      <c r="V46" s="41">
        <v>1044000000</v>
      </c>
      <c r="W46" s="41">
        <v>1114000000</v>
      </c>
      <c r="X46" s="41">
        <v>1105000000</v>
      </c>
      <c r="Y46" s="41">
        <v>1061000000</v>
      </c>
      <c r="Z46" s="41">
        <v>897000000</v>
      </c>
      <c r="AA46" s="41">
        <v>916000000</v>
      </c>
      <c r="AB46" s="41">
        <v>1051000000</v>
      </c>
      <c r="AC46" s="41">
        <v>992000000</v>
      </c>
      <c r="AD46" s="41">
        <v>1200000000</v>
      </c>
      <c r="AE46" s="41">
        <v>1073000000</v>
      </c>
      <c r="AF46" s="41">
        <v>1109000000</v>
      </c>
      <c r="AG46" s="41">
        <v>924000000</v>
      </c>
      <c r="AH46" s="41">
        <v>832000000</v>
      </c>
      <c r="AI46" s="41">
        <v>824000000</v>
      </c>
      <c r="AJ46" s="41">
        <v>1012000000</v>
      </c>
      <c r="AK46" s="41">
        <v>1107000000</v>
      </c>
      <c r="AL46" s="41">
        <v>1043000000</v>
      </c>
      <c r="AM46" s="41">
        <v>772000000</v>
      </c>
      <c r="AN46" s="41">
        <v>699000000</v>
      </c>
      <c r="AO46" s="41">
        <v>730000000</v>
      </c>
      <c r="AP46" s="41">
        <v>815000000</v>
      </c>
      <c r="AQ46" s="41">
        <v>679000000</v>
      </c>
      <c r="AR46" s="41">
        <v>857000000</v>
      </c>
      <c r="AS46" s="41">
        <v>871000000</v>
      </c>
      <c r="AT46" s="41">
        <v>679000000</v>
      </c>
      <c r="AU46" s="41">
        <v>634000000</v>
      </c>
      <c r="AV46" s="41">
        <v>583000000</v>
      </c>
      <c r="AW46" s="41">
        <v>618000000</v>
      </c>
      <c r="AX46" s="41">
        <v>613000000</v>
      </c>
      <c r="AY46" s="41">
        <v>611000000</v>
      </c>
      <c r="AZ46" s="41">
        <v>548000000</v>
      </c>
      <c r="BA46" s="41">
        <v>568000000</v>
      </c>
      <c r="BB46" s="41">
        <v>566000000</v>
      </c>
      <c r="BC46" s="41">
        <v>627000000</v>
      </c>
      <c r="BD46" s="41">
        <v>567000000</v>
      </c>
      <c r="BE46" s="41">
        <v>596000000</v>
      </c>
      <c r="BF46" s="41">
        <v>621000000</v>
      </c>
      <c r="BG46" s="41">
        <v>563000000</v>
      </c>
      <c r="BH46" s="41">
        <v>480000000</v>
      </c>
      <c r="BI46" s="41">
        <v>495000000</v>
      </c>
      <c r="BJ46" s="41">
        <v>562000000</v>
      </c>
      <c r="BK46" s="41">
        <v>574000000</v>
      </c>
      <c r="BL46" s="41">
        <v>653000000</v>
      </c>
    </row>
    <row r="47" spans="1:64">
      <c r="A47" t="s">
        <v>354</v>
      </c>
      <c r="B47" s="41">
        <v>963000000</v>
      </c>
      <c r="C47" s="41">
        <v>956000000</v>
      </c>
      <c r="D47" s="41">
        <v>978000000</v>
      </c>
      <c r="E47" s="41">
        <v>961000000</v>
      </c>
      <c r="F47" s="41">
        <v>830000000</v>
      </c>
      <c r="G47" s="41">
        <v>930000000</v>
      </c>
      <c r="H47" s="41">
        <v>1019000000</v>
      </c>
      <c r="I47" s="41">
        <v>915000000</v>
      </c>
      <c r="J47" s="41">
        <v>847000000</v>
      </c>
      <c r="K47" s="41">
        <v>946000000</v>
      </c>
      <c r="L47" s="41">
        <v>863000000</v>
      </c>
      <c r="M47" s="41">
        <v>822000000</v>
      </c>
      <c r="N47" s="41">
        <v>414000000</v>
      </c>
      <c r="O47" s="41">
        <v>308000000</v>
      </c>
      <c r="P47" s="41">
        <v>282000000</v>
      </c>
      <c r="Q47" s="41">
        <v>302000000</v>
      </c>
      <c r="R47" s="41">
        <v>329000000</v>
      </c>
      <c r="S47" s="41">
        <v>316000000</v>
      </c>
      <c r="T47" s="41">
        <v>412000000</v>
      </c>
      <c r="U47" s="41">
        <v>454000000</v>
      </c>
      <c r="V47" s="41">
        <v>459000000</v>
      </c>
      <c r="W47" s="41">
        <v>461000000</v>
      </c>
      <c r="X47" s="41">
        <v>437000000</v>
      </c>
      <c r="Y47" s="41">
        <v>512000000</v>
      </c>
      <c r="Z47" s="41">
        <v>423000000</v>
      </c>
      <c r="AA47" s="41">
        <v>430000000</v>
      </c>
      <c r="AB47" s="41">
        <v>597000000</v>
      </c>
      <c r="AC47" s="41">
        <v>488000000</v>
      </c>
      <c r="AD47" s="41">
        <v>715000000</v>
      </c>
      <c r="AE47" s="41">
        <v>709000000</v>
      </c>
      <c r="AF47" s="41">
        <v>707000000</v>
      </c>
      <c r="AG47" s="41">
        <v>676000000</v>
      </c>
      <c r="AH47" s="41">
        <v>692000000</v>
      </c>
      <c r="AI47" s="41">
        <v>695000000</v>
      </c>
      <c r="AJ47" s="41">
        <v>651000000</v>
      </c>
      <c r="AK47" s="41">
        <v>657000000</v>
      </c>
      <c r="AL47" s="41">
        <v>603000000</v>
      </c>
      <c r="AM47" s="41">
        <v>591000000</v>
      </c>
      <c r="AN47" s="41">
        <v>589000000</v>
      </c>
      <c r="AO47" s="41">
        <v>598000000</v>
      </c>
      <c r="AP47" s="41">
        <v>520000000</v>
      </c>
      <c r="AQ47" s="41">
        <v>526000000</v>
      </c>
      <c r="AR47" s="41">
        <v>550000000</v>
      </c>
      <c r="AS47" s="41">
        <v>544000000</v>
      </c>
      <c r="AT47" s="41">
        <v>528000000</v>
      </c>
      <c r="AU47" s="41">
        <v>496000000</v>
      </c>
      <c r="AV47" s="41">
        <v>456000000</v>
      </c>
      <c r="AW47" s="41">
        <v>476000000</v>
      </c>
      <c r="AX47" s="41">
        <v>475000000</v>
      </c>
      <c r="AY47" s="41">
        <v>494000000</v>
      </c>
      <c r="AZ47" s="41">
        <v>445000000</v>
      </c>
      <c r="BA47" s="41">
        <v>450000000</v>
      </c>
      <c r="BB47" s="41">
        <v>453000000</v>
      </c>
      <c r="BC47" s="41">
        <v>475000000</v>
      </c>
      <c r="BD47" s="41">
        <v>424000000</v>
      </c>
      <c r="BE47" s="41">
        <v>539000000</v>
      </c>
      <c r="BF47" s="41">
        <v>529000000</v>
      </c>
      <c r="BG47" s="41">
        <v>504000000</v>
      </c>
      <c r="BH47" s="41">
        <v>196000000</v>
      </c>
      <c r="BI47" s="41">
        <v>483000000</v>
      </c>
      <c r="BJ47" s="41">
        <v>550000000</v>
      </c>
      <c r="BK47" s="41">
        <v>463000000</v>
      </c>
      <c r="BL47" s="41">
        <v>615000000</v>
      </c>
    </row>
    <row r="48" spans="1:64">
      <c r="A48" t="s">
        <v>355</v>
      </c>
      <c r="B48" s="41">
        <v>346000000</v>
      </c>
      <c r="C48" s="41">
        <v>488000000</v>
      </c>
      <c r="D48" s="41">
        <v>539000000</v>
      </c>
      <c r="E48" s="41">
        <v>493000000</v>
      </c>
      <c r="F48" s="41">
        <v>369000000</v>
      </c>
      <c r="G48" s="41">
        <v>486000000</v>
      </c>
      <c r="H48" s="41">
        <v>544000000</v>
      </c>
      <c r="I48" s="41">
        <v>500000000</v>
      </c>
      <c r="J48" s="41">
        <v>402000000</v>
      </c>
      <c r="K48" s="41">
        <v>554000000</v>
      </c>
      <c r="L48" s="41">
        <v>546000000</v>
      </c>
      <c r="M48" s="41">
        <v>523000000</v>
      </c>
      <c r="N48" s="41">
        <v>109000000</v>
      </c>
      <c r="O48" s="41">
        <v>110000000</v>
      </c>
      <c r="P48" s="41">
        <v>102000000</v>
      </c>
      <c r="Q48" s="41">
        <v>102000000</v>
      </c>
      <c r="R48" s="41">
        <v>101000000</v>
      </c>
      <c r="S48" s="41">
        <v>93000000</v>
      </c>
      <c r="T48" s="41">
        <v>133000000</v>
      </c>
      <c r="U48" s="41">
        <v>150000000</v>
      </c>
      <c r="V48" s="41">
        <v>144000000</v>
      </c>
      <c r="W48" s="41">
        <v>149000000</v>
      </c>
      <c r="X48" s="41">
        <v>174000000</v>
      </c>
      <c r="Y48" s="41">
        <v>151000000</v>
      </c>
      <c r="Z48" s="41">
        <v>127000000</v>
      </c>
      <c r="AA48" s="41">
        <v>130000000</v>
      </c>
      <c r="AB48" s="41">
        <v>131000000</v>
      </c>
      <c r="AC48" s="41">
        <v>136000000</v>
      </c>
      <c r="AD48" s="41">
        <v>151000000</v>
      </c>
      <c r="AE48" s="41">
        <v>159000000</v>
      </c>
      <c r="AF48" s="41">
        <v>155000000</v>
      </c>
      <c r="AG48" s="41">
        <v>162000000</v>
      </c>
      <c r="AH48" s="41">
        <v>127000000</v>
      </c>
      <c r="AI48" s="41">
        <v>144000000</v>
      </c>
      <c r="AJ48" s="41">
        <v>135000000</v>
      </c>
      <c r="AK48" s="41">
        <v>141000000</v>
      </c>
      <c r="AL48" s="41">
        <v>131000000</v>
      </c>
      <c r="AM48" s="41">
        <v>133000000</v>
      </c>
      <c r="AN48" s="41">
        <v>140000000</v>
      </c>
      <c r="AO48" s="41">
        <v>130000000</v>
      </c>
      <c r="AP48" s="41">
        <v>107000000</v>
      </c>
      <c r="AQ48" s="41">
        <v>124000000</v>
      </c>
      <c r="AR48" s="41">
        <v>131000000</v>
      </c>
      <c r="AS48" s="41">
        <v>133000000</v>
      </c>
      <c r="AT48" s="41">
        <v>117000000</v>
      </c>
      <c r="AU48" s="41">
        <v>110000000</v>
      </c>
      <c r="AV48" s="41">
        <v>119000000</v>
      </c>
      <c r="AW48" s="41">
        <v>138000000</v>
      </c>
      <c r="AX48" s="41">
        <v>113000000</v>
      </c>
      <c r="AY48" s="41">
        <v>116000000</v>
      </c>
      <c r="AZ48" s="41">
        <v>130000000</v>
      </c>
      <c r="BA48" s="41">
        <v>144000000</v>
      </c>
      <c r="BB48" s="41">
        <v>135000000</v>
      </c>
      <c r="BC48" s="41">
        <v>146000000</v>
      </c>
      <c r="BD48" s="41">
        <v>113000000</v>
      </c>
      <c r="BE48" s="41">
        <v>145000000</v>
      </c>
      <c r="BF48" s="41">
        <v>235000000</v>
      </c>
      <c r="BG48" s="41">
        <v>210000000</v>
      </c>
      <c r="BH48" s="41">
        <v>196000000</v>
      </c>
      <c r="BI48" s="41">
        <v>196000000</v>
      </c>
      <c r="BJ48" s="41">
        <v>272000000</v>
      </c>
      <c r="BK48" s="41">
        <v>302000000</v>
      </c>
      <c r="BL48" s="41">
        <v>341000000</v>
      </c>
    </row>
    <row r="49" spans="1:64">
      <c r="A49" t="s">
        <v>356</v>
      </c>
      <c r="B49" s="41">
        <v>346000000</v>
      </c>
      <c r="C49" s="41">
        <v>488000000</v>
      </c>
      <c r="D49" s="41">
        <v>539000000</v>
      </c>
      <c r="E49" s="41">
        <v>493000000</v>
      </c>
      <c r="F49" s="41">
        <v>369000000</v>
      </c>
      <c r="G49" s="41">
        <v>486000000</v>
      </c>
      <c r="H49" s="41">
        <v>544000000</v>
      </c>
      <c r="I49" s="41">
        <v>500000000</v>
      </c>
      <c r="J49" s="41">
        <v>402000000</v>
      </c>
      <c r="K49" s="41">
        <v>554000000</v>
      </c>
      <c r="L49" s="41">
        <v>546000000</v>
      </c>
      <c r="M49" s="41">
        <v>523000000</v>
      </c>
      <c r="N49" s="41">
        <v>109000000</v>
      </c>
      <c r="O49" s="41">
        <v>110000000</v>
      </c>
      <c r="P49" s="41">
        <v>102000000</v>
      </c>
      <c r="Q49" s="41">
        <v>102000000</v>
      </c>
      <c r="R49" s="41">
        <v>101000000</v>
      </c>
      <c r="S49" s="41">
        <v>93000000</v>
      </c>
      <c r="T49" s="41">
        <v>133000000</v>
      </c>
      <c r="U49" s="41">
        <v>150000000</v>
      </c>
      <c r="V49" s="41">
        <v>144000000</v>
      </c>
      <c r="W49" s="41">
        <v>149000000</v>
      </c>
      <c r="X49" s="41">
        <v>174000000</v>
      </c>
      <c r="Y49" s="41">
        <v>151000000</v>
      </c>
      <c r="Z49" s="41">
        <v>127000000</v>
      </c>
      <c r="AA49" s="41">
        <v>130000000</v>
      </c>
      <c r="AB49" s="41">
        <v>131000000</v>
      </c>
      <c r="AC49" s="41">
        <v>136000000</v>
      </c>
      <c r="AD49" s="41">
        <v>151000000</v>
      </c>
      <c r="AE49" s="41">
        <v>159000000</v>
      </c>
      <c r="AF49" s="41">
        <v>155000000</v>
      </c>
      <c r="AG49" s="41">
        <v>162000000</v>
      </c>
      <c r="AH49" s="41">
        <v>127000000</v>
      </c>
      <c r="AI49" s="41">
        <v>144000000</v>
      </c>
      <c r="AJ49" s="41">
        <v>135000000</v>
      </c>
      <c r="AK49" s="41">
        <v>141000000</v>
      </c>
      <c r="AL49" s="41">
        <v>131000000</v>
      </c>
      <c r="AM49" s="41">
        <v>133000000</v>
      </c>
      <c r="AN49" s="41">
        <v>140000000</v>
      </c>
      <c r="AO49" s="41">
        <v>130000000</v>
      </c>
      <c r="AP49" s="41">
        <v>107000000</v>
      </c>
      <c r="AQ49" s="41">
        <v>124000000</v>
      </c>
      <c r="AR49" s="41">
        <v>131000000</v>
      </c>
      <c r="AS49" s="41">
        <v>133000000</v>
      </c>
      <c r="AT49" s="41">
        <v>117000000</v>
      </c>
      <c r="AU49" s="41">
        <v>110000000</v>
      </c>
      <c r="AV49" s="41">
        <v>119000000</v>
      </c>
      <c r="AW49" s="41">
        <v>138000000</v>
      </c>
      <c r="AX49" s="41">
        <v>113000000</v>
      </c>
      <c r="AY49" s="41">
        <v>116000000</v>
      </c>
      <c r="AZ49" s="41">
        <v>130000000</v>
      </c>
      <c r="BA49" s="41">
        <v>144000000</v>
      </c>
      <c r="BB49" s="41">
        <v>135000000</v>
      </c>
      <c r="BC49" s="41">
        <v>146000000</v>
      </c>
      <c r="BD49" s="41">
        <v>113000000</v>
      </c>
      <c r="BE49" s="41">
        <v>145000000</v>
      </c>
      <c r="BF49" s="41">
        <v>225000000</v>
      </c>
      <c r="BG49" s="41">
        <v>204000000</v>
      </c>
      <c r="BH49" s="41">
        <v>196000000</v>
      </c>
      <c r="BI49" s="41">
        <v>196000000</v>
      </c>
      <c r="BJ49" s="41">
        <v>265000000</v>
      </c>
      <c r="BK49" s="41">
        <v>291000000</v>
      </c>
      <c r="BL49" s="41">
        <v>318000000</v>
      </c>
    </row>
    <row r="50" spans="1:64">
      <c r="A50" t="s">
        <v>357</v>
      </c>
      <c r="BF50" s="41">
        <v>10000000</v>
      </c>
      <c r="BG50" s="41">
        <v>6000000</v>
      </c>
      <c r="BI50" s="41">
        <v>5000000</v>
      </c>
      <c r="BJ50" s="41">
        <v>7000000</v>
      </c>
      <c r="BK50" s="41">
        <v>11000000</v>
      </c>
      <c r="BL50" s="41">
        <v>23000000</v>
      </c>
    </row>
    <row r="51" spans="1:64">
      <c r="A51" t="s">
        <v>358</v>
      </c>
      <c r="BF51" s="41">
        <v>10000000</v>
      </c>
      <c r="BG51" s="41">
        <v>6000000</v>
      </c>
      <c r="BI51" s="41">
        <v>5000000</v>
      </c>
      <c r="BJ51" s="41">
        <v>7000000</v>
      </c>
      <c r="BK51" s="41">
        <v>11000000</v>
      </c>
      <c r="BL51" s="41">
        <v>23000000</v>
      </c>
    </row>
    <row r="52" spans="1:64">
      <c r="A52" t="s">
        <v>359</v>
      </c>
      <c r="B52" s="41">
        <v>617000000</v>
      </c>
      <c r="C52" s="41">
        <v>468000000</v>
      </c>
      <c r="D52" s="41">
        <v>439000000</v>
      </c>
      <c r="E52" s="41">
        <v>468000000</v>
      </c>
      <c r="F52" s="41">
        <v>461000000</v>
      </c>
      <c r="G52" s="41">
        <v>444000000</v>
      </c>
      <c r="H52" s="41">
        <v>475000000</v>
      </c>
      <c r="I52" s="41">
        <v>415000000</v>
      </c>
      <c r="J52" s="41">
        <v>445000000</v>
      </c>
      <c r="K52" s="41">
        <v>392000000</v>
      </c>
      <c r="L52" s="41">
        <v>317000000</v>
      </c>
      <c r="M52" s="41">
        <v>299000000</v>
      </c>
      <c r="N52" s="41">
        <v>305000000</v>
      </c>
      <c r="O52" s="41">
        <v>198000000</v>
      </c>
      <c r="P52" s="41">
        <v>180000000</v>
      </c>
      <c r="Q52" s="41">
        <v>200000000</v>
      </c>
      <c r="R52" s="41">
        <v>228000000</v>
      </c>
      <c r="S52" s="41">
        <v>223000000</v>
      </c>
      <c r="T52" s="41">
        <v>279000000</v>
      </c>
      <c r="U52" s="41">
        <v>304000000</v>
      </c>
      <c r="V52" s="41">
        <v>315000000</v>
      </c>
      <c r="W52" s="41">
        <v>312000000</v>
      </c>
      <c r="X52" s="41">
        <v>263000000</v>
      </c>
      <c r="Y52" s="41">
        <v>361000000</v>
      </c>
      <c r="Z52" s="41">
        <v>296000000</v>
      </c>
      <c r="AA52" s="41">
        <v>300000000</v>
      </c>
      <c r="AB52" s="41">
        <v>466000000</v>
      </c>
      <c r="AC52" s="41">
        <v>352000000</v>
      </c>
      <c r="AD52" s="41">
        <v>564000000</v>
      </c>
      <c r="AE52" s="41">
        <v>550000000</v>
      </c>
      <c r="AF52" s="41">
        <v>552000000</v>
      </c>
      <c r="AG52" s="41">
        <v>514000000</v>
      </c>
      <c r="AH52" s="41">
        <v>565000000</v>
      </c>
      <c r="AI52" s="41">
        <v>551000000</v>
      </c>
      <c r="AJ52" s="41">
        <v>516000000</v>
      </c>
      <c r="AK52" s="41">
        <v>516000000</v>
      </c>
      <c r="AL52" s="41">
        <v>472000000</v>
      </c>
      <c r="AM52" s="41">
        <v>458000000</v>
      </c>
      <c r="AN52" s="41">
        <v>449000000</v>
      </c>
      <c r="AO52" s="41">
        <v>468000000</v>
      </c>
      <c r="AP52" s="41">
        <v>413000000</v>
      </c>
      <c r="AQ52" s="41">
        <v>402000000</v>
      </c>
      <c r="AR52" s="41">
        <v>419000000</v>
      </c>
      <c r="AS52" s="41">
        <v>411000000</v>
      </c>
      <c r="AT52" s="41">
        <v>411000000</v>
      </c>
      <c r="AU52" s="41">
        <v>386000000</v>
      </c>
      <c r="AV52" s="41">
        <v>337000000</v>
      </c>
      <c r="AW52" s="41">
        <v>338000000</v>
      </c>
      <c r="AX52" s="41">
        <v>362000000</v>
      </c>
      <c r="AY52" s="41">
        <v>378000000</v>
      </c>
      <c r="AZ52" s="41">
        <v>315000000</v>
      </c>
      <c r="BA52" s="41">
        <v>306000000</v>
      </c>
      <c r="BB52" s="41">
        <v>318000000</v>
      </c>
      <c r="BC52" s="41">
        <v>329000000</v>
      </c>
      <c r="BD52" s="41">
        <v>311000000</v>
      </c>
      <c r="BE52" s="41">
        <v>394000000</v>
      </c>
      <c r="BF52" s="41">
        <v>294000000</v>
      </c>
      <c r="BG52" s="41">
        <v>294000000</v>
      </c>
      <c r="BI52" s="41">
        <v>287000000</v>
      </c>
      <c r="BJ52" s="41">
        <v>278000000</v>
      </c>
      <c r="BK52" s="41">
        <v>161000000</v>
      </c>
      <c r="BL52" s="41">
        <v>274000000</v>
      </c>
    </row>
    <row r="53" spans="1:64">
      <c r="A53" t="s">
        <v>360</v>
      </c>
      <c r="B53" s="41">
        <v>186000000</v>
      </c>
      <c r="C53" s="41">
        <v>161000000</v>
      </c>
      <c r="D53" s="41">
        <v>145000000</v>
      </c>
      <c r="E53" s="41">
        <v>210000000</v>
      </c>
      <c r="F53" s="41">
        <v>182000000</v>
      </c>
      <c r="G53" s="41">
        <v>162000000</v>
      </c>
      <c r="H53" s="41">
        <v>146000000</v>
      </c>
      <c r="I53" s="41">
        <v>235000000</v>
      </c>
      <c r="J53" s="41">
        <v>195000000</v>
      </c>
      <c r="K53" s="41">
        <v>144000000</v>
      </c>
      <c r="L53" s="41">
        <v>119000000</v>
      </c>
      <c r="M53" s="41">
        <v>187000000</v>
      </c>
      <c r="N53" s="41">
        <v>116000000</v>
      </c>
      <c r="O53" s="41">
        <v>108000000</v>
      </c>
      <c r="P53" s="41">
        <v>100000000</v>
      </c>
      <c r="Q53" s="41">
        <v>111000000</v>
      </c>
      <c r="R53" s="41">
        <v>103000000</v>
      </c>
      <c r="S53" s="41">
        <v>97000000</v>
      </c>
      <c r="T53" s="41">
        <v>90000000</v>
      </c>
      <c r="U53" s="41">
        <v>144000000</v>
      </c>
      <c r="V53" s="41">
        <v>137000000</v>
      </c>
      <c r="W53" s="41">
        <v>127000000</v>
      </c>
      <c r="X53" s="41">
        <v>108000000</v>
      </c>
      <c r="Y53" s="41">
        <v>150000000</v>
      </c>
      <c r="Z53" s="41">
        <v>130000000</v>
      </c>
      <c r="AA53" s="41">
        <v>112000000</v>
      </c>
      <c r="AB53" s="41">
        <v>109000000</v>
      </c>
      <c r="AC53" s="41">
        <v>145000000</v>
      </c>
      <c r="AD53" s="41">
        <v>133000000</v>
      </c>
      <c r="AE53" s="41">
        <v>123000000</v>
      </c>
      <c r="AF53" s="41">
        <v>103000000</v>
      </c>
      <c r="AG53" s="41">
        <v>129000000</v>
      </c>
      <c r="AH53" s="41">
        <v>121000000</v>
      </c>
      <c r="AI53" s="41">
        <v>110000000</v>
      </c>
      <c r="AJ53" s="41">
        <v>96000000</v>
      </c>
      <c r="AK53" s="41">
        <v>122000000</v>
      </c>
      <c r="AL53" s="41">
        <v>122000000</v>
      </c>
      <c r="AM53" s="41">
        <v>109000000</v>
      </c>
      <c r="AN53" s="41">
        <v>101000000</v>
      </c>
      <c r="AO53" s="41">
        <v>120000000</v>
      </c>
      <c r="AP53" s="41">
        <v>122000000</v>
      </c>
      <c r="AQ53" s="41">
        <v>117000000</v>
      </c>
      <c r="AR53" s="41">
        <v>113000000</v>
      </c>
      <c r="AS53" s="41">
        <v>133000000</v>
      </c>
      <c r="AT53" s="41">
        <v>128000000</v>
      </c>
      <c r="AU53" s="41">
        <v>120000000</v>
      </c>
      <c r="AV53" s="41">
        <v>113000000</v>
      </c>
      <c r="AW53" s="41">
        <v>137000000</v>
      </c>
      <c r="AX53" s="41">
        <v>131000000</v>
      </c>
      <c r="AY53" s="41">
        <v>113000000</v>
      </c>
      <c r="AZ53" s="41">
        <v>99000000</v>
      </c>
      <c r="BA53" s="41">
        <v>114000000</v>
      </c>
      <c r="BB53" s="41">
        <v>109000000</v>
      </c>
      <c r="BC53" s="41">
        <v>97000000</v>
      </c>
      <c r="BD53" s="41">
        <v>87000000</v>
      </c>
      <c r="BK53" s="41">
        <v>94000000</v>
      </c>
    </row>
    <row r="54" spans="1:64">
      <c r="A54" t="s">
        <v>361</v>
      </c>
      <c r="B54" s="41">
        <v>489000000</v>
      </c>
      <c r="C54" s="41">
        <v>1235000000</v>
      </c>
      <c r="D54" s="41">
        <v>788000000</v>
      </c>
      <c r="E54" s="41">
        <v>792000000</v>
      </c>
      <c r="F54" s="41">
        <v>46000000</v>
      </c>
      <c r="G54" s="41">
        <v>87000000</v>
      </c>
      <c r="H54" s="41">
        <v>687000000</v>
      </c>
      <c r="I54" s="41">
        <v>699000000</v>
      </c>
      <c r="J54" s="41">
        <v>690000000</v>
      </c>
      <c r="K54" s="41">
        <v>41000000</v>
      </c>
      <c r="L54" s="41">
        <v>41000000</v>
      </c>
      <c r="M54" s="41">
        <v>45000000</v>
      </c>
      <c r="N54" s="41">
        <v>40000000</v>
      </c>
      <c r="O54" s="41">
        <v>290000000</v>
      </c>
      <c r="P54" s="41">
        <v>287000000</v>
      </c>
      <c r="Q54" s="41">
        <v>289000000</v>
      </c>
      <c r="R54" s="41">
        <v>292000000</v>
      </c>
      <c r="S54" s="41">
        <v>40000000</v>
      </c>
      <c r="T54" s="41">
        <v>390000000</v>
      </c>
      <c r="U54" s="41">
        <v>43000000</v>
      </c>
      <c r="V54" s="41">
        <v>44000000</v>
      </c>
      <c r="W54" s="41">
        <v>126000000</v>
      </c>
      <c r="X54" s="41">
        <v>165000000</v>
      </c>
      <c r="Y54" s="41">
        <v>11000000</v>
      </c>
      <c r="Z54" s="41">
        <v>11000000</v>
      </c>
      <c r="AA54" s="41">
        <v>11000000</v>
      </c>
      <c r="AB54" s="41">
        <v>11000000</v>
      </c>
      <c r="AC54" s="41">
        <v>11000000</v>
      </c>
      <c r="AD54" s="41">
        <v>352000000</v>
      </c>
      <c r="AE54" s="41">
        <v>241000000</v>
      </c>
      <c r="AF54" s="41">
        <v>299000000</v>
      </c>
      <c r="AG54" s="41">
        <v>119000000</v>
      </c>
      <c r="AH54" s="41">
        <v>19000000</v>
      </c>
      <c r="AI54" s="41">
        <v>19000000</v>
      </c>
      <c r="AJ54" s="41">
        <v>265000000</v>
      </c>
      <c r="AK54" s="41">
        <v>328000000</v>
      </c>
      <c r="AL54" s="41">
        <v>318000000</v>
      </c>
      <c r="AM54" s="41">
        <v>72000000</v>
      </c>
      <c r="AN54" s="41">
        <v>9000000</v>
      </c>
      <c r="AO54" s="41">
        <v>9000000</v>
      </c>
      <c r="AP54" s="41">
        <v>135000000</v>
      </c>
      <c r="AQ54" s="41">
        <v>5000000</v>
      </c>
      <c r="AR54" s="41">
        <v>194000000</v>
      </c>
      <c r="AS54" s="41">
        <v>194000000</v>
      </c>
      <c r="AT54" s="41">
        <v>23000000</v>
      </c>
      <c r="AU54" s="41">
        <v>14000000</v>
      </c>
      <c r="AV54" s="41">
        <v>14000000</v>
      </c>
      <c r="AW54" s="41">
        <v>4000000</v>
      </c>
      <c r="AX54" s="41">
        <v>4000000</v>
      </c>
      <c r="AY54" s="41">
        <v>4000000</v>
      </c>
      <c r="AZ54" s="41">
        <v>4000000</v>
      </c>
      <c r="BA54" s="41">
        <v>4000000</v>
      </c>
      <c r="BB54" s="41">
        <v>4000000</v>
      </c>
      <c r="BC54" s="41">
        <v>55000000</v>
      </c>
      <c r="BD54" s="41">
        <v>56000000</v>
      </c>
      <c r="BE54" s="41">
        <v>57000000</v>
      </c>
      <c r="BF54" s="41">
        <v>92000000</v>
      </c>
      <c r="BG54" s="41">
        <v>59000000</v>
      </c>
      <c r="BI54" s="41">
        <v>12000000</v>
      </c>
      <c r="BJ54" s="41">
        <v>12000000</v>
      </c>
      <c r="BK54" s="41">
        <v>17000000</v>
      </c>
      <c r="BL54" s="41">
        <v>38000000</v>
      </c>
    </row>
    <row r="55" spans="1:64">
      <c r="A55" t="s">
        <v>362</v>
      </c>
      <c r="B55" s="41">
        <v>455000000</v>
      </c>
      <c r="C55" s="41">
        <v>1201000000</v>
      </c>
      <c r="D55" s="41">
        <v>751000000</v>
      </c>
      <c r="E55" s="41">
        <v>751000000</v>
      </c>
      <c r="F55" s="41">
        <v>6000000</v>
      </c>
      <c r="G55" s="41">
        <v>46000000</v>
      </c>
      <c r="H55" s="41">
        <v>648000000</v>
      </c>
      <c r="I55" s="41">
        <v>660000000</v>
      </c>
      <c r="J55" s="41">
        <v>654000000</v>
      </c>
      <c r="K55" s="41">
        <v>6000000</v>
      </c>
      <c r="L55" s="41">
        <v>6000000</v>
      </c>
      <c r="M55" s="41">
        <v>10000000</v>
      </c>
      <c r="N55" s="41">
        <v>10000000</v>
      </c>
      <c r="O55" s="41">
        <v>260000000</v>
      </c>
      <c r="P55" s="41">
        <v>260000000</v>
      </c>
      <c r="Q55" s="41">
        <v>260000000</v>
      </c>
      <c r="R55" s="41">
        <v>260000000</v>
      </c>
      <c r="S55" s="41">
        <v>9000000</v>
      </c>
      <c r="T55" s="41">
        <v>360000000</v>
      </c>
      <c r="U55" s="41">
        <v>11000000</v>
      </c>
      <c r="V55" s="41">
        <v>11000000</v>
      </c>
      <c r="W55" s="41">
        <v>91000000</v>
      </c>
      <c r="X55" s="41">
        <v>131000000</v>
      </c>
      <c r="Y55" s="41">
        <v>11000000</v>
      </c>
      <c r="Z55" s="41">
        <v>11000000</v>
      </c>
      <c r="AA55" s="41">
        <v>11000000</v>
      </c>
      <c r="AB55" s="41">
        <v>11000000</v>
      </c>
      <c r="AC55" s="41">
        <v>11000000</v>
      </c>
      <c r="AD55" s="41">
        <v>352000000</v>
      </c>
      <c r="AE55" s="41">
        <v>241000000</v>
      </c>
      <c r="AF55" s="41">
        <v>299000000</v>
      </c>
      <c r="AG55" s="41">
        <v>119000000</v>
      </c>
      <c r="AH55" s="41">
        <v>19000000</v>
      </c>
      <c r="AI55" s="41">
        <v>19000000</v>
      </c>
      <c r="AJ55" s="41">
        <v>265000000</v>
      </c>
      <c r="AK55" s="41">
        <v>328000000</v>
      </c>
      <c r="AL55" s="41">
        <v>318000000</v>
      </c>
      <c r="AM55" s="41">
        <v>72000000</v>
      </c>
      <c r="AN55" s="41">
        <v>9000000</v>
      </c>
      <c r="AO55" s="41">
        <v>9000000</v>
      </c>
      <c r="AP55" s="41">
        <v>135000000</v>
      </c>
      <c r="AQ55" s="41">
        <v>5000000</v>
      </c>
      <c r="AR55" s="41">
        <v>194000000</v>
      </c>
      <c r="AS55" s="41">
        <v>194000000</v>
      </c>
      <c r="AT55" s="41">
        <v>23000000</v>
      </c>
      <c r="AU55" s="41">
        <v>14000000</v>
      </c>
      <c r="AV55" s="41">
        <v>14000000</v>
      </c>
      <c r="AW55" s="41">
        <v>4000000</v>
      </c>
      <c r="AX55" s="41">
        <v>4000000</v>
      </c>
      <c r="AY55" s="41">
        <v>4000000</v>
      </c>
      <c r="AZ55" s="41">
        <v>4000000</v>
      </c>
      <c r="BA55" s="41">
        <v>4000000</v>
      </c>
      <c r="BB55" s="41">
        <v>4000000</v>
      </c>
      <c r="BC55" s="41">
        <v>55000000</v>
      </c>
      <c r="BD55" s="41">
        <v>56000000</v>
      </c>
      <c r="BE55" s="41">
        <v>57000000</v>
      </c>
      <c r="BF55" s="41">
        <v>92000000</v>
      </c>
      <c r="BG55" s="41">
        <v>59000000</v>
      </c>
      <c r="BI55" s="41">
        <v>12000000</v>
      </c>
      <c r="BJ55" s="41">
        <v>12000000</v>
      </c>
      <c r="BK55" s="41">
        <v>17000000</v>
      </c>
      <c r="BL55" s="41">
        <v>38000000</v>
      </c>
    </row>
    <row r="56" spans="1:64">
      <c r="A56" t="s">
        <v>363</v>
      </c>
      <c r="B56" s="41">
        <v>455000000</v>
      </c>
      <c r="C56" s="41">
        <v>1201000000</v>
      </c>
      <c r="D56" s="41">
        <v>751000000</v>
      </c>
      <c r="E56" s="41">
        <v>751000000</v>
      </c>
      <c r="F56" s="41">
        <v>6000000</v>
      </c>
      <c r="G56" s="41">
        <v>46000000</v>
      </c>
      <c r="H56" s="41">
        <v>648000000</v>
      </c>
      <c r="I56" s="41">
        <v>660000000</v>
      </c>
      <c r="J56" s="41">
        <v>654000000</v>
      </c>
      <c r="K56" s="41">
        <v>6000000</v>
      </c>
      <c r="L56" s="41">
        <v>6000000</v>
      </c>
      <c r="M56" s="41">
        <v>10000000</v>
      </c>
      <c r="N56" s="41">
        <v>10000000</v>
      </c>
      <c r="O56" s="41">
        <v>260000000</v>
      </c>
      <c r="P56" s="41">
        <v>260000000</v>
      </c>
      <c r="Q56" s="41">
        <v>260000000</v>
      </c>
      <c r="R56" s="41">
        <v>260000000</v>
      </c>
      <c r="S56" s="41">
        <v>9000000</v>
      </c>
      <c r="T56" s="41">
        <v>360000000</v>
      </c>
      <c r="U56" s="41">
        <v>11000000</v>
      </c>
      <c r="V56" s="41">
        <v>11000000</v>
      </c>
      <c r="W56" s="41">
        <v>91000000</v>
      </c>
      <c r="X56" s="41">
        <v>131000000</v>
      </c>
      <c r="Y56" s="41">
        <v>11000000</v>
      </c>
    </row>
    <row r="57" spans="1:64">
      <c r="A57" t="s">
        <v>364</v>
      </c>
      <c r="B57" s="41">
        <v>34000000</v>
      </c>
      <c r="C57" s="41">
        <v>34000000</v>
      </c>
      <c r="D57" s="41">
        <v>37000000</v>
      </c>
      <c r="E57" s="41">
        <v>41000000</v>
      </c>
      <c r="F57" s="41">
        <v>40000000</v>
      </c>
      <c r="G57" s="41">
        <v>41000000</v>
      </c>
      <c r="H57" s="41">
        <v>39000000</v>
      </c>
      <c r="I57" s="41">
        <v>39000000</v>
      </c>
      <c r="J57" s="41">
        <v>36000000</v>
      </c>
      <c r="K57" s="41">
        <v>35000000</v>
      </c>
      <c r="L57" s="41">
        <v>35000000</v>
      </c>
      <c r="M57" s="41">
        <v>35000000</v>
      </c>
      <c r="N57" s="41">
        <v>30000000</v>
      </c>
      <c r="O57" s="41">
        <v>30000000</v>
      </c>
      <c r="P57" s="41">
        <v>27000000</v>
      </c>
      <c r="Q57" s="41">
        <v>29000000</v>
      </c>
      <c r="R57" s="41">
        <v>32000000</v>
      </c>
      <c r="S57" s="41">
        <v>31000000</v>
      </c>
      <c r="T57" s="41">
        <v>30000000</v>
      </c>
      <c r="U57" s="41">
        <v>32000000</v>
      </c>
      <c r="V57" s="41">
        <v>33000000</v>
      </c>
      <c r="W57" s="41">
        <v>35000000</v>
      </c>
      <c r="X57" s="41">
        <v>34000000</v>
      </c>
      <c r="Y57">
        <v>0</v>
      </c>
    </row>
    <row r="58" spans="1:64">
      <c r="A58" t="s">
        <v>365</v>
      </c>
      <c r="B58" s="41">
        <v>1298000000</v>
      </c>
      <c r="C58" s="41">
        <v>1392000000</v>
      </c>
      <c r="D58" s="41">
        <v>1464000000</v>
      </c>
      <c r="E58" s="41">
        <v>1598000000</v>
      </c>
      <c r="F58" s="41">
        <v>1350000000</v>
      </c>
      <c r="G58" s="41">
        <v>1442000000</v>
      </c>
      <c r="H58" s="41">
        <v>1495000000</v>
      </c>
      <c r="I58" s="41">
        <v>1438000000</v>
      </c>
      <c r="J58" s="41">
        <v>1219000000</v>
      </c>
      <c r="K58" s="41">
        <v>1280000000</v>
      </c>
      <c r="L58" s="41">
        <v>1285000000</v>
      </c>
      <c r="M58" s="41">
        <v>1178000000</v>
      </c>
      <c r="N58" s="41">
        <v>306000000</v>
      </c>
      <c r="O58" s="41">
        <v>311000000</v>
      </c>
      <c r="P58" s="41">
        <v>281000000</v>
      </c>
      <c r="Q58" s="41">
        <v>282000000</v>
      </c>
      <c r="R58" s="41">
        <v>246000000</v>
      </c>
      <c r="S58" s="41">
        <v>248000000</v>
      </c>
      <c r="T58" s="41">
        <v>291000000</v>
      </c>
      <c r="U58" s="41">
        <v>445000000</v>
      </c>
      <c r="V58" s="41">
        <v>404000000</v>
      </c>
      <c r="W58" s="41">
        <v>400000000</v>
      </c>
      <c r="X58" s="41">
        <v>395000000</v>
      </c>
      <c r="Y58" s="41">
        <v>388000000</v>
      </c>
      <c r="Z58" s="41">
        <v>332000000</v>
      </c>
      <c r="AA58" s="41">
        <v>335000000</v>
      </c>
      <c r="AB58" s="41">
        <v>334000000</v>
      </c>
      <c r="AC58" s="41">
        <v>348000000</v>
      </c>
    </row>
    <row r="59" spans="1:64">
      <c r="A59" t="s">
        <v>366</v>
      </c>
      <c r="B59" s="41">
        <v>1298000000</v>
      </c>
      <c r="C59" s="41">
        <v>1392000000</v>
      </c>
      <c r="D59" s="41">
        <v>1464000000</v>
      </c>
      <c r="E59" s="41">
        <v>1598000000</v>
      </c>
      <c r="F59" s="41">
        <v>1350000000</v>
      </c>
      <c r="G59" s="41">
        <v>1442000000</v>
      </c>
      <c r="H59" s="41">
        <v>1495000000</v>
      </c>
      <c r="I59" s="41">
        <v>1438000000</v>
      </c>
      <c r="J59" s="41">
        <v>1219000000</v>
      </c>
      <c r="K59" s="41">
        <v>1280000000</v>
      </c>
      <c r="L59" s="41">
        <v>1285000000</v>
      </c>
      <c r="M59" s="41">
        <v>1178000000</v>
      </c>
      <c r="N59" s="41">
        <v>306000000</v>
      </c>
      <c r="O59" s="41">
        <v>311000000</v>
      </c>
      <c r="P59" s="41">
        <v>281000000</v>
      </c>
      <c r="Q59" s="41">
        <v>282000000</v>
      </c>
      <c r="R59" s="41">
        <v>246000000</v>
      </c>
      <c r="S59" s="41">
        <v>248000000</v>
      </c>
      <c r="T59" s="41">
        <v>291000000</v>
      </c>
      <c r="U59" s="41">
        <v>445000000</v>
      </c>
      <c r="V59" s="41">
        <v>404000000</v>
      </c>
      <c r="W59" s="41">
        <v>400000000</v>
      </c>
      <c r="X59" s="41">
        <v>395000000</v>
      </c>
      <c r="Y59" s="41">
        <v>388000000</v>
      </c>
      <c r="Z59" s="41">
        <v>332000000</v>
      </c>
      <c r="AA59" s="41">
        <v>335000000</v>
      </c>
      <c r="AB59" s="41">
        <v>334000000</v>
      </c>
      <c r="AC59" s="41">
        <v>348000000</v>
      </c>
    </row>
    <row r="60" spans="1:64">
      <c r="A60" t="s">
        <v>367</v>
      </c>
      <c r="D60" s="41">
        <v>7000000</v>
      </c>
      <c r="E60" s="41">
        <v>17000000</v>
      </c>
      <c r="J60" s="41">
        <v>6000000</v>
      </c>
      <c r="L60" s="41">
        <v>212000000</v>
      </c>
      <c r="Z60" s="41">
        <v>1000000</v>
      </c>
      <c r="AA60" s="41">
        <v>28000000</v>
      </c>
      <c r="AO60" s="41">
        <v>3000000</v>
      </c>
      <c r="AP60" s="41">
        <v>38000000</v>
      </c>
      <c r="AQ60" s="41">
        <v>31000000</v>
      </c>
      <c r="AU60" s="41">
        <v>4000000</v>
      </c>
      <c r="AW60" s="41">
        <v>1000000</v>
      </c>
      <c r="AX60" s="41">
        <v>3000000</v>
      </c>
      <c r="BH60" s="41">
        <v>284000000</v>
      </c>
    </row>
    <row r="61" spans="1:64">
      <c r="A61" t="s">
        <v>368</v>
      </c>
      <c r="B61" s="41">
        <v>5229000000</v>
      </c>
      <c r="C61" s="41">
        <v>5160000000</v>
      </c>
      <c r="D61" s="41">
        <v>4677000000</v>
      </c>
      <c r="E61" s="41">
        <v>5688000000</v>
      </c>
      <c r="F61" s="41">
        <v>6320000000</v>
      </c>
      <c r="G61" s="41">
        <v>6283000000</v>
      </c>
      <c r="H61" s="41">
        <v>5575000000</v>
      </c>
      <c r="I61" s="41">
        <v>5323000000</v>
      </c>
      <c r="J61" s="41">
        <v>5999000000</v>
      </c>
      <c r="K61" s="41">
        <v>6627000000</v>
      </c>
      <c r="L61" s="41">
        <v>6645000000</v>
      </c>
      <c r="M61" s="41">
        <v>6805000000</v>
      </c>
      <c r="N61" s="41">
        <v>5012000000</v>
      </c>
      <c r="O61" s="41">
        <v>5036000000</v>
      </c>
      <c r="P61" s="41">
        <v>4931000000</v>
      </c>
      <c r="Q61" s="41">
        <v>4931000000</v>
      </c>
      <c r="R61" s="41">
        <v>4902000000</v>
      </c>
      <c r="S61" s="41">
        <v>4386000000</v>
      </c>
      <c r="T61" s="41">
        <v>3407000000</v>
      </c>
      <c r="U61" s="41">
        <v>3364000000</v>
      </c>
      <c r="V61" s="41">
        <v>3324000000</v>
      </c>
      <c r="W61" s="41">
        <v>3321000000</v>
      </c>
      <c r="X61" s="41">
        <v>3302000000</v>
      </c>
      <c r="Y61" s="41">
        <v>2905000000</v>
      </c>
      <c r="Z61" s="41">
        <v>2892000000</v>
      </c>
      <c r="AA61" s="41">
        <v>2699000000</v>
      </c>
      <c r="AB61" s="41">
        <v>2742000000</v>
      </c>
      <c r="AC61" s="41">
        <v>2727000000</v>
      </c>
      <c r="AD61" s="41">
        <v>2994000000</v>
      </c>
      <c r="AE61" s="41">
        <v>2976000000</v>
      </c>
      <c r="AF61" s="41">
        <v>2925000000</v>
      </c>
      <c r="AG61" s="41">
        <v>2917000000</v>
      </c>
      <c r="AH61" s="41">
        <v>2898000000</v>
      </c>
      <c r="AI61" s="41">
        <v>2874000000</v>
      </c>
      <c r="AJ61" s="41">
        <v>2887000000</v>
      </c>
      <c r="AK61" s="41">
        <v>2489000000</v>
      </c>
      <c r="AL61" s="41">
        <v>2495000000</v>
      </c>
      <c r="AM61" s="41">
        <v>2742000000</v>
      </c>
      <c r="AN61" s="41">
        <v>2784000000</v>
      </c>
      <c r="AO61" s="41">
        <v>2782000000</v>
      </c>
      <c r="AP61" s="41">
        <v>2563000000</v>
      </c>
      <c r="AQ61" s="41">
        <v>2555000000</v>
      </c>
      <c r="AR61" s="41">
        <v>2544000000</v>
      </c>
      <c r="AS61" s="41">
        <v>2529000000</v>
      </c>
      <c r="AT61" s="41">
        <v>2437000000</v>
      </c>
      <c r="AU61" s="41">
        <v>2359000000</v>
      </c>
      <c r="AV61" s="41">
        <v>2325000000</v>
      </c>
      <c r="AW61" s="41">
        <v>2191000000</v>
      </c>
      <c r="AX61" s="41">
        <v>2218000000</v>
      </c>
      <c r="AY61" s="41">
        <v>2187000000</v>
      </c>
      <c r="AZ61" s="41">
        <v>2150000000</v>
      </c>
      <c r="BA61" s="41">
        <v>2111000000</v>
      </c>
      <c r="BB61" s="41">
        <v>2034000000</v>
      </c>
      <c r="BC61" s="41">
        <v>1536000000</v>
      </c>
      <c r="BD61" s="41">
        <v>1542000000</v>
      </c>
      <c r="BE61" s="41">
        <v>1516000000</v>
      </c>
      <c r="BF61" s="41">
        <v>1484000000</v>
      </c>
      <c r="BG61" s="41">
        <v>1546000000</v>
      </c>
      <c r="BH61" s="41">
        <v>1625000000</v>
      </c>
      <c r="BI61" s="41">
        <v>1620000000</v>
      </c>
      <c r="BJ61" s="41">
        <v>1564000000</v>
      </c>
      <c r="BK61" s="41">
        <v>1265000000</v>
      </c>
      <c r="BL61" s="41">
        <v>1874000000</v>
      </c>
    </row>
    <row r="62" spans="1:64">
      <c r="A62" t="s">
        <v>369</v>
      </c>
      <c r="AD62" s="41">
        <v>296000000</v>
      </c>
      <c r="AE62" s="41">
        <v>292000000</v>
      </c>
      <c r="AF62" s="41">
        <v>288000000</v>
      </c>
      <c r="AG62" s="41">
        <v>296000000</v>
      </c>
      <c r="AH62" s="41">
        <v>259000000</v>
      </c>
      <c r="AI62" s="41">
        <v>267000000</v>
      </c>
      <c r="AJ62" s="41">
        <v>275000000</v>
      </c>
      <c r="AK62" s="41">
        <v>280000000</v>
      </c>
      <c r="AL62" s="41">
        <v>312000000</v>
      </c>
      <c r="AM62" s="41">
        <v>305000000</v>
      </c>
      <c r="AN62" s="41">
        <v>295000000</v>
      </c>
      <c r="AO62" s="41">
        <v>284000000</v>
      </c>
      <c r="AS62" s="41">
        <v>262000000</v>
      </c>
      <c r="AW62" s="41">
        <v>267000000</v>
      </c>
      <c r="BA62" s="41">
        <v>237000000</v>
      </c>
    </row>
    <row r="63" spans="1:64">
      <c r="A63" t="s">
        <v>370</v>
      </c>
      <c r="B63" s="41">
        <v>2938000000</v>
      </c>
      <c r="C63" s="41">
        <v>2933000000</v>
      </c>
      <c r="D63" s="41">
        <v>2556000000</v>
      </c>
      <c r="E63" s="41">
        <v>2578000000</v>
      </c>
      <c r="F63" s="41">
        <v>3325000000</v>
      </c>
      <c r="G63" s="41">
        <v>3342000000</v>
      </c>
      <c r="H63" s="41">
        <v>2748000000</v>
      </c>
      <c r="I63" s="41">
        <v>2751000000</v>
      </c>
      <c r="J63" s="41">
        <v>3443000000</v>
      </c>
      <c r="K63" s="41">
        <v>4092000000</v>
      </c>
      <c r="L63" s="41">
        <v>4137000000</v>
      </c>
      <c r="M63" s="41">
        <v>4317000000</v>
      </c>
      <c r="N63" s="41">
        <v>3338000000</v>
      </c>
      <c r="O63" s="41">
        <v>3353000000</v>
      </c>
      <c r="P63" s="41">
        <v>3345000000</v>
      </c>
      <c r="Q63" s="41">
        <v>3361000000</v>
      </c>
      <c r="R63" s="41">
        <v>3371000000</v>
      </c>
      <c r="S63" s="41">
        <v>2873000000</v>
      </c>
      <c r="T63" s="41">
        <v>1988000000</v>
      </c>
      <c r="U63" s="41">
        <v>2005000000</v>
      </c>
      <c r="V63" s="41">
        <v>2007000000</v>
      </c>
      <c r="W63" s="41">
        <v>2027000000</v>
      </c>
      <c r="X63" s="41">
        <v>2026000000</v>
      </c>
      <c r="Y63" s="41">
        <v>1623000000</v>
      </c>
      <c r="Z63" s="41">
        <v>1622000000</v>
      </c>
      <c r="AA63" s="41">
        <v>1429000000</v>
      </c>
      <c r="AB63" s="41">
        <v>1439000000</v>
      </c>
      <c r="AC63" s="41">
        <v>1440000000</v>
      </c>
      <c r="AD63" s="41">
        <v>1444000000</v>
      </c>
      <c r="AE63" s="41">
        <v>1446000000</v>
      </c>
      <c r="AF63" s="41">
        <v>1445000000</v>
      </c>
      <c r="AG63" s="41">
        <v>1445000000</v>
      </c>
      <c r="AH63" s="41">
        <v>1447000000</v>
      </c>
      <c r="AI63" s="41">
        <v>1455000000</v>
      </c>
      <c r="AJ63" s="41">
        <v>1441000000</v>
      </c>
      <c r="AK63" s="41">
        <v>1042000000</v>
      </c>
      <c r="AL63" s="41">
        <v>1059000000</v>
      </c>
      <c r="AM63" s="41">
        <v>1319000000</v>
      </c>
      <c r="AN63" s="41">
        <v>1370000000</v>
      </c>
      <c r="AO63" s="41">
        <v>1381000000</v>
      </c>
      <c r="AP63" s="41">
        <v>1292000000</v>
      </c>
      <c r="AQ63" s="41">
        <v>1298000000</v>
      </c>
      <c r="AR63" s="41">
        <v>1293000000</v>
      </c>
      <c r="AS63" s="41">
        <v>1289000000</v>
      </c>
      <c r="AT63" s="41">
        <v>1283000000</v>
      </c>
      <c r="AU63" s="41">
        <v>1265000000</v>
      </c>
      <c r="AV63" s="41">
        <v>1228000000</v>
      </c>
      <c r="AW63" s="41">
        <v>1229000000</v>
      </c>
      <c r="AX63" s="41">
        <v>1219000000</v>
      </c>
      <c r="AY63" s="41">
        <v>1220000000</v>
      </c>
      <c r="AZ63" s="41">
        <v>1220000000</v>
      </c>
      <c r="BA63" s="41">
        <v>1221000000</v>
      </c>
      <c r="BB63" s="41">
        <v>1221000000</v>
      </c>
      <c r="BC63" s="41">
        <v>714000000</v>
      </c>
      <c r="BD63" s="41">
        <v>712000000</v>
      </c>
      <c r="BE63" s="41">
        <v>1516000000</v>
      </c>
      <c r="BF63" s="41">
        <v>1484000000</v>
      </c>
      <c r="BG63" s="41">
        <v>1546000000</v>
      </c>
      <c r="BH63" s="41">
        <v>1625000000</v>
      </c>
      <c r="BI63" s="41">
        <v>1620000000</v>
      </c>
      <c r="BJ63" s="41">
        <v>1564000000</v>
      </c>
      <c r="BK63" s="41">
        <v>595000000</v>
      </c>
      <c r="BL63" s="41">
        <v>1874000000</v>
      </c>
    </row>
    <row r="64" spans="1:64">
      <c r="A64" t="s">
        <v>371</v>
      </c>
      <c r="B64" s="41">
        <v>2687000000</v>
      </c>
      <c r="C64" s="41">
        <v>2684000000</v>
      </c>
      <c r="D64" s="41">
        <v>2304000000</v>
      </c>
      <c r="E64" s="41">
        <v>2305000000</v>
      </c>
      <c r="F64" s="41">
        <v>3049000000</v>
      </c>
      <c r="G64" s="41">
        <v>3053000000</v>
      </c>
      <c r="H64" s="41">
        <v>2454000000</v>
      </c>
      <c r="I64" s="41">
        <v>2453000000</v>
      </c>
      <c r="J64" s="41">
        <v>3150000000</v>
      </c>
      <c r="K64" s="41">
        <v>3798000000</v>
      </c>
      <c r="L64" s="41">
        <v>3815000000</v>
      </c>
      <c r="M64" s="41">
        <v>3968000000</v>
      </c>
      <c r="N64" s="41">
        <v>2978000000</v>
      </c>
      <c r="O64" s="41">
        <v>2986000000</v>
      </c>
      <c r="P64" s="41">
        <v>2982000000</v>
      </c>
      <c r="Q64" s="41">
        <v>2984000000</v>
      </c>
      <c r="R64" s="41">
        <v>2981000000</v>
      </c>
      <c r="S64" s="41">
        <v>2491000000</v>
      </c>
      <c r="T64" s="41">
        <v>1602000000</v>
      </c>
      <c r="U64" s="41">
        <v>1612000000</v>
      </c>
      <c r="V64" s="41">
        <v>1612000000</v>
      </c>
      <c r="W64" s="41">
        <v>1621000000</v>
      </c>
      <c r="X64" s="41">
        <v>1621000000</v>
      </c>
      <c r="Y64" s="41">
        <v>1623000000</v>
      </c>
      <c r="Z64" s="41">
        <v>1622000000</v>
      </c>
      <c r="AA64" s="41">
        <v>1429000000</v>
      </c>
      <c r="AB64" s="41">
        <v>1439000000</v>
      </c>
      <c r="AC64" s="41">
        <v>1440000000</v>
      </c>
      <c r="AD64" s="41">
        <v>1444000000</v>
      </c>
      <c r="AE64" s="41">
        <v>1446000000</v>
      </c>
      <c r="AF64" s="41">
        <v>1445000000</v>
      </c>
      <c r="AG64" s="41">
        <v>1445000000</v>
      </c>
      <c r="AH64" s="41">
        <v>1447000000</v>
      </c>
      <c r="AI64" s="41">
        <v>1455000000</v>
      </c>
      <c r="AJ64" s="41">
        <v>1441000000</v>
      </c>
      <c r="AK64" s="41">
        <v>1042000000</v>
      </c>
      <c r="AL64" s="41">
        <v>1059000000</v>
      </c>
      <c r="AM64" s="41">
        <v>1319000000</v>
      </c>
      <c r="AN64" s="41">
        <v>1370000000</v>
      </c>
      <c r="AO64" s="41">
        <v>1381000000</v>
      </c>
      <c r="AP64" s="41">
        <v>1292000000</v>
      </c>
      <c r="AQ64" s="41">
        <v>1298000000</v>
      </c>
      <c r="AR64" s="41">
        <v>1293000000</v>
      </c>
      <c r="AS64" s="41">
        <v>1289000000</v>
      </c>
      <c r="AT64" s="41">
        <v>1283000000</v>
      </c>
      <c r="AU64" s="41">
        <v>1265000000</v>
      </c>
      <c r="AV64" s="41">
        <v>1228000000</v>
      </c>
      <c r="AW64" s="41">
        <v>1229000000</v>
      </c>
      <c r="AX64" s="41">
        <v>1219000000</v>
      </c>
      <c r="AY64" s="41">
        <v>1220000000</v>
      </c>
      <c r="AZ64" s="41">
        <v>1220000000</v>
      </c>
      <c r="BA64" s="41">
        <v>1221000000</v>
      </c>
      <c r="BB64" s="41">
        <v>1221000000</v>
      </c>
      <c r="BC64" s="41">
        <v>714000000</v>
      </c>
      <c r="BD64" s="41">
        <v>712000000</v>
      </c>
      <c r="BE64" s="41">
        <v>1516000000</v>
      </c>
      <c r="BF64" s="41">
        <v>1484000000</v>
      </c>
      <c r="BG64" s="41">
        <v>1546000000</v>
      </c>
      <c r="BH64" s="41">
        <v>1625000000</v>
      </c>
      <c r="BI64" s="41">
        <v>1620000000</v>
      </c>
      <c r="BJ64" s="41">
        <v>1564000000</v>
      </c>
      <c r="BK64" s="41">
        <v>595000000</v>
      </c>
      <c r="BL64" s="41">
        <v>1874000000</v>
      </c>
    </row>
    <row r="65" spans="1:64">
      <c r="A65" t="s">
        <v>372</v>
      </c>
      <c r="B65" s="41">
        <v>251000000</v>
      </c>
      <c r="C65" s="41">
        <v>249000000</v>
      </c>
      <c r="D65" s="41">
        <v>252000000</v>
      </c>
      <c r="E65" s="41">
        <v>273000000</v>
      </c>
      <c r="F65" s="41">
        <v>276000000</v>
      </c>
      <c r="G65" s="41">
        <v>289000000</v>
      </c>
      <c r="H65" s="41">
        <v>294000000</v>
      </c>
      <c r="I65" s="41">
        <v>298000000</v>
      </c>
      <c r="J65" s="41">
        <v>293000000</v>
      </c>
      <c r="K65" s="41">
        <v>294000000</v>
      </c>
      <c r="L65" s="41">
        <v>322000000</v>
      </c>
      <c r="M65" s="41">
        <v>349000000</v>
      </c>
      <c r="N65" s="41">
        <v>360000000</v>
      </c>
      <c r="O65" s="41">
        <v>367000000</v>
      </c>
      <c r="P65" s="41">
        <v>363000000</v>
      </c>
      <c r="Q65" s="41">
        <v>377000000</v>
      </c>
      <c r="R65" s="41">
        <v>390000000</v>
      </c>
      <c r="S65" s="41">
        <v>382000000</v>
      </c>
      <c r="T65" s="41">
        <v>386000000</v>
      </c>
      <c r="U65" s="41">
        <v>393000000</v>
      </c>
      <c r="V65" s="41">
        <v>395000000</v>
      </c>
      <c r="W65" s="41">
        <v>406000000</v>
      </c>
      <c r="X65" s="41">
        <v>405000000</v>
      </c>
      <c r="Y65">
        <v>0</v>
      </c>
    </row>
    <row r="66" spans="1:64">
      <c r="A66" t="s">
        <v>373</v>
      </c>
      <c r="B66" s="41">
        <v>1406000000</v>
      </c>
      <c r="C66" s="41">
        <v>1364000000</v>
      </c>
      <c r="D66" s="41">
        <v>1324000000</v>
      </c>
      <c r="E66" s="41">
        <v>2314000000</v>
      </c>
      <c r="F66" s="41">
        <v>2231000000</v>
      </c>
      <c r="G66" s="41">
        <v>2192000000</v>
      </c>
      <c r="H66" s="41">
        <v>2095000000</v>
      </c>
      <c r="I66" s="41">
        <v>1987000000</v>
      </c>
      <c r="J66" s="41">
        <v>1958000000</v>
      </c>
      <c r="K66" s="41">
        <v>1968000000</v>
      </c>
      <c r="L66" s="41">
        <v>2001000000</v>
      </c>
      <c r="M66" s="41">
        <v>1985000000</v>
      </c>
      <c r="N66" s="41">
        <v>1287000000</v>
      </c>
      <c r="O66" s="41">
        <v>1295000000</v>
      </c>
      <c r="P66" s="41">
        <v>1269000000</v>
      </c>
      <c r="Q66" s="41">
        <v>1218000000</v>
      </c>
      <c r="R66" s="41">
        <v>1156000000</v>
      </c>
      <c r="S66" s="41">
        <v>1145000000</v>
      </c>
      <c r="T66" s="41">
        <v>1043000000</v>
      </c>
      <c r="U66" s="41">
        <v>972000000</v>
      </c>
      <c r="V66" s="41">
        <v>937000000</v>
      </c>
      <c r="W66" s="41">
        <v>935000000</v>
      </c>
      <c r="X66" s="41">
        <v>915000000</v>
      </c>
      <c r="Y66" s="41">
        <v>863000000</v>
      </c>
      <c r="Z66" s="41">
        <v>888000000</v>
      </c>
      <c r="AA66" s="41">
        <v>886000000</v>
      </c>
      <c r="AB66" s="41">
        <v>904000000</v>
      </c>
      <c r="AC66" s="41">
        <v>888000000</v>
      </c>
      <c r="AD66" s="41">
        <v>760000000</v>
      </c>
      <c r="AE66" s="41">
        <v>755000000</v>
      </c>
      <c r="AF66" s="41">
        <v>721000000</v>
      </c>
      <c r="AG66" s="41">
        <v>772000000</v>
      </c>
      <c r="AH66" s="41">
        <v>721000000</v>
      </c>
      <c r="AI66" s="41">
        <v>693000000</v>
      </c>
      <c r="AJ66" s="41">
        <v>694000000</v>
      </c>
      <c r="AK66" s="41">
        <v>759000000</v>
      </c>
      <c r="AL66" s="41">
        <v>692000000</v>
      </c>
      <c r="AM66" s="41">
        <v>721000000</v>
      </c>
      <c r="AN66" s="41">
        <v>726000000</v>
      </c>
      <c r="AO66" s="41">
        <v>790000000</v>
      </c>
      <c r="AS66" s="41">
        <v>604000000</v>
      </c>
      <c r="AW66" s="41">
        <v>453000000</v>
      </c>
      <c r="BA66" s="41">
        <v>312000000</v>
      </c>
    </row>
    <row r="67" spans="1:64">
      <c r="A67" t="s">
        <v>374</v>
      </c>
      <c r="B67" s="41">
        <v>48000000</v>
      </c>
      <c r="C67" s="41">
        <v>46000000</v>
      </c>
      <c r="D67" s="41">
        <v>48000000</v>
      </c>
      <c r="E67" s="41">
        <v>66000000</v>
      </c>
      <c r="F67" s="41">
        <v>82000000</v>
      </c>
      <c r="G67" s="41">
        <v>85000000</v>
      </c>
      <c r="H67" s="41">
        <v>73000000</v>
      </c>
      <c r="I67" s="41">
        <v>72000000</v>
      </c>
      <c r="J67" s="41">
        <v>76000000</v>
      </c>
      <c r="K67" s="41">
        <v>79000000</v>
      </c>
      <c r="L67" s="41">
        <v>96000000</v>
      </c>
      <c r="M67" s="41">
        <v>93000000</v>
      </c>
      <c r="N67" s="41">
        <v>78000000</v>
      </c>
      <c r="O67" s="41">
        <v>73000000</v>
      </c>
      <c r="P67" s="41">
        <v>66000000</v>
      </c>
      <c r="Q67" s="41">
        <v>48000000</v>
      </c>
      <c r="R67" s="41">
        <v>49000000</v>
      </c>
      <c r="S67" s="41">
        <v>45000000</v>
      </c>
      <c r="T67" s="41">
        <v>45000000</v>
      </c>
      <c r="U67" s="41">
        <v>47000000</v>
      </c>
      <c r="V67" s="41">
        <v>47000000</v>
      </c>
      <c r="W67" s="41">
        <v>48000000</v>
      </c>
      <c r="X67" s="41">
        <v>48000000</v>
      </c>
      <c r="Y67" s="41">
        <v>54000000</v>
      </c>
      <c r="Z67" s="41">
        <v>42000000</v>
      </c>
      <c r="AA67" s="41">
        <v>42000000</v>
      </c>
      <c r="AB67" s="41">
        <v>64000000</v>
      </c>
      <c r="AC67" s="41">
        <v>62000000</v>
      </c>
      <c r="AG67" s="41">
        <v>57000000</v>
      </c>
      <c r="AK67" s="41">
        <v>59000000</v>
      </c>
      <c r="AO67" s="41">
        <v>66000000</v>
      </c>
      <c r="AS67" s="41">
        <v>74000000</v>
      </c>
      <c r="AW67" s="41">
        <v>80000000</v>
      </c>
      <c r="BA67" s="41">
        <v>5000000</v>
      </c>
    </row>
    <row r="68" spans="1:64">
      <c r="A68" t="s">
        <v>375</v>
      </c>
      <c r="B68" s="41">
        <v>811000000</v>
      </c>
      <c r="C68" s="41">
        <v>789000000</v>
      </c>
      <c r="D68" s="41">
        <v>750000000</v>
      </c>
      <c r="E68" s="41">
        <v>1759000000</v>
      </c>
      <c r="F68" s="41">
        <v>1700000000</v>
      </c>
      <c r="G68" s="41">
        <v>1637000000</v>
      </c>
      <c r="H68" s="41">
        <v>1572000000</v>
      </c>
      <c r="I68" s="41">
        <v>1495000000</v>
      </c>
      <c r="J68" s="41">
        <v>1481000000</v>
      </c>
      <c r="K68" s="41">
        <v>1463000000</v>
      </c>
      <c r="L68" s="41">
        <v>1407000000</v>
      </c>
      <c r="M68" s="41">
        <v>1349000000</v>
      </c>
      <c r="N68" s="41">
        <v>666000000</v>
      </c>
      <c r="O68" s="41">
        <v>667000000</v>
      </c>
      <c r="P68" s="41">
        <v>679000000</v>
      </c>
      <c r="Q68" s="41">
        <v>659000000</v>
      </c>
      <c r="R68" s="41">
        <v>643000000</v>
      </c>
      <c r="S68" s="41">
        <v>647000000</v>
      </c>
      <c r="T68" s="41">
        <v>613000000</v>
      </c>
      <c r="U68" s="41">
        <v>475000000</v>
      </c>
      <c r="V68" s="41">
        <v>471000000</v>
      </c>
      <c r="W68" s="41">
        <v>461000000</v>
      </c>
      <c r="X68" s="41">
        <v>454000000</v>
      </c>
      <c r="Y68" s="41">
        <v>442000000</v>
      </c>
      <c r="Z68" s="41">
        <v>433000000</v>
      </c>
      <c r="AA68" s="41">
        <v>429000000</v>
      </c>
      <c r="AB68" s="41">
        <v>431000000</v>
      </c>
      <c r="AC68" s="41">
        <v>424000000</v>
      </c>
      <c r="AD68" s="41">
        <v>372000000</v>
      </c>
      <c r="AE68" s="41">
        <v>378000000</v>
      </c>
      <c r="AF68" s="41">
        <v>357000000</v>
      </c>
      <c r="AG68" s="41">
        <v>363000000</v>
      </c>
      <c r="AH68" s="41">
        <v>368000000</v>
      </c>
      <c r="AI68" s="41">
        <v>356000000</v>
      </c>
      <c r="AJ68" s="41">
        <v>362000000</v>
      </c>
      <c r="AK68" s="41">
        <v>367000000</v>
      </c>
      <c r="AL68" s="41">
        <v>373000000</v>
      </c>
      <c r="AM68" s="41">
        <v>378000000</v>
      </c>
      <c r="AN68" s="41">
        <v>381000000</v>
      </c>
      <c r="AO68" s="41">
        <v>383000000</v>
      </c>
      <c r="AS68" s="41">
        <v>192000000</v>
      </c>
      <c r="AW68" s="41">
        <v>93000000</v>
      </c>
      <c r="BA68" s="41">
        <v>57000000</v>
      </c>
    </row>
    <row r="69" spans="1:64">
      <c r="A69" t="s">
        <v>376</v>
      </c>
      <c r="B69" s="41">
        <v>402000000</v>
      </c>
      <c r="C69" s="41">
        <v>389000000</v>
      </c>
      <c r="D69" s="41">
        <v>337000000</v>
      </c>
      <c r="E69" s="41">
        <v>407000000</v>
      </c>
      <c r="F69" s="41">
        <v>403000000</v>
      </c>
      <c r="G69" s="41">
        <v>389000000</v>
      </c>
      <c r="H69" s="41">
        <v>373000000</v>
      </c>
      <c r="I69" s="41">
        <v>339000000</v>
      </c>
      <c r="J69" s="41">
        <v>353000000</v>
      </c>
      <c r="K69" s="41">
        <v>299000000</v>
      </c>
      <c r="L69" s="41">
        <v>294000000</v>
      </c>
      <c r="M69" s="41">
        <v>281000000</v>
      </c>
      <c r="N69" s="41">
        <v>174000000</v>
      </c>
      <c r="O69" s="41">
        <v>174000000</v>
      </c>
      <c r="P69" s="41">
        <v>167000000</v>
      </c>
      <c r="Q69" s="41">
        <v>166000000</v>
      </c>
      <c r="R69" s="41">
        <v>169000000</v>
      </c>
      <c r="S69" s="41">
        <v>166000000</v>
      </c>
      <c r="T69" s="41">
        <v>164000000</v>
      </c>
      <c r="U69" s="41">
        <v>147000000</v>
      </c>
      <c r="V69" s="41">
        <v>145000000</v>
      </c>
      <c r="W69" s="41">
        <v>135000000</v>
      </c>
      <c r="X69" s="41">
        <v>136000000</v>
      </c>
      <c r="Y69" s="41">
        <v>131000000</v>
      </c>
      <c r="AC69" s="41">
        <v>107000000</v>
      </c>
      <c r="AG69" s="41">
        <v>100000000</v>
      </c>
      <c r="AK69" s="41">
        <v>127000000</v>
      </c>
      <c r="AO69" s="41">
        <v>62000000</v>
      </c>
      <c r="AS69" s="41">
        <v>90000000</v>
      </c>
      <c r="AW69" s="41">
        <v>91000000</v>
      </c>
      <c r="BA69" s="41">
        <v>198000000</v>
      </c>
    </row>
    <row r="70" spans="1:64">
      <c r="A70" t="s">
        <v>377</v>
      </c>
      <c r="B70" s="41">
        <v>82000000</v>
      </c>
      <c r="C70" s="41">
        <v>78000000</v>
      </c>
      <c r="D70" s="41">
        <v>74000000</v>
      </c>
      <c r="E70" s="41">
        <v>73000000</v>
      </c>
      <c r="F70" s="41">
        <v>72000000</v>
      </c>
      <c r="G70" s="41">
        <v>71000000</v>
      </c>
      <c r="H70" s="41">
        <v>68000000</v>
      </c>
      <c r="I70" s="41">
        <v>68000000</v>
      </c>
      <c r="J70" s="41">
        <v>64000000</v>
      </c>
      <c r="K70" s="41">
        <v>66000000</v>
      </c>
      <c r="L70" s="41">
        <v>68000000</v>
      </c>
      <c r="M70" s="41">
        <v>66000000</v>
      </c>
      <c r="N70" s="41">
        <v>64000000</v>
      </c>
      <c r="O70" s="41">
        <v>65000000</v>
      </c>
      <c r="P70" s="41">
        <v>67000000</v>
      </c>
      <c r="Q70" s="41">
        <v>67000000</v>
      </c>
      <c r="R70" s="41">
        <v>74000000</v>
      </c>
      <c r="S70" s="41">
        <v>74000000</v>
      </c>
      <c r="T70" s="41">
        <v>79000000</v>
      </c>
      <c r="U70" s="41">
        <v>80000000</v>
      </c>
      <c r="V70" s="41">
        <v>79000000</v>
      </c>
      <c r="W70" s="41">
        <v>77000000</v>
      </c>
      <c r="X70" s="41">
        <v>78000000</v>
      </c>
      <c r="Y70" s="41">
        <v>78000000</v>
      </c>
      <c r="Z70" s="41">
        <v>76000000</v>
      </c>
      <c r="AA70" s="41">
        <v>75000000</v>
      </c>
      <c r="AB70" s="41">
        <v>73000000</v>
      </c>
      <c r="AC70" s="41">
        <v>69000000</v>
      </c>
      <c r="AG70" s="41">
        <v>20000000</v>
      </c>
      <c r="AK70" s="41">
        <v>20000000</v>
      </c>
      <c r="AO70" s="41">
        <v>19000000</v>
      </c>
      <c r="AS70" s="41">
        <v>18000000</v>
      </c>
      <c r="AW70" s="41">
        <v>20000000</v>
      </c>
      <c r="BA70" s="41">
        <v>20000000</v>
      </c>
    </row>
    <row r="71" spans="1:64">
      <c r="A71" t="s">
        <v>378</v>
      </c>
      <c r="AG71" s="41">
        <v>20000000</v>
      </c>
      <c r="AK71" s="41">
        <v>20000000</v>
      </c>
      <c r="AO71" s="41">
        <v>19000000</v>
      </c>
      <c r="AS71" s="41">
        <v>18000000</v>
      </c>
      <c r="AW71" s="41">
        <v>20000000</v>
      </c>
      <c r="BA71" s="41">
        <v>20000000</v>
      </c>
    </row>
    <row r="72" spans="1:64">
      <c r="A72" t="s">
        <v>379</v>
      </c>
      <c r="B72" s="41">
        <v>401000000</v>
      </c>
      <c r="C72" s="41">
        <v>396000000</v>
      </c>
      <c r="D72" s="41">
        <v>386000000</v>
      </c>
      <c r="E72" s="41">
        <v>316000000</v>
      </c>
      <c r="F72" s="41">
        <v>289000000</v>
      </c>
      <c r="G72" s="41">
        <v>289000000</v>
      </c>
      <c r="H72" s="41">
        <v>291000000</v>
      </c>
      <c r="I72" s="41">
        <v>178000000</v>
      </c>
      <c r="J72" s="41">
        <v>181000000</v>
      </c>
      <c r="K72" s="41">
        <v>202000000</v>
      </c>
      <c r="L72" s="41">
        <v>145000000</v>
      </c>
      <c r="M72" s="41">
        <v>156000000</v>
      </c>
      <c r="N72" s="41">
        <v>149000000</v>
      </c>
      <c r="O72" s="41">
        <v>149000000</v>
      </c>
      <c r="P72" s="41">
        <v>83000000</v>
      </c>
      <c r="Q72" s="41">
        <v>119000000</v>
      </c>
      <c r="R72" s="41">
        <v>132000000</v>
      </c>
      <c r="S72" s="41">
        <v>128000000</v>
      </c>
      <c r="T72" s="41">
        <v>133000000</v>
      </c>
      <c r="U72" s="41">
        <v>160000000</v>
      </c>
      <c r="V72" s="41">
        <v>156000000</v>
      </c>
      <c r="W72" s="41">
        <v>147000000</v>
      </c>
      <c r="X72" s="41">
        <v>147000000</v>
      </c>
      <c r="Y72" s="41">
        <v>210000000</v>
      </c>
      <c r="Z72" s="41">
        <v>306000000</v>
      </c>
      <c r="AA72" s="41">
        <v>309000000</v>
      </c>
      <c r="AB72" s="41">
        <v>326000000</v>
      </c>
      <c r="AC72" s="41">
        <v>223000000</v>
      </c>
      <c r="AD72" s="41">
        <v>494000000</v>
      </c>
      <c r="AE72" s="41">
        <v>483000000</v>
      </c>
      <c r="AF72" s="41">
        <v>471000000</v>
      </c>
      <c r="AG72" s="41">
        <v>600000000</v>
      </c>
      <c r="AH72" s="41">
        <v>471000000</v>
      </c>
      <c r="AI72" s="41">
        <v>459000000</v>
      </c>
      <c r="AJ72" s="41">
        <v>477000000</v>
      </c>
      <c r="AK72" s="41">
        <v>261000000</v>
      </c>
      <c r="AL72" s="41">
        <v>432000000</v>
      </c>
      <c r="AM72" s="41">
        <v>397000000</v>
      </c>
      <c r="AN72" s="41">
        <v>393000000</v>
      </c>
      <c r="AO72" s="41">
        <v>246000000</v>
      </c>
      <c r="AP72" s="41">
        <v>1271000000</v>
      </c>
      <c r="AQ72" s="41">
        <v>1257000000</v>
      </c>
      <c r="AR72" s="41">
        <v>1251000000</v>
      </c>
      <c r="AS72" s="41">
        <v>266000000</v>
      </c>
      <c r="AT72" s="41">
        <v>1154000000</v>
      </c>
      <c r="AU72" s="41">
        <v>1094000000</v>
      </c>
      <c r="AV72" s="41">
        <v>1097000000</v>
      </c>
      <c r="AW72" s="41">
        <v>131000000</v>
      </c>
      <c r="AX72" s="41">
        <v>999000000</v>
      </c>
      <c r="AY72" s="41">
        <v>967000000</v>
      </c>
      <c r="AZ72" s="41">
        <v>930000000</v>
      </c>
      <c r="BA72" s="41">
        <v>123000000</v>
      </c>
      <c r="BB72" s="41">
        <v>813000000</v>
      </c>
      <c r="BC72" s="41">
        <v>822000000</v>
      </c>
      <c r="BD72" s="41">
        <v>830000000</v>
      </c>
      <c r="BK72" s="41">
        <v>670000000</v>
      </c>
      <c r="BL72" s="41">
        <v>1209000000</v>
      </c>
    </row>
    <row r="73" spans="1:64">
      <c r="A73" t="s">
        <v>380</v>
      </c>
      <c r="B73" s="41">
        <v>3700000000</v>
      </c>
      <c r="C73" s="41">
        <v>3853000000</v>
      </c>
      <c r="D73" s="41">
        <v>3660000000</v>
      </c>
      <c r="E73" s="41">
        <v>3567000000</v>
      </c>
      <c r="F73" s="41">
        <v>3589000000</v>
      </c>
      <c r="G73" s="41">
        <v>3685000000</v>
      </c>
      <c r="H73" s="41">
        <v>3696000000</v>
      </c>
      <c r="I73" s="41">
        <v>3702000000</v>
      </c>
      <c r="J73" s="41">
        <v>3446000000</v>
      </c>
      <c r="K73" s="41">
        <v>3612000000</v>
      </c>
      <c r="L73" s="41">
        <v>3524000000</v>
      </c>
      <c r="M73" s="41">
        <v>3566000000</v>
      </c>
      <c r="N73" s="41">
        <v>3589000000</v>
      </c>
      <c r="O73" s="41">
        <v>2909000000</v>
      </c>
      <c r="P73" s="41">
        <v>2888000000</v>
      </c>
      <c r="Q73" s="41">
        <v>3214000000</v>
      </c>
      <c r="R73" s="41">
        <v>3353000000</v>
      </c>
      <c r="S73" s="41">
        <v>3493000000</v>
      </c>
      <c r="T73" s="41">
        <v>3708000000</v>
      </c>
      <c r="U73" s="41">
        <v>3967000000</v>
      </c>
      <c r="V73" s="41">
        <v>3761000000</v>
      </c>
      <c r="W73" s="41">
        <v>3647000000</v>
      </c>
      <c r="X73" s="41">
        <v>3628000000</v>
      </c>
      <c r="Y73" s="41">
        <v>3677000000</v>
      </c>
      <c r="Z73" s="41">
        <v>3935000000</v>
      </c>
      <c r="AA73" s="41">
        <v>3701000000</v>
      </c>
      <c r="AB73" s="41">
        <v>4194000000</v>
      </c>
      <c r="AC73" s="41">
        <v>3853000000</v>
      </c>
      <c r="AD73" s="41">
        <v>3667000000</v>
      </c>
      <c r="AE73" s="41">
        <v>3852000000</v>
      </c>
      <c r="AF73" s="41">
        <v>3729000000</v>
      </c>
      <c r="AG73" s="41">
        <v>3908000000</v>
      </c>
      <c r="AH73" s="41">
        <v>3917000000</v>
      </c>
      <c r="AI73" s="41">
        <v>4008000000</v>
      </c>
      <c r="AJ73" s="41">
        <v>4000000000</v>
      </c>
      <c r="AK73" s="41">
        <v>3995000000</v>
      </c>
      <c r="AL73" s="41">
        <v>4134000000</v>
      </c>
      <c r="AM73" s="41">
        <v>4328000000</v>
      </c>
      <c r="AN73" s="41">
        <v>4426000000</v>
      </c>
      <c r="AO73" s="41">
        <v>4631000000</v>
      </c>
      <c r="AP73" s="41">
        <v>4691000000</v>
      </c>
      <c r="AQ73" s="41">
        <v>4779000000</v>
      </c>
      <c r="AR73" s="41">
        <v>4775000000</v>
      </c>
      <c r="AS73" s="41">
        <v>4777000000</v>
      </c>
      <c r="AT73" s="41">
        <v>4753000000</v>
      </c>
      <c r="AU73" s="41">
        <v>4714000000</v>
      </c>
      <c r="AV73" s="41">
        <v>4814000000</v>
      </c>
      <c r="AW73" s="41">
        <v>4821000000</v>
      </c>
      <c r="AX73" s="41">
        <v>4905000000</v>
      </c>
      <c r="AY73" s="41">
        <v>4883000000</v>
      </c>
      <c r="AZ73" s="41">
        <v>4864000000</v>
      </c>
      <c r="BA73" s="41">
        <v>4828000000</v>
      </c>
      <c r="BB73" s="41">
        <v>4787000000</v>
      </c>
      <c r="BC73" s="41">
        <v>4834000000</v>
      </c>
      <c r="BD73" s="41">
        <v>5169000000</v>
      </c>
      <c r="BE73" s="41">
        <v>5131000000</v>
      </c>
      <c r="BF73" s="41">
        <v>5127000000</v>
      </c>
      <c r="BG73" s="41">
        <v>5061000000</v>
      </c>
      <c r="BH73" s="41">
        <v>5049000000</v>
      </c>
      <c r="BI73" s="41">
        <v>5040000000</v>
      </c>
      <c r="BJ73" s="41">
        <v>4928000000</v>
      </c>
      <c r="BK73" s="41">
        <v>4900000000</v>
      </c>
      <c r="BL73" s="41">
        <v>3592000000</v>
      </c>
    </row>
    <row r="74" spans="1:64">
      <c r="A74" t="s">
        <v>381</v>
      </c>
      <c r="B74" s="41">
        <v>3697000000</v>
      </c>
      <c r="C74" s="41">
        <v>3850000000</v>
      </c>
      <c r="D74" s="41">
        <v>3657000000</v>
      </c>
      <c r="E74" s="41">
        <v>3564000000</v>
      </c>
      <c r="F74" s="41">
        <v>3586000000</v>
      </c>
      <c r="G74" s="41">
        <v>3682000000</v>
      </c>
      <c r="H74" s="41">
        <v>3693000000</v>
      </c>
      <c r="I74" s="41">
        <v>3699000000</v>
      </c>
      <c r="J74" s="41">
        <v>3443000000</v>
      </c>
      <c r="K74" s="41">
        <v>3609000000</v>
      </c>
      <c r="L74" s="41">
        <v>3521000000</v>
      </c>
      <c r="M74" s="41">
        <v>3563000000</v>
      </c>
      <c r="N74" s="41">
        <v>3586000000</v>
      </c>
      <c r="O74" s="41">
        <v>2906000000</v>
      </c>
      <c r="P74" s="41">
        <v>2885000000</v>
      </c>
      <c r="Q74" s="41">
        <v>3211000000</v>
      </c>
      <c r="R74" s="41">
        <v>3350000000</v>
      </c>
      <c r="S74" s="41">
        <v>3490000000</v>
      </c>
      <c r="T74" s="41">
        <v>3705000000</v>
      </c>
      <c r="U74" s="41">
        <v>3962000000</v>
      </c>
      <c r="V74" s="41">
        <v>3756000000</v>
      </c>
      <c r="W74" s="41">
        <v>3642000000</v>
      </c>
      <c r="X74" s="41">
        <v>3622000000</v>
      </c>
      <c r="Y74" s="41">
        <v>3670000000</v>
      </c>
      <c r="Z74" s="41">
        <v>3929000000</v>
      </c>
      <c r="AA74" s="41">
        <v>3695000000</v>
      </c>
      <c r="AB74" s="41">
        <v>4188000000</v>
      </c>
      <c r="AC74" s="41">
        <v>3837000000</v>
      </c>
      <c r="AD74" s="41">
        <v>3651000000</v>
      </c>
      <c r="AE74" s="41">
        <v>3837000000</v>
      </c>
      <c r="AF74" s="41">
        <v>3714000000</v>
      </c>
      <c r="AG74" s="41">
        <v>3903000000</v>
      </c>
      <c r="AH74" s="41">
        <v>3913000000</v>
      </c>
      <c r="AI74" s="41">
        <v>4004000000</v>
      </c>
      <c r="AJ74" s="41">
        <v>3996000000</v>
      </c>
      <c r="AK74" s="41">
        <v>3991000000</v>
      </c>
      <c r="AL74" s="41">
        <v>4130000000</v>
      </c>
      <c r="AM74" s="41">
        <v>4324000000</v>
      </c>
      <c r="AN74" s="41">
        <v>4422000000</v>
      </c>
      <c r="AO74" s="41">
        <v>4627000000</v>
      </c>
      <c r="AP74" s="41">
        <v>4683000000</v>
      </c>
      <c r="AQ74" s="41">
        <v>4771000000</v>
      </c>
      <c r="AR74" s="41">
        <v>4767000000</v>
      </c>
      <c r="AS74" s="41">
        <v>4769000000</v>
      </c>
      <c r="AT74" s="41">
        <v>4743000000</v>
      </c>
      <c r="AU74" s="41">
        <v>4704000000</v>
      </c>
      <c r="AV74" s="41">
        <v>4804000000</v>
      </c>
      <c r="AW74" s="41">
        <v>4811000000</v>
      </c>
      <c r="AX74" s="41">
        <v>4895000000</v>
      </c>
      <c r="AY74" s="41">
        <v>4873000000</v>
      </c>
      <c r="AZ74" s="41">
        <v>4854000000</v>
      </c>
      <c r="BA74" s="41">
        <v>4818000000</v>
      </c>
      <c r="BB74" s="41">
        <v>4776000000</v>
      </c>
      <c r="BC74" s="41">
        <v>4822000000</v>
      </c>
      <c r="BD74" s="41">
        <v>5156000000</v>
      </c>
      <c r="BE74" s="41">
        <v>5118000000</v>
      </c>
      <c r="BF74" s="41">
        <v>5105000000</v>
      </c>
      <c r="BG74" s="41">
        <v>5039000000</v>
      </c>
      <c r="BH74" s="41">
        <v>5026000000</v>
      </c>
      <c r="BI74" s="41">
        <v>5016000000</v>
      </c>
      <c r="BJ74" s="41">
        <v>4902000000</v>
      </c>
      <c r="BK74" s="41">
        <v>4874000000</v>
      </c>
      <c r="BL74" s="41">
        <v>3564000000</v>
      </c>
    </row>
    <row r="75" spans="1:64">
      <c r="A75" t="s">
        <v>382</v>
      </c>
      <c r="B75" s="41">
        <v>1000000</v>
      </c>
      <c r="C75" s="41">
        <v>1000000</v>
      </c>
      <c r="D75" s="41">
        <v>1000000</v>
      </c>
      <c r="E75" s="41">
        <v>1000000</v>
      </c>
      <c r="F75" s="41">
        <v>1000000</v>
      </c>
      <c r="G75" s="41">
        <v>1000000</v>
      </c>
      <c r="H75" s="41">
        <v>1000000</v>
      </c>
      <c r="I75" s="41">
        <v>1000000</v>
      </c>
      <c r="J75" s="41">
        <v>1000000</v>
      </c>
      <c r="K75" s="41">
        <v>1000000</v>
      </c>
      <c r="L75" s="41">
        <v>1000000</v>
      </c>
      <c r="M75" s="41">
        <v>1000000</v>
      </c>
      <c r="N75" s="41">
        <v>1000000</v>
      </c>
      <c r="O75" s="41">
        <v>1000000</v>
      </c>
      <c r="P75" s="41">
        <v>1000000</v>
      </c>
      <c r="Q75" s="41">
        <v>1000000</v>
      </c>
      <c r="R75" s="41">
        <v>1000000</v>
      </c>
      <c r="S75" s="41">
        <v>1000000</v>
      </c>
      <c r="T75" s="41">
        <v>1000000</v>
      </c>
      <c r="U75" s="41">
        <v>1000000</v>
      </c>
      <c r="V75" s="41">
        <v>1000000</v>
      </c>
      <c r="W75" s="41">
        <v>1000000</v>
      </c>
      <c r="X75" s="41">
        <v>1000000</v>
      </c>
      <c r="Y75" s="41">
        <v>1000000</v>
      </c>
      <c r="Z75" s="41">
        <v>1000000</v>
      </c>
      <c r="AA75" s="41">
        <v>1000000</v>
      </c>
      <c r="AB75" s="41">
        <v>1000000</v>
      </c>
      <c r="AC75" s="41">
        <v>1000000</v>
      </c>
      <c r="AD75" s="41">
        <v>1000000</v>
      </c>
      <c r="AE75" s="41">
        <v>1000000</v>
      </c>
      <c r="AF75" s="41">
        <v>1000000</v>
      </c>
      <c r="AG75" s="41">
        <v>1000000</v>
      </c>
      <c r="AH75" s="41">
        <v>1000000</v>
      </c>
      <c r="AI75" s="41">
        <v>1000000</v>
      </c>
      <c r="AJ75" s="41">
        <v>1000000</v>
      </c>
      <c r="AK75" s="41">
        <v>1000000</v>
      </c>
      <c r="AL75" s="41">
        <v>1000000</v>
      </c>
      <c r="AM75" s="41">
        <v>1000000</v>
      </c>
      <c r="AN75" s="41">
        <v>1000000</v>
      </c>
      <c r="AO75" s="41">
        <v>2000000</v>
      </c>
      <c r="AP75" s="41">
        <v>2000000</v>
      </c>
      <c r="AQ75" s="41">
        <v>2000000</v>
      </c>
      <c r="AR75" s="41">
        <v>2000000</v>
      </c>
      <c r="AS75" s="41">
        <v>2000000</v>
      </c>
      <c r="AT75" s="41">
        <v>2000000</v>
      </c>
      <c r="AU75" s="41">
        <v>2000000</v>
      </c>
      <c r="AV75" s="41">
        <v>2000000</v>
      </c>
      <c r="AW75" s="41">
        <v>2000000</v>
      </c>
      <c r="AX75" s="41">
        <v>2000000</v>
      </c>
      <c r="AY75" s="41">
        <v>2000000</v>
      </c>
      <c r="AZ75" s="41">
        <v>2000000</v>
      </c>
      <c r="BA75" s="41">
        <v>2000000</v>
      </c>
      <c r="BB75" s="41">
        <v>2000000</v>
      </c>
      <c r="BC75" s="41">
        <v>2000000</v>
      </c>
      <c r="BD75" s="41">
        <v>2000000</v>
      </c>
      <c r="BE75" s="41">
        <v>2000000</v>
      </c>
      <c r="BF75" s="41">
        <v>2000000</v>
      </c>
      <c r="BG75" s="41">
        <v>2000000</v>
      </c>
      <c r="BH75" s="41">
        <v>2000000</v>
      </c>
      <c r="BI75" s="41">
        <v>2000000</v>
      </c>
      <c r="BJ75" s="41">
        <v>2000000</v>
      </c>
      <c r="BK75" s="41">
        <v>2000000</v>
      </c>
      <c r="BL75" s="41">
        <v>1000000</v>
      </c>
    </row>
    <row r="76" spans="1:64">
      <c r="A76" t="s">
        <v>383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I76">
        <v>0</v>
      </c>
      <c r="BJ76">
        <v>0</v>
      </c>
      <c r="BK76">
        <v>0</v>
      </c>
      <c r="BL76">
        <v>0</v>
      </c>
    </row>
    <row r="77" spans="1:64">
      <c r="A77" t="s">
        <v>384</v>
      </c>
      <c r="B77" s="41">
        <v>1000000</v>
      </c>
      <c r="C77" s="41">
        <v>1000000</v>
      </c>
      <c r="D77" s="41">
        <v>1000000</v>
      </c>
      <c r="E77" s="41">
        <v>1000000</v>
      </c>
      <c r="F77" s="41">
        <v>1000000</v>
      </c>
      <c r="G77" s="41">
        <v>1000000</v>
      </c>
      <c r="H77" s="41">
        <v>1000000</v>
      </c>
      <c r="I77" s="41">
        <v>1000000</v>
      </c>
      <c r="J77" s="41">
        <v>1000000</v>
      </c>
      <c r="K77" s="41">
        <v>1000000</v>
      </c>
      <c r="L77" s="41">
        <v>1000000</v>
      </c>
      <c r="M77" s="41">
        <v>1000000</v>
      </c>
      <c r="N77" s="41">
        <v>1000000</v>
      </c>
      <c r="O77" s="41">
        <v>1000000</v>
      </c>
      <c r="P77" s="41">
        <v>1000000</v>
      </c>
      <c r="Q77" s="41">
        <v>1000000</v>
      </c>
      <c r="R77" s="41">
        <v>1000000</v>
      </c>
      <c r="S77" s="41">
        <v>1000000</v>
      </c>
      <c r="T77" s="41">
        <v>1000000</v>
      </c>
      <c r="U77" s="41">
        <v>1000000</v>
      </c>
      <c r="V77" s="41">
        <v>1000000</v>
      </c>
      <c r="W77" s="41">
        <v>1000000</v>
      </c>
      <c r="X77" s="41">
        <v>1000000</v>
      </c>
      <c r="Y77" s="41">
        <v>1000000</v>
      </c>
      <c r="Z77" s="41">
        <v>1000000</v>
      </c>
      <c r="AA77" s="41">
        <v>1000000</v>
      </c>
      <c r="AB77" s="41">
        <v>1000000</v>
      </c>
      <c r="AC77" s="41">
        <v>1000000</v>
      </c>
      <c r="AD77" s="41">
        <v>1000000</v>
      </c>
      <c r="AE77" s="41">
        <v>1000000</v>
      </c>
      <c r="AF77" s="41">
        <v>1000000</v>
      </c>
      <c r="AG77" s="41">
        <v>1000000</v>
      </c>
      <c r="AH77" s="41">
        <v>1000000</v>
      </c>
      <c r="AI77" s="41">
        <v>1000000</v>
      </c>
      <c r="AJ77" s="41">
        <v>1000000</v>
      </c>
      <c r="AK77" s="41">
        <v>1000000</v>
      </c>
      <c r="AL77" s="41">
        <v>1000000</v>
      </c>
      <c r="AM77" s="41">
        <v>1000000</v>
      </c>
      <c r="AN77" s="41">
        <v>1000000</v>
      </c>
      <c r="AO77" s="41">
        <v>2000000</v>
      </c>
      <c r="AP77" s="41">
        <v>2000000</v>
      </c>
      <c r="AQ77" s="41">
        <v>2000000</v>
      </c>
      <c r="AR77" s="41">
        <v>2000000</v>
      </c>
      <c r="AS77" s="41">
        <v>2000000</v>
      </c>
      <c r="AT77" s="41">
        <v>2000000</v>
      </c>
      <c r="AU77" s="41">
        <v>2000000</v>
      </c>
      <c r="AV77" s="41">
        <v>2000000</v>
      </c>
      <c r="AW77" s="41">
        <v>2000000</v>
      </c>
      <c r="AX77" s="41">
        <v>2000000</v>
      </c>
      <c r="AY77" s="41">
        <v>2000000</v>
      </c>
      <c r="AZ77" s="41">
        <v>2000000</v>
      </c>
      <c r="BA77" s="41">
        <v>2000000</v>
      </c>
      <c r="BB77" s="41">
        <v>2000000</v>
      </c>
      <c r="BC77" s="41">
        <v>2000000</v>
      </c>
      <c r="BD77" s="41">
        <v>2000000</v>
      </c>
      <c r="BE77" s="41">
        <v>2000000</v>
      </c>
      <c r="BF77" s="41">
        <v>2000000</v>
      </c>
      <c r="BG77" s="41">
        <v>2000000</v>
      </c>
      <c r="BH77" s="41">
        <v>2000000</v>
      </c>
      <c r="BI77" s="41">
        <v>2000000</v>
      </c>
      <c r="BJ77" s="41">
        <v>2000000</v>
      </c>
      <c r="BK77" s="41">
        <v>2000000</v>
      </c>
      <c r="BL77" s="41">
        <v>1000000</v>
      </c>
    </row>
    <row r="78" spans="1:64">
      <c r="A78" t="s">
        <v>385</v>
      </c>
      <c r="B78">
        <v>0</v>
      </c>
      <c r="C78">
        <v>0</v>
      </c>
      <c r="D78">
        <v>0</v>
      </c>
      <c r="E78">
        <v>0</v>
      </c>
      <c r="F78" s="41">
        <v>25000000</v>
      </c>
      <c r="G78" s="41">
        <v>155000000</v>
      </c>
      <c r="H78" s="41">
        <v>235000000</v>
      </c>
      <c r="I78" s="41">
        <v>318000000</v>
      </c>
      <c r="J78" s="41">
        <v>404000000</v>
      </c>
      <c r="K78" s="41">
        <v>573000000</v>
      </c>
      <c r="L78" s="41">
        <v>657000000</v>
      </c>
      <c r="M78" s="41">
        <v>640000000</v>
      </c>
      <c r="N78" s="41">
        <v>630000000</v>
      </c>
      <c r="O78" s="41">
        <v>47000000</v>
      </c>
      <c r="P78" s="41">
        <v>36000000</v>
      </c>
      <c r="Q78" s="41">
        <v>13000000</v>
      </c>
      <c r="R78" s="41">
        <v>7000000</v>
      </c>
      <c r="S78" s="41">
        <v>3000000</v>
      </c>
      <c r="T78">
        <v>0</v>
      </c>
      <c r="U78">
        <v>0</v>
      </c>
      <c r="V78">
        <v>0</v>
      </c>
      <c r="W78">
        <v>0</v>
      </c>
      <c r="X78">
        <v>0</v>
      </c>
      <c r="Y78" s="41">
        <v>50000000</v>
      </c>
      <c r="Z78" s="41">
        <v>339000000</v>
      </c>
      <c r="AA78" s="41">
        <v>399000000</v>
      </c>
      <c r="AB78" s="41">
        <v>906000000</v>
      </c>
      <c r="AC78" s="41">
        <v>967000000</v>
      </c>
      <c r="AD78" s="41">
        <v>1156000000</v>
      </c>
      <c r="AE78" s="41">
        <v>1358000000</v>
      </c>
      <c r="AF78" s="41">
        <v>1352000000</v>
      </c>
      <c r="AG78" s="41">
        <v>1686000000</v>
      </c>
      <c r="AH78" s="41">
        <v>1687000000</v>
      </c>
      <c r="AI78" s="41">
        <v>1820000000</v>
      </c>
      <c r="AJ78" s="41">
        <v>1882000000</v>
      </c>
      <c r="AK78" s="41">
        <v>1931000000</v>
      </c>
      <c r="AL78" s="41">
        <v>2103000000</v>
      </c>
      <c r="AM78" s="41">
        <v>2297000000</v>
      </c>
      <c r="AN78" s="41">
        <v>2455000000</v>
      </c>
      <c r="AO78" s="41">
        <v>2621000000</v>
      </c>
      <c r="AP78" s="41">
        <v>2808000000</v>
      </c>
      <c r="AQ78" s="41">
        <v>2880000000</v>
      </c>
      <c r="AR78" s="41">
        <v>2959000000</v>
      </c>
      <c r="AS78" s="41">
        <v>3015000000</v>
      </c>
      <c r="AT78" s="41">
        <v>3030000000</v>
      </c>
      <c r="AU78" s="41">
        <v>3052000000</v>
      </c>
      <c r="AV78" s="41">
        <v>3240000000</v>
      </c>
      <c r="AW78" s="41">
        <v>3263000000</v>
      </c>
      <c r="AX78" s="41">
        <v>3360000000</v>
      </c>
      <c r="AY78" s="41">
        <v>3390000000</v>
      </c>
      <c r="AZ78" s="41">
        <v>3386000000</v>
      </c>
      <c r="BA78" s="41">
        <v>3380000000</v>
      </c>
      <c r="BB78" s="41">
        <v>3374000000</v>
      </c>
      <c r="BC78" s="41">
        <v>3368000000</v>
      </c>
      <c r="BD78" s="41">
        <v>3756000000</v>
      </c>
      <c r="BE78" s="41">
        <v>3751000000</v>
      </c>
      <c r="BF78" s="41">
        <v>3745000000</v>
      </c>
      <c r="BG78" s="41">
        <v>3739000000</v>
      </c>
      <c r="BH78" s="41">
        <v>3732000000</v>
      </c>
      <c r="BI78" s="41">
        <v>3731000000</v>
      </c>
      <c r="BJ78" s="41">
        <v>3596000000</v>
      </c>
      <c r="BK78" s="41">
        <v>3591000000</v>
      </c>
      <c r="BL78" s="41">
        <v>2242000000</v>
      </c>
    </row>
    <row r="79" spans="1:64">
      <c r="A79" t="s">
        <v>386</v>
      </c>
      <c r="B79" s="41">
        <v>3886000000</v>
      </c>
      <c r="C79" s="41">
        <v>4082000000</v>
      </c>
      <c r="D79" s="41">
        <v>3853000000</v>
      </c>
      <c r="E79" s="41">
        <v>3738000000</v>
      </c>
      <c r="F79" s="41">
        <v>3784000000</v>
      </c>
      <c r="G79" s="41">
        <v>3732000000</v>
      </c>
      <c r="H79" s="41">
        <v>3680000000</v>
      </c>
      <c r="I79" s="41">
        <v>3622000000</v>
      </c>
      <c r="J79" s="41">
        <v>3328000000</v>
      </c>
      <c r="K79" s="41">
        <v>3300000000</v>
      </c>
      <c r="L79" s="41">
        <v>3094000000</v>
      </c>
      <c r="M79" s="41">
        <v>3167000000</v>
      </c>
      <c r="N79" s="41">
        <v>3196000000</v>
      </c>
      <c r="O79" s="41">
        <v>3076000000</v>
      </c>
      <c r="P79" s="41">
        <v>3085000000</v>
      </c>
      <c r="Q79" s="41">
        <v>3389000000</v>
      </c>
      <c r="R79" s="41">
        <v>3592000000</v>
      </c>
      <c r="S79" s="41">
        <v>3753000000</v>
      </c>
      <c r="T79" s="41">
        <v>3989000000</v>
      </c>
      <c r="U79" s="41">
        <v>4170000000</v>
      </c>
      <c r="V79" s="41">
        <v>4003000000</v>
      </c>
      <c r="W79" s="41">
        <v>3853000000</v>
      </c>
      <c r="X79" s="41">
        <v>3831000000</v>
      </c>
      <c r="Y79" s="41">
        <v>3819000000</v>
      </c>
      <c r="Z79" s="41">
        <v>3791000000</v>
      </c>
      <c r="AA79" s="41">
        <v>3571000000</v>
      </c>
      <c r="AB79" s="41">
        <v>3511000000</v>
      </c>
      <c r="AC79" s="41">
        <v>3054000000</v>
      </c>
      <c r="AD79" s="41">
        <v>2666000000</v>
      </c>
      <c r="AE79" s="41">
        <v>2650000000</v>
      </c>
      <c r="AF79" s="41">
        <v>2563000000</v>
      </c>
      <c r="AG79" s="41">
        <v>2493000000</v>
      </c>
      <c r="AH79" s="41">
        <v>2452000000</v>
      </c>
      <c r="AI79" s="41">
        <v>2390000000</v>
      </c>
      <c r="AJ79" s="41">
        <v>2323000000</v>
      </c>
      <c r="AK79" s="41">
        <v>2289000000</v>
      </c>
      <c r="AL79" s="41">
        <v>2252000000</v>
      </c>
      <c r="AM79" s="41">
        <v>2227000000</v>
      </c>
      <c r="AN79" s="41">
        <v>2187000000</v>
      </c>
      <c r="AO79" s="41">
        <v>2165000000</v>
      </c>
      <c r="AP79" s="41">
        <v>1983000000</v>
      </c>
      <c r="AQ79" s="41">
        <v>1951000000</v>
      </c>
      <c r="AR79" s="41">
        <v>1877000000</v>
      </c>
      <c r="AS79" s="41">
        <v>1821000000</v>
      </c>
      <c r="AT79" s="41">
        <v>1789000000</v>
      </c>
      <c r="AU79" s="41">
        <v>1725000000</v>
      </c>
      <c r="AV79" s="41">
        <v>1613000000</v>
      </c>
      <c r="AW79" s="41">
        <v>1614000000</v>
      </c>
      <c r="AX79" s="41">
        <v>1589000000</v>
      </c>
      <c r="AY79" s="41">
        <v>1566000000</v>
      </c>
      <c r="AZ79" s="41">
        <v>1527000000</v>
      </c>
      <c r="BA79" s="41">
        <v>1517000000</v>
      </c>
      <c r="BB79" s="41">
        <v>1465000000</v>
      </c>
      <c r="BC79" s="41">
        <v>1451000000</v>
      </c>
      <c r="BD79" s="41">
        <v>1414000000</v>
      </c>
      <c r="BE79" s="41">
        <v>1404000000</v>
      </c>
      <c r="BF79" s="41">
        <v>1398000000</v>
      </c>
      <c r="BG79" s="41">
        <v>1368000000</v>
      </c>
      <c r="BH79" s="41">
        <v>1343000000</v>
      </c>
      <c r="BI79" s="41">
        <v>1338000000</v>
      </c>
      <c r="BJ79" s="41">
        <v>1350000000</v>
      </c>
      <c r="BK79" s="41">
        <v>1345000000</v>
      </c>
      <c r="BL79" s="41">
        <v>1381000000</v>
      </c>
    </row>
    <row r="80" spans="1:64">
      <c r="A80" t="s">
        <v>387</v>
      </c>
      <c r="AK80">
        <v>0</v>
      </c>
      <c r="AL80">
        <v>0</v>
      </c>
      <c r="AM80">
        <v>0</v>
      </c>
      <c r="AN80" s="41">
        <v>8000000</v>
      </c>
      <c r="AO80" s="41">
        <v>1000000</v>
      </c>
      <c r="AP80" s="41">
        <v>1000000</v>
      </c>
      <c r="AQ80" s="41">
        <v>1000000</v>
      </c>
      <c r="AR80" s="41">
        <v>1000000</v>
      </c>
      <c r="AS80" s="41">
        <v>1000000</v>
      </c>
      <c r="AT80" s="41">
        <v>1000000</v>
      </c>
      <c r="AU80" s="41">
        <v>1000000</v>
      </c>
      <c r="AV80" s="41">
        <v>1000000</v>
      </c>
      <c r="AW80" s="41">
        <v>1000000</v>
      </c>
      <c r="AX80" s="41">
        <v>1000000</v>
      </c>
      <c r="AY80" s="41">
        <v>1000000</v>
      </c>
      <c r="AZ80" s="41">
        <v>1000000</v>
      </c>
      <c r="BA80" s="41">
        <v>1000000</v>
      </c>
      <c r="BB80" s="41">
        <v>1000000</v>
      </c>
      <c r="BC80" s="41">
        <v>1000000</v>
      </c>
      <c r="BD80" s="41">
        <v>1000000</v>
      </c>
      <c r="BE80" s="41">
        <v>1000000</v>
      </c>
      <c r="BF80" s="41">
        <v>1000000</v>
      </c>
      <c r="BG80" s="41">
        <v>1000000</v>
      </c>
      <c r="BH80" s="41">
        <v>2000000</v>
      </c>
      <c r="BI80" s="41">
        <v>2000000</v>
      </c>
      <c r="BL80">
        <v>0</v>
      </c>
    </row>
    <row r="81" spans="1:64">
      <c r="A81" t="s">
        <v>388</v>
      </c>
      <c r="B81" s="41">
        <v>-190000000</v>
      </c>
      <c r="C81" s="41">
        <v>-233000000</v>
      </c>
      <c r="D81" s="41">
        <v>-197000000</v>
      </c>
      <c r="E81" s="41">
        <v>-175000000</v>
      </c>
      <c r="F81" s="41">
        <v>-224000000</v>
      </c>
      <c r="G81" s="41">
        <v>-206000000</v>
      </c>
      <c r="H81" s="41">
        <v>-223000000</v>
      </c>
      <c r="I81" s="41">
        <v>-242000000</v>
      </c>
      <c r="J81" s="41">
        <v>-290000000</v>
      </c>
      <c r="K81" s="41">
        <v>-265000000</v>
      </c>
      <c r="L81" s="41">
        <v>-231000000</v>
      </c>
      <c r="M81" s="41">
        <v>-245000000</v>
      </c>
      <c r="N81" s="41">
        <v>-241000000</v>
      </c>
      <c r="O81" s="41">
        <v>-218000000</v>
      </c>
      <c r="P81" s="41">
        <v>-237000000</v>
      </c>
      <c r="Q81" s="41">
        <v>-192000000</v>
      </c>
      <c r="R81" s="41">
        <v>-250000000</v>
      </c>
      <c r="S81" s="41">
        <v>-267000000</v>
      </c>
      <c r="T81" s="41">
        <v>-285000000</v>
      </c>
      <c r="U81" s="41">
        <v>-209000000</v>
      </c>
      <c r="V81" s="41">
        <v>-248000000</v>
      </c>
      <c r="W81" s="41">
        <v>-212000000</v>
      </c>
      <c r="X81" s="41">
        <v>-210000000</v>
      </c>
      <c r="Y81" s="41">
        <v>-200000000</v>
      </c>
      <c r="Z81" s="41">
        <v>-202000000</v>
      </c>
      <c r="AA81" s="41">
        <v>-276000000</v>
      </c>
      <c r="AB81" s="41">
        <v>-230000000</v>
      </c>
      <c r="AC81" s="41">
        <v>-185000000</v>
      </c>
      <c r="AD81" s="41">
        <v>-172000000</v>
      </c>
      <c r="AE81" s="41">
        <v>-172000000</v>
      </c>
      <c r="AF81" s="41">
        <v>-202000000</v>
      </c>
      <c r="AG81" s="41">
        <v>-277000000</v>
      </c>
      <c r="AH81" s="41">
        <v>-227000000</v>
      </c>
      <c r="AI81" s="41">
        <v>-207000000</v>
      </c>
      <c r="AJ81" s="41">
        <v>-210000000</v>
      </c>
      <c r="AK81" s="41">
        <v>-230000000</v>
      </c>
      <c r="AL81" s="41">
        <v>-226000000</v>
      </c>
      <c r="AM81" s="41">
        <v>-201000000</v>
      </c>
      <c r="AN81" s="41">
        <v>-213000000</v>
      </c>
      <c r="AO81" s="41">
        <v>-160000000</v>
      </c>
      <c r="AP81" s="41">
        <v>-109000000</v>
      </c>
      <c r="AQ81" s="41">
        <v>-61000000</v>
      </c>
      <c r="AR81" s="41">
        <v>-70000000</v>
      </c>
      <c r="AS81" s="41">
        <v>-68000000</v>
      </c>
      <c r="AT81" s="41">
        <v>-77000000</v>
      </c>
      <c r="AU81" s="41">
        <v>-74000000</v>
      </c>
      <c r="AV81" s="41">
        <v>-50000000</v>
      </c>
      <c r="AW81" s="41">
        <v>-67000000</v>
      </c>
      <c r="AX81" s="41">
        <v>-55000000</v>
      </c>
      <c r="AY81" s="41">
        <v>-84000000</v>
      </c>
      <c r="AZ81" s="41">
        <v>-60000000</v>
      </c>
      <c r="BA81" s="41">
        <v>-80000000</v>
      </c>
      <c r="BB81" s="41">
        <v>-64000000</v>
      </c>
      <c r="BC81" s="41">
        <v>2000000</v>
      </c>
      <c r="BD81" s="41">
        <v>-15000000</v>
      </c>
      <c r="BE81" s="41">
        <v>-38000000</v>
      </c>
      <c r="BF81" s="41">
        <v>-39000000</v>
      </c>
      <c r="BG81" s="41">
        <v>-69000000</v>
      </c>
      <c r="BH81" s="41">
        <v>-49000000</v>
      </c>
      <c r="BI81" s="41">
        <v>-53000000</v>
      </c>
      <c r="BJ81" s="41">
        <v>-46000000</v>
      </c>
      <c r="BK81" s="41">
        <v>-64000000</v>
      </c>
      <c r="BL81" s="41">
        <v>-60000000</v>
      </c>
    </row>
    <row r="82" spans="1:64">
      <c r="A82" t="s">
        <v>389</v>
      </c>
      <c r="B82" s="41">
        <v>-190000000</v>
      </c>
      <c r="C82" s="41">
        <v>-233000000</v>
      </c>
      <c r="D82" s="41">
        <v>-197000000</v>
      </c>
      <c r="E82" s="41">
        <v>-175000000</v>
      </c>
      <c r="F82" s="41">
        <v>-224000000</v>
      </c>
      <c r="G82" s="41">
        <v>-206000000</v>
      </c>
      <c r="H82" s="41">
        <v>-223000000</v>
      </c>
      <c r="I82" s="41">
        <v>-242000000</v>
      </c>
      <c r="J82" s="41">
        <v>-290000000</v>
      </c>
      <c r="K82" s="41">
        <v>-265000000</v>
      </c>
      <c r="L82" s="41">
        <v>-231000000</v>
      </c>
      <c r="M82" s="41">
        <v>-245000000</v>
      </c>
      <c r="N82" s="41">
        <v>-241000000</v>
      </c>
      <c r="O82" s="41">
        <v>-218000000</v>
      </c>
      <c r="P82" s="41">
        <v>-237000000</v>
      </c>
      <c r="Q82" s="41">
        <v>-192000000</v>
      </c>
      <c r="R82" s="41">
        <v>-250000000</v>
      </c>
      <c r="S82" s="41">
        <v>-267000000</v>
      </c>
      <c r="T82" s="41">
        <v>-285000000</v>
      </c>
      <c r="U82" s="41">
        <v>-209000000</v>
      </c>
      <c r="V82" s="41">
        <v>-248000000</v>
      </c>
      <c r="W82" s="41">
        <v>-212000000</v>
      </c>
      <c r="X82" s="41">
        <v>-210000000</v>
      </c>
      <c r="Y82" s="41">
        <v>-200000000</v>
      </c>
      <c r="Z82" s="41">
        <v>-202000000</v>
      </c>
      <c r="AA82" s="41">
        <v>-276000000</v>
      </c>
      <c r="AB82" s="41">
        <v>-230000000</v>
      </c>
      <c r="AC82" s="41">
        <v>-185000000</v>
      </c>
      <c r="AD82" s="41">
        <v>-172000000</v>
      </c>
      <c r="AE82" s="41">
        <v>-172000000</v>
      </c>
      <c r="AF82" s="41">
        <v>-202000000</v>
      </c>
      <c r="AG82" s="41">
        <v>-277000000</v>
      </c>
      <c r="AH82" s="41">
        <v>-227000000</v>
      </c>
      <c r="AI82" s="41">
        <v>-207000000</v>
      </c>
      <c r="AJ82" s="41">
        <v>-210000000</v>
      </c>
      <c r="AK82" s="41">
        <v>-230000000</v>
      </c>
      <c r="AL82" s="41">
        <v>-226000000</v>
      </c>
      <c r="AM82" s="41">
        <v>-201000000</v>
      </c>
      <c r="AN82" s="41">
        <v>-213000000</v>
      </c>
      <c r="AO82" s="41">
        <v>-160000000</v>
      </c>
      <c r="AP82" s="41">
        <v>-109000000</v>
      </c>
      <c r="AQ82" s="41">
        <v>-61000000</v>
      </c>
      <c r="AR82" s="41">
        <v>-70000000</v>
      </c>
      <c r="AS82" s="41">
        <v>-68000000</v>
      </c>
      <c r="AT82" s="41">
        <v>-77000000</v>
      </c>
      <c r="AU82" s="41">
        <v>-74000000</v>
      </c>
      <c r="AV82" s="41">
        <v>-50000000</v>
      </c>
      <c r="AW82" s="41">
        <v>-67000000</v>
      </c>
      <c r="BA82" s="41">
        <v>-80000000</v>
      </c>
    </row>
    <row r="83" spans="1:64">
      <c r="A83" t="s">
        <v>390</v>
      </c>
      <c r="B83" s="41">
        <v>3000000</v>
      </c>
      <c r="C83" s="41">
        <v>3000000</v>
      </c>
      <c r="D83" s="41">
        <v>3000000</v>
      </c>
      <c r="E83" s="41">
        <v>3000000</v>
      </c>
      <c r="F83" s="41">
        <v>3000000</v>
      </c>
      <c r="G83" s="41">
        <v>3000000</v>
      </c>
      <c r="H83" s="41">
        <v>3000000</v>
      </c>
      <c r="I83" s="41">
        <v>3000000</v>
      </c>
      <c r="J83" s="41">
        <v>3000000</v>
      </c>
      <c r="K83" s="41">
        <v>3000000</v>
      </c>
      <c r="L83" s="41">
        <v>3000000</v>
      </c>
      <c r="M83" s="41">
        <v>3000000</v>
      </c>
      <c r="N83" s="41">
        <v>3000000</v>
      </c>
      <c r="O83" s="41">
        <v>3000000</v>
      </c>
      <c r="P83" s="41">
        <v>3000000</v>
      </c>
      <c r="Q83" s="41">
        <v>3000000</v>
      </c>
      <c r="R83" s="41">
        <v>3000000</v>
      </c>
      <c r="S83" s="41">
        <v>3000000</v>
      </c>
      <c r="T83" s="41">
        <v>3000000</v>
      </c>
      <c r="U83" s="41">
        <v>5000000</v>
      </c>
      <c r="V83" s="41">
        <v>5000000</v>
      </c>
      <c r="W83" s="41">
        <v>5000000</v>
      </c>
      <c r="X83" s="41">
        <v>6000000</v>
      </c>
      <c r="Y83" s="41">
        <v>7000000</v>
      </c>
      <c r="Z83" s="41">
        <v>6000000</v>
      </c>
      <c r="AA83" s="41">
        <v>6000000</v>
      </c>
      <c r="AB83" s="41">
        <v>6000000</v>
      </c>
      <c r="AC83" s="41">
        <v>16000000</v>
      </c>
      <c r="AD83" s="41">
        <v>16000000</v>
      </c>
      <c r="AE83" s="41">
        <v>15000000</v>
      </c>
      <c r="AF83" s="41">
        <v>15000000</v>
      </c>
      <c r="AG83" s="41">
        <v>5000000</v>
      </c>
      <c r="AH83" s="41">
        <v>4000000</v>
      </c>
      <c r="AI83" s="41">
        <v>4000000</v>
      </c>
      <c r="AJ83" s="41">
        <v>4000000</v>
      </c>
      <c r="AK83" s="41">
        <v>4000000</v>
      </c>
      <c r="AL83" s="41">
        <v>4000000</v>
      </c>
      <c r="AM83" s="41">
        <v>4000000</v>
      </c>
      <c r="AN83" s="41">
        <v>4000000</v>
      </c>
      <c r="AO83" s="41">
        <v>4000000</v>
      </c>
      <c r="AP83" s="41">
        <v>8000000</v>
      </c>
      <c r="AQ83" s="41">
        <v>8000000</v>
      </c>
      <c r="AR83" s="41">
        <v>8000000</v>
      </c>
      <c r="AS83" s="41">
        <v>8000000</v>
      </c>
      <c r="AT83" s="41">
        <v>10000000</v>
      </c>
      <c r="AU83" s="41">
        <v>10000000</v>
      </c>
      <c r="AV83" s="41">
        <v>10000000</v>
      </c>
      <c r="AW83" s="41">
        <v>10000000</v>
      </c>
      <c r="AX83" s="41">
        <v>10000000</v>
      </c>
      <c r="AY83" s="41">
        <v>10000000</v>
      </c>
      <c r="AZ83" s="41">
        <v>10000000</v>
      </c>
      <c r="BA83" s="41">
        <v>10000000</v>
      </c>
      <c r="BB83" s="41">
        <v>11000000</v>
      </c>
      <c r="BC83" s="41">
        <v>12000000</v>
      </c>
      <c r="BD83" s="41">
        <v>13000000</v>
      </c>
      <c r="BE83" s="41">
        <v>13000000</v>
      </c>
      <c r="BF83" s="41">
        <v>22000000</v>
      </c>
      <c r="BG83" s="41">
        <v>22000000</v>
      </c>
      <c r="BH83" s="41">
        <v>23000000</v>
      </c>
      <c r="BI83" s="41">
        <v>24000000</v>
      </c>
      <c r="BJ83" s="41">
        <v>26000000</v>
      </c>
      <c r="BK83" s="41">
        <v>26000000</v>
      </c>
      <c r="BL83" s="41">
        <v>28000000</v>
      </c>
    </row>
    <row r="84" spans="1:64">
      <c r="A84" t="s">
        <v>391</v>
      </c>
      <c r="B84" s="41">
        <v>6384000000</v>
      </c>
      <c r="C84" s="41">
        <v>6534000000</v>
      </c>
      <c r="D84" s="41">
        <v>5961000000</v>
      </c>
      <c r="E84" s="41">
        <v>5869000000</v>
      </c>
      <c r="F84" s="41">
        <v>6635000000</v>
      </c>
      <c r="G84" s="41">
        <v>6735000000</v>
      </c>
      <c r="H84" s="41">
        <v>6147000000</v>
      </c>
      <c r="I84" s="41">
        <v>6152000000</v>
      </c>
      <c r="J84" s="41">
        <v>6593000000</v>
      </c>
      <c r="K84" s="41">
        <v>7407000000</v>
      </c>
      <c r="L84" s="41">
        <v>7336000000</v>
      </c>
      <c r="M84" s="41">
        <v>7531000000</v>
      </c>
      <c r="N84" s="41">
        <v>6564000000</v>
      </c>
      <c r="O84" s="41">
        <v>5892000000</v>
      </c>
      <c r="P84" s="41">
        <v>5867000000</v>
      </c>
      <c r="Q84" s="41">
        <v>6195000000</v>
      </c>
      <c r="R84" s="41">
        <v>6331000000</v>
      </c>
      <c r="S84" s="41">
        <v>5981000000</v>
      </c>
      <c r="T84" s="41">
        <v>5307000000</v>
      </c>
      <c r="U84" s="41">
        <v>5574000000</v>
      </c>
      <c r="V84" s="41">
        <v>5368000000</v>
      </c>
      <c r="W84" s="41">
        <v>5263000000</v>
      </c>
      <c r="X84" s="41">
        <v>5243000000</v>
      </c>
      <c r="Y84" s="41">
        <v>5293000000</v>
      </c>
      <c r="Z84" s="41">
        <v>5551000000</v>
      </c>
      <c r="AA84" s="41">
        <v>5124000000</v>
      </c>
      <c r="AB84" s="41">
        <v>5627000000</v>
      </c>
      <c r="AC84" s="41">
        <v>5277000000</v>
      </c>
      <c r="AD84" s="41">
        <v>5095000000</v>
      </c>
      <c r="AE84" s="41">
        <v>5283000000</v>
      </c>
      <c r="AF84" s="41">
        <v>5159000000</v>
      </c>
      <c r="AG84" s="41">
        <v>5348000000</v>
      </c>
      <c r="AH84" s="41">
        <v>5360000000</v>
      </c>
      <c r="AI84" s="41">
        <v>5459000000</v>
      </c>
      <c r="AJ84" s="41">
        <v>5437000000</v>
      </c>
      <c r="AK84" s="41">
        <v>5033000000</v>
      </c>
      <c r="AL84" s="41">
        <v>5189000000</v>
      </c>
      <c r="AM84" s="41">
        <v>5643000000</v>
      </c>
      <c r="AN84" s="41">
        <v>5792000000</v>
      </c>
      <c r="AO84" s="41">
        <v>6008000000</v>
      </c>
      <c r="AP84" s="41">
        <v>5975000000</v>
      </c>
      <c r="AQ84" s="41">
        <v>6069000000</v>
      </c>
      <c r="AR84" s="41">
        <v>6060000000</v>
      </c>
      <c r="AS84" s="41">
        <v>6058000000</v>
      </c>
      <c r="AT84" s="41">
        <v>6026000000</v>
      </c>
      <c r="AU84" s="41">
        <v>5969000000</v>
      </c>
      <c r="AV84" s="41">
        <v>6032000000</v>
      </c>
      <c r="AW84" s="41">
        <v>6040000000</v>
      </c>
      <c r="AX84" s="41">
        <v>6114000000</v>
      </c>
      <c r="AY84" s="41">
        <v>6093000000</v>
      </c>
      <c r="AZ84" s="41">
        <v>6074000000</v>
      </c>
      <c r="BA84" s="41">
        <v>6039000000</v>
      </c>
      <c r="BB84" s="41">
        <v>5997000000</v>
      </c>
      <c r="BC84" s="41">
        <v>5536000000</v>
      </c>
      <c r="BD84" s="41">
        <v>5868000000</v>
      </c>
      <c r="BE84" s="41">
        <v>6634000000</v>
      </c>
      <c r="BF84" s="41">
        <v>6589000000</v>
      </c>
      <c r="BG84" s="41">
        <v>6585000000</v>
      </c>
      <c r="BH84" s="41">
        <v>6651000000</v>
      </c>
      <c r="BI84" s="41">
        <v>6636000000</v>
      </c>
      <c r="BJ84" s="41">
        <v>6466000000</v>
      </c>
      <c r="BK84" s="41">
        <v>5469000000</v>
      </c>
      <c r="BL84" s="41">
        <v>5438000000</v>
      </c>
    </row>
    <row r="85" spans="1:64">
      <c r="A85" t="s">
        <v>392</v>
      </c>
      <c r="B85" s="41">
        <v>3697000000</v>
      </c>
      <c r="C85" s="41">
        <v>3850000000</v>
      </c>
      <c r="D85" s="41">
        <v>3657000000</v>
      </c>
      <c r="E85" s="41">
        <v>3564000000</v>
      </c>
      <c r="F85" s="41">
        <v>3586000000</v>
      </c>
      <c r="G85" s="41">
        <v>3682000000</v>
      </c>
      <c r="H85" s="41">
        <v>3693000000</v>
      </c>
      <c r="I85" s="41">
        <v>3699000000</v>
      </c>
      <c r="J85" s="41">
        <v>3443000000</v>
      </c>
      <c r="K85" s="41">
        <v>3609000000</v>
      </c>
      <c r="L85" s="41">
        <v>3521000000</v>
      </c>
      <c r="M85" s="41">
        <v>3563000000</v>
      </c>
      <c r="N85" s="41">
        <v>3586000000</v>
      </c>
      <c r="O85" s="41">
        <v>2906000000</v>
      </c>
      <c r="P85" s="41">
        <v>2885000000</v>
      </c>
      <c r="Q85" s="41">
        <v>3211000000</v>
      </c>
      <c r="R85" s="41">
        <v>3350000000</v>
      </c>
      <c r="S85" s="41">
        <v>3490000000</v>
      </c>
      <c r="T85" s="41">
        <v>3705000000</v>
      </c>
      <c r="U85" s="41">
        <v>3962000000</v>
      </c>
      <c r="V85" s="41">
        <v>3756000000</v>
      </c>
      <c r="W85" s="41">
        <v>3642000000</v>
      </c>
      <c r="X85" s="41">
        <v>3622000000</v>
      </c>
      <c r="Y85" s="41">
        <v>3670000000</v>
      </c>
      <c r="Z85" s="41">
        <v>3929000000</v>
      </c>
      <c r="AA85" s="41">
        <v>3695000000</v>
      </c>
      <c r="AB85" s="41">
        <v>4188000000</v>
      </c>
      <c r="AC85" s="41">
        <v>3837000000</v>
      </c>
      <c r="AD85" s="41">
        <v>3651000000</v>
      </c>
      <c r="AE85" s="41">
        <v>3837000000</v>
      </c>
      <c r="AF85" s="41">
        <v>3714000000</v>
      </c>
      <c r="AG85" s="41">
        <v>3903000000</v>
      </c>
      <c r="AH85" s="41">
        <v>3913000000</v>
      </c>
      <c r="AI85" s="41">
        <v>4004000000</v>
      </c>
      <c r="AJ85" s="41">
        <v>3996000000</v>
      </c>
      <c r="AK85" s="41">
        <v>3991000000</v>
      </c>
      <c r="AL85" s="41">
        <v>4130000000</v>
      </c>
      <c r="AM85" s="41">
        <v>4324000000</v>
      </c>
      <c r="AN85" s="41">
        <v>4422000000</v>
      </c>
      <c r="AO85" s="41">
        <v>4627000000</v>
      </c>
      <c r="AP85" s="41">
        <v>4683000000</v>
      </c>
      <c r="AQ85" s="41">
        <v>4771000000</v>
      </c>
      <c r="AR85" s="41">
        <v>4767000000</v>
      </c>
      <c r="AS85" s="41">
        <v>4769000000</v>
      </c>
      <c r="AT85" s="41">
        <v>4743000000</v>
      </c>
      <c r="AU85" s="41">
        <v>4704000000</v>
      </c>
      <c r="AV85" s="41">
        <v>4804000000</v>
      </c>
      <c r="AW85" s="41">
        <v>4811000000</v>
      </c>
      <c r="AX85" s="41">
        <v>4895000000</v>
      </c>
      <c r="AY85" s="41">
        <v>4873000000</v>
      </c>
      <c r="AZ85" s="41">
        <v>4854000000</v>
      </c>
      <c r="BA85" s="41">
        <v>4818000000</v>
      </c>
      <c r="BB85" s="41">
        <v>4776000000</v>
      </c>
      <c r="BC85" s="41">
        <v>4822000000</v>
      </c>
      <c r="BD85" s="41">
        <v>5156000000</v>
      </c>
      <c r="BE85" s="41">
        <v>5118000000</v>
      </c>
      <c r="BF85" s="41">
        <v>5105000000</v>
      </c>
      <c r="BG85" s="41">
        <v>5039000000</v>
      </c>
      <c r="BH85" s="41">
        <v>5026000000</v>
      </c>
      <c r="BI85" s="41">
        <v>5016000000</v>
      </c>
      <c r="BJ85" s="41">
        <v>4902000000</v>
      </c>
      <c r="BK85" s="41">
        <v>4874000000</v>
      </c>
      <c r="BL85" s="41">
        <v>3564000000</v>
      </c>
    </row>
    <row r="86" spans="1:64">
      <c r="A86" t="s">
        <v>393</v>
      </c>
      <c r="B86" s="41">
        <v>285000000</v>
      </c>
      <c r="C86" s="41">
        <v>283000000</v>
      </c>
      <c r="D86" s="41">
        <v>289000000</v>
      </c>
      <c r="E86" s="41">
        <v>314000000</v>
      </c>
      <c r="F86" s="41">
        <v>316000000</v>
      </c>
      <c r="G86" s="41">
        <v>330000000</v>
      </c>
      <c r="H86" s="41">
        <v>333000000</v>
      </c>
      <c r="I86" s="41">
        <v>337000000</v>
      </c>
      <c r="J86" s="41">
        <v>329000000</v>
      </c>
      <c r="K86" s="41">
        <v>329000000</v>
      </c>
      <c r="L86" s="41">
        <v>357000000</v>
      </c>
      <c r="M86" s="41">
        <v>384000000</v>
      </c>
      <c r="N86" s="41">
        <v>390000000</v>
      </c>
      <c r="O86" s="41">
        <v>397000000</v>
      </c>
      <c r="P86" s="41">
        <v>390000000</v>
      </c>
      <c r="Q86" s="41">
        <v>406000000</v>
      </c>
      <c r="R86" s="41">
        <v>422000000</v>
      </c>
      <c r="S86" s="41">
        <v>413000000</v>
      </c>
      <c r="T86" s="41">
        <v>416000000</v>
      </c>
      <c r="U86" s="41">
        <v>425000000</v>
      </c>
      <c r="V86" s="41">
        <v>428000000</v>
      </c>
      <c r="W86" s="41">
        <v>441000000</v>
      </c>
      <c r="X86" s="41">
        <v>439000000</v>
      </c>
      <c r="Y86">
        <v>0</v>
      </c>
    </row>
    <row r="87" spans="1:64">
      <c r="A87" t="s">
        <v>394</v>
      </c>
      <c r="B87" s="41">
        <v>-106000000</v>
      </c>
      <c r="C87" s="41">
        <v>17000000</v>
      </c>
      <c r="D87" s="41">
        <v>-181000000</v>
      </c>
      <c r="E87" s="41">
        <v>-1311000000</v>
      </c>
      <c r="F87" s="41">
        <v>-1344000000</v>
      </c>
      <c r="G87" s="41">
        <v>-1308000000</v>
      </c>
      <c r="H87" s="41">
        <v>-1263000000</v>
      </c>
      <c r="I87" s="41">
        <v>-1070000000</v>
      </c>
      <c r="J87" s="41">
        <v>-1426000000</v>
      </c>
      <c r="K87" s="41">
        <v>-1281000000</v>
      </c>
      <c r="L87" s="41">
        <v>-1365000000</v>
      </c>
      <c r="M87" s="41">
        <v>-1379000000</v>
      </c>
      <c r="N87" s="41">
        <v>2935000000</v>
      </c>
      <c r="O87" s="41">
        <v>2249000000</v>
      </c>
      <c r="P87" s="41">
        <v>2219000000</v>
      </c>
      <c r="Q87" s="41">
        <v>2538000000</v>
      </c>
      <c r="R87" s="41">
        <v>2650000000</v>
      </c>
      <c r="S87" s="41">
        <v>2784000000</v>
      </c>
      <c r="T87" s="41">
        <v>2952000000</v>
      </c>
      <c r="U87" s="41">
        <v>3199000000</v>
      </c>
      <c r="V87" s="41">
        <v>2981000000</v>
      </c>
      <c r="W87" s="41">
        <v>2849000000</v>
      </c>
      <c r="X87" s="41">
        <v>2821000000</v>
      </c>
      <c r="Y87" s="41">
        <v>2759000000</v>
      </c>
      <c r="Z87" s="41">
        <v>3501000000</v>
      </c>
      <c r="AA87" s="41">
        <v>3249000000</v>
      </c>
      <c r="AB87" s="41">
        <v>3729000000</v>
      </c>
      <c r="AC87" s="41">
        <v>3382000000</v>
      </c>
      <c r="AD87" s="41">
        <v>2817000000</v>
      </c>
      <c r="AE87" s="41">
        <v>3021000000</v>
      </c>
      <c r="AF87" s="41">
        <v>2909000000</v>
      </c>
      <c r="AG87" s="41">
        <v>3179000000</v>
      </c>
      <c r="AH87" s="41">
        <v>3195000000</v>
      </c>
      <c r="AI87" s="41">
        <v>3335000000</v>
      </c>
      <c r="AJ87" s="41">
        <v>3321000000</v>
      </c>
      <c r="AK87" s="41">
        <v>3315000000</v>
      </c>
      <c r="AL87" s="41">
        <v>3459000000</v>
      </c>
      <c r="AM87" s="41">
        <v>3646000000</v>
      </c>
      <c r="AN87" s="41">
        <v>3758000000</v>
      </c>
      <c r="AO87" s="41">
        <v>3942000000</v>
      </c>
      <c r="AP87" s="41">
        <v>3979000000</v>
      </c>
      <c r="AQ87" s="41">
        <v>4048000000</v>
      </c>
      <c r="AR87" s="41">
        <v>4025000000</v>
      </c>
      <c r="AS87" s="41">
        <v>4031000000</v>
      </c>
      <c r="AT87" s="41">
        <v>4081000000</v>
      </c>
      <c r="AU87" s="41">
        <v>4059000000</v>
      </c>
      <c r="AV87" s="41">
        <v>4161000000</v>
      </c>
      <c r="AW87" s="41">
        <v>4290000000</v>
      </c>
      <c r="AX87" s="41">
        <v>4761000000</v>
      </c>
      <c r="AY87" s="41">
        <v>4365000000</v>
      </c>
      <c r="AZ87" s="41">
        <v>4388000000</v>
      </c>
      <c r="BA87" s="41">
        <v>4357000000</v>
      </c>
      <c r="BB87" s="41">
        <v>4318000000</v>
      </c>
      <c r="BC87" s="41">
        <v>4438000000</v>
      </c>
      <c r="BD87" s="41">
        <v>4696000000</v>
      </c>
      <c r="BE87" s="41">
        <v>4736000000</v>
      </c>
      <c r="BF87" s="41">
        <v>4710000000</v>
      </c>
      <c r="BG87" s="41">
        <v>4647000000</v>
      </c>
      <c r="BH87" s="41">
        <v>4764000000</v>
      </c>
      <c r="BI87" s="41">
        <v>4619000000</v>
      </c>
      <c r="BJ87" s="41">
        <v>4508000000</v>
      </c>
      <c r="BK87" s="41">
        <v>4478000000</v>
      </c>
      <c r="BL87" s="41">
        <v>3188000000</v>
      </c>
    </row>
    <row r="88" spans="1:64">
      <c r="A88" t="s">
        <v>395</v>
      </c>
      <c r="B88" s="41">
        <v>-620000000</v>
      </c>
      <c r="C88" s="41">
        <v>-660000000</v>
      </c>
      <c r="D88" s="41">
        <v>-1375000000</v>
      </c>
      <c r="E88" s="41">
        <v>-1448000000</v>
      </c>
      <c r="F88" s="41">
        <v>-657000000</v>
      </c>
      <c r="G88" s="41">
        <v>-631000000</v>
      </c>
      <c r="H88" s="41">
        <v>-1197000000</v>
      </c>
      <c r="I88" s="41">
        <v>-1037000000</v>
      </c>
      <c r="J88" s="41">
        <v>-323000000</v>
      </c>
      <c r="K88" s="41">
        <v>481000000</v>
      </c>
      <c r="L88" s="41">
        <v>77000000</v>
      </c>
      <c r="M88" s="41">
        <v>-170000000</v>
      </c>
      <c r="N88" s="41">
        <v>2363000000</v>
      </c>
      <c r="O88" s="41">
        <v>1457000000</v>
      </c>
      <c r="P88" s="41">
        <v>1382000000</v>
      </c>
      <c r="Q88" s="41">
        <v>1579000000</v>
      </c>
      <c r="R88" s="41">
        <v>1668000000</v>
      </c>
      <c r="S88" s="41">
        <v>1237000000</v>
      </c>
      <c r="T88" s="41">
        <v>570000000</v>
      </c>
      <c r="U88" s="41">
        <v>620000000</v>
      </c>
      <c r="V88" s="41">
        <v>432000000</v>
      </c>
      <c r="W88" s="41">
        <v>190000000</v>
      </c>
      <c r="X88" s="41">
        <v>197000000</v>
      </c>
      <c r="Y88" s="41">
        <v>284000000</v>
      </c>
      <c r="Z88" s="41">
        <v>1046000000</v>
      </c>
      <c r="AA88" s="41">
        <v>811000000</v>
      </c>
      <c r="AB88" s="41">
        <v>1145000000</v>
      </c>
      <c r="AC88" s="41">
        <v>335000000</v>
      </c>
      <c r="AD88" s="41">
        <v>68000000</v>
      </c>
      <c r="AE88" s="41">
        <v>290000000</v>
      </c>
      <c r="AF88" s="41">
        <v>-61000000</v>
      </c>
      <c r="AG88" s="41">
        <v>215000000</v>
      </c>
      <c r="AH88" s="41">
        <v>387000000</v>
      </c>
      <c r="AI88" s="41">
        <v>523000000</v>
      </c>
      <c r="AJ88" s="41">
        <v>450000000</v>
      </c>
      <c r="AK88" s="41">
        <v>17000000</v>
      </c>
      <c r="AL88" s="41">
        <v>244000000</v>
      </c>
      <c r="AM88" s="41">
        <v>711000000</v>
      </c>
      <c r="AN88" s="41">
        <v>875000000</v>
      </c>
      <c r="AO88" s="41">
        <v>979000000</v>
      </c>
      <c r="AP88" s="41">
        <v>298000000</v>
      </c>
      <c r="AQ88" s="41">
        <v>675000000</v>
      </c>
      <c r="AR88" s="41">
        <v>605000000</v>
      </c>
      <c r="AS88" s="41">
        <v>292000000</v>
      </c>
      <c r="AT88" s="41">
        <v>1077000000</v>
      </c>
      <c r="AU88" s="41">
        <v>1205000000</v>
      </c>
      <c r="AV88" s="41">
        <v>1113000000</v>
      </c>
      <c r="AW88" s="41">
        <v>1140000000</v>
      </c>
      <c r="AX88" s="41">
        <v>1263000000</v>
      </c>
      <c r="AY88" s="41">
        <v>829000000</v>
      </c>
      <c r="AZ88" s="41">
        <v>1033000000</v>
      </c>
      <c r="BA88" s="41">
        <v>1023000000</v>
      </c>
      <c r="BB88" s="41">
        <v>1122000000</v>
      </c>
      <c r="BC88" s="41">
        <v>1271000000</v>
      </c>
      <c r="BD88" s="41">
        <v>1618000000</v>
      </c>
      <c r="BE88" s="41">
        <v>1569000000</v>
      </c>
      <c r="BF88" s="41">
        <v>1579000000</v>
      </c>
      <c r="BG88" s="41">
        <v>1648000000</v>
      </c>
      <c r="BH88" s="41">
        <v>1682000000</v>
      </c>
      <c r="BI88" s="41">
        <v>1514000000</v>
      </c>
      <c r="BJ88" s="41">
        <v>1332000000</v>
      </c>
      <c r="BK88" s="41">
        <v>955000000</v>
      </c>
      <c r="BL88" s="41">
        <v>404000000</v>
      </c>
    </row>
    <row r="89" spans="1:64">
      <c r="A89" t="s">
        <v>396</v>
      </c>
      <c r="B89" s="41">
        <v>6839000000</v>
      </c>
      <c r="C89" s="41">
        <v>7735000000</v>
      </c>
      <c r="D89" s="41">
        <v>6712000000</v>
      </c>
      <c r="E89" s="41">
        <v>6620000000</v>
      </c>
      <c r="F89" s="41">
        <v>6641000000</v>
      </c>
      <c r="G89" s="41">
        <v>6781000000</v>
      </c>
      <c r="H89" s="41">
        <v>6795000000</v>
      </c>
      <c r="I89" s="41">
        <v>6812000000</v>
      </c>
      <c r="J89" s="41">
        <v>7247000000</v>
      </c>
      <c r="K89" s="41">
        <v>7413000000</v>
      </c>
      <c r="L89" s="41">
        <v>7342000000</v>
      </c>
      <c r="M89" s="41">
        <v>7541000000</v>
      </c>
      <c r="N89" s="41">
        <v>6574000000</v>
      </c>
      <c r="O89" s="41">
        <v>6152000000</v>
      </c>
      <c r="P89" s="41">
        <v>6127000000</v>
      </c>
      <c r="Q89" s="41">
        <v>6455000000</v>
      </c>
      <c r="R89" s="41">
        <v>6591000000</v>
      </c>
      <c r="S89" s="41">
        <v>5990000000</v>
      </c>
      <c r="T89" s="41">
        <v>5667000000</v>
      </c>
      <c r="U89" s="41">
        <v>5585000000</v>
      </c>
      <c r="V89" s="41">
        <v>5379000000</v>
      </c>
      <c r="W89" s="41">
        <v>5354000000</v>
      </c>
      <c r="X89" s="41">
        <v>5374000000</v>
      </c>
      <c r="Y89" s="41">
        <v>5304000000</v>
      </c>
      <c r="Z89" s="41">
        <v>5562000000</v>
      </c>
      <c r="AA89" s="41">
        <v>5135000000</v>
      </c>
      <c r="AB89" s="41">
        <v>5638000000</v>
      </c>
      <c r="AC89" s="41">
        <v>5288000000</v>
      </c>
      <c r="AD89" s="41">
        <v>5447000000</v>
      </c>
      <c r="AE89" s="41">
        <v>5524000000</v>
      </c>
      <c r="AF89" s="41">
        <v>5458000000</v>
      </c>
      <c r="AG89" s="41">
        <v>5467000000</v>
      </c>
      <c r="AH89" s="41">
        <v>5379000000</v>
      </c>
      <c r="AI89" s="41">
        <v>5478000000</v>
      </c>
      <c r="AJ89" s="41">
        <v>5702000000</v>
      </c>
      <c r="AK89" s="41">
        <v>5361000000</v>
      </c>
      <c r="AL89" s="41">
        <v>5507000000</v>
      </c>
      <c r="AM89" s="41">
        <v>5715000000</v>
      </c>
      <c r="AN89" s="41">
        <v>5801000000</v>
      </c>
      <c r="AO89" s="41">
        <v>6017000000</v>
      </c>
      <c r="AP89" s="41">
        <v>6110000000</v>
      </c>
      <c r="AQ89" s="41">
        <v>6074000000</v>
      </c>
      <c r="AR89" s="41">
        <v>6254000000</v>
      </c>
      <c r="AS89" s="41">
        <v>6252000000</v>
      </c>
      <c r="AT89" s="41">
        <v>6049000000</v>
      </c>
      <c r="AU89" s="41">
        <v>5983000000</v>
      </c>
      <c r="AV89" s="41">
        <v>6046000000</v>
      </c>
      <c r="AW89" s="41">
        <v>6044000000</v>
      </c>
      <c r="AX89" s="41">
        <v>6118000000</v>
      </c>
      <c r="AY89" s="41">
        <v>6097000000</v>
      </c>
      <c r="AZ89" s="41">
        <v>6078000000</v>
      </c>
      <c r="BA89" s="41">
        <v>6043000000</v>
      </c>
      <c r="BB89" s="41">
        <v>6001000000</v>
      </c>
      <c r="BC89" s="41">
        <v>5591000000</v>
      </c>
      <c r="BD89" s="41">
        <v>5924000000</v>
      </c>
      <c r="BE89" s="41">
        <v>6691000000</v>
      </c>
      <c r="BF89" s="41">
        <v>6681000000</v>
      </c>
      <c r="BG89" s="41">
        <v>6644000000</v>
      </c>
      <c r="BH89" s="41">
        <v>6651000000</v>
      </c>
      <c r="BI89" s="41">
        <v>6648000000</v>
      </c>
      <c r="BJ89" s="41">
        <v>6478000000</v>
      </c>
      <c r="BK89" s="41">
        <v>5486000000</v>
      </c>
      <c r="BL89" s="41">
        <v>5476000000</v>
      </c>
    </row>
    <row r="90" spans="1:64">
      <c r="A90" t="s">
        <v>397</v>
      </c>
      <c r="B90" s="41">
        <v>-106000000</v>
      </c>
      <c r="C90" s="41">
        <v>17000000</v>
      </c>
      <c r="D90" s="41">
        <v>-181000000</v>
      </c>
      <c r="E90" s="41">
        <v>-1311000000</v>
      </c>
      <c r="F90" s="41">
        <v>-1344000000</v>
      </c>
      <c r="G90" s="41">
        <v>-1308000000</v>
      </c>
      <c r="H90" s="41">
        <v>-1263000000</v>
      </c>
      <c r="I90" s="41">
        <v>-1070000000</v>
      </c>
      <c r="J90" s="41">
        <v>-1426000000</v>
      </c>
      <c r="K90" s="41">
        <v>-1281000000</v>
      </c>
      <c r="L90" s="41">
        <v>-1365000000</v>
      </c>
      <c r="M90" s="41">
        <v>-1379000000</v>
      </c>
      <c r="N90" s="41">
        <v>2935000000</v>
      </c>
      <c r="O90" s="41">
        <v>2249000000</v>
      </c>
      <c r="P90" s="41">
        <v>2219000000</v>
      </c>
      <c r="Q90" s="41">
        <v>2538000000</v>
      </c>
      <c r="R90" s="41">
        <v>2650000000</v>
      </c>
      <c r="S90" s="41">
        <v>2784000000</v>
      </c>
      <c r="T90" s="41">
        <v>2952000000</v>
      </c>
      <c r="U90" s="41">
        <v>3199000000</v>
      </c>
      <c r="V90" s="41">
        <v>2981000000</v>
      </c>
      <c r="W90" s="41">
        <v>2849000000</v>
      </c>
      <c r="X90" s="41">
        <v>2821000000</v>
      </c>
      <c r="Y90" s="41">
        <v>2759000000</v>
      </c>
      <c r="Z90" s="41">
        <v>3501000000</v>
      </c>
      <c r="AA90" s="41">
        <v>3249000000</v>
      </c>
      <c r="AB90" s="41">
        <v>3729000000</v>
      </c>
      <c r="AC90" s="41">
        <v>3382000000</v>
      </c>
      <c r="AD90" s="41">
        <v>2817000000</v>
      </c>
      <c r="AE90" s="41">
        <v>3021000000</v>
      </c>
      <c r="AF90" s="41">
        <v>2909000000</v>
      </c>
      <c r="AG90" s="41">
        <v>3179000000</v>
      </c>
      <c r="AH90" s="41">
        <v>3195000000</v>
      </c>
      <c r="AI90" s="41">
        <v>3335000000</v>
      </c>
      <c r="AJ90" s="41">
        <v>3321000000</v>
      </c>
      <c r="AK90" s="41">
        <v>3315000000</v>
      </c>
      <c r="AL90" s="41">
        <v>3459000000</v>
      </c>
      <c r="AM90" s="41">
        <v>3646000000</v>
      </c>
      <c r="AN90" s="41">
        <v>3758000000</v>
      </c>
      <c r="AO90" s="41">
        <v>3942000000</v>
      </c>
      <c r="AP90" s="41">
        <v>3979000000</v>
      </c>
      <c r="AQ90" s="41">
        <v>4048000000</v>
      </c>
      <c r="AR90" s="41">
        <v>4025000000</v>
      </c>
      <c r="AS90" s="41">
        <v>4031000000</v>
      </c>
      <c r="AT90" s="41">
        <v>4081000000</v>
      </c>
      <c r="AU90" s="41">
        <v>4059000000</v>
      </c>
      <c r="AV90" s="41">
        <v>4161000000</v>
      </c>
      <c r="AW90" s="41">
        <v>4290000000</v>
      </c>
      <c r="AX90" s="41">
        <v>4761000000</v>
      </c>
      <c r="AY90" s="41">
        <v>4365000000</v>
      </c>
      <c r="AZ90" s="41">
        <v>4388000000</v>
      </c>
      <c r="BA90" s="41">
        <v>4357000000</v>
      </c>
      <c r="BB90" s="41">
        <v>4318000000</v>
      </c>
      <c r="BC90" s="41">
        <v>4438000000</v>
      </c>
      <c r="BD90" s="41">
        <v>4696000000</v>
      </c>
      <c r="BE90" s="41">
        <v>4736000000</v>
      </c>
      <c r="BF90" s="41">
        <v>4710000000</v>
      </c>
      <c r="BG90" s="41">
        <v>4647000000</v>
      </c>
      <c r="BH90" s="41">
        <v>4764000000</v>
      </c>
      <c r="BI90" s="41">
        <v>4619000000</v>
      </c>
      <c r="BJ90" s="41">
        <v>4508000000</v>
      </c>
      <c r="BK90" s="41">
        <v>4478000000</v>
      </c>
      <c r="BL90" s="41">
        <v>3188000000</v>
      </c>
    </row>
    <row r="91" spans="1:64">
      <c r="A91" t="s">
        <v>398</v>
      </c>
      <c r="B91" s="41">
        <v>3427000000</v>
      </c>
      <c r="C91" s="41">
        <v>4168000000</v>
      </c>
      <c r="D91" s="41">
        <v>3344000000</v>
      </c>
      <c r="E91" s="41">
        <v>3370000000</v>
      </c>
      <c r="F91" s="41">
        <v>3371000000</v>
      </c>
      <c r="G91" s="41">
        <v>3429000000</v>
      </c>
      <c r="H91" s="41">
        <v>3435000000</v>
      </c>
      <c r="I91" s="41">
        <v>3450000000</v>
      </c>
      <c r="J91" s="41">
        <v>4133000000</v>
      </c>
      <c r="K91" s="41">
        <v>4133000000</v>
      </c>
      <c r="L91" s="41">
        <v>4178000000</v>
      </c>
      <c r="M91" s="41">
        <v>4362000000</v>
      </c>
      <c r="N91" s="41">
        <v>3378000000</v>
      </c>
      <c r="O91" s="41">
        <v>3643000000</v>
      </c>
      <c r="P91" s="41">
        <v>3632000000</v>
      </c>
      <c r="Q91" s="41">
        <v>3650000000</v>
      </c>
      <c r="R91" s="41">
        <v>3663000000</v>
      </c>
      <c r="S91" s="41">
        <v>2913000000</v>
      </c>
      <c r="T91" s="41">
        <v>2378000000</v>
      </c>
      <c r="U91" s="41">
        <v>2048000000</v>
      </c>
      <c r="V91" s="41">
        <v>2051000000</v>
      </c>
      <c r="W91" s="41">
        <v>2153000000</v>
      </c>
      <c r="X91" s="41">
        <v>2191000000</v>
      </c>
      <c r="Y91" s="41">
        <v>1634000000</v>
      </c>
      <c r="Z91" s="41">
        <v>1633000000</v>
      </c>
      <c r="AA91" s="41">
        <v>1440000000</v>
      </c>
      <c r="AB91" s="41">
        <v>1450000000</v>
      </c>
      <c r="AC91" s="41">
        <v>1451000000</v>
      </c>
      <c r="AD91" s="41">
        <v>1796000000</v>
      </c>
      <c r="AE91" s="41">
        <v>1687000000</v>
      </c>
      <c r="AF91" s="41">
        <v>1744000000</v>
      </c>
      <c r="AG91" s="41">
        <v>1564000000</v>
      </c>
      <c r="AH91" s="41">
        <v>1466000000</v>
      </c>
      <c r="AI91" s="41">
        <v>1474000000</v>
      </c>
      <c r="AJ91" s="41">
        <v>1706000000</v>
      </c>
      <c r="AK91" s="41">
        <v>1370000000</v>
      </c>
      <c r="AL91" s="41">
        <v>1377000000</v>
      </c>
      <c r="AM91" s="41">
        <v>1391000000</v>
      </c>
      <c r="AN91" s="41">
        <v>1379000000</v>
      </c>
      <c r="AO91" s="41">
        <v>1390000000</v>
      </c>
      <c r="AP91" s="41">
        <v>1427000000</v>
      </c>
      <c r="AQ91" s="41">
        <v>1303000000</v>
      </c>
      <c r="AR91" s="41">
        <v>1487000000</v>
      </c>
      <c r="AS91" s="41">
        <v>1483000000</v>
      </c>
      <c r="AT91" s="41">
        <v>1306000000</v>
      </c>
      <c r="AU91" s="41">
        <v>1279000000</v>
      </c>
      <c r="AV91" s="41">
        <v>1242000000</v>
      </c>
      <c r="AW91" s="41">
        <v>1233000000</v>
      </c>
      <c r="AX91" s="41">
        <v>1223000000</v>
      </c>
      <c r="AY91" s="41">
        <v>1224000000</v>
      </c>
      <c r="AZ91" s="41">
        <v>1224000000</v>
      </c>
      <c r="BA91" s="41">
        <v>1225000000</v>
      </c>
      <c r="BB91" s="41">
        <v>1225000000</v>
      </c>
      <c r="BC91" s="41">
        <v>769000000</v>
      </c>
      <c r="BD91" s="41">
        <v>768000000</v>
      </c>
      <c r="BE91" s="41">
        <v>1573000000</v>
      </c>
      <c r="BF91" s="41">
        <v>1576000000</v>
      </c>
      <c r="BG91" s="41">
        <v>1605000000</v>
      </c>
      <c r="BH91" s="41">
        <v>1625000000</v>
      </c>
      <c r="BI91" s="41">
        <v>1632000000</v>
      </c>
      <c r="BJ91" s="41">
        <v>1576000000</v>
      </c>
      <c r="BK91" s="41">
        <v>612000000</v>
      </c>
      <c r="BL91" s="41">
        <v>1912000000</v>
      </c>
    </row>
    <row r="92" spans="1:64">
      <c r="A92" t="s">
        <v>399</v>
      </c>
      <c r="B92" s="41">
        <v>2047000000</v>
      </c>
      <c r="C92" s="41">
        <v>2632000000</v>
      </c>
      <c r="D92" s="41">
        <v>2315000000</v>
      </c>
      <c r="E92" s="41">
        <v>2175000000</v>
      </c>
      <c r="F92" s="41">
        <v>2354000000</v>
      </c>
      <c r="G92" s="41">
        <v>2217000000</v>
      </c>
      <c r="H92" s="41">
        <v>2154000000</v>
      </c>
      <c r="I92" s="41">
        <v>2122000000</v>
      </c>
      <c r="J92" s="41">
        <v>2581000000</v>
      </c>
      <c r="K92" s="41">
        <v>2376000000</v>
      </c>
      <c r="L92" s="41">
        <v>2798000000</v>
      </c>
      <c r="M92" s="41">
        <v>3018000000</v>
      </c>
      <c r="N92" s="41">
        <v>570000000</v>
      </c>
      <c r="O92" s="41">
        <v>2102000000</v>
      </c>
      <c r="P92" s="41">
        <v>2164000000</v>
      </c>
      <c r="Q92" s="41">
        <v>2037000000</v>
      </c>
      <c r="R92" s="41">
        <v>1463000000</v>
      </c>
      <c r="S92" s="41">
        <v>1062000000</v>
      </c>
      <c r="T92" s="41">
        <v>768000000</v>
      </c>
      <c r="U92" s="41">
        <v>730000000</v>
      </c>
      <c r="V92" s="41">
        <v>963000000</v>
      </c>
      <c r="W92" s="41">
        <v>1197000000</v>
      </c>
      <c r="X92" s="41">
        <v>1205000000</v>
      </c>
      <c r="Y92" s="41">
        <v>1064000000</v>
      </c>
      <c r="Z92" s="41">
        <v>619000000</v>
      </c>
      <c r="AA92" s="41">
        <v>812000000</v>
      </c>
      <c r="AB92" s="41">
        <v>290000000</v>
      </c>
      <c r="AC92" s="41">
        <v>948000000</v>
      </c>
      <c r="AD92" s="41">
        <v>1413000000</v>
      </c>
      <c r="AE92" s="41">
        <v>1287000000</v>
      </c>
      <c r="AF92" s="41">
        <v>1370000000</v>
      </c>
      <c r="AG92" s="41">
        <v>1082000000</v>
      </c>
      <c r="AH92" s="41">
        <v>922000000</v>
      </c>
      <c r="AI92" s="41">
        <v>832000000</v>
      </c>
      <c r="AJ92" s="41">
        <v>935000000</v>
      </c>
      <c r="AK92" s="41">
        <v>913000000</v>
      </c>
      <c r="AL92" s="41">
        <v>808000000</v>
      </c>
      <c r="AM92" s="41">
        <v>747000000</v>
      </c>
      <c r="AN92" s="41">
        <v>816000000</v>
      </c>
      <c r="AO92" s="41">
        <v>705000000</v>
      </c>
      <c r="AP92" s="41">
        <v>1164000000</v>
      </c>
      <c r="AQ92" s="41">
        <v>750000000</v>
      </c>
      <c r="AR92" s="41">
        <v>722000000</v>
      </c>
      <c r="AS92" s="41">
        <v>1029000000</v>
      </c>
      <c r="AT92" s="41">
        <v>532000000</v>
      </c>
      <c r="AU92" s="41">
        <v>561000000</v>
      </c>
      <c r="AV92" s="41">
        <v>912000000</v>
      </c>
      <c r="AW92" s="41">
        <v>820000000</v>
      </c>
      <c r="AX92" s="41">
        <v>777000000</v>
      </c>
      <c r="AY92" s="41">
        <v>820000000</v>
      </c>
      <c r="AZ92" s="41">
        <v>682000000</v>
      </c>
      <c r="BA92" s="41">
        <v>691000000</v>
      </c>
      <c r="BB92" s="41">
        <v>535000000</v>
      </c>
      <c r="BE92" s="41">
        <v>463000000</v>
      </c>
      <c r="BF92" s="41">
        <v>570000000</v>
      </c>
      <c r="BG92" s="41">
        <v>426000000</v>
      </c>
      <c r="BH92" s="41">
        <v>317000000</v>
      </c>
      <c r="BI92" s="41">
        <v>305000000</v>
      </c>
      <c r="BJ92" s="41">
        <v>279000000</v>
      </c>
      <c r="BL92" s="41">
        <v>1484000000</v>
      </c>
    </row>
    <row r="93" spans="1:64">
      <c r="A93" t="s">
        <v>400</v>
      </c>
      <c r="B93" s="41">
        <v>96025973</v>
      </c>
      <c r="C93" s="41">
        <v>100306803</v>
      </c>
      <c r="D93" s="41">
        <v>101166242</v>
      </c>
      <c r="E93" s="41">
        <v>103032941</v>
      </c>
      <c r="F93" s="41">
        <v>103595267</v>
      </c>
      <c r="G93" s="41">
        <v>104820348</v>
      </c>
      <c r="H93" s="41">
        <v>105762447</v>
      </c>
      <c r="I93" s="41">
        <v>106400536</v>
      </c>
      <c r="J93" s="41">
        <v>107430177</v>
      </c>
      <c r="K93" s="41">
        <v>109114081</v>
      </c>
      <c r="L93" s="41">
        <v>110290897</v>
      </c>
      <c r="M93" s="41">
        <v>109975321</v>
      </c>
      <c r="N93" s="41">
        <v>109940867</v>
      </c>
      <c r="O93" s="41">
        <v>101783007</v>
      </c>
      <c r="P93" s="41">
        <v>101762254</v>
      </c>
      <c r="Q93" s="41">
        <v>101289159</v>
      </c>
      <c r="R93" s="41">
        <v>101163846</v>
      </c>
      <c r="S93" s="41">
        <v>101142712</v>
      </c>
      <c r="T93" s="41">
        <v>101033327</v>
      </c>
      <c r="U93" s="41">
        <v>101572453</v>
      </c>
      <c r="V93" s="41">
        <v>103249818</v>
      </c>
      <c r="W93" s="41">
        <v>104982842</v>
      </c>
      <c r="X93" s="41">
        <v>105517004</v>
      </c>
      <c r="Y93" s="41">
        <v>106623645</v>
      </c>
      <c r="Z93" s="41">
        <v>110745111</v>
      </c>
      <c r="AA93" s="41">
        <v>111558909</v>
      </c>
      <c r="AB93" s="41">
        <v>118012446</v>
      </c>
      <c r="AC93" s="41">
        <v>118984986</v>
      </c>
      <c r="AD93" s="41">
        <v>121550208</v>
      </c>
      <c r="AE93" s="41">
        <v>125513060</v>
      </c>
      <c r="AF93" s="41">
        <v>125461200</v>
      </c>
      <c r="AG93" s="41">
        <v>130815270</v>
      </c>
      <c r="AH93" s="41">
        <v>130839666</v>
      </c>
      <c r="AI93" s="41">
        <v>133405638</v>
      </c>
      <c r="AJ93" s="41">
        <v>134786777</v>
      </c>
      <c r="AK93" s="41">
        <v>136233649</v>
      </c>
      <c r="AL93" s="41">
        <v>139788724</v>
      </c>
      <c r="AM93" s="41">
        <v>143503037</v>
      </c>
      <c r="AN93" s="41">
        <v>146348043</v>
      </c>
      <c r="AO93" s="41">
        <v>149118226</v>
      </c>
      <c r="AP93" s="41">
        <v>152710239</v>
      </c>
      <c r="AQ93" s="41">
        <v>153992621</v>
      </c>
      <c r="AR93" s="41">
        <v>155408539</v>
      </c>
      <c r="AS93" s="41">
        <v>156147880</v>
      </c>
      <c r="AT93" s="41">
        <v>156582515</v>
      </c>
      <c r="AU93" s="41">
        <v>157234149</v>
      </c>
      <c r="AV93" s="41">
        <v>161836784</v>
      </c>
      <c r="AW93" s="41">
        <v>162102393</v>
      </c>
      <c r="AX93" s="41">
        <v>164884537</v>
      </c>
      <c r="AY93" s="41">
        <v>165752453</v>
      </c>
      <c r="AZ93" s="41">
        <v>165524492</v>
      </c>
      <c r="BA93" s="41">
        <v>165198512</v>
      </c>
      <c r="BB93" s="41">
        <v>165172665</v>
      </c>
      <c r="BC93" s="41">
        <v>165139540</v>
      </c>
      <c r="BD93" s="41">
        <v>174023608</v>
      </c>
      <c r="BE93" s="41">
        <v>173989470</v>
      </c>
      <c r="BF93" s="41">
        <v>173964865</v>
      </c>
      <c r="BG93" s="41">
        <v>173948765</v>
      </c>
      <c r="BH93" s="41">
        <v>173947196</v>
      </c>
      <c r="BI93" s="41">
        <v>173942263</v>
      </c>
      <c r="BJ93" s="41">
        <v>173875185</v>
      </c>
      <c r="BK93" s="41">
        <v>173875185</v>
      </c>
      <c r="BL93" s="41">
        <v>168039995</v>
      </c>
    </row>
    <row r="94" spans="1:64">
      <c r="A94" t="s">
        <v>401</v>
      </c>
      <c r="B94" s="41">
        <v>96025973</v>
      </c>
      <c r="C94" s="41">
        <v>100306803</v>
      </c>
      <c r="D94" s="41">
        <v>101166242</v>
      </c>
      <c r="E94" s="41">
        <v>103032941</v>
      </c>
      <c r="F94" s="41">
        <v>103595267</v>
      </c>
      <c r="G94" s="41">
        <v>104820348</v>
      </c>
      <c r="H94" s="41">
        <v>105762447</v>
      </c>
      <c r="I94" s="41">
        <v>106400536</v>
      </c>
      <c r="J94" s="41">
        <v>107430177</v>
      </c>
      <c r="K94" s="41">
        <v>109114081</v>
      </c>
      <c r="L94" s="41">
        <v>110290897</v>
      </c>
      <c r="M94" s="41">
        <v>109975321</v>
      </c>
      <c r="N94" s="41">
        <v>109940867</v>
      </c>
      <c r="O94" s="41">
        <v>101783007</v>
      </c>
      <c r="P94" s="41">
        <v>101762254</v>
      </c>
      <c r="Q94" s="41">
        <v>101289159</v>
      </c>
      <c r="R94" s="41">
        <v>101163846</v>
      </c>
      <c r="S94" s="41">
        <v>101142712</v>
      </c>
      <c r="T94" s="41">
        <v>101033327</v>
      </c>
      <c r="U94" s="41">
        <v>101572453</v>
      </c>
      <c r="V94" s="41">
        <v>103249818</v>
      </c>
      <c r="W94" s="41">
        <v>104982842</v>
      </c>
      <c r="X94" s="41">
        <v>105517004</v>
      </c>
      <c r="Y94" s="41">
        <v>106623645</v>
      </c>
      <c r="Z94" s="41">
        <v>110745111</v>
      </c>
      <c r="AA94" s="41">
        <v>111558909</v>
      </c>
      <c r="AB94" s="41">
        <v>118012446</v>
      </c>
      <c r="AC94" s="41">
        <v>118984986</v>
      </c>
      <c r="AD94" s="41">
        <v>121550208</v>
      </c>
      <c r="AE94" s="41">
        <v>125513060</v>
      </c>
      <c r="AF94" s="41">
        <v>125461200</v>
      </c>
      <c r="AG94" s="41">
        <v>130815270</v>
      </c>
      <c r="AH94" s="41">
        <v>130839666</v>
      </c>
      <c r="AI94" s="41">
        <v>133405638</v>
      </c>
      <c r="AJ94" s="41">
        <v>134786777</v>
      </c>
      <c r="AK94" s="41">
        <v>136233649</v>
      </c>
      <c r="AL94" s="41">
        <v>139788724</v>
      </c>
      <c r="AM94" s="41">
        <v>143503037</v>
      </c>
      <c r="AN94" s="41">
        <v>146152620</v>
      </c>
      <c r="AO94" s="41">
        <v>149081953</v>
      </c>
      <c r="AP94" s="41">
        <v>152673966</v>
      </c>
      <c r="AQ94" s="41">
        <v>153956348</v>
      </c>
      <c r="AR94" s="41">
        <v>155372266</v>
      </c>
      <c r="AS94" s="41">
        <v>156111607</v>
      </c>
      <c r="AT94" s="41">
        <v>156546242</v>
      </c>
      <c r="AU94" s="41">
        <v>157197876</v>
      </c>
      <c r="AV94" s="41">
        <v>161800511</v>
      </c>
      <c r="AW94" s="41">
        <v>162066120</v>
      </c>
      <c r="AX94" s="41">
        <v>164848264</v>
      </c>
      <c r="AY94" s="41">
        <v>165716180</v>
      </c>
      <c r="AZ94" s="41">
        <v>165488219</v>
      </c>
      <c r="BA94" s="41">
        <v>165162239</v>
      </c>
      <c r="BB94" s="41">
        <v>165136392</v>
      </c>
      <c r="BC94" s="41">
        <v>165103267</v>
      </c>
      <c r="BD94" s="41">
        <v>173987335</v>
      </c>
      <c r="BE94" s="41">
        <v>173953197</v>
      </c>
      <c r="BF94" s="41">
        <v>173928592</v>
      </c>
      <c r="BG94" s="41">
        <v>173912492</v>
      </c>
      <c r="BH94" s="41">
        <v>173880118</v>
      </c>
      <c r="BI94" s="41">
        <v>173875185</v>
      </c>
      <c r="BJ94" s="41">
        <v>173875185</v>
      </c>
      <c r="BK94" s="41">
        <v>173875185</v>
      </c>
      <c r="BL94" s="41">
        <v>168039995</v>
      </c>
    </row>
    <row r="95" spans="1:64">
      <c r="A95" t="s">
        <v>402</v>
      </c>
      <c r="E95">
        <v>0</v>
      </c>
      <c r="AN95" s="41">
        <v>195423</v>
      </c>
      <c r="AO95" s="41">
        <v>36273</v>
      </c>
      <c r="AP95" s="41">
        <v>36273</v>
      </c>
      <c r="AQ95" s="41">
        <v>36273</v>
      </c>
      <c r="AR95" s="41">
        <v>36273</v>
      </c>
      <c r="AS95" s="41">
        <v>36273</v>
      </c>
      <c r="AT95" s="41">
        <v>36273</v>
      </c>
      <c r="AU95" s="41">
        <v>36273</v>
      </c>
      <c r="AV95" s="41">
        <v>36273</v>
      </c>
      <c r="AW95" s="41">
        <v>36273</v>
      </c>
      <c r="AX95" s="41">
        <v>36273</v>
      </c>
      <c r="AY95" s="41">
        <v>36273</v>
      </c>
      <c r="AZ95" s="41">
        <v>36273</v>
      </c>
      <c r="BA95" s="41">
        <v>36273</v>
      </c>
      <c r="BB95" s="41">
        <v>36273</v>
      </c>
      <c r="BC95" s="41">
        <v>36273</v>
      </c>
      <c r="BD95" s="41">
        <v>36273</v>
      </c>
      <c r="BE95" s="41">
        <v>36273</v>
      </c>
      <c r="BF95" s="41">
        <v>36273</v>
      </c>
      <c r="BG95" s="41">
        <v>36273</v>
      </c>
      <c r="BH95" s="41">
        <v>67078</v>
      </c>
      <c r="BI95" s="41">
        <v>67078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1E2EB-C7B9-48E4-9B7E-BEFE1F600164}">
  <sheetPr>
    <tabColor rgb="FFFF0000"/>
  </sheetPr>
  <dimension ref="A1:G62"/>
  <sheetViews>
    <sheetView workbookViewId="0">
      <selection activeCell="K10" sqref="K10"/>
    </sheetView>
  </sheetViews>
  <sheetFormatPr defaultRowHeight="14.5"/>
  <cols>
    <col min="1" max="1" width="9.453125" bestFit="1" customWidth="1"/>
    <col min="2" max="6" width="10.81640625" style="45" bestFit="1" customWidth="1"/>
    <col min="7" max="7" width="8.81640625" bestFit="1" customWidth="1"/>
  </cols>
  <sheetData>
    <row r="1" spans="1:7">
      <c r="A1" t="s">
        <v>237</v>
      </c>
      <c r="B1" s="45" t="s">
        <v>238</v>
      </c>
      <c r="C1" s="45" t="s">
        <v>239</v>
      </c>
      <c r="D1" s="45" t="s">
        <v>240</v>
      </c>
      <c r="E1" s="45" t="s">
        <v>241</v>
      </c>
      <c r="F1" s="45" t="s">
        <v>492</v>
      </c>
      <c r="G1" t="s">
        <v>499</v>
      </c>
    </row>
    <row r="2" spans="1:7">
      <c r="A2" s="53">
        <v>43862</v>
      </c>
      <c r="B2" s="45">
        <v>85.129997000000003</v>
      </c>
      <c r="C2" s="45">
        <v>94.980002999999996</v>
      </c>
      <c r="D2" s="45">
        <v>74.5</v>
      </c>
      <c r="E2" s="45">
        <v>76.599997999999999</v>
      </c>
      <c r="F2" s="45">
        <v>75.812438999999998</v>
      </c>
      <c r="G2">
        <v>18140100</v>
      </c>
    </row>
    <row r="3" spans="1:7">
      <c r="A3" s="53">
        <v>43891</v>
      </c>
      <c r="B3" s="45">
        <v>77.120002999999997</v>
      </c>
      <c r="C3" s="45">
        <v>77.660004000000001</v>
      </c>
      <c r="D3" s="45">
        <v>24.02</v>
      </c>
      <c r="E3" s="45">
        <v>47.900002000000001</v>
      </c>
      <c r="F3" s="45">
        <v>47.518298999999999</v>
      </c>
      <c r="G3">
        <v>51458000</v>
      </c>
    </row>
    <row r="4" spans="1:7">
      <c r="A4" s="53">
        <v>43922</v>
      </c>
      <c r="B4" s="45">
        <v>45</v>
      </c>
      <c r="C4" s="45">
        <v>60.029998999999997</v>
      </c>
      <c r="D4" s="45">
        <v>36.119999</v>
      </c>
      <c r="E4" s="45">
        <v>56.259998000000003</v>
      </c>
      <c r="F4" s="45">
        <v>55.811672000000002</v>
      </c>
      <c r="G4">
        <v>37069000</v>
      </c>
    </row>
    <row r="5" spans="1:7">
      <c r="A5" s="53">
        <v>43952</v>
      </c>
      <c r="B5" s="45">
        <v>54.060001</v>
      </c>
      <c r="C5" s="45">
        <v>59.110000999999997</v>
      </c>
      <c r="D5" s="45">
        <v>41.869999</v>
      </c>
      <c r="E5" s="45">
        <v>55.09</v>
      </c>
      <c r="F5" s="45">
        <v>54.651001000000001</v>
      </c>
      <c r="G5">
        <v>23801900</v>
      </c>
    </row>
    <row r="6" spans="1:7">
      <c r="A6" s="53">
        <v>43983</v>
      </c>
      <c r="B6" s="45">
        <v>55.09</v>
      </c>
      <c r="C6" s="45">
        <v>68.169998000000007</v>
      </c>
      <c r="D6" s="45">
        <v>46.810001</v>
      </c>
      <c r="E6" s="45">
        <v>50.290000999999997</v>
      </c>
      <c r="F6" s="45">
        <v>49.889251999999999</v>
      </c>
      <c r="G6">
        <v>27123100</v>
      </c>
    </row>
    <row r="7" spans="1:7">
      <c r="A7" s="53">
        <v>44013</v>
      </c>
      <c r="B7" s="45">
        <v>51.25</v>
      </c>
      <c r="C7" s="45">
        <v>54.279998999999997</v>
      </c>
      <c r="D7" s="45">
        <v>46.889999000000003</v>
      </c>
      <c r="E7" s="45">
        <v>48</v>
      </c>
      <c r="F7" s="45">
        <v>47.6175</v>
      </c>
      <c r="G7">
        <v>16677700</v>
      </c>
    </row>
    <row r="8" spans="1:7">
      <c r="A8" s="53">
        <v>44044</v>
      </c>
      <c r="B8" s="45">
        <v>48</v>
      </c>
      <c r="C8" s="45">
        <v>59.98</v>
      </c>
      <c r="D8" s="45">
        <v>45.619999</v>
      </c>
      <c r="E8" s="45">
        <v>56.490001999999997</v>
      </c>
      <c r="F8" s="45">
        <v>56.039845</v>
      </c>
      <c r="G8">
        <v>21484500</v>
      </c>
    </row>
    <row r="9" spans="1:7">
      <c r="A9" s="53">
        <v>44075</v>
      </c>
      <c r="B9" s="45">
        <v>55.610000999999997</v>
      </c>
      <c r="C9" s="45">
        <v>61.560001</v>
      </c>
      <c r="D9" s="45">
        <v>51.209999000000003</v>
      </c>
      <c r="E9" s="45">
        <v>53.369999</v>
      </c>
      <c r="F9" s="45">
        <v>52.944705999999996</v>
      </c>
      <c r="G9">
        <v>17010600</v>
      </c>
    </row>
    <row r="10" spans="1:7">
      <c r="A10" s="53">
        <v>44105</v>
      </c>
      <c r="B10" s="45">
        <v>54.060001</v>
      </c>
      <c r="C10" s="45">
        <v>60.259998000000003</v>
      </c>
      <c r="D10" s="45">
        <v>51.5</v>
      </c>
      <c r="E10" s="45">
        <v>55.139999000000003</v>
      </c>
      <c r="F10" s="45">
        <v>54.700603000000001</v>
      </c>
      <c r="G10">
        <v>14095700</v>
      </c>
    </row>
    <row r="11" spans="1:7">
      <c r="A11" s="53">
        <v>44136</v>
      </c>
      <c r="B11" s="45">
        <v>55.299999</v>
      </c>
      <c r="C11" s="45">
        <v>74.540001000000004</v>
      </c>
      <c r="D11" s="45">
        <v>54.490001999999997</v>
      </c>
      <c r="E11" s="45">
        <v>71.970000999999996</v>
      </c>
      <c r="F11" s="45">
        <v>71.396491999999995</v>
      </c>
      <c r="G11">
        <v>19371100</v>
      </c>
    </row>
    <row r="12" spans="1:7">
      <c r="A12" s="53">
        <v>44166</v>
      </c>
      <c r="B12" s="45">
        <v>73.089995999999999</v>
      </c>
      <c r="C12" s="45">
        <v>76.629997000000003</v>
      </c>
      <c r="D12" s="45">
        <v>70.019997000000004</v>
      </c>
      <c r="E12" s="45">
        <v>74.25</v>
      </c>
      <c r="F12" s="45">
        <v>73.658317999999994</v>
      </c>
      <c r="G12">
        <v>11793500</v>
      </c>
    </row>
    <row r="13" spans="1:7">
      <c r="A13" s="53">
        <v>44197</v>
      </c>
      <c r="B13" s="45">
        <v>74.319999999999993</v>
      </c>
      <c r="C13" s="45">
        <v>75.529999000000004</v>
      </c>
      <c r="D13" s="45">
        <v>65.440002000000007</v>
      </c>
      <c r="E13" s="45">
        <v>65.660004000000001</v>
      </c>
      <c r="F13" s="45">
        <v>65.136780000000002</v>
      </c>
      <c r="G13">
        <v>12862600</v>
      </c>
    </row>
    <row r="14" spans="1:7">
      <c r="A14" s="53">
        <v>44228</v>
      </c>
      <c r="B14" s="45">
        <v>66.800003000000004</v>
      </c>
      <c r="C14" s="45">
        <v>92.220000999999996</v>
      </c>
      <c r="D14" s="45">
        <v>66.110000999999997</v>
      </c>
      <c r="E14" s="45">
        <v>87.949996999999996</v>
      </c>
      <c r="F14" s="45">
        <v>87.249161000000001</v>
      </c>
      <c r="G14">
        <v>13942400</v>
      </c>
    </row>
    <row r="15" spans="1:7">
      <c r="A15" s="53">
        <v>44256</v>
      </c>
      <c r="B15" s="45">
        <v>90</v>
      </c>
      <c r="C15" s="45">
        <v>90.470000999999996</v>
      </c>
      <c r="D15" s="45">
        <v>78.180000000000007</v>
      </c>
      <c r="E15" s="45">
        <v>82.699996999999996</v>
      </c>
      <c r="F15" s="45">
        <v>82.040976999999998</v>
      </c>
      <c r="G15">
        <v>16045400</v>
      </c>
    </row>
    <row r="16" spans="1:7">
      <c r="A16" s="53">
        <v>44287</v>
      </c>
      <c r="B16" s="45">
        <v>83.25</v>
      </c>
      <c r="C16" s="45">
        <v>87.720000999999996</v>
      </c>
      <c r="D16" s="45">
        <v>78.589995999999999</v>
      </c>
      <c r="E16" s="45">
        <v>82.330001999999993</v>
      </c>
      <c r="F16" s="45">
        <v>81.673935</v>
      </c>
      <c r="G16">
        <v>7973700</v>
      </c>
    </row>
    <row r="17" spans="1:7">
      <c r="A17" s="53">
        <v>44317</v>
      </c>
      <c r="B17" s="45">
        <v>82.989998</v>
      </c>
      <c r="C17" s="45">
        <v>83.650002000000001</v>
      </c>
      <c r="D17" s="45">
        <v>75</v>
      </c>
      <c r="E17" s="45">
        <v>78.080001999999993</v>
      </c>
      <c r="F17" s="45">
        <v>77.457794000000007</v>
      </c>
      <c r="G17">
        <v>9405300</v>
      </c>
    </row>
    <row r="18" spans="1:7">
      <c r="A18" s="53">
        <v>44348</v>
      </c>
      <c r="B18" s="45">
        <v>79.199996999999996</v>
      </c>
      <c r="C18" s="45">
        <v>84.620002999999997</v>
      </c>
      <c r="D18" s="45">
        <v>76.319999999999993</v>
      </c>
      <c r="E18" s="45">
        <v>77.639999000000003</v>
      </c>
      <c r="F18" s="45">
        <v>77.021316999999996</v>
      </c>
      <c r="G18">
        <v>13718100</v>
      </c>
    </row>
    <row r="19" spans="1:7">
      <c r="A19" s="53">
        <v>44378</v>
      </c>
      <c r="B19" s="45">
        <v>78</v>
      </c>
      <c r="C19" s="45">
        <v>81.959998999999996</v>
      </c>
      <c r="D19" s="45">
        <v>71.120002999999997</v>
      </c>
      <c r="E19" s="45">
        <v>79.870002999999997</v>
      </c>
      <c r="F19" s="45">
        <v>79.233542999999997</v>
      </c>
      <c r="G19">
        <v>9500700</v>
      </c>
    </row>
    <row r="20" spans="1:7">
      <c r="A20" s="53">
        <v>44409</v>
      </c>
      <c r="B20" s="45">
        <v>80.610000999999997</v>
      </c>
      <c r="C20" s="45">
        <v>81.209998999999996</v>
      </c>
      <c r="D20" s="45">
        <v>67.699996999999996</v>
      </c>
      <c r="E20" s="45">
        <v>73.589995999999999</v>
      </c>
      <c r="F20" s="45">
        <v>73.003578000000005</v>
      </c>
      <c r="G20">
        <v>12274100</v>
      </c>
    </row>
    <row r="21" spans="1:7">
      <c r="A21" s="53">
        <v>44440</v>
      </c>
      <c r="B21" s="45">
        <v>73.900002000000001</v>
      </c>
      <c r="C21" s="45">
        <v>81.360000999999997</v>
      </c>
      <c r="D21" s="45">
        <v>70.300003000000004</v>
      </c>
      <c r="E21" s="45">
        <v>77.099997999999999</v>
      </c>
      <c r="F21" s="45">
        <v>76.485602999999998</v>
      </c>
      <c r="G21">
        <v>20060900</v>
      </c>
    </row>
    <row r="22" spans="1:7">
      <c r="A22" s="53">
        <v>44470</v>
      </c>
      <c r="B22" s="45">
        <v>78.470000999999996</v>
      </c>
      <c r="C22" s="45">
        <v>87.75</v>
      </c>
      <c r="D22" s="45">
        <v>78</v>
      </c>
      <c r="E22" s="45">
        <v>85.199996999999996</v>
      </c>
      <c r="F22" s="45">
        <v>84.521056999999999</v>
      </c>
      <c r="G22">
        <v>13674300</v>
      </c>
    </row>
    <row r="23" spans="1:7">
      <c r="A23" s="53">
        <v>44501</v>
      </c>
      <c r="B23" s="45">
        <v>85.449996999999996</v>
      </c>
      <c r="C23" s="45">
        <v>94.919998000000007</v>
      </c>
      <c r="D23" s="45">
        <v>74.910004000000001</v>
      </c>
      <c r="E23" s="45">
        <v>78.769997000000004</v>
      </c>
      <c r="F23" s="45">
        <v>78.142302999999998</v>
      </c>
      <c r="G23">
        <v>16758300</v>
      </c>
    </row>
    <row r="24" spans="1:7">
      <c r="A24" s="53">
        <v>44531</v>
      </c>
      <c r="B24" s="45">
        <v>80.389999000000003</v>
      </c>
      <c r="C24" s="45">
        <v>97.150002000000001</v>
      </c>
      <c r="D24" s="45">
        <v>77.699996999999996</v>
      </c>
      <c r="E24" s="45">
        <v>95.900002000000001</v>
      </c>
      <c r="F24" s="45">
        <v>95.135788000000005</v>
      </c>
      <c r="G24">
        <v>20032400</v>
      </c>
    </row>
    <row r="25" spans="1:7">
      <c r="A25" s="53">
        <v>44562</v>
      </c>
      <c r="B25" s="45">
        <v>96.550003000000004</v>
      </c>
      <c r="C25" s="45">
        <v>99</v>
      </c>
      <c r="D25" s="45">
        <v>83.309997999999993</v>
      </c>
      <c r="E25" s="45">
        <v>91.610000999999997</v>
      </c>
      <c r="F25" s="45">
        <v>90.879981999999998</v>
      </c>
      <c r="G25">
        <v>18722300</v>
      </c>
    </row>
    <row r="26" spans="1:7">
      <c r="A26" s="53">
        <v>44593</v>
      </c>
      <c r="B26" s="45">
        <v>92.190002000000007</v>
      </c>
      <c r="C26" s="45">
        <v>108.099998</v>
      </c>
      <c r="D26" s="45">
        <v>90.839995999999999</v>
      </c>
      <c r="E26" s="45">
        <v>97.110000999999997</v>
      </c>
      <c r="F26" s="45">
        <v>96.336158999999995</v>
      </c>
      <c r="G26">
        <v>23879700</v>
      </c>
    </row>
    <row r="27" spans="1:7">
      <c r="A27" s="53">
        <v>44621</v>
      </c>
      <c r="B27" s="45">
        <v>96.080001999999993</v>
      </c>
      <c r="C27" s="45">
        <v>98.900002000000001</v>
      </c>
      <c r="D27" s="45">
        <v>81.769997000000004</v>
      </c>
      <c r="E27" s="45">
        <v>95.449996999999996</v>
      </c>
      <c r="F27" s="45">
        <v>94.689376999999993</v>
      </c>
      <c r="G27">
        <v>20771000</v>
      </c>
    </row>
    <row r="28" spans="1:7">
      <c r="A28" s="53">
        <v>44652</v>
      </c>
      <c r="B28" s="45">
        <v>96.580001999999993</v>
      </c>
      <c r="C28" s="45">
        <v>102.529999</v>
      </c>
      <c r="D28" s="45">
        <v>86.129997000000003</v>
      </c>
      <c r="E28" s="45">
        <v>94.959998999999996</v>
      </c>
      <c r="F28" s="45">
        <v>94.203284999999994</v>
      </c>
      <c r="G28">
        <v>18046800</v>
      </c>
    </row>
    <row r="29" spans="1:7">
      <c r="A29" s="53">
        <v>44682</v>
      </c>
      <c r="B29" s="45">
        <v>95.949996999999996</v>
      </c>
      <c r="C29" s="45">
        <v>96.389999000000003</v>
      </c>
      <c r="D29" s="45">
        <v>78.029999000000004</v>
      </c>
      <c r="E29" s="45">
        <v>88.389999000000003</v>
      </c>
      <c r="F29" s="45">
        <v>87.685637999999997</v>
      </c>
      <c r="G29">
        <v>24612700</v>
      </c>
    </row>
    <row r="30" spans="1:7">
      <c r="A30" s="53">
        <v>44713</v>
      </c>
      <c r="B30" s="45">
        <v>88.379997000000003</v>
      </c>
      <c r="C30" s="45">
        <v>95.589995999999999</v>
      </c>
      <c r="D30" s="45">
        <v>70.120002999999997</v>
      </c>
      <c r="E30" s="45">
        <v>73.910004000000001</v>
      </c>
      <c r="F30" s="45">
        <v>73.321029999999993</v>
      </c>
      <c r="G30">
        <v>16590000</v>
      </c>
    </row>
    <row r="31" spans="1:7">
      <c r="A31" s="53">
        <v>44743</v>
      </c>
      <c r="B31" s="45">
        <v>73.629997000000003</v>
      </c>
      <c r="C31" s="45">
        <v>84.190002000000007</v>
      </c>
      <c r="D31" s="45">
        <v>71.669998000000007</v>
      </c>
      <c r="E31" s="45">
        <v>82.75</v>
      </c>
      <c r="F31" s="45">
        <v>82.090575999999999</v>
      </c>
      <c r="G31">
        <v>10834500</v>
      </c>
    </row>
    <row r="32" spans="1:7">
      <c r="A32" s="53">
        <v>44774</v>
      </c>
      <c r="B32" s="45">
        <v>82.43</v>
      </c>
      <c r="C32" s="45">
        <v>96.809997999999993</v>
      </c>
      <c r="D32" s="45">
        <v>81.449996999999996</v>
      </c>
      <c r="E32" s="45">
        <v>89.620002999999997</v>
      </c>
      <c r="F32" s="45">
        <v>88.905822999999998</v>
      </c>
      <c r="G32">
        <v>15566200</v>
      </c>
    </row>
    <row r="33" spans="1:7">
      <c r="A33" s="53">
        <v>44805</v>
      </c>
      <c r="B33" s="45">
        <v>88.949996999999996</v>
      </c>
      <c r="C33" s="45">
        <v>96.709998999999996</v>
      </c>
      <c r="D33" s="45">
        <v>77.699996999999996</v>
      </c>
      <c r="E33" s="45">
        <v>80.959998999999996</v>
      </c>
      <c r="F33" s="45">
        <v>80.314857000000003</v>
      </c>
      <c r="G33">
        <v>21004800</v>
      </c>
    </row>
    <row r="34" spans="1:7">
      <c r="A34" s="53">
        <v>44835</v>
      </c>
      <c r="B34" s="45">
        <v>81.699996999999996</v>
      </c>
      <c r="C34" s="45">
        <v>94.870002999999997</v>
      </c>
      <c r="D34" s="45">
        <v>79.519997000000004</v>
      </c>
      <c r="E34" s="45">
        <v>94.209998999999996</v>
      </c>
      <c r="F34" s="45">
        <v>93.459266999999997</v>
      </c>
      <c r="G34">
        <v>13625700</v>
      </c>
    </row>
    <row r="35" spans="1:7">
      <c r="A35" s="53">
        <v>44866</v>
      </c>
      <c r="B35" s="45">
        <v>95.790001000000004</v>
      </c>
      <c r="C35" s="45">
        <v>100.550003</v>
      </c>
      <c r="D35" s="45">
        <v>87.589995999999999</v>
      </c>
      <c r="E35" s="45">
        <v>100.32</v>
      </c>
      <c r="F35" s="45">
        <v>99.520576000000005</v>
      </c>
      <c r="G35">
        <v>15769500</v>
      </c>
    </row>
    <row r="36" spans="1:7">
      <c r="A36" s="53">
        <v>44896</v>
      </c>
      <c r="B36" s="45">
        <v>100.230003</v>
      </c>
      <c r="C36" s="45">
        <v>103.5</v>
      </c>
      <c r="D36" s="45">
        <v>88.010002</v>
      </c>
      <c r="E36" s="45">
        <v>90.449996999999996</v>
      </c>
      <c r="F36" s="45">
        <v>89.729218000000003</v>
      </c>
      <c r="G36">
        <v>15400700</v>
      </c>
    </row>
    <row r="37" spans="1:7">
      <c r="A37" s="53">
        <v>44927</v>
      </c>
      <c r="B37" s="45">
        <v>91.370002999999997</v>
      </c>
      <c r="C37" s="45">
        <v>113.19000200000001</v>
      </c>
      <c r="D37" s="45">
        <v>88.800003000000004</v>
      </c>
      <c r="E37" s="45">
        <v>109.120003</v>
      </c>
      <c r="F37" s="45">
        <v>108.25045</v>
      </c>
      <c r="G37">
        <v>16743600</v>
      </c>
    </row>
    <row r="38" spans="1:7">
      <c r="A38" s="53">
        <v>44958</v>
      </c>
      <c r="B38" s="45">
        <v>108.699997</v>
      </c>
      <c r="C38" s="45">
        <v>119.370003</v>
      </c>
      <c r="D38" s="45">
        <v>107.120003</v>
      </c>
      <c r="E38" s="45">
        <v>116.239998</v>
      </c>
      <c r="F38" s="45">
        <v>115.313705</v>
      </c>
      <c r="G38">
        <v>19006700</v>
      </c>
    </row>
    <row r="39" spans="1:7">
      <c r="A39" s="53">
        <v>44986</v>
      </c>
      <c r="B39" s="45">
        <v>116.489998</v>
      </c>
      <c r="C39" s="45">
        <v>125.07</v>
      </c>
      <c r="D39" s="45">
        <v>101.230003</v>
      </c>
      <c r="E39" s="45">
        <v>111.790001</v>
      </c>
      <c r="F39" s="45">
        <v>110.899185</v>
      </c>
      <c r="G39">
        <v>22250400</v>
      </c>
    </row>
    <row r="40" spans="1:7">
      <c r="A40" s="53">
        <v>45017</v>
      </c>
      <c r="B40" s="45">
        <v>111.589996</v>
      </c>
      <c r="C40" s="45">
        <v>117.91999800000001</v>
      </c>
      <c r="D40" s="45">
        <v>106.230003</v>
      </c>
      <c r="E40" s="45">
        <v>114.300003</v>
      </c>
      <c r="F40" s="45">
        <v>113.389168</v>
      </c>
      <c r="G40">
        <v>13204900</v>
      </c>
    </row>
    <row r="41" spans="1:7">
      <c r="A41" s="53">
        <v>45047</v>
      </c>
      <c r="B41" s="45">
        <v>113.870003</v>
      </c>
      <c r="C41" s="45">
        <v>122</v>
      </c>
      <c r="D41" s="45">
        <v>106.339996</v>
      </c>
      <c r="E41" s="45">
        <v>107.480003</v>
      </c>
      <c r="F41" s="45">
        <v>106.62352</v>
      </c>
      <c r="G41">
        <v>21637200</v>
      </c>
    </row>
    <row r="42" spans="1:7">
      <c r="A42" s="53">
        <v>45078</v>
      </c>
      <c r="B42" s="45">
        <v>107.5</v>
      </c>
      <c r="C42" s="45">
        <v>119.16999800000001</v>
      </c>
      <c r="D42" s="45">
        <v>106.599998</v>
      </c>
      <c r="E42" s="45">
        <v>114.58000199999999</v>
      </c>
      <c r="F42" s="45">
        <v>113.82267</v>
      </c>
      <c r="G42">
        <v>13205600</v>
      </c>
    </row>
    <row r="43" spans="1:7">
      <c r="A43" s="53">
        <v>45108</v>
      </c>
      <c r="B43" s="45">
        <v>113.629997</v>
      </c>
      <c r="C43" s="45">
        <v>127.800003</v>
      </c>
      <c r="D43" s="45">
        <v>110.389999</v>
      </c>
      <c r="E43" s="45">
        <v>126.349998</v>
      </c>
      <c r="F43" s="45">
        <v>125.514877</v>
      </c>
      <c r="G43">
        <v>10423800</v>
      </c>
    </row>
    <row r="44" spans="1:7">
      <c r="A44" s="53">
        <v>45139</v>
      </c>
      <c r="B44" s="45">
        <v>125.75</v>
      </c>
      <c r="C44" s="45">
        <v>126.349998</v>
      </c>
      <c r="D44" s="45">
        <v>110.5</v>
      </c>
      <c r="E44" s="45">
        <v>112.410004</v>
      </c>
      <c r="F44" s="45">
        <v>111.66701500000001</v>
      </c>
      <c r="G44">
        <v>17475400</v>
      </c>
    </row>
    <row r="45" spans="1:7">
      <c r="A45" s="53">
        <v>45170</v>
      </c>
      <c r="B45" s="45">
        <v>113.370003</v>
      </c>
      <c r="C45" s="45">
        <v>114.959999</v>
      </c>
      <c r="D45" s="45">
        <v>102.18</v>
      </c>
      <c r="E45" s="45">
        <v>106.08000199999999</v>
      </c>
      <c r="F45" s="45">
        <v>105.52002</v>
      </c>
      <c r="G45">
        <v>13273700</v>
      </c>
    </row>
    <row r="46" spans="1:7">
      <c r="A46" s="53">
        <v>45200</v>
      </c>
      <c r="B46" s="45">
        <v>105.900002</v>
      </c>
      <c r="C46" s="45">
        <v>112.970001</v>
      </c>
      <c r="D46" s="45">
        <v>98.769997000000004</v>
      </c>
      <c r="E46" s="45">
        <v>102.44000200000001</v>
      </c>
      <c r="F46" s="45">
        <v>101.89923899999999</v>
      </c>
      <c r="G46">
        <v>28805400</v>
      </c>
    </row>
    <row r="47" spans="1:7">
      <c r="A47" s="53">
        <v>45231</v>
      </c>
      <c r="B47" s="45">
        <v>102.980003</v>
      </c>
      <c r="C47" s="45">
        <v>117.58000199999999</v>
      </c>
      <c r="D47" s="45">
        <v>96.769997000000004</v>
      </c>
      <c r="E47" s="45">
        <v>114.760002</v>
      </c>
      <c r="F47" s="45">
        <v>114.154205</v>
      </c>
      <c r="G47">
        <v>17023900</v>
      </c>
    </row>
    <row r="48" spans="1:7">
      <c r="A48" s="53">
        <v>45261</v>
      </c>
      <c r="B48" s="45">
        <v>114.75</v>
      </c>
      <c r="C48" s="45">
        <v>133.61999499999999</v>
      </c>
      <c r="D48" s="45">
        <v>114.019997</v>
      </c>
      <c r="E48" s="45">
        <v>130.41000399999999</v>
      </c>
      <c r="F48" s="45">
        <v>129.89070100000001</v>
      </c>
      <c r="G48">
        <v>16946300</v>
      </c>
    </row>
    <row r="49" spans="1:7">
      <c r="A49" s="53">
        <v>45292</v>
      </c>
      <c r="B49" s="45">
        <v>129.979996</v>
      </c>
      <c r="C49" s="45">
        <v>133.429993</v>
      </c>
      <c r="D49" s="45">
        <v>124.400002</v>
      </c>
      <c r="E49" s="45">
        <v>128.36999499999999</v>
      </c>
      <c r="F49" s="45">
        <v>127.85880299999999</v>
      </c>
      <c r="G49">
        <v>14031900</v>
      </c>
    </row>
    <row r="50" spans="1:7">
      <c r="A50" s="53">
        <v>45323</v>
      </c>
      <c r="B50" s="45">
        <v>128.71000699999999</v>
      </c>
      <c r="C50" s="45">
        <v>153.83000200000001</v>
      </c>
      <c r="D50" s="45">
        <v>125.449997</v>
      </c>
      <c r="E50" s="45">
        <v>153.58999600000001</v>
      </c>
      <c r="F50" s="45">
        <v>152.97839400000001</v>
      </c>
      <c r="G50">
        <v>18423300</v>
      </c>
    </row>
    <row r="51" spans="1:7">
      <c r="A51" s="53">
        <v>45352</v>
      </c>
      <c r="B51" s="45">
        <v>154.520004</v>
      </c>
      <c r="C51" s="45">
        <v>161.5</v>
      </c>
      <c r="D51" s="45">
        <v>152.85000600000001</v>
      </c>
      <c r="E51" s="45">
        <v>159.61999499999999</v>
      </c>
      <c r="F51" s="45">
        <v>159.14236500000001</v>
      </c>
      <c r="G51">
        <v>12368300</v>
      </c>
    </row>
    <row r="52" spans="1:7">
      <c r="A52" s="53">
        <v>45383</v>
      </c>
      <c r="B52" s="45">
        <v>159.66999799999999</v>
      </c>
      <c r="C52" s="45">
        <v>159.979996</v>
      </c>
      <c r="D52" s="45">
        <v>145.19000199999999</v>
      </c>
      <c r="E52" s="45">
        <v>148.78999300000001</v>
      </c>
      <c r="F52" s="45">
        <v>148.34475699999999</v>
      </c>
      <c r="G52">
        <v>10650900</v>
      </c>
    </row>
    <row r="53" spans="1:7">
      <c r="A53" s="53">
        <v>45413</v>
      </c>
      <c r="B53" s="45">
        <v>148.44000199999999</v>
      </c>
      <c r="C53" s="45">
        <v>153.990005</v>
      </c>
      <c r="D53" s="45">
        <v>139.679993</v>
      </c>
      <c r="E53" s="45">
        <v>147.470001</v>
      </c>
      <c r="F53" s="45">
        <v>147.028717</v>
      </c>
      <c r="G53">
        <v>11587600</v>
      </c>
    </row>
    <row r="54" spans="1:7">
      <c r="A54" s="53">
        <v>45444</v>
      </c>
      <c r="B54" s="45">
        <v>148</v>
      </c>
      <c r="C54" s="45">
        <v>151.96000699999999</v>
      </c>
      <c r="D54" s="45">
        <v>142.13999899999999</v>
      </c>
      <c r="E54" s="45">
        <v>151.91999799999999</v>
      </c>
      <c r="F54" s="45">
        <v>151.619125</v>
      </c>
      <c r="G54">
        <v>9701600</v>
      </c>
    </row>
    <row r="55" spans="1:7">
      <c r="A55" s="53">
        <v>45474</v>
      </c>
      <c r="B55" s="45">
        <v>152.66999799999999</v>
      </c>
      <c r="C55" s="45">
        <v>162.240005</v>
      </c>
      <c r="D55" s="45">
        <v>145.33999600000001</v>
      </c>
      <c r="E55" s="45">
        <v>147.33000200000001</v>
      </c>
      <c r="F55" s="45">
        <v>147.03822299999999</v>
      </c>
      <c r="G55">
        <v>9557600</v>
      </c>
    </row>
    <row r="56" spans="1:7">
      <c r="A56" s="53">
        <v>45505</v>
      </c>
      <c r="B56" s="45">
        <v>146.35000600000001</v>
      </c>
      <c r="C56" s="45">
        <v>152.35000600000001</v>
      </c>
      <c r="D56" s="45">
        <v>128.91000399999999</v>
      </c>
      <c r="E56" s="45">
        <v>151.91999799999999</v>
      </c>
      <c r="F56" s="45">
        <v>151.619125</v>
      </c>
      <c r="G56">
        <v>16278500</v>
      </c>
    </row>
    <row r="57" spans="1:7">
      <c r="A57" s="53">
        <v>45536</v>
      </c>
      <c r="B57" s="45">
        <v>151.11000100000001</v>
      </c>
      <c r="C57" s="45">
        <v>160.36000100000001</v>
      </c>
      <c r="D57" s="45">
        <v>140.520004</v>
      </c>
      <c r="E57" s="45">
        <v>152.199997</v>
      </c>
      <c r="F57" s="45">
        <v>152.05365</v>
      </c>
      <c r="G57">
        <v>10426700</v>
      </c>
    </row>
    <row r="58" spans="1:7">
      <c r="A58" s="53">
        <v>45566</v>
      </c>
      <c r="B58" s="45">
        <v>152.46000699999999</v>
      </c>
      <c r="C58" s="45">
        <v>158.85000600000001</v>
      </c>
      <c r="D58" s="45">
        <v>145.320007</v>
      </c>
      <c r="E58" s="45">
        <v>145.449997</v>
      </c>
      <c r="F58" s="45">
        <v>145.310135</v>
      </c>
      <c r="G58">
        <v>10828700</v>
      </c>
    </row>
    <row r="59" spans="1:7">
      <c r="A59" s="53">
        <v>45597</v>
      </c>
      <c r="B59" s="45">
        <v>145.41999799999999</v>
      </c>
      <c r="C59" s="45">
        <v>161.83999600000001</v>
      </c>
      <c r="D59" s="45">
        <v>141.53999300000001</v>
      </c>
      <c r="E59" s="45">
        <v>157.94000199999999</v>
      </c>
      <c r="F59" s="45">
        <v>157.78813199999999</v>
      </c>
      <c r="G59">
        <v>10521500</v>
      </c>
    </row>
    <row r="60" spans="1:7">
      <c r="A60" s="53">
        <v>45627</v>
      </c>
      <c r="B60" s="45">
        <v>157.86999499999999</v>
      </c>
      <c r="C60" s="45">
        <v>168.199997</v>
      </c>
      <c r="D60" s="45">
        <v>151.05999800000001</v>
      </c>
      <c r="E60" s="45">
        <v>156.979996</v>
      </c>
      <c r="F60" s="45">
        <v>156.979996</v>
      </c>
      <c r="G60">
        <v>12567000</v>
      </c>
    </row>
    <row r="61" spans="1:7">
      <c r="A61" s="53">
        <v>45658</v>
      </c>
      <c r="B61" s="45">
        <v>158.300003</v>
      </c>
      <c r="C61" s="45">
        <v>161.259995</v>
      </c>
      <c r="D61" s="45">
        <v>150</v>
      </c>
      <c r="E61" s="45">
        <v>158.229996</v>
      </c>
      <c r="F61" s="45">
        <v>158.229996</v>
      </c>
      <c r="G61">
        <v>8416000</v>
      </c>
    </row>
    <row r="62" spans="1:7">
      <c r="A62" s="53">
        <v>45689</v>
      </c>
      <c r="B62" s="45" t="s">
        <v>636</v>
      </c>
      <c r="C62" s="45" t="s">
        <v>636</v>
      </c>
      <c r="D62" s="45" t="s">
        <v>636</v>
      </c>
      <c r="E62" s="45" t="s">
        <v>636</v>
      </c>
      <c r="F62" s="45" t="s">
        <v>636</v>
      </c>
      <c r="G62" t="s">
        <v>636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BE1DE-7F91-4F27-A935-163C5D6FF376}">
  <sheetPr>
    <tabColor rgb="FF0066FF"/>
  </sheetPr>
  <dimension ref="B1:AC99"/>
  <sheetViews>
    <sheetView showGridLines="0" topLeftCell="A18" zoomScaleNormal="100" workbookViewId="0">
      <selection activeCell="C25" sqref="C25"/>
    </sheetView>
  </sheetViews>
  <sheetFormatPr defaultColWidth="24.453125" defaultRowHeight="14.5"/>
  <cols>
    <col min="1" max="1" width="3.81640625" style="1" customWidth="1"/>
    <col min="2" max="2" width="27.453125" style="10" customWidth="1"/>
    <col min="3" max="4" width="10" style="10" customWidth="1"/>
    <col min="5" max="5" width="11.26953125" style="10" customWidth="1"/>
    <col min="6" max="13" width="10" style="10" customWidth="1"/>
    <col min="14" max="14" width="10" style="3" customWidth="1"/>
    <col min="15" max="15" width="10.54296875" style="3" bestFit="1" customWidth="1"/>
    <col min="16" max="17" width="10" style="3" bestFit="1" customWidth="1"/>
    <col min="18" max="19" width="10" style="10" bestFit="1" customWidth="1"/>
    <col min="20" max="20" width="11.26953125" style="10" customWidth="1"/>
    <col min="21" max="21" width="10" bestFit="1" customWidth="1"/>
    <col min="22" max="22" width="10" style="4" bestFit="1" customWidth="1"/>
    <col min="23" max="23" width="10" style="1" bestFit="1" customWidth="1"/>
    <col min="24" max="24" width="10.7265625" style="1" bestFit="1" customWidth="1"/>
    <col min="25" max="25" width="10.7265625" style="54" bestFit="1" customWidth="1"/>
    <col min="26" max="26" width="10.7265625" style="1" bestFit="1" customWidth="1"/>
    <col min="27" max="27" width="5.81640625" style="1" customWidth="1"/>
    <col min="28" max="28" width="52.453125" style="1" bestFit="1" customWidth="1"/>
    <col min="29" max="29" width="11.1796875" style="1" customWidth="1"/>
    <col min="30" max="271" width="24.453125" style="1"/>
    <col min="272" max="272" width="3.81640625" style="1" customWidth="1"/>
    <col min="273" max="273" width="32.26953125" style="1" customWidth="1"/>
    <col min="274" max="277" width="13.81640625" style="1" customWidth="1"/>
    <col min="278" max="281" width="7.54296875" style="1" customWidth="1"/>
    <col min="282" max="527" width="24.453125" style="1"/>
    <col min="528" max="528" width="3.81640625" style="1" customWidth="1"/>
    <col min="529" max="529" width="32.26953125" style="1" customWidth="1"/>
    <col min="530" max="533" width="13.81640625" style="1" customWidth="1"/>
    <col min="534" max="537" width="7.54296875" style="1" customWidth="1"/>
    <col min="538" max="783" width="24.453125" style="1"/>
    <col min="784" max="784" width="3.81640625" style="1" customWidth="1"/>
    <col min="785" max="785" width="32.26953125" style="1" customWidth="1"/>
    <col min="786" max="789" width="13.81640625" style="1" customWidth="1"/>
    <col min="790" max="793" width="7.54296875" style="1" customWidth="1"/>
    <col min="794" max="1039" width="24.453125" style="1"/>
    <col min="1040" max="1040" width="3.81640625" style="1" customWidth="1"/>
    <col min="1041" max="1041" width="32.26953125" style="1" customWidth="1"/>
    <col min="1042" max="1045" width="13.81640625" style="1" customWidth="1"/>
    <col min="1046" max="1049" width="7.54296875" style="1" customWidth="1"/>
    <col min="1050" max="1295" width="24.453125" style="1"/>
    <col min="1296" max="1296" width="3.81640625" style="1" customWidth="1"/>
    <col min="1297" max="1297" width="32.26953125" style="1" customWidth="1"/>
    <col min="1298" max="1301" width="13.81640625" style="1" customWidth="1"/>
    <col min="1302" max="1305" width="7.54296875" style="1" customWidth="1"/>
    <col min="1306" max="1551" width="24.453125" style="1"/>
    <col min="1552" max="1552" width="3.81640625" style="1" customWidth="1"/>
    <col min="1553" max="1553" width="32.26953125" style="1" customWidth="1"/>
    <col min="1554" max="1557" width="13.81640625" style="1" customWidth="1"/>
    <col min="1558" max="1561" width="7.54296875" style="1" customWidth="1"/>
    <col min="1562" max="1807" width="24.453125" style="1"/>
    <col min="1808" max="1808" width="3.81640625" style="1" customWidth="1"/>
    <col min="1809" max="1809" width="32.26953125" style="1" customWidth="1"/>
    <col min="1810" max="1813" width="13.81640625" style="1" customWidth="1"/>
    <col min="1814" max="1817" width="7.54296875" style="1" customWidth="1"/>
    <col min="1818" max="2063" width="24.453125" style="1"/>
    <col min="2064" max="2064" width="3.81640625" style="1" customWidth="1"/>
    <col min="2065" max="2065" width="32.26953125" style="1" customWidth="1"/>
    <col min="2066" max="2069" width="13.81640625" style="1" customWidth="1"/>
    <col min="2070" max="2073" width="7.54296875" style="1" customWidth="1"/>
    <col min="2074" max="2319" width="24.453125" style="1"/>
    <col min="2320" max="2320" width="3.81640625" style="1" customWidth="1"/>
    <col min="2321" max="2321" width="32.26953125" style="1" customWidth="1"/>
    <col min="2322" max="2325" width="13.81640625" style="1" customWidth="1"/>
    <col min="2326" max="2329" width="7.54296875" style="1" customWidth="1"/>
    <col min="2330" max="2575" width="24.453125" style="1"/>
    <col min="2576" max="2576" width="3.81640625" style="1" customWidth="1"/>
    <col min="2577" max="2577" width="32.26953125" style="1" customWidth="1"/>
    <col min="2578" max="2581" width="13.81640625" style="1" customWidth="1"/>
    <col min="2582" max="2585" width="7.54296875" style="1" customWidth="1"/>
    <col min="2586" max="2831" width="24.453125" style="1"/>
    <col min="2832" max="2832" width="3.81640625" style="1" customWidth="1"/>
    <col min="2833" max="2833" width="32.26953125" style="1" customWidth="1"/>
    <col min="2834" max="2837" width="13.81640625" style="1" customWidth="1"/>
    <col min="2838" max="2841" width="7.54296875" style="1" customWidth="1"/>
    <col min="2842" max="3087" width="24.453125" style="1"/>
    <col min="3088" max="3088" width="3.81640625" style="1" customWidth="1"/>
    <col min="3089" max="3089" width="32.26953125" style="1" customWidth="1"/>
    <col min="3090" max="3093" width="13.81640625" style="1" customWidth="1"/>
    <col min="3094" max="3097" width="7.54296875" style="1" customWidth="1"/>
    <col min="3098" max="3343" width="24.453125" style="1"/>
    <col min="3344" max="3344" width="3.81640625" style="1" customWidth="1"/>
    <col min="3345" max="3345" width="32.26953125" style="1" customWidth="1"/>
    <col min="3346" max="3349" width="13.81640625" style="1" customWidth="1"/>
    <col min="3350" max="3353" width="7.54296875" style="1" customWidth="1"/>
    <col min="3354" max="3599" width="24.453125" style="1"/>
    <col min="3600" max="3600" width="3.81640625" style="1" customWidth="1"/>
    <col min="3601" max="3601" width="32.26953125" style="1" customWidth="1"/>
    <col min="3602" max="3605" width="13.81640625" style="1" customWidth="1"/>
    <col min="3606" max="3609" width="7.54296875" style="1" customWidth="1"/>
    <col min="3610" max="3855" width="24.453125" style="1"/>
    <col min="3856" max="3856" width="3.81640625" style="1" customWidth="1"/>
    <col min="3857" max="3857" width="32.26953125" style="1" customWidth="1"/>
    <col min="3858" max="3861" width="13.81640625" style="1" customWidth="1"/>
    <col min="3862" max="3865" width="7.54296875" style="1" customWidth="1"/>
    <col min="3866" max="4111" width="24.453125" style="1"/>
    <col min="4112" max="4112" width="3.81640625" style="1" customWidth="1"/>
    <col min="4113" max="4113" width="32.26953125" style="1" customWidth="1"/>
    <col min="4114" max="4117" width="13.81640625" style="1" customWidth="1"/>
    <col min="4118" max="4121" width="7.54296875" style="1" customWidth="1"/>
    <col min="4122" max="4367" width="24.453125" style="1"/>
    <col min="4368" max="4368" width="3.81640625" style="1" customWidth="1"/>
    <col min="4369" max="4369" width="32.26953125" style="1" customWidth="1"/>
    <col min="4370" max="4373" width="13.81640625" style="1" customWidth="1"/>
    <col min="4374" max="4377" width="7.54296875" style="1" customWidth="1"/>
    <col min="4378" max="4623" width="24.453125" style="1"/>
    <col min="4624" max="4624" width="3.81640625" style="1" customWidth="1"/>
    <col min="4625" max="4625" width="32.26953125" style="1" customWidth="1"/>
    <col min="4626" max="4629" width="13.81640625" style="1" customWidth="1"/>
    <col min="4630" max="4633" width="7.54296875" style="1" customWidth="1"/>
    <col min="4634" max="4879" width="24.453125" style="1"/>
    <col min="4880" max="4880" width="3.81640625" style="1" customWidth="1"/>
    <col min="4881" max="4881" width="32.26953125" style="1" customWidth="1"/>
    <col min="4882" max="4885" width="13.81640625" style="1" customWidth="1"/>
    <col min="4886" max="4889" width="7.54296875" style="1" customWidth="1"/>
    <col min="4890" max="5135" width="24.453125" style="1"/>
    <col min="5136" max="5136" width="3.81640625" style="1" customWidth="1"/>
    <col min="5137" max="5137" width="32.26953125" style="1" customWidth="1"/>
    <col min="5138" max="5141" width="13.81640625" style="1" customWidth="1"/>
    <col min="5142" max="5145" width="7.54296875" style="1" customWidth="1"/>
    <col min="5146" max="5391" width="24.453125" style="1"/>
    <col min="5392" max="5392" width="3.81640625" style="1" customWidth="1"/>
    <col min="5393" max="5393" width="32.26953125" style="1" customWidth="1"/>
    <col min="5394" max="5397" width="13.81640625" style="1" customWidth="1"/>
    <col min="5398" max="5401" width="7.54296875" style="1" customWidth="1"/>
    <col min="5402" max="5647" width="24.453125" style="1"/>
    <col min="5648" max="5648" width="3.81640625" style="1" customWidth="1"/>
    <col min="5649" max="5649" width="32.26953125" style="1" customWidth="1"/>
    <col min="5650" max="5653" width="13.81640625" style="1" customWidth="1"/>
    <col min="5654" max="5657" width="7.54296875" style="1" customWidth="1"/>
    <col min="5658" max="5903" width="24.453125" style="1"/>
    <col min="5904" max="5904" width="3.81640625" style="1" customWidth="1"/>
    <col min="5905" max="5905" width="32.26953125" style="1" customWidth="1"/>
    <col min="5906" max="5909" width="13.81640625" style="1" customWidth="1"/>
    <col min="5910" max="5913" width="7.54296875" style="1" customWidth="1"/>
    <col min="5914" max="6159" width="24.453125" style="1"/>
    <col min="6160" max="6160" width="3.81640625" style="1" customWidth="1"/>
    <col min="6161" max="6161" width="32.26953125" style="1" customWidth="1"/>
    <col min="6162" max="6165" width="13.81640625" style="1" customWidth="1"/>
    <col min="6166" max="6169" width="7.54296875" style="1" customWidth="1"/>
    <col min="6170" max="6415" width="24.453125" style="1"/>
    <col min="6416" max="6416" width="3.81640625" style="1" customWidth="1"/>
    <col min="6417" max="6417" width="32.26953125" style="1" customWidth="1"/>
    <col min="6418" max="6421" width="13.81640625" style="1" customWidth="1"/>
    <col min="6422" max="6425" width="7.54296875" style="1" customWidth="1"/>
    <col min="6426" max="6671" width="24.453125" style="1"/>
    <col min="6672" max="6672" width="3.81640625" style="1" customWidth="1"/>
    <col min="6673" max="6673" width="32.26953125" style="1" customWidth="1"/>
    <col min="6674" max="6677" width="13.81640625" style="1" customWidth="1"/>
    <col min="6678" max="6681" width="7.54296875" style="1" customWidth="1"/>
    <col min="6682" max="6927" width="24.453125" style="1"/>
    <col min="6928" max="6928" width="3.81640625" style="1" customWidth="1"/>
    <col min="6929" max="6929" width="32.26953125" style="1" customWidth="1"/>
    <col min="6930" max="6933" width="13.81640625" style="1" customWidth="1"/>
    <col min="6934" max="6937" width="7.54296875" style="1" customWidth="1"/>
    <col min="6938" max="7183" width="24.453125" style="1"/>
    <col min="7184" max="7184" width="3.81640625" style="1" customWidth="1"/>
    <col min="7185" max="7185" width="32.26953125" style="1" customWidth="1"/>
    <col min="7186" max="7189" width="13.81640625" style="1" customWidth="1"/>
    <col min="7190" max="7193" width="7.54296875" style="1" customWidth="1"/>
    <col min="7194" max="7439" width="24.453125" style="1"/>
    <col min="7440" max="7440" width="3.81640625" style="1" customWidth="1"/>
    <col min="7441" max="7441" width="32.26953125" style="1" customWidth="1"/>
    <col min="7442" max="7445" width="13.81640625" style="1" customWidth="1"/>
    <col min="7446" max="7449" width="7.54296875" style="1" customWidth="1"/>
    <col min="7450" max="7695" width="24.453125" style="1"/>
    <col min="7696" max="7696" width="3.81640625" style="1" customWidth="1"/>
    <col min="7697" max="7697" width="32.26953125" style="1" customWidth="1"/>
    <col min="7698" max="7701" width="13.81640625" style="1" customWidth="1"/>
    <col min="7702" max="7705" width="7.54296875" style="1" customWidth="1"/>
    <col min="7706" max="7951" width="24.453125" style="1"/>
    <col min="7952" max="7952" width="3.81640625" style="1" customWidth="1"/>
    <col min="7953" max="7953" width="32.26953125" style="1" customWidth="1"/>
    <col min="7954" max="7957" width="13.81640625" style="1" customWidth="1"/>
    <col min="7958" max="7961" width="7.54296875" style="1" customWidth="1"/>
    <col min="7962" max="8207" width="24.453125" style="1"/>
    <col min="8208" max="8208" width="3.81640625" style="1" customWidth="1"/>
    <col min="8209" max="8209" width="32.26953125" style="1" customWidth="1"/>
    <col min="8210" max="8213" width="13.81640625" style="1" customWidth="1"/>
    <col min="8214" max="8217" width="7.54296875" style="1" customWidth="1"/>
    <col min="8218" max="8463" width="24.453125" style="1"/>
    <col min="8464" max="8464" width="3.81640625" style="1" customWidth="1"/>
    <col min="8465" max="8465" width="32.26953125" style="1" customWidth="1"/>
    <col min="8466" max="8469" width="13.81640625" style="1" customWidth="1"/>
    <col min="8470" max="8473" width="7.54296875" style="1" customWidth="1"/>
    <col min="8474" max="8719" width="24.453125" style="1"/>
    <col min="8720" max="8720" width="3.81640625" style="1" customWidth="1"/>
    <col min="8721" max="8721" width="32.26953125" style="1" customWidth="1"/>
    <col min="8722" max="8725" width="13.81640625" style="1" customWidth="1"/>
    <col min="8726" max="8729" width="7.54296875" style="1" customWidth="1"/>
    <col min="8730" max="8975" width="24.453125" style="1"/>
    <col min="8976" max="8976" width="3.81640625" style="1" customWidth="1"/>
    <col min="8977" max="8977" width="32.26953125" style="1" customWidth="1"/>
    <col min="8978" max="8981" width="13.81640625" style="1" customWidth="1"/>
    <col min="8982" max="8985" width="7.54296875" style="1" customWidth="1"/>
    <col min="8986" max="9231" width="24.453125" style="1"/>
    <col min="9232" max="9232" width="3.81640625" style="1" customWidth="1"/>
    <col min="9233" max="9233" width="32.26953125" style="1" customWidth="1"/>
    <col min="9234" max="9237" width="13.81640625" style="1" customWidth="1"/>
    <col min="9238" max="9241" width="7.54296875" style="1" customWidth="1"/>
    <col min="9242" max="9487" width="24.453125" style="1"/>
    <col min="9488" max="9488" width="3.81640625" style="1" customWidth="1"/>
    <col min="9489" max="9489" width="32.26953125" style="1" customWidth="1"/>
    <col min="9490" max="9493" width="13.81640625" style="1" customWidth="1"/>
    <col min="9494" max="9497" width="7.54296875" style="1" customWidth="1"/>
    <col min="9498" max="9743" width="24.453125" style="1"/>
    <col min="9744" max="9744" width="3.81640625" style="1" customWidth="1"/>
    <col min="9745" max="9745" width="32.26953125" style="1" customWidth="1"/>
    <col min="9746" max="9749" width="13.81640625" style="1" customWidth="1"/>
    <col min="9750" max="9753" width="7.54296875" style="1" customWidth="1"/>
    <col min="9754" max="9999" width="24.453125" style="1"/>
    <col min="10000" max="10000" width="3.81640625" style="1" customWidth="1"/>
    <col min="10001" max="10001" width="32.26953125" style="1" customWidth="1"/>
    <col min="10002" max="10005" width="13.81640625" style="1" customWidth="1"/>
    <col min="10006" max="10009" width="7.54296875" style="1" customWidth="1"/>
    <col min="10010" max="10255" width="24.453125" style="1"/>
    <col min="10256" max="10256" width="3.81640625" style="1" customWidth="1"/>
    <col min="10257" max="10257" width="32.26953125" style="1" customWidth="1"/>
    <col min="10258" max="10261" width="13.81640625" style="1" customWidth="1"/>
    <col min="10262" max="10265" width="7.54296875" style="1" customWidth="1"/>
    <col min="10266" max="10511" width="24.453125" style="1"/>
    <col min="10512" max="10512" width="3.81640625" style="1" customWidth="1"/>
    <col min="10513" max="10513" width="32.26953125" style="1" customWidth="1"/>
    <col min="10514" max="10517" width="13.81640625" style="1" customWidth="1"/>
    <col min="10518" max="10521" width="7.54296875" style="1" customWidth="1"/>
    <col min="10522" max="10767" width="24.453125" style="1"/>
    <col min="10768" max="10768" width="3.81640625" style="1" customWidth="1"/>
    <col min="10769" max="10769" width="32.26953125" style="1" customWidth="1"/>
    <col min="10770" max="10773" width="13.81640625" style="1" customWidth="1"/>
    <col min="10774" max="10777" width="7.54296875" style="1" customWidth="1"/>
    <col min="10778" max="11023" width="24.453125" style="1"/>
    <col min="11024" max="11024" width="3.81640625" style="1" customWidth="1"/>
    <col min="11025" max="11025" width="32.26953125" style="1" customWidth="1"/>
    <col min="11026" max="11029" width="13.81640625" style="1" customWidth="1"/>
    <col min="11030" max="11033" width="7.54296875" style="1" customWidth="1"/>
    <col min="11034" max="11279" width="24.453125" style="1"/>
    <col min="11280" max="11280" width="3.81640625" style="1" customWidth="1"/>
    <col min="11281" max="11281" width="32.26953125" style="1" customWidth="1"/>
    <col min="11282" max="11285" width="13.81640625" style="1" customWidth="1"/>
    <col min="11286" max="11289" width="7.54296875" style="1" customWidth="1"/>
    <col min="11290" max="11535" width="24.453125" style="1"/>
    <col min="11536" max="11536" width="3.81640625" style="1" customWidth="1"/>
    <col min="11537" max="11537" width="32.26953125" style="1" customWidth="1"/>
    <col min="11538" max="11541" width="13.81640625" style="1" customWidth="1"/>
    <col min="11542" max="11545" width="7.54296875" style="1" customWidth="1"/>
    <col min="11546" max="11791" width="24.453125" style="1"/>
    <col min="11792" max="11792" width="3.81640625" style="1" customWidth="1"/>
    <col min="11793" max="11793" width="32.26953125" style="1" customWidth="1"/>
    <col min="11794" max="11797" width="13.81640625" style="1" customWidth="1"/>
    <col min="11798" max="11801" width="7.54296875" style="1" customWidth="1"/>
    <col min="11802" max="12047" width="24.453125" style="1"/>
    <col min="12048" max="12048" width="3.81640625" style="1" customWidth="1"/>
    <col min="12049" max="12049" width="32.26953125" style="1" customWidth="1"/>
    <col min="12050" max="12053" width="13.81640625" style="1" customWidth="1"/>
    <col min="12054" max="12057" width="7.54296875" style="1" customWidth="1"/>
    <col min="12058" max="12303" width="24.453125" style="1"/>
    <col min="12304" max="12304" width="3.81640625" style="1" customWidth="1"/>
    <col min="12305" max="12305" width="32.26953125" style="1" customWidth="1"/>
    <col min="12306" max="12309" width="13.81640625" style="1" customWidth="1"/>
    <col min="12310" max="12313" width="7.54296875" style="1" customWidth="1"/>
    <col min="12314" max="12559" width="24.453125" style="1"/>
    <col min="12560" max="12560" width="3.81640625" style="1" customWidth="1"/>
    <col min="12561" max="12561" width="32.26953125" style="1" customWidth="1"/>
    <col min="12562" max="12565" width="13.81640625" style="1" customWidth="1"/>
    <col min="12566" max="12569" width="7.54296875" style="1" customWidth="1"/>
    <col min="12570" max="12815" width="24.453125" style="1"/>
    <col min="12816" max="12816" width="3.81640625" style="1" customWidth="1"/>
    <col min="12817" max="12817" width="32.26953125" style="1" customWidth="1"/>
    <col min="12818" max="12821" width="13.81640625" style="1" customWidth="1"/>
    <col min="12822" max="12825" width="7.54296875" style="1" customWidth="1"/>
    <col min="12826" max="13071" width="24.453125" style="1"/>
    <col min="13072" max="13072" width="3.81640625" style="1" customWidth="1"/>
    <col min="13073" max="13073" width="32.26953125" style="1" customWidth="1"/>
    <col min="13074" max="13077" width="13.81640625" style="1" customWidth="1"/>
    <col min="13078" max="13081" width="7.54296875" style="1" customWidth="1"/>
    <col min="13082" max="13327" width="24.453125" style="1"/>
    <col min="13328" max="13328" width="3.81640625" style="1" customWidth="1"/>
    <col min="13329" max="13329" width="32.26953125" style="1" customWidth="1"/>
    <col min="13330" max="13333" width="13.81640625" style="1" customWidth="1"/>
    <col min="13334" max="13337" width="7.54296875" style="1" customWidth="1"/>
    <col min="13338" max="13583" width="24.453125" style="1"/>
    <col min="13584" max="13584" width="3.81640625" style="1" customWidth="1"/>
    <col min="13585" max="13585" width="32.26953125" style="1" customWidth="1"/>
    <col min="13586" max="13589" width="13.81640625" style="1" customWidth="1"/>
    <col min="13590" max="13593" width="7.54296875" style="1" customWidth="1"/>
    <col min="13594" max="13839" width="24.453125" style="1"/>
    <col min="13840" max="13840" width="3.81640625" style="1" customWidth="1"/>
    <col min="13841" max="13841" width="32.26953125" style="1" customWidth="1"/>
    <col min="13842" max="13845" width="13.81640625" style="1" customWidth="1"/>
    <col min="13846" max="13849" width="7.54296875" style="1" customWidth="1"/>
    <col min="13850" max="14095" width="24.453125" style="1"/>
    <col min="14096" max="14096" width="3.81640625" style="1" customWidth="1"/>
    <col min="14097" max="14097" width="32.26953125" style="1" customWidth="1"/>
    <col min="14098" max="14101" width="13.81640625" style="1" customWidth="1"/>
    <col min="14102" max="14105" width="7.54296875" style="1" customWidth="1"/>
    <col min="14106" max="14351" width="24.453125" style="1"/>
    <col min="14352" max="14352" width="3.81640625" style="1" customWidth="1"/>
    <col min="14353" max="14353" width="32.26953125" style="1" customWidth="1"/>
    <col min="14354" max="14357" width="13.81640625" style="1" customWidth="1"/>
    <col min="14358" max="14361" width="7.54296875" style="1" customWidth="1"/>
    <col min="14362" max="14607" width="24.453125" style="1"/>
    <col min="14608" max="14608" width="3.81640625" style="1" customWidth="1"/>
    <col min="14609" max="14609" width="32.26953125" style="1" customWidth="1"/>
    <col min="14610" max="14613" width="13.81640625" style="1" customWidth="1"/>
    <col min="14614" max="14617" width="7.54296875" style="1" customWidth="1"/>
    <col min="14618" max="14863" width="24.453125" style="1"/>
    <col min="14864" max="14864" width="3.81640625" style="1" customWidth="1"/>
    <col min="14865" max="14865" width="32.26953125" style="1" customWidth="1"/>
    <col min="14866" max="14869" width="13.81640625" style="1" customWidth="1"/>
    <col min="14870" max="14873" width="7.54296875" style="1" customWidth="1"/>
    <col min="14874" max="15119" width="24.453125" style="1"/>
    <col min="15120" max="15120" width="3.81640625" style="1" customWidth="1"/>
    <col min="15121" max="15121" width="32.26953125" style="1" customWidth="1"/>
    <col min="15122" max="15125" width="13.81640625" style="1" customWidth="1"/>
    <col min="15126" max="15129" width="7.54296875" style="1" customWidth="1"/>
    <col min="15130" max="15375" width="24.453125" style="1"/>
    <col min="15376" max="15376" width="3.81640625" style="1" customWidth="1"/>
    <col min="15377" max="15377" width="32.26953125" style="1" customWidth="1"/>
    <col min="15378" max="15381" width="13.81640625" style="1" customWidth="1"/>
    <col min="15382" max="15385" width="7.54296875" style="1" customWidth="1"/>
    <col min="15386" max="15631" width="24.453125" style="1"/>
    <col min="15632" max="15632" width="3.81640625" style="1" customWidth="1"/>
    <col min="15633" max="15633" width="32.26953125" style="1" customWidth="1"/>
    <col min="15634" max="15637" width="13.81640625" style="1" customWidth="1"/>
    <col min="15638" max="15641" width="7.54296875" style="1" customWidth="1"/>
    <col min="15642" max="15887" width="24.453125" style="1"/>
    <col min="15888" max="15888" width="3.81640625" style="1" customWidth="1"/>
    <col min="15889" max="15889" width="32.26953125" style="1" customWidth="1"/>
    <col min="15890" max="15893" width="13.81640625" style="1" customWidth="1"/>
    <col min="15894" max="15897" width="7.54296875" style="1" customWidth="1"/>
    <col min="15898" max="16143" width="24.453125" style="1"/>
    <col min="16144" max="16144" width="3.81640625" style="1" customWidth="1"/>
    <col min="16145" max="16145" width="32.26953125" style="1" customWidth="1"/>
    <col min="16146" max="16149" width="13.81640625" style="1" customWidth="1"/>
    <col min="16150" max="16153" width="7.54296875" style="1" customWidth="1"/>
    <col min="16154" max="16384" width="24.453125" style="1"/>
  </cols>
  <sheetData>
    <row r="1" spans="2:29" ht="19.399999999999999" customHeight="1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R1" s="2"/>
      <c r="S1" s="2"/>
      <c r="T1" s="2"/>
    </row>
    <row r="2" spans="2:29" ht="10.75" customHeight="1">
      <c r="B2" s="51" t="s">
        <v>231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R2" s="2"/>
      <c r="S2" s="2"/>
      <c r="T2" s="2"/>
    </row>
    <row r="3" spans="2:29" ht="19.75" customHeight="1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R3" s="5"/>
      <c r="S3" s="5"/>
      <c r="T3" s="5"/>
    </row>
    <row r="4" spans="2:29" ht="19.75" customHeight="1">
      <c r="B4" s="99"/>
      <c r="C4" s="663" t="s">
        <v>233</v>
      </c>
      <c r="D4" s="666"/>
      <c r="E4" s="666"/>
      <c r="F4" s="666"/>
      <c r="G4" s="666"/>
      <c r="H4" s="666"/>
      <c r="I4" s="666"/>
      <c r="J4" s="666"/>
      <c r="K4" s="666"/>
      <c r="L4" s="666"/>
      <c r="M4" s="666"/>
      <c r="N4" s="666"/>
      <c r="O4" s="666"/>
      <c r="P4" s="666"/>
      <c r="Q4" s="666"/>
      <c r="R4" s="666"/>
      <c r="S4" s="666"/>
      <c r="T4" s="667"/>
      <c r="U4" s="663" t="s">
        <v>234</v>
      </c>
      <c r="V4" s="664"/>
      <c r="W4" s="664"/>
      <c r="X4" s="664"/>
      <c r="Y4" s="664"/>
      <c r="Z4" s="665"/>
    </row>
    <row r="5" spans="2:29" ht="12" customHeight="1">
      <c r="B5" s="104"/>
      <c r="C5" s="105"/>
      <c r="D5" s="105"/>
      <c r="E5" s="656" t="s">
        <v>635</v>
      </c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655" t="s">
        <v>634</v>
      </c>
      <c r="Q5" s="655"/>
      <c r="R5" s="105"/>
      <c r="S5" s="205"/>
      <c r="T5" s="630"/>
      <c r="U5" s="105"/>
      <c r="V5" s="105"/>
      <c r="W5" s="105"/>
      <c r="X5" s="105"/>
      <c r="Y5" s="105"/>
      <c r="Z5" s="105"/>
    </row>
    <row r="6" spans="2:29" ht="14.5" customHeight="1">
      <c r="B6" s="104"/>
      <c r="C6" s="105" t="s">
        <v>219</v>
      </c>
      <c r="D6" s="105" t="s">
        <v>219</v>
      </c>
      <c r="E6" s="342" t="s">
        <v>219</v>
      </c>
      <c r="F6" s="105" t="s">
        <v>219</v>
      </c>
      <c r="G6" s="105" t="s">
        <v>219</v>
      </c>
      <c r="H6" s="105" t="s">
        <v>219</v>
      </c>
      <c r="I6" s="105" t="s">
        <v>219</v>
      </c>
      <c r="J6" s="105" t="s">
        <v>219</v>
      </c>
      <c r="K6" s="105" t="s">
        <v>219</v>
      </c>
      <c r="L6" s="105" t="s">
        <v>219</v>
      </c>
      <c r="M6" s="105" t="s">
        <v>219</v>
      </c>
      <c r="N6" s="105" t="s">
        <v>219</v>
      </c>
      <c r="O6" s="105" t="s">
        <v>219</v>
      </c>
      <c r="P6" s="342" t="s">
        <v>219</v>
      </c>
      <c r="Q6" s="342" t="s">
        <v>219</v>
      </c>
      <c r="R6" s="105" t="str">
        <f>+Q6</f>
        <v>Dec 31</v>
      </c>
      <c r="S6" s="205" t="str">
        <f>+'Historical Analysis'!D5</f>
        <v>Dec 31</v>
      </c>
      <c r="T6" s="630" t="str">
        <f>'Historical Analysis'!C5</f>
        <v>Dec 31</v>
      </c>
      <c r="U6" s="653" t="s">
        <v>219</v>
      </c>
      <c r="V6" s="653" t="str">
        <f>+U6</f>
        <v>Dec 31</v>
      </c>
      <c r="W6" s="653" t="str">
        <f>+V6</f>
        <v>Dec 31</v>
      </c>
      <c r="X6" s="653" t="str">
        <f>+W6</f>
        <v>Dec 31</v>
      </c>
      <c r="Y6" s="653" t="str">
        <f>+X6</f>
        <v>Dec 31</v>
      </c>
      <c r="Z6" s="653" t="str">
        <f>+Y6</f>
        <v>Dec 31</v>
      </c>
    </row>
    <row r="7" spans="2:29" s="6" customFormat="1" ht="15" customHeight="1" thickBot="1">
      <c r="B7" s="106" t="s">
        <v>1</v>
      </c>
      <c r="C7" s="650">
        <f>+'Historical Analysis'!T6</f>
        <v>2007</v>
      </c>
      <c r="D7" s="650">
        <f>+'Historical Analysis'!S6</f>
        <v>2008</v>
      </c>
      <c r="E7" s="651">
        <f>+'Historical Analysis'!R6</f>
        <v>2009</v>
      </c>
      <c r="F7" s="650">
        <f>+'Historical Analysis'!Q6</f>
        <v>2010</v>
      </c>
      <c r="G7" s="650">
        <f>+'Historical Analysis'!P6</f>
        <v>2011</v>
      </c>
      <c r="H7" s="650">
        <f>+'Historical Analysis'!O6</f>
        <v>2012</v>
      </c>
      <c r="I7" s="650">
        <f>+'Historical Analysis'!N6</f>
        <v>2013</v>
      </c>
      <c r="J7" s="650">
        <f>+'Historical Analysis'!M6</f>
        <v>2014</v>
      </c>
      <c r="K7" s="650">
        <f>+'Historical Analysis'!L6</f>
        <v>2015</v>
      </c>
      <c r="L7" s="650">
        <f>+'Historical Analysis'!K6</f>
        <v>2016</v>
      </c>
      <c r="M7" s="650">
        <f>+'Historical Analysis'!J6</f>
        <v>2017</v>
      </c>
      <c r="N7" s="650">
        <f>+'Historical Analysis'!I6</f>
        <v>2018</v>
      </c>
      <c r="O7" s="650">
        <f>+'Historical Analysis'!H6</f>
        <v>2019</v>
      </c>
      <c r="P7" s="651">
        <f>+'Historical Analysis'!G6</f>
        <v>2020</v>
      </c>
      <c r="Q7" s="651">
        <f>+'Historical Analysis'!F6</f>
        <v>2021</v>
      </c>
      <c r="R7" s="650">
        <f>+'Historical Analysis'!E6</f>
        <v>2022</v>
      </c>
      <c r="S7" s="652">
        <f>+'Historical Analysis'!D6</f>
        <v>2023</v>
      </c>
      <c r="T7" s="649">
        <v>2024</v>
      </c>
      <c r="U7" s="650">
        <v>2025</v>
      </c>
      <c r="V7" s="650">
        <f t="shared" ref="V7:Z7" si="0">+U7+1</f>
        <v>2026</v>
      </c>
      <c r="W7" s="650">
        <f t="shared" si="0"/>
        <v>2027</v>
      </c>
      <c r="X7" s="650">
        <f t="shared" si="0"/>
        <v>2028</v>
      </c>
      <c r="Y7" s="650">
        <f t="shared" si="0"/>
        <v>2029</v>
      </c>
      <c r="Z7" s="650">
        <f t="shared" si="0"/>
        <v>2030</v>
      </c>
    </row>
    <row r="8" spans="2:29" ht="14.5" customHeight="1">
      <c r="B8" s="7" t="s">
        <v>2</v>
      </c>
      <c r="C8" s="70">
        <f>+'Historical Analysis'!T7</f>
        <v>3738000</v>
      </c>
      <c r="D8" s="70">
        <f>+'Historical Analysis'!S7</f>
        <v>3837000</v>
      </c>
      <c r="E8" s="330">
        <f>+'Historical Analysis'!R7</f>
        <v>3330000</v>
      </c>
      <c r="F8" s="70">
        <f>+'Historical Analysis'!Q7</f>
        <v>3527000</v>
      </c>
      <c r="G8" s="70">
        <f>+'Historical Analysis'!P7</f>
        <v>3698000</v>
      </c>
      <c r="H8" s="70">
        <f>+'Historical Analysis'!O7</f>
        <v>3949000</v>
      </c>
      <c r="I8" s="70">
        <f>+'Historical Analysis'!N7</f>
        <v>4184000</v>
      </c>
      <c r="J8" s="70">
        <f>+'Historical Analysis'!M7</f>
        <v>4415000</v>
      </c>
      <c r="K8" s="70">
        <f>+'Historical Analysis'!L7</f>
        <v>4328000</v>
      </c>
      <c r="L8" s="70">
        <f>+'Historical Analysis'!K7</f>
        <v>4265000</v>
      </c>
      <c r="M8" s="70">
        <f>+'Historical Analysis'!J7</f>
        <v>4462000</v>
      </c>
      <c r="N8" s="70">
        <f>+'Historical Analysis'!I7</f>
        <v>4454000</v>
      </c>
      <c r="O8" s="70">
        <f>+'Historical Analysis'!H7</f>
        <v>5020000</v>
      </c>
      <c r="P8" s="330">
        <f>+'Historical Analysis'!G7</f>
        <v>2066000</v>
      </c>
      <c r="Q8" s="330">
        <f>+'Historical Analysis'!F7</f>
        <v>3028000</v>
      </c>
      <c r="R8" s="70">
        <f>+'Historical Analysis'!E7</f>
        <v>5891000</v>
      </c>
      <c r="S8" s="189">
        <f>+'Historical Analysis'!D7</f>
        <v>6667000</v>
      </c>
      <c r="T8" s="631">
        <f>+'Historical Analysis'!C7</f>
        <v>6648000</v>
      </c>
      <c r="U8" s="222">
        <f>+S8*(1+U37)</f>
        <v>7000350</v>
      </c>
      <c r="V8" s="222">
        <f t="shared" ref="V8:Z8" si="1">+U8*(1+V37)</f>
        <v>7350367.5</v>
      </c>
      <c r="W8" s="222">
        <f t="shared" si="1"/>
        <v>8085404.2500000009</v>
      </c>
      <c r="X8" s="222">
        <f t="shared" si="1"/>
        <v>8893944.6750000026</v>
      </c>
      <c r="Y8" s="222">
        <f t="shared" si="1"/>
        <v>9783339.1425000038</v>
      </c>
      <c r="Z8" s="222">
        <f t="shared" si="1"/>
        <v>10761673.056750005</v>
      </c>
      <c r="AC8" s="6"/>
    </row>
    <row r="9" spans="2:29" ht="14.5" customHeight="1">
      <c r="B9" s="71" t="s">
        <v>193</v>
      </c>
      <c r="C9" s="190"/>
      <c r="D9" s="191">
        <f t="shared" ref="D9:G9" si="2">+D8/C8-1</f>
        <v>2.6484751203852408E-2</v>
      </c>
      <c r="E9" s="331">
        <f t="shared" si="2"/>
        <v>-0.13213448006254891</v>
      </c>
      <c r="F9" s="191">
        <f t="shared" si="2"/>
        <v>5.9159159159159147E-2</v>
      </c>
      <c r="G9" s="191">
        <f t="shared" si="2"/>
        <v>4.8483130138928354E-2</v>
      </c>
      <c r="H9" s="191">
        <f>+H8/G8-1</f>
        <v>6.7874526771227739E-2</v>
      </c>
      <c r="I9" s="191">
        <f t="shared" ref="I9" si="3">+I8/H8-1</f>
        <v>5.950873638895926E-2</v>
      </c>
      <c r="J9" s="191">
        <f t="shared" ref="J9" si="4">+J8/I8-1</f>
        <v>5.5210325047801101E-2</v>
      </c>
      <c r="K9" s="191">
        <f t="shared" ref="K9" si="5">+K8/J8-1</f>
        <v>-1.9705549263873134E-2</v>
      </c>
      <c r="L9" s="191">
        <f t="shared" ref="L9" si="6">+L8/K8-1</f>
        <v>-1.455637707948243E-2</v>
      </c>
      <c r="M9" s="191">
        <f t="shared" ref="M9" si="7">+M8/L8-1</f>
        <v>4.6189917936694025E-2</v>
      </c>
      <c r="N9" s="191">
        <f t="shared" ref="N9" si="8">+N8/M8-1</f>
        <v>-1.7929179740027168E-3</v>
      </c>
      <c r="O9" s="191">
        <f t="shared" ref="O9" si="9">+O8/N8-1</f>
        <v>0.12707678491243835</v>
      </c>
      <c r="P9" s="331">
        <f t="shared" ref="P9" si="10">+P8/O8-1</f>
        <v>-0.58844621513944229</v>
      </c>
      <c r="Q9" s="331">
        <f t="shared" ref="Q9" si="11">+Q8/P8-1</f>
        <v>0.46563407550822844</v>
      </c>
      <c r="R9" s="191">
        <f t="shared" ref="R9" si="12">+R8/Q8-1</f>
        <v>0.94550858652575953</v>
      </c>
      <c r="S9" s="192">
        <f>+S8/R8-1</f>
        <v>0.13172636224749623</v>
      </c>
      <c r="T9" s="632">
        <f>+T8/S8-1</f>
        <v>-2.8498575071246313E-3</v>
      </c>
      <c r="U9" s="223">
        <f>+U8/S8-1</f>
        <v>5.0000000000000044E-2</v>
      </c>
      <c r="V9" s="223">
        <f>+V37</f>
        <v>0.05</v>
      </c>
      <c r="W9" s="223">
        <f t="shared" ref="W9:Z9" si="13">+W8/V8-1</f>
        <v>0.10000000000000009</v>
      </c>
      <c r="X9" s="223">
        <f t="shared" si="13"/>
        <v>0.10000000000000009</v>
      </c>
      <c r="Y9" s="223">
        <f t="shared" si="13"/>
        <v>0.10000000000000009</v>
      </c>
      <c r="Z9" s="223">
        <f t="shared" si="13"/>
        <v>0.10000000000000009</v>
      </c>
      <c r="AC9" s="6"/>
    </row>
    <row r="10" spans="2:29" ht="14.5" customHeight="1">
      <c r="B10" s="7"/>
      <c r="C10" s="70"/>
      <c r="D10" s="70"/>
      <c r="E10" s="33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330"/>
      <c r="Q10" s="330"/>
      <c r="R10" s="70"/>
      <c r="S10" s="189"/>
      <c r="T10" s="631"/>
      <c r="U10" s="222"/>
      <c r="V10" s="222"/>
      <c r="W10" s="222"/>
      <c r="X10" s="222"/>
      <c r="Y10" s="222"/>
      <c r="Z10" s="222"/>
      <c r="AC10" s="6"/>
    </row>
    <row r="11" spans="2:29" ht="14.5" customHeight="1">
      <c r="B11" s="8" t="s">
        <v>3</v>
      </c>
      <c r="C11" s="64">
        <f>+'Historical Analysis'!T8</f>
        <v>2847000</v>
      </c>
      <c r="D11" s="64">
        <f>+'Historical Analysis'!S8</f>
        <v>2934000</v>
      </c>
      <c r="E11" s="332">
        <f>+'Historical Analysis'!R8</f>
        <v>2751000</v>
      </c>
      <c r="F11" s="64">
        <f>+'Historical Analysis'!Q8</f>
        <v>2864000</v>
      </c>
      <c r="G11" s="64">
        <f>+'Historical Analysis'!P8</f>
        <v>2957000</v>
      </c>
      <c r="H11" s="64">
        <f>+'Historical Analysis'!O8</f>
        <v>3121000</v>
      </c>
      <c r="I11" s="64">
        <f>+'Historical Analysis'!N8</f>
        <v>3283000</v>
      </c>
      <c r="J11" s="64">
        <f>+'Historical Analysis'!M8</f>
        <v>3433000</v>
      </c>
      <c r="K11" s="64">
        <f>+'Historical Analysis'!L8</f>
        <v>3377000</v>
      </c>
      <c r="L11" s="64">
        <f>+'Historical Analysis'!K8</f>
        <v>3356000</v>
      </c>
      <c r="M11" s="64">
        <f>+'Historical Analysis'!J8</f>
        <v>3477000</v>
      </c>
      <c r="N11" s="64">
        <f>+'Historical Analysis'!I8</f>
        <v>3475000</v>
      </c>
      <c r="O11" s="64">
        <f>+'Historical Analysis'!H8</f>
        <v>4077000</v>
      </c>
      <c r="P11" s="332">
        <f>+'Historical Analysis'!G8</f>
        <v>2067000</v>
      </c>
      <c r="Q11" s="332">
        <f>+'Historical Analysis'!F8</f>
        <v>2603000</v>
      </c>
      <c r="R11" s="64">
        <f>+'Historical Analysis'!E8</f>
        <v>4603000</v>
      </c>
      <c r="S11" s="193">
        <f>+'Historical Analysis'!D8</f>
        <v>5361000</v>
      </c>
      <c r="T11" s="633">
        <f>+'Historical Analysis'!C8</f>
        <v>5351000</v>
      </c>
      <c r="U11" s="224">
        <f>U39*U8</f>
        <v>5525997.0423491169</v>
      </c>
      <c r="V11" s="224">
        <f>V8*V39</f>
        <v>5802296.8944665724</v>
      </c>
      <c r="W11" s="224">
        <f t="shared" ref="W11:Z11" si="14">+W8*W39</f>
        <v>6382526.5839132303</v>
      </c>
      <c r="X11" s="224">
        <f t="shared" si="14"/>
        <v>7020779.2423045551</v>
      </c>
      <c r="Y11" s="224">
        <f t="shared" si="14"/>
        <v>7722857.1665350115</v>
      </c>
      <c r="Z11" s="224">
        <f t="shared" si="14"/>
        <v>8495142.8831885122</v>
      </c>
      <c r="AC11" s="6"/>
    </row>
    <row r="12" spans="2:29" ht="14.5" customHeight="1">
      <c r="B12" s="8" t="s">
        <v>4</v>
      </c>
      <c r="C12" s="62">
        <f t="shared" ref="C12" si="15">+C8-C11</f>
        <v>891000</v>
      </c>
      <c r="D12" s="62">
        <f>+D8-D11</f>
        <v>903000</v>
      </c>
      <c r="E12" s="333">
        <f>+E8-E11</f>
        <v>579000</v>
      </c>
      <c r="F12" s="62">
        <f>+F8-F11</f>
        <v>663000</v>
      </c>
      <c r="G12" s="62">
        <f>+G8-G11</f>
        <v>741000</v>
      </c>
      <c r="H12" s="62">
        <f t="shared" ref="H12:I12" si="16">+H8-H11</f>
        <v>828000</v>
      </c>
      <c r="I12" s="62">
        <f t="shared" si="16"/>
        <v>901000</v>
      </c>
      <c r="J12" s="62">
        <f t="shared" ref="J12" si="17">+J8-J11</f>
        <v>982000</v>
      </c>
      <c r="K12" s="62">
        <f t="shared" ref="K12" si="18">+K8-K11</f>
        <v>951000</v>
      </c>
      <c r="L12" s="62">
        <f t="shared" ref="L12" si="19">+L8-L11</f>
        <v>909000</v>
      </c>
      <c r="M12" s="62">
        <f t="shared" ref="M12" si="20">+M8-M11</f>
        <v>985000</v>
      </c>
      <c r="N12" s="62">
        <f t="shared" ref="N12" si="21">+N8-N11</f>
        <v>979000</v>
      </c>
      <c r="O12" s="62">
        <f t="shared" ref="O12" si="22">+O8-O11</f>
        <v>943000</v>
      </c>
      <c r="P12" s="333">
        <f t="shared" ref="P12" si="23">+P8-P11</f>
        <v>-1000</v>
      </c>
      <c r="Q12" s="333">
        <f t="shared" ref="Q12" si="24">+Q8-Q11</f>
        <v>425000</v>
      </c>
      <c r="R12" s="62">
        <f t="shared" ref="R12:T12" si="25">+R8-R11</f>
        <v>1288000</v>
      </c>
      <c r="S12" s="194">
        <f>+S8-S11</f>
        <v>1306000</v>
      </c>
      <c r="T12" s="634">
        <f t="shared" si="25"/>
        <v>1297000</v>
      </c>
      <c r="U12" s="225">
        <f>+U8-U11</f>
        <v>1474352.9576508831</v>
      </c>
      <c r="V12" s="225">
        <f t="shared" ref="V12:Z12" si="26">+V8-V11</f>
        <v>1548070.6055334276</v>
      </c>
      <c r="W12" s="225">
        <f t="shared" si="26"/>
        <v>1702877.6660867706</v>
      </c>
      <c r="X12" s="225">
        <f t="shared" si="26"/>
        <v>1873165.4326954475</v>
      </c>
      <c r="Y12" s="225">
        <f t="shared" si="26"/>
        <v>2060481.9759649923</v>
      </c>
      <c r="Z12" s="225">
        <f t="shared" si="26"/>
        <v>2266530.1735614929</v>
      </c>
      <c r="AC12" s="6"/>
    </row>
    <row r="13" spans="2:29" ht="14.5" customHeight="1">
      <c r="B13" s="71" t="s">
        <v>232</v>
      </c>
      <c r="C13" s="72">
        <f t="shared" ref="C13" si="27">+C12/C8</f>
        <v>0.23836276083467095</v>
      </c>
      <c r="D13" s="72">
        <f>+D12/D8</f>
        <v>0.23534010946051603</v>
      </c>
      <c r="E13" s="334">
        <f>+E12/E8</f>
        <v>0.17387387387387387</v>
      </c>
      <c r="F13" s="72">
        <f>+F12/F8</f>
        <v>0.18797845194216048</v>
      </c>
      <c r="G13" s="72">
        <f>+G12/G8</f>
        <v>0.20037858301784747</v>
      </c>
      <c r="H13" s="72">
        <f t="shared" ref="H13:I13" si="28">+H12/H8</f>
        <v>0.20967333502152444</v>
      </c>
      <c r="I13" s="72">
        <f t="shared" si="28"/>
        <v>0.21534416826003824</v>
      </c>
      <c r="J13" s="72">
        <f t="shared" ref="J13" si="29">+J12/J8</f>
        <v>0.22242355605889014</v>
      </c>
      <c r="K13" s="72">
        <f t="shared" ref="K13" si="30">+K12/K8</f>
        <v>0.21973197781885398</v>
      </c>
      <c r="L13" s="72">
        <f t="shared" ref="L13" si="31">+L12/L8</f>
        <v>0.21313012895662367</v>
      </c>
      <c r="M13" s="72">
        <f t="shared" ref="M13" si="32">+M12/M8</f>
        <v>0.22075302554908113</v>
      </c>
      <c r="N13" s="72">
        <f t="shared" ref="N13" si="33">+N12/N8</f>
        <v>0.21980242478670858</v>
      </c>
      <c r="O13" s="72">
        <f t="shared" ref="O13" si="34">+O12/O8</f>
        <v>0.18784860557768923</v>
      </c>
      <c r="P13" s="334">
        <f t="shared" ref="P13" si="35">+P12/P8</f>
        <v>-4.8402710551790902E-4</v>
      </c>
      <c r="Q13" s="334">
        <f t="shared" ref="Q13" si="36">+Q12/Q8</f>
        <v>0.14035667107001321</v>
      </c>
      <c r="R13" s="72">
        <f t="shared" ref="R13:T13" si="37">+R12/R8</f>
        <v>0.21863860125615345</v>
      </c>
      <c r="S13" s="195">
        <f>+S12/S8</f>
        <v>0.19589020548972552</v>
      </c>
      <c r="T13" s="635">
        <f t="shared" si="37"/>
        <v>0.19509626955475332</v>
      </c>
      <c r="U13" s="226">
        <f>+U12/U8</f>
        <v>0.21061132052695697</v>
      </c>
      <c r="V13" s="226">
        <f t="shared" ref="V13:Z13" si="38">+V12/V8</f>
        <v>0.210611320526957</v>
      </c>
      <c r="W13" s="226">
        <f t="shared" si="38"/>
        <v>0.210611320526957</v>
      </c>
      <c r="X13" s="226">
        <f t="shared" si="38"/>
        <v>0.21061132052695694</v>
      </c>
      <c r="Y13" s="226">
        <f t="shared" si="38"/>
        <v>0.21061132052695694</v>
      </c>
      <c r="Z13" s="226">
        <f t="shared" si="38"/>
        <v>0.21061132052695705</v>
      </c>
      <c r="AC13" s="6"/>
    </row>
    <row r="14" spans="2:29" ht="14.5" customHeight="1">
      <c r="B14" s="8"/>
      <c r="C14" s="67"/>
      <c r="D14" s="67"/>
      <c r="E14" s="335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335"/>
      <c r="Q14" s="335"/>
      <c r="R14" s="67"/>
      <c r="S14" s="196"/>
      <c r="T14" s="636"/>
      <c r="U14" s="227"/>
      <c r="V14" s="227"/>
      <c r="W14" s="227"/>
      <c r="X14" s="227"/>
      <c r="Y14" s="227"/>
      <c r="Z14" s="227"/>
      <c r="AC14" s="6"/>
    </row>
    <row r="15" spans="2:29" ht="14.5" customHeight="1">
      <c r="B15" s="7" t="s">
        <v>5</v>
      </c>
      <c r="C15" s="63">
        <f>+'Historical Analysis'!T10</f>
        <v>506000</v>
      </c>
      <c r="D15" s="63">
        <f>+'Historical Analysis'!S10</f>
        <v>539000</v>
      </c>
      <c r="E15" s="336">
        <f>+'Historical Analysis'!R10</f>
        <v>530000</v>
      </c>
      <c r="F15" s="63">
        <f>+'Historical Analysis'!Q10</f>
        <v>555000</v>
      </c>
      <c r="G15" s="63">
        <f>+'Historical Analysis'!P10</f>
        <v>588000</v>
      </c>
      <c r="H15" s="63">
        <f>+'Historical Analysis'!O10</f>
        <v>669000</v>
      </c>
      <c r="I15" s="63">
        <f>+'Historical Analysis'!N10</f>
        <v>668000</v>
      </c>
      <c r="J15" s="63">
        <f>+'Historical Analysis'!M10</f>
        <v>703000</v>
      </c>
      <c r="K15" s="63">
        <f>+'Historical Analysis'!L10</f>
        <v>628000</v>
      </c>
      <c r="L15" s="63">
        <f>+'Historical Analysis'!K10</f>
        <v>641000</v>
      </c>
      <c r="M15" s="63">
        <f>+'Historical Analysis'!J10</f>
        <v>725000</v>
      </c>
      <c r="N15" s="63">
        <f>+'Historical Analysis'!I10</f>
        <v>647000</v>
      </c>
      <c r="O15" s="63">
        <f>+'Historical Analysis'!H10</f>
        <v>746000</v>
      </c>
      <c r="P15" s="336">
        <f>+'Historical Analysis'!G10</f>
        <v>631000</v>
      </c>
      <c r="Q15" s="336">
        <f>+'Historical Analysis'!F10</f>
        <v>698000</v>
      </c>
      <c r="R15" s="63">
        <f>+'Historical Analysis'!E10</f>
        <v>861000</v>
      </c>
      <c r="S15" s="197">
        <f>+'Historical Analysis'!D10</f>
        <v>975000</v>
      </c>
      <c r="T15" s="637">
        <f>+'Historical Analysis'!C10</f>
        <v>881000</v>
      </c>
      <c r="U15" s="228">
        <f>U8*U40</f>
        <v>1026016.9780234771</v>
      </c>
      <c r="V15" s="228">
        <f t="shared" ref="V15:Z15" si="39">V8*V40</f>
        <v>1077317.8269246509</v>
      </c>
      <c r="W15" s="228">
        <f t="shared" si="39"/>
        <v>1185049.6096171162</v>
      </c>
      <c r="X15" s="228">
        <f t="shared" si="39"/>
        <v>1303554.570578828</v>
      </c>
      <c r="Y15" s="228">
        <f t="shared" si="39"/>
        <v>1433910.027636711</v>
      </c>
      <c r="Z15" s="228">
        <f t="shared" si="39"/>
        <v>1577301.0304003821</v>
      </c>
      <c r="AC15" s="6"/>
    </row>
    <row r="16" spans="2:29" ht="14.5" customHeight="1" thickBot="1">
      <c r="B16" s="7" t="s">
        <v>6</v>
      </c>
      <c r="C16" s="69">
        <f t="shared" ref="C16" si="40">+C12-C15</f>
        <v>385000</v>
      </c>
      <c r="D16" s="69">
        <f>+D12-D15</f>
        <v>364000</v>
      </c>
      <c r="E16" s="337">
        <f>+E12-E15</f>
        <v>49000</v>
      </c>
      <c r="F16" s="69">
        <f>+F12-F15</f>
        <v>108000</v>
      </c>
      <c r="G16" s="69">
        <f>+G12-G15</f>
        <v>153000</v>
      </c>
      <c r="H16" s="69">
        <f t="shared" ref="H16:I16" si="41">+H12-H15</f>
        <v>159000</v>
      </c>
      <c r="I16" s="69">
        <f t="shared" si="41"/>
        <v>233000</v>
      </c>
      <c r="J16" s="69">
        <f t="shared" ref="J16" si="42">+J12-J15</f>
        <v>279000</v>
      </c>
      <c r="K16" s="69">
        <f t="shared" ref="K16" si="43">+K12-K15</f>
        <v>323000</v>
      </c>
      <c r="L16" s="69">
        <f t="shared" ref="L16" si="44">+L12-L15</f>
        <v>268000</v>
      </c>
      <c r="M16" s="69">
        <f t="shared" ref="M16" si="45">+M12-M15</f>
        <v>260000</v>
      </c>
      <c r="N16" s="69">
        <f t="shared" ref="N16" si="46">+N12-N15</f>
        <v>332000</v>
      </c>
      <c r="O16" s="69">
        <f t="shared" ref="O16" si="47">+O12-O15</f>
        <v>197000</v>
      </c>
      <c r="P16" s="337">
        <f t="shared" ref="P16" si="48">+P12-P15</f>
        <v>-632000</v>
      </c>
      <c r="Q16" s="337">
        <f t="shared" ref="Q16" si="49">+Q12-Q15</f>
        <v>-273000</v>
      </c>
      <c r="R16" s="69">
        <f t="shared" ref="R16:T16" si="50">+R12-R15</f>
        <v>427000</v>
      </c>
      <c r="S16" s="198">
        <f>+S12-S15</f>
        <v>331000</v>
      </c>
      <c r="T16" s="638">
        <f t="shared" si="50"/>
        <v>416000</v>
      </c>
      <c r="U16" s="229">
        <f>+U12-U15</f>
        <v>448335.97962740599</v>
      </c>
      <c r="V16" s="229">
        <f t="shared" ref="V16:Z16" si="51">+V12-V15</f>
        <v>470752.77860877663</v>
      </c>
      <c r="W16" s="229">
        <f t="shared" si="51"/>
        <v>517828.05646965443</v>
      </c>
      <c r="X16" s="229">
        <f t="shared" si="51"/>
        <v>569610.86211661948</v>
      </c>
      <c r="Y16" s="229">
        <f t="shared" si="51"/>
        <v>626571.94832828129</v>
      </c>
      <c r="Z16" s="229">
        <f t="shared" si="51"/>
        <v>689229.14316111081</v>
      </c>
      <c r="AC16" s="6"/>
    </row>
    <row r="17" spans="2:29" ht="14.5" customHeight="1" thickTop="1">
      <c r="B17" s="7"/>
      <c r="C17" s="64"/>
      <c r="D17" s="64"/>
      <c r="E17" s="332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332"/>
      <c r="Q17" s="332"/>
      <c r="R17" s="64"/>
      <c r="S17" s="193"/>
      <c r="T17" s="633"/>
      <c r="U17" s="230"/>
      <c r="V17" s="230"/>
      <c r="W17" s="230"/>
      <c r="X17" s="230"/>
      <c r="Y17" s="230"/>
      <c r="Z17" s="230"/>
      <c r="AC17" s="6"/>
    </row>
    <row r="18" spans="2:29" ht="14.5" customHeight="1">
      <c r="B18" s="8" t="s">
        <v>7</v>
      </c>
      <c r="C18" s="63">
        <f>+'Historical Analysis'!T12</f>
        <v>385000</v>
      </c>
      <c r="D18" s="63">
        <f>+'Historical Analysis'!S12</f>
        <v>364000</v>
      </c>
      <c r="E18" s="336">
        <f>+'Historical Analysis'!R12</f>
        <v>49000</v>
      </c>
      <c r="F18" s="63">
        <f>+'Historical Analysis'!Q12</f>
        <v>108000</v>
      </c>
      <c r="G18" s="63">
        <f>+'Historical Analysis'!P12</f>
        <v>153000</v>
      </c>
      <c r="H18" s="63">
        <f>+'Historical Analysis'!O12</f>
        <v>159000</v>
      </c>
      <c r="I18" s="63">
        <f>+'Historical Analysis'!N12</f>
        <v>233000</v>
      </c>
      <c r="J18" s="63">
        <f>+'Historical Analysis'!M12</f>
        <v>279000</v>
      </c>
      <c r="K18" s="63">
        <f>+'Historical Analysis'!L12</f>
        <v>323000</v>
      </c>
      <c r="L18" s="63">
        <f>+'Historical Analysis'!K12</f>
        <v>268000</v>
      </c>
      <c r="M18" s="63">
        <f>+'Historical Analysis'!J12</f>
        <v>260000</v>
      </c>
      <c r="N18" s="63">
        <f>+'Historical Analysis'!I12</f>
        <v>332000</v>
      </c>
      <c r="O18" s="63">
        <f>+'Historical Analysis'!H12</f>
        <v>197000</v>
      </c>
      <c r="P18" s="336">
        <f>+'Historical Analysis'!G12</f>
        <v>-632000</v>
      </c>
      <c r="Q18" s="336">
        <f>+'Historical Analysis'!F12</f>
        <v>-273000</v>
      </c>
      <c r="R18" s="63">
        <f>+'Historical Analysis'!E12</f>
        <v>427000</v>
      </c>
      <c r="S18" s="197">
        <f>+'Historical Analysis'!D12</f>
        <v>331000</v>
      </c>
      <c r="T18" s="633">
        <f>+'Historical Analysis'!C12</f>
        <v>416000</v>
      </c>
      <c r="U18" s="231"/>
      <c r="V18" s="231"/>
      <c r="W18" s="231"/>
      <c r="X18" s="231"/>
      <c r="Y18" s="231"/>
      <c r="Z18" s="231"/>
      <c r="AC18" s="6"/>
    </row>
    <row r="19" spans="2:29" ht="14.5" customHeight="1">
      <c r="B19" s="8" t="s">
        <v>8</v>
      </c>
      <c r="C19" s="64">
        <f t="shared" ref="C19" si="52">+C16-C18</f>
        <v>0</v>
      </c>
      <c r="D19" s="64">
        <f>+D16-D18</f>
        <v>0</v>
      </c>
      <c r="E19" s="332">
        <f>+E16-E18</f>
        <v>0</v>
      </c>
      <c r="F19" s="64">
        <f>+F16-F18</f>
        <v>0</v>
      </c>
      <c r="G19" s="64">
        <f t="shared" ref="G19" si="53">+G16-G18</f>
        <v>0</v>
      </c>
      <c r="H19" s="64">
        <f t="shared" ref="H19:I19" si="54">+H16-H18</f>
        <v>0</v>
      </c>
      <c r="I19" s="64">
        <f t="shared" si="54"/>
        <v>0</v>
      </c>
      <c r="J19" s="64">
        <f t="shared" ref="J19:R19" si="55">+J16-J18</f>
        <v>0</v>
      </c>
      <c r="K19" s="64">
        <f t="shared" si="55"/>
        <v>0</v>
      </c>
      <c r="L19" s="64">
        <f t="shared" si="55"/>
        <v>0</v>
      </c>
      <c r="M19" s="64">
        <f t="shared" si="55"/>
        <v>0</v>
      </c>
      <c r="N19" s="64">
        <f t="shared" si="55"/>
        <v>0</v>
      </c>
      <c r="O19" s="64">
        <f t="shared" si="55"/>
        <v>0</v>
      </c>
      <c r="P19" s="332">
        <f t="shared" si="55"/>
        <v>0</v>
      </c>
      <c r="Q19" s="332">
        <f t="shared" si="55"/>
        <v>0</v>
      </c>
      <c r="R19" s="64">
        <f t="shared" si="55"/>
        <v>0</v>
      </c>
      <c r="S19" s="193">
        <f>+S16-S18</f>
        <v>0</v>
      </c>
      <c r="T19" s="648">
        <f>+T16-T18</f>
        <v>0</v>
      </c>
      <c r="U19" s="231"/>
      <c r="V19" s="231"/>
      <c r="W19" s="231"/>
      <c r="X19" s="231"/>
      <c r="Y19" s="231"/>
      <c r="Z19" s="231"/>
      <c r="AC19" s="6"/>
    </row>
    <row r="20" spans="2:29" ht="14.5" customHeight="1">
      <c r="B20" s="8" t="s">
        <v>9</v>
      </c>
      <c r="C20" s="63">
        <f>+'Historical Analysis'!T14</f>
        <v>145000</v>
      </c>
      <c r="D20" s="63">
        <f>+'Historical Analysis'!S14</f>
        <v>23000</v>
      </c>
      <c r="E20" s="336">
        <f>+'Historical Analysis'!R14</f>
        <v>-48000</v>
      </c>
      <c r="F20" s="63">
        <f>+'Historical Analysis'!Q14</f>
        <v>35000</v>
      </c>
      <c r="G20" s="63">
        <f>+'Historical Analysis'!P14</f>
        <v>-9000</v>
      </c>
      <c r="H20" s="63">
        <f>+'Historical Analysis'!O14</f>
        <v>0</v>
      </c>
      <c r="I20" s="63">
        <f>+'Historical Analysis'!N14</f>
        <v>-55000</v>
      </c>
      <c r="J20" s="63">
        <f>+'Historical Analysis'!M14</f>
        <v>-14000</v>
      </c>
      <c r="K20" s="63">
        <f>+'Historical Analysis'!L14</f>
        <v>12000</v>
      </c>
      <c r="L20" s="63">
        <f>+'Historical Analysis'!K14</f>
        <v>23000</v>
      </c>
      <c r="M20" s="63">
        <f>+'Historical Analysis'!J14</f>
        <v>24000</v>
      </c>
      <c r="N20" s="63">
        <f>+'Historical Analysis'!I14</f>
        <v>15000</v>
      </c>
      <c r="O20" s="63">
        <f>+'Historical Analysis'!H14</f>
        <v>25000</v>
      </c>
      <c r="P20" s="336">
        <f>+'Historical Analysis'!G14</f>
        <v>23000</v>
      </c>
      <c r="Q20" s="336">
        <f>+'Historical Analysis'!F14</f>
        <v>15000</v>
      </c>
      <c r="R20" s="63">
        <f>+'Historical Analysis'!E14</f>
        <v>15000</v>
      </c>
      <c r="S20" s="197">
        <f>+'Historical Analysis'!D14</f>
        <v>21000</v>
      </c>
      <c r="T20" s="633">
        <f>+'Historical Analysis'!C14</f>
        <v>23000</v>
      </c>
      <c r="U20" s="231"/>
      <c r="V20" s="231"/>
      <c r="W20" s="231"/>
      <c r="X20" s="231"/>
      <c r="Y20" s="231"/>
      <c r="Z20" s="231"/>
      <c r="AC20" s="6"/>
    </row>
    <row r="21" spans="2:29" ht="14.5" customHeight="1">
      <c r="B21" s="8" t="s">
        <v>10</v>
      </c>
      <c r="C21" s="67">
        <f>+'Historical Analysis'!T15</f>
        <v>-145000</v>
      </c>
      <c r="D21" s="67">
        <f>+'Historical Analysis'!S15</f>
        <v>-23000</v>
      </c>
      <c r="E21" s="335">
        <f>+'Historical Analysis'!R15</f>
        <v>48000</v>
      </c>
      <c r="F21" s="67">
        <f>+'Historical Analysis'!Q15</f>
        <v>-35000</v>
      </c>
      <c r="G21" s="67">
        <f>+'Historical Analysis'!P15</f>
        <v>9000</v>
      </c>
      <c r="H21" s="67">
        <f>+'Historical Analysis'!O15</f>
        <v>0</v>
      </c>
      <c r="I21" s="67">
        <f>+'Historical Analysis'!N15</f>
        <v>55000</v>
      </c>
      <c r="J21" s="67">
        <f>+'Historical Analysis'!M15</f>
        <v>14000</v>
      </c>
      <c r="K21" s="67">
        <f>+'Historical Analysis'!L15</f>
        <v>-12000</v>
      </c>
      <c r="L21" s="67">
        <f>+'Historical Analysis'!K15</f>
        <v>-23000</v>
      </c>
      <c r="M21" s="67">
        <f>+'Historical Analysis'!J15</f>
        <v>-24000</v>
      </c>
      <c r="N21" s="67">
        <f>+'Historical Analysis'!I15</f>
        <v>-15000</v>
      </c>
      <c r="O21" s="67">
        <f>+'Historical Analysis'!H15</f>
        <v>-25000</v>
      </c>
      <c r="P21" s="335">
        <f>+'Historical Analysis'!G15</f>
        <v>-23000</v>
      </c>
      <c r="Q21" s="335">
        <f>+'Historical Analysis'!F15</f>
        <v>-15000</v>
      </c>
      <c r="R21" s="67">
        <f>+'Historical Analysis'!E15</f>
        <v>-15000</v>
      </c>
      <c r="S21" s="196">
        <f>+'Historical Analysis'!D15</f>
        <v>-21000</v>
      </c>
      <c r="T21" s="634">
        <f>+'Historical Analysis'!E15</f>
        <v>-15000</v>
      </c>
      <c r="U21" s="231"/>
      <c r="V21" s="231"/>
      <c r="W21" s="231"/>
      <c r="X21" s="231"/>
      <c r="Y21" s="231"/>
      <c r="Z21" s="231"/>
      <c r="AC21" s="6"/>
    </row>
    <row r="22" spans="2:29" ht="14.5" customHeight="1">
      <c r="B22" s="8" t="s">
        <v>11</v>
      </c>
      <c r="C22" s="67">
        <f>+'Historical Analysis'!T16</f>
        <v>22000</v>
      </c>
      <c r="D22" s="67">
        <f>+'Historical Analysis'!S16</f>
        <v>0</v>
      </c>
      <c r="E22" s="335">
        <f>+'Historical Analysis'!R16</f>
        <v>0</v>
      </c>
      <c r="F22" s="67">
        <f>+'Historical Analysis'!Q16</f>
        <v>26000</v>
      </c>
      <c r="G22" s="67">
        <f>+'Historical Analysis'!P16</f>
        <v>0</v>
      </c>
      <c r="H22" s="67">
        <f>+'Historical Analysis'!O16</f>
        <v>0</v>
      </c>
      <c r="I22" s="67">
        <f>+'Historical Analysis'!N16</f>
        <v>29000</v>
      </c>
      <c r="J22" s="67">
        <f>+'Historical Analysis'!M16</f>
        <v>0</v>
      </c>
      <c r="K22" s="67">
        <f>+'Historical Analysis'!L16</f>
        <v>0</v>
      </c>
      <c r="L22" s="67">
        <f>+'Historical Analysis'!K16</f>
        <v>-6000</v>
      </c>
      <c r="M22" s="67">
        <f>+'Historical Analysis'!J16</f>
        <v>0</v>
      </c>
      <c r="N22" s="67">
        <f>+'Historical Analysis'!I16</f>
        <v>0</v>
      </c>
      <c r="O22" s="67">
        <f>+'Historical Analysis'!H16</f>
        <v>16000</v>
      </c>
      <c r="P22" s="335">
        <f>+'Historical Analysis'!G16</f>
        <v>0</v>
      </c>
      <c r="Q22" s="335">
        <f>+'Historical Analysis'!F16</f>
        <v>0</v>
      </c>
      <c r="R22" s="67">
        <f>+'Historical Analysis'!E16</f>
        <v>0</v>
      </c>
      <c r="S22" s="196">
        <f>+'Historical Analysis'!D16</f>
        <v>0</v>
      </c>
      <c r="T22" s="636">
        <f>+'Historical Analysis'!C16</f>
        <v>0</v>
      </c>
      <c r="U22" s="231"/>
      <c r="V22" s="231"/>
      <c r="W22" s="231"/>
      <c r="X22" s="231"/>
      <c r="Y22" s="231"/>
      <c r="Z22" s="231"/>
    </row>
    <row r="23" spans="2:29" ht="14.5" customHeight="1" thickBot="1">
      <c r="B23" s="7" t="s">
        <v>12</v>
      </c>
      <c r="C23" s="66">
        <f>+'Historical Analysis'!T17</f>
        <v>-167000</v>
      </c>
      <c r="D23" s="66">
        <f>+'Historical Analysis'!S17</f>
        <v>-23000</v>
      </c>
      <c r="E23" s="338">
        <f>+'Historical Analysis'!R17</f>
        <v>48000</v>
      </c>
      <c r="F23" s="66">
        <f>+'Historical Analysis'!Q17</f>
        <v>-61000</v>
      </c>
      <c r="G23" s="66">
        <f>+'Historical Analysis'!P17</f>
        <v>9000</v>
      </c>
      <c r="H23" s="66">
        <f>+'Historical Analysis'!O17</f>
        <v>0</v>
      </c>
      <c r="I23" s="66">
        <f>+'Historical Analysis'!N17</f>
        <v>26000</v>
      </c>
      <c r="J23" s="66">
        <f>+'Historical Analysis'!M17</f>
        <v>14000</v>
      </c>
      <c r="K23" s="66">
        <f>+'Historical Analysis'!L17</f>
        <v>-12000</v>
      </c>
      <c r="L23" s="66">
        <f>+'Historical Analysis'!K17</f>
        <v>-17000</v>
      </c>
      <c r="M23" s="66">
        <f>+'Historical Analysis'!J17</f>
        <v>-24000</v>
      </c>
      <c r="N23" s="66">
        <f>+'Historical Analysis'!I17</f>
        <v>-15000</v>
      </c>
      <c r="O23" s="66">
        <f>+'Historical Analysis'!H17</f>
        <v>-41000</v>
      </c>
      <c r="P23" s="338">
        <f>+'Historical Analysis'!G17</f>
        <v>-23000</v>
      </c>
      <c r="Q23" s="338">
        <f>+'Historical Analysis'!F17</f>
        <v>-15000</v>
      </c>
      <c r="R23" s="66">
        <f>+'Historical Analysis'!E17</f>
        <v>-15000</v>
      </c>
      <c r="S23" s="199">
        <f>+S21-S22</f>
        <v>-21000</v>
      </c>
      <c r="T23" s="647">
        <f>+T21-T22</f>
        <v>-15000</v>
      </c>
      <c r="U23" s="231"/>
      <c r="V23" s="231"/>
      <c r="W23" s="231"/>
      <c r="X23" s="231"/>
      <c r="Y23" s="231"/>
      <c r="Z23" s="231"/>
    </row>
    <row r="24" spans="2:29" ht="14.5" customHeight="1" thickTop="1">
      <c r="C24" s="200"/>
      <c r="D24" s="200"/>
      <c r="E24" s="339"/>
      <c r="F24" s="200"/>
      <c r="G24" s="200"/>
      <c r="H24" s="200"/>
      <c r="I24" s="200"/>
      <c r="J24" s="200"/>
      <c r="K24" s="200"/>
      <c r="L24" s="200"/>
      <c r="M24" s="200"/>
      <c r="N24" s="200"/>
      <c r="O24" s="200"/>
      <c r="P24" s="339"/>
      <c r="Q24" s="339"/>
      <c r="R24" s="200"/>
      <c r="S24" s="201"/>
      <c r="T24" s="639"/>
      <c r="U24" s="231"/>
      <c r="V24" s="231"/>
      <c r="W24" s="231"/>
      <c r="X24" s="231"/>
      <c r="Y24" s="231"/>
      <c r="Z24" s="231"/>
    </row>
    <row r="25" spans="2:29" ht="14.5" customHeight="1">
      <c r="B25" s="8" t="s">
        <v>48</v>
      </c>
      <c r="C25" s="67">
        <f>+'Historical Analysis'!T73</f>
        <v>214000</v>
      </c>
      <c r="D25" s="67">
        <f>+'Historical Analysis'!S73</f>
        <v>249000</v>
      </c>
      <c r="E25" s="335">
        <f>+'Historical Analysis'!R73</f>
        <v>269000</v>
      </c>
      <c r="F25" s="67">
        <f>+'Historical Analysis'!Q73</f>
        <v>279000</v>
      </c>
      <c r="G25" s="67">
        <f>+'Historical Analysis'!P73</f>
        <v>305000</v>
      </c>
      <c r="H25" s="67">
        <f>+'Historical Analysis'!O73</f>
        <v>353000</v>
      </c>
      <c r="I25" s="67">
        <f>+'Historical Analysis'!N73</f>
        <v>345000</v>
      </c>
      <c r="J25" s="67">
        <f>+'Historical Analysis'!M73</f>
        <v>354000</v>
      </c>
      <c r="K25" s="67">
        <f>+'Historical Analysis'!L73</f>
        <v>320000</v>
      </c>
      <c r="L25" s="67">
        <f>+'Historical Analysis'!K73</f>
        <v>326000</v>
      </c>
      <c r="M25" s="67">
        <f>+'Historical Analysis'!J73</f>
        <v>348000</v>
      </c>
      <c r="N25" s="67">
        <f>+'Historical Analysis'!I73</f>
        <v>327000</v>
      </c>
      <c r="O25" s="67">
        <f>+'Historical Analysis'!H73</f>
        <v>329000</v>
      </c>
      <c r="P25" s="335">
        <f>+'Historical Analysis'!G73</f>
        <v>310000</v>
      </c>
      <c r="Q25" s="335">
        <f>+'Historical Analysis'!F73</f>
        <v>310000</v>
      </c>
      <c r="R25" s="67">
        <f>+'Historical Analysis'!E73</f>
        <v>426000</v>
      </c>
      <c r="S25" s="196">
        <f>+'Historical Analysis'!D73</f>
        <v>397000</v>
      </c>
      <c r="T25" s="636">
        <f>+'Historical Analysis'!C73</f>
        <v>333000</v>
      </c>
      <c r="U25" s="232">
        <f>+U45*U8</f>
        <v>584858.80102803209</v>
      </c>
      <c r="V25" s="232">
        <f t="shared" ref="V25:Z25" si="56">+V45*V8</f>
        <v>614101.7410794337</v>
      </c>
      <c r="W25" s="232">
        <f t="shared" si="56"/>
        <v>675511.91518737713</v>
      </c>
      <c r="X25" s="232">
        <f t="shared" si="56"/>
        <v>743063.10670611495</v>
      </c>
      <c r="Y25" s="232">
        <f t="shared" si="56"/>
        <v>817369.41737672652</v>
      </c>
      <c r="Z25" s="232">
        <f t="shared" si="56"/>
        <v>899106.3591143993</v>
      </c>
      <c r="AA25" s="65"/>
    </row>
    <row r="26" spans="2:29" ht="14.5" customHeight="1">
      <c r="B26" s="8" t="s">
        <v>229</v>
      </c>
      <c r="C26" s="68">
        <f>+'Historical Analysis'!T75</f>
        <v>-179000</v>
      </c>
      <c r="D26" s="68">
        <f>+'Historical Analysis'!S75</f>
        <v>-82000</v>
      </c>
      <c r="E26" s="340">
        <f>+'Historical Analysis'!R75</f>
        <v>70000</v>
      </c>
      <c r="F26" s="68">
        <f>+'Historical Analysis'!Q75</f>
        <v>35000</v>
      </c>
      <c r="G26" s="68">
        <f>+'Historical Analysis'!P75</f>
        <v>-67000</v>
      </c>
      <c r="H26" s="68">
        <f>+'Historical Analysis'!O75</f>
        <v>-31000</v>
      </c>
      <c r="I26" s="68">
        <f>+'Historical Analysis'!N75</f>
        <v>24000</v>
      </c>
      <c r="J26" s="68">
        <f>+'Historical Analysis'!M75</f>
        <v>25000</v>
      </c>
      <c r="K26" s="68">
        <f>+'Historical Analysis'!L75</f>
        <v>-36000</v>
      </c>
      <c r="L26" s="68">
        <f>+'Historical Analysis'!K75</f>
        <v>125000</v>
      </c>
      <c r="M26" s="68">
        <f>+'Historical Analysis'!J75</f>
        <v>-79000</v>
      </c>
      <c r="N26" s="68">
        <f>+'Historical Analysis'!I75</f>
        <v>-13000</v>
      </c>
      <c r="O26" s="68">
        <f>+'Historical Analysis'!H75</f>
        <v>-424000</v>
      </c>
      <c r="P26" s="340">
        <f>+'Historical Analysis'!G75</f>
        <v>388000</v>
      </c>
      <c r="Q26" s="340">
        <f>+'Historical Analysis'!F75</f>
        <v>167000</v>
      </c>
      <c r="R26" s="68">
        <f>+'Historical Analysis'!E75</f>
        <v>203000</v>
      </c>
      <c r="S26" s="202">
        <f>+'Historical Analysis'!D75</f>
        <v>188000</v>
      </c>
      <c r="T26" s="640">
        <f>+'Historical Analysis'!C75</f>
        <v>188000</v>
      </c>
      <c r="U26" s="233">
        <f>-U42*U8</f>
        <v>69441.21427548799</v>
      </c>
      <c r="V26" s="233">
        <f t="shared" ref="V26:Z26" si="57">-V42*V8</f>
        <v>72913.274989262383</v>
      </c>
      <c r="W26" s="233">
        <f t="shared" si="57"/>
        <v>80204.602488188626</v>
      </c>
      <c r="X26" s="233">
        <f t="shared" si="57"/>
        <v>88225.062737007509</v>
      </c>
      <c r="Y26" s="233">
        <f t="shared" si="57"/>
        <v>97047.569010708263</v>
      </c>
      <c r="Z26" s="233">
        <f t="shared" si="57"/>
        <v>106752.3259117791</v>
      </c>
      <c r="AA26" s="68"/>
    </row>
    <row r="27" spans="2:29" ht="14.5" customHeight="1">
      <c r="B27" s="8" t="s">
        <v>50</v>
      </c>
      <c r="C27" s="67">
        <f>+'Historical Analysis'!T78</f>
        <v>-258000</v>
      </c>
      <c r="D27" s="67">
        <f>+'Historical Analysis'!S78</f>
        <v>-216000</v>
      </c>
      <c r="E27" s="335">
        <f>+'Historical Analysis'!R78</f>
        <v>-310000</v>
      </c>
      <c r="F27" s="67">
        <f>+'Historical Analysis'!Q78</f>
        <v>-331000</v>
      </c>
      <c r="G27" s="67">
        <f>+'Historical Analysis'!P78</f>
        <v>-301000</v>
      </c>
      <c r="H27" s="67">
        <f>+'Historical Analysis'!O78</f>
        <v>-232000</v>
      </c>
      <c r="I27" s="67">
        <f>+'Historical Analysis'!N78</f>
        <v>-253000</v>
      </c>
      <c r="J27" s="67">
        <f>+'Historical Analysis'!M78</f>
        <v>-269000</v>
      </c>
      <c r="K27" s="67">
        <f>+'Historical Analysis'!L78</f>
        <v>-211000</v>
      </c>
      <c r="L27" s="67">
        <f>+'Historical Analysis'!K78</f>
        <v>-298000</v>
      </c>
      <c r="M27" s="67">
        <f>+'Historical Analysis'!J78</f>
        <v>-297000</v>
      </c>
      <c r="N27" s="67">
        <f>+'Historical Analysis'!I78</f>
        <v>-369000</v>
      </c>
      <c r="O27" s="67">
        <f>+'Historical Analysis'!H78</f>
        <v>-122000</v>
      </c>
      <c r="P27" s="335">
        <f>+'Historical Analysis'!G78</f>
        <v>-111000</v>
      </c>
      <c r="Q27" s="335">
        <f>+'Historical Analysis'!F78</f>
        <v>-201000</v>
      </c>
      <c r="R27" s="67">
        <f>+'Historical Analysis'!E78</f>
        <v>-198000</v>
      </c>
      <c r="S27" s="196">
        <f>+'Historical Analysis'!D78</f>
        <v>-170000</v>
      </c>
      <c r="T27" s="636">
        <f>+'Historical Analysis'!C78</f>
        <v>-170000</v>
      </c>
      <c r="U27" s="227">
        <f>-U43*U8</f>
        <v>-427164.8200249272</v>
      </c>
      <c r="V27" s="227">
        <f t="shared" ref="V27:Z27" si="58">-V43*V8</f>
        <v>-448523.06102617359</v>
      </c>
      <c r="W27" s="227">
        <f t="shared" si="58"/>
        <v>-493375.367128791</v>
      </c>
      <c r="X27" s="227">
        <f t="shared" si="58"/>
        <v>-542712.90384167014</v>
      </c>
      <c r="Y27" s="227">
        <f t="shared" si="58"/>
        <v>-596984.19422583724</v>
      </c>
      <c r="Z27" s="227">
        <f t="shared" si="58"/>
        <v>-656682.61364842101</v>
      </c>
      <c r="AA27" s="67"/>
    </row>
    <row r="28" spans="2:29" ht="14.5" customHeight="1">
      <c r="B28" s="21"/>
      <c r="C28" s="67"/>
      <c r="D28" s="67"/>
      <c r="E28" s="335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335"/>
      <c r="Q28" s="335"/>
      <c r="R28" s="67"/>
      <c r="S28" s="196"/>
      <c r="T28" s="636"/>
      <c r="U28" s="227"/>
      <c r="V28" s="227"/>
      <c r="W28" s="227"/>
      <c r="X28" s="227"/>
      <c r="Y28" s="227"/>
      <c r="Z28" s="227"/>
      <c r="AA28" s="41"/>
    </row>
    <row r="29" spans="2:29" ht="14.5" customHeight="1">
      <c r="B29" s="8" t="s">
        <v>35</v>
      </c>
      <c r="C29" s="67">
        <f>+'Historical Analysis'!T49</f>
        <v>0</v>
      </c>
      <c r="D29" s="67">
        <f>+'Historical Analysis'!S49</f>
        <v>0</v>
      </c>
      <c r="E29" s="335">
        <f>+'Historical Analysis'!R49</f>
        <v>0</v>
      </c>
      <c r="F29" s="67">
        <f>+'Historical Analysis'!Q49</f>
        <v>0</v>
      </c>
      <c r="G29" s="67">
        <f>+'Historical Analysis'!P49</f>
        <v>0</v>
      </c>
      <c r="H29" s="67">
        <f>+'Historical Analysis'!O49</f>
        <v>0</v>
      </c>
      <c r="I29" s="67">
        <f>+'Historical Analysis'!N49</f>
        <v>0</v>
      </c>
      <c r="J29" s="67">
        <f>+'Historical Analysis'!M49</f>
        <v>0</v>
      </c>
      <c r="K29" s="67">
        <f>+'Historical Analysis'!L49</f>
        <v>0</v>
      </c>
      <c r="L29" s="67">
        <f>+'Historical Analysis'!K49</f>
        <v>0</v>
      </c>
      <c r="M29" s="67">
        <f>+'Historical Analysis'!J49</f>
        <v>0</v>
      </c>
      <c r="N29" s="67">
        <f>+'Historical Analysis'!I49</f>
        <v>11000</v>
      </c>
      <c r="O29" s="67">
        <f>+'Historical Analysis'!H49</f>
        <v>11000</v>
      </c>
      <c r="P29" s="335">
        <f>+'Historical Analysis'!G49</f>
        <v>260000</v>
      </c>
      <c r="Q29" s="335">
        <f>+'Historical Analysis'!F49</f>
        <v>10000</v>
      </c>
      <c r="R29" s="67">
        <f>+'Historical Analysis'!E49</f>
        <v>660000</v>
      </c>
      <c r="S29" s="196">
        <f>+'Historical Analysis'!D49</f>
        <v>751000</v>
      </c>
      <c r="T29" s="636">
        <f>+'Historical Analysis'!C49</f>
        <v>456000</v>
      </c>
      <c r="U29" s="227"/>
      <c r="V29" s="227"/>
      <c r="W29" s="227"/>
      <c r="X29" s="227"/>
      <c r="Y29" s="227"/>
      <c r="Z29" s="227"/>
      <c r="AA29"/>
    </row>
    <row r="30" spans="2:29" ht="14.5" customHeight="1">
      <c r="B30" s="8" t="s">
        <v>38</v>
      </c>
      <c r="C30" s="67">
        <f>+'Historical Analysis'!T53</f>
        <v>794000</v>
      </c>
      <c r="D30" s="67">
        <f>+'Historical Analysis'!S53</f>
        <v>1874000</v>
      </c>
      <c r="E30" s="335">
        <f>+'Historical Analysis'!R53</f>
        <v>1620000</v>
      </c>
      <c r="F30" s="67">
        <f>+'Historical Analysis'!Q53</f>
        <v>1516000</v>
      </c>
      <c r="G30" s="67">
        <f>+'Historical Analysis'!P53</f>
        <v>1221000</v>
      </c>
      <c r="H30" s="67">
        <f>+'Historical Analysis'!O53</f>
        <v>1229000</v>
      </c>
      <c r="I30" s="67">
        <f>+'Historical Analysis'!N53</f>
        <v>1289000</v>
      </c>
      <c r="J30" s="67">
        <f>+'Historical Analysis'!M53</f>
        <v>1381000</v>
      </c>
      <c r="K30" s="67">
        <f>+'Historical Analysis'!L53</f>
        <v>1042000</v>
      </c>
      <c r="L30" s="67">
        <f>+'Historical Analysis'!K53</f>
        <v>1445000</v>
      </c>
      <c r="M30" s="67">
        <f>+'Historical Analysis'!J53</f>
        <v>1440000</v>
      </c>
      <c r="N30" s="67">
        <f>+'Historical Analysis'!I53</f>
        <v>1623000</v>
      </c>
      <c r="O30" s="67">
        <f>+'Historical Analysis'!H53</f>
        <v>1612000</v>
      </c>
      <c r="P30" s="335">
        <f>+'Historical Analysis'!G53</f>
        <v>2984000</v>
      </c>
      <c r="Q30" s="335">
        <f>+'Historical Analysis'!F53</f>
        <v>3968000</v>
      </c>
      <c r="R30" s="67">
        <f>+'Historical Analysis'!E53</f>
        <v>2453000</v>
      </c>
      <c r="S30" s="196">
        <f>+'Historical Analysis'!D53</f>
        <v>2305000</v>
      </c>
      <c r="T30" s="636">
        <f>+'Historical Analysis'!C53</f>
        <v>3326000</v>
      </c>
      <c r="U30" s="227"/>
      <c r="V30" s="227"/>
      <c r="W30" s="227"/>
      <c r="X30" s="227"/>
      <c r="Y30" s="227"/>
      <c r="Z30" s="227"/>
      <c r="AA30"/>
    </row>
    <row r="31" spans="2:29" ht="14.5" customHeight="1">
      <c r="B31" s="8" t="s">
        <v>128</v>
      </c>
      <c r="C31" s="73">
        <f t="shared" ref="C31" si="59">SUM(C29:C30)</f>
        <v>794000</v>
      </c>
      <c r="D31" s="73">
        <f>SUM(D29:D30)</f>
        <v>1874000</v>
      </c>
      <c r="E31" s="341">
        <f>SUM(E29:E30)</f>
        <v>1620000</v>
      </c>
      <c r="F31" s="73">
        <f>SUM(F29:F30)</f>
        <v>1516000</v>
      </c>
      <c r="G31" s="73">
        <f t="shared" ref="G31" si="60">SUM(G29:G30)</f>
        <v>1221000</v>
      </c>
      <c r="H31" s="73">
        <f t="shared" ref="H31:I31" si="61">SUM(H29:H30)</f>
        <v>1229000</v>
      </c>
      <c r="I31" s="73">
        <f t="shared" si="61"/>
        <v>1289000</v>
      </c>
      <c r="J31" s="73">
        <f t="shared" ref="J31:R31" si="62">SUM(J29:J30)</f>
        <v>1381000</v>
      </c>
      <c r="K31" s="73">
        <f t="shared" si="62"/>
        <v>1042000</v>
      </c>
      <c r="L31" s="73">
        <f t="shared" si="62"/>
        <v>1445000</v>
      </c>
      <c r="M31" s="73">
        <f t="shared" si="62"/>
        <v>1440000</v>
      </c>
      <c r="N31" s="73">
        <f t="shared" si="62"/>
        <v>1634000</v>
      </c>
      <c r="O31" s="73">
        <f t="shared" si="62"/>
        <v>1623000</v>
      </c>
      <c r="P31" s="341">
        <f t="shared" si="62"/>
        <v>3244000</v>
      </c>
      <c r="Q31" s="341">
        <f t="shared" si="62"/>
        <v>3978000</v>
      </c>
      <c r="R31" s="73">
        <f t="shared" si="62"/>
        <v>3113000</v>
      </c>
      <c r="S31" s="203">
        <f>+S30+S29</f>
        <v>3056000</v>
      </c>
      <c r="T31" s="641">
        <f>+T30+T29</f>
        <v>3782000</v>
      </c>
      <c r="U31" s="234">
        <f>+U47</f>
        <v>2960200</v>
      </c>
      <c r="V31" s="234">
        <f t="shared" ref="V31:Z31" si="63">+V47</f>
        <v>2807400</v>
      </c>
      <c r="W31" s="234">
        <f t="shared" si="63"/>
        <v>2654600</v>
      </c>
      <c r="X31" s="234">
        <f t="shared" si="63"/>
        <v>2501800</v>
      </c>
      <c r="Y31" s="234">
        <f t="shared" si="63"/>
        <v>2349000</v>
      </c>
      <c r="Z31" s="234">
        <f t="shared" si="63"/>
        <v>2196200</v>
      </c>
      <c r="AA31"/>
    </row>
    <row r="32" spans="2:29" ht="11.5" customHeight="1">
      <c r="B32" s="5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204"/>
      <c r="T32" s="642"/>
      <c r="V32" s="22"/>
      <c r="W32" s="13"/>
      <c r="Z32"/>
      <c r="AA32" s="41"/>
    </row>
    <row r="33" spans="2:27" ht="19.75" customHeight="1">
      <c r="B33" s="104" t="s">
        <v>140</v>
      </c>
      <c r="C33" s="105" t="s">
        <v>219</v>
      </c>
      <c r="D33" s="105" t="s">
        <v>219</v>
      </c>
      <c r="E33" s="342" t="s">
        <v>219</v>
      </c>
      <c r="F33" s="105" t="s">
        <v>219</v>
      </c>
      <c r="G33" s="105" t="s">
        <v>219</v>
      </c>
      <c r="H33" s="105" t="s">
        <v>219</v>
      </c>
      <c r="I33" s="105" t="s">
        <v>219</v>
      </c>
      <c r="J33" s="105" t="s">
        <v>219</v>
      </c>
      <c r="K33" s="105" t="s">
        <v>219</v>
      </c>
      <c r="L33" s="105" t="s">
        <v>219</v>
      </c>
      <c r="M33" s="105" t="s">
        <v>219</v>
      </c>
      <c r="N33" s="105" t="s">
        <v>219</v>
      </c>
      <c r="O33" s="105" t="s">
        <v>219</v>
      </c>
      <c r="P33" s="342" t="s">
        <v>219</v>
      </c>
      <c r="Q33" s="342" t="s">
        <v>219</v>
      </c>
      <c r="R33" s="105" t="s">
        <v>219</v>
      </c>
      <c r="S33" s="205" t="str">
        <f>+S6</f>
        <v>Dec 31</v>
      </c>
      <c r="T33" s="662" t="s">
        <v>219</v>
      </c>
      <c r="U33" s="653" t="s">
        <v>219</v>
      </c>
      <c r="V33" s="653" t="str">
        <f>+U33</f>
        <v>Dec 31</v>
      </c>
      <c r="W33" s="653" t="str">
        <f>+V33</f>
        <v>Dec 31</v>
      </c>
      <c r="X33" s="653" t="str">
        <f>+W33</f>
        <v>Dec 31</v>
      </c>
      <c r="Y33" s="653" t="str">
        <f>+X33</f>
        <v>Dec 31</v>
      </c>
      <c r="Z33" s="653" t="str">
        <f>+Y33</f>
        <v>Dec 31</v>
      </c>
      <c r="AA33" s="41"/>
    </row>
    <row r="34" spans="2:27" ht="20.149999999999999" customHeight="1" thickBot="1">
      <c r="B34" s="106"/>
      <c r="C34" s="650">
        <f t="shared" ref="C34" si="64">+C7</f>
        <v>2007</v>
      </c>
      <c r="D34" s="650">
        <f>+D7</f>
        <v>2008</v>
      </c>
      <c r="E34" s="651">
        <f>+E7</f>
        <v>2009</v>
      </c>
      <c r="F34" s="650">
        <f>+F7</f>
        <v>2010</v>
      </c>
      <c r="G34" s="650">
        <f>+G7</f>
        <v>2011</v>
      </c>
      <c r="H34" s="650">
        <f t="shared" ref="H34:I34" si="65">+H7</f>
        <v>2012</v>
      </c>
      <c r="I34" s="650">
        <f t="shared" si="65"/>
        <v>2013</v>
      </c>
      <c r="J34" s="650">
        <f t="shared" ref="J34:R34" si="66">+J7</f>
        <v>2014</v>
      </c>
      <c r="K34" s="650">
        <f t="shared" si="66"/>
        <v>2015</v>
      </c>
      <c r="L34" s="650">
        <f t="shared" si="66"/>
        <v>2016</v>
      </c>
      <c r="M34" s="650">
        <f t="shared" si="66"/>
        <v>2017</v>
      </c>
      <c r="N34" s="650">
        <f t="shared" si="66"/>
        <v>2018</v>
      </c>
      <c r="O34" s="650">
        <f t="shared" si="66"/>
        <v>2019</v>
      </c>
      <c r="P34" s="651">
        <f t="shared" si="66"/>
        <v>2020</v>
      </c>
      <c r="Q34" s="651">
        <f t="shared" si="66"/>
        <v>2021</v>
      </c>
      <c r="R34" s="650">
        <f t="shared" si="66"/>
        <v>2022</v>
      </c>
      <c r="S34" s="652">
        <f>+S7</f>
        <v>2023</v>
      </c>
      <c r="T34" s="649">
        <v>2024</v>
      </c>
      <c r="U34" s="650">
        <f t="shared" ref="U34:Z34" si="67">+U7</f>
        <v>2025</v>
      </c>
      <c r="V34" s="650">
        <f t="shared" si="67"/>
        <v>2026</v>
      </c>
      <c r="W34" s="650">
        <f t="shared" si="67"/>
        <v>2027</v>
      </c>
      <c r="X34" s="650">
        <f t="shared" si="67"/>
        <v>2028</v>
      </c>
      <c r="Y34" s="650">
        <f t="shared" si="67"/>
        <v>2029</v>
      </c>
      <c r="Z34" s="650">
        <f t="shared" si="67"/>
        <v>2030</v>
      </c>
      <c r="AA34" s="41"/>
    </row>
    <row r="35" spans="2:27" ht="14.5" customHeight="1">
      <c r="B35" s="27" t="s">
        <v>58</v>
      </c>
      <c r="C35" s="24">
        <f t="shared" ref="C35" si="68">C16+C25</f>
        <v>599000</v>
      </c>
      <c r="D35" s="24">
        <f>D16+D25</f>
        <v>613000</v>
      </c>
      <c r="E35" s="344">
        <f>E16+E25</f>
        <v>318000</v>
      </c>
      <c r="F35" s="24">
        <f>F16+F25</f>
        <v>387000</v>
      </c>
      <c r="G35" s="24">
        <f>G16+G25</f>
        <v>458000</v>
      </c>
      <c r="H35" s="24">
        <f t="shared" ref="H35:I35" si="69">H16+H25</f>
        <v>512000</v>
      </c>
      <c r="I35" s="24">
        <f t="shared" si="69"/>
        <v>578000</v>
      </c>
      <c r="J35" s="24">
        <f t="shared" ref="J35:T35" si="70">J16+J25</f>
        <v>633000</v>
      </c>
      <c r="K35" s="24">
        <f t="shared" si="70"/>
        <v>643000</v>
      </c>
      <c r="L35" s="24">
        <f t="shared" si="70"/>
        <v>594000</v>
      </c>
      <c r="M35" s="24">
        <f t="shared" si="70"/>
        <v>608000</v>
      </c>
      <c r="N35" s="24">
        <f t="shared" si="70"/>
        <v>659000</v>
      </c>
      <c r="O35" s="24">
        <f t="shared" si="70"/>
        <v>526000</v>
      </c>
      <c r="P35" s="344">
        <f t="shared" si="70"/>
        <v>-322000</v>
      </c>
      <c r="Q35" s="344">
        <f t="shared" si="70"/>
        <v>37000</v>
      </c>
      <c r="R35" s="24">
        <f t="shared" si="70"/>
        <v>853000</v>
      </c>
      <c r="S35" s="206">
        <f t="shared" si="70"/>
        <v>728000</v>
      </c>
      <c r="T35" s="643">
        <f t="shared" si="70"/>
        <v>749000</v>
      </c>
      <c r="U35" s="24">
        <f t="shared" ref="U35:Z35" si="71">U16+U25</f>
        <v>1033194.7806554381</v>
      </c>
      <c r="V35" s="24">
        <f t="shared" si="71"/>
        <v>1084854.5196882105</v>
      </c>
      <c r="W35" s="24">
        <f t="shared" si="71"/>
        <v>1193339.9716570317</v>
      </c>
      <c r="X35" s="24">
        <f t="shared" si="71"/>
        <v>1312673.9688227344</v>
      </c>
      <c r="Y35" s="24">
        <f t="shared" si="71"/>
        <v>1443941.3657050077</v>
      </c>
      <c r="Z35" s="24">
        <f t="shared" si="71"/>
        <v>1588335.5022755102</v>
      </c>
      <c r="AA35" s="41"/>
    </row>
    <row r="36" spans="2:27" ht="14.5" customHeight="1">
      <c r="B36" s="27"/>
      <c r="C36" s="1"/>
      <c r="D36" s="1"/>
      <c r="E36" s="345"/>
      <c r="F36" s="1"/>
      <c r="G36" s="1"/>
      <c r="H36" s="1"/>
      <c r="I36" s="1"/>
      <c r="J36" s="1"/>
      <c r="K36" s="1"/>
      <c r="L36" s="1"/>
      <c r="M36" s="1"/>
      <c r="N36" s="1"/>
      <c r="O36" s="1"/>
      <c r="P36" s="345"/>
      <c r="Q36" s="345"/>
      <c r="R36" s="1"/>
      <c r="S36" s="207"/>
      <c r="T36" s="644"/>
      <c r="U36" s="44"/>
      <c r="V36" s="44"/>
      <c r="W36" s="44"/>
      <c r="X36" s="44"/>
      <c r="Y36" s="44"/>
      <c r="Z36" s="44"/>
      <c r="AA36" s="41"/>
    </row>
    <row r="37" spans="2:27" ht="14.5" customHeight="1">
      <c r="B37" s="25" t="s">
        <v>60</v>
      </c>
      <c r="C37" s="9"/>
      <c r="D37" s="365">
        <f t="shared" ref="D37:G37" si="72">+D9</f>
        <v>2.6484751203852408E-2</v>
      </c>
      <c r="E37" s="346">
        <f t="shared" si="72"/>
        <v>-0.13213448006254891</v>
      </c>
      <c r="F37" s="365">
        <f t="shared" si="72"/>
        <v>5.9159159159159147E-2</v>
      </c>
      <c r="G37" s="365">
        <f t="shared" si="72"/>
        <v>4.8483130138928354E-2</v>
      </c>
      <c r="H37" s="208">
        <f>+H9</f>
        <v>6.7874526771227739E-2</v>
      </c>
      <c r="I37" s="208">
        <f t="shared" ref="I37:R37" si="73">+I9</f>
        <v>5.950873638895926E-2</v>
      </c>
      <c r="J37" s="208">
        <f t="shared" si="73"/>
        <v>5.5210325047801101E-2</v>
      </c>
      <c r="K37" s="208">
        <f t="shared" si="73"/>
        <v>-1.9705549263873134E-2</v>
      </c>
      <c r="L37" s="208">
        <f t="shared" si="73"/>
        <v>-1.455637707948243E-2</v>
      </c>
      <c r="M37" s="208">
        <f t="shared" si="73"/>
        <v>4.6189917936694025E-2</v>
      </c>
      <c r="N37" s="208">
        <f t="shared" si="73"/>
        <v>-1.7929179740027168E-3</v>
      </c>
      <c r="O37" s="208">
        <f t="shared" si="73"/>
        <v>0.12707678491243835</v>
      </c>
      <c r="P37" s="346">
        <f t="shared" si="73"/>
        <v>-0.58844621513944229</v>
      </c>
      <c r="Q37" s="346">
        <f t="shared" si="73"/>
        <v>0.46563407550822844</v>
      </c>
      <c r="R37" s="208">
        <f t="shared" si="73"/>
        <v>0.94550858652575953</v>
      </c>
      <c r="S37" s="209">
        <f t="shared" ref="S37" si="74">+S9</f>
        <v>0.13172636224749623</v>
      </c>
      <c r="T37" s="645"/>
      <c r="U37" s="131">
        <v>0.05</v>
      </c>
      <c r="V37" s="57">
        <v>0.05</v>
      </c>
      <c r="W37" s="57">
        <v>0.1</v>
      </c>
      <c r="X37" s="57">
        <v>0.1</v>
      </c>
      <c r="Y37" s="57">
        <v>0.1</v>
      </c>
      <c r="Z37" s="57">
        <v>0.1</v>
      </c>
    </row>
    <row r="38" spans="2:27" ht="14.5" customHeight="1">
      <c r="B38" s="25"/>
      <c r="C38" s="9"/>
      <c r="D38" s="9"/>
      <c r="E38" s="347"/>
      <c r="F38" s="9"/>
      <c r="G38" s="9"/>
      <c r="H38" s="9"/>
      <c r="I38" s="9"/>
      <c r="J38" s="9"/>
      <c r="K38" s="9"/>
      <c r="L38" s="9"/>
      <c r="M38" s="9"/>
      <c r="N38" s="9"/>
      <c r="O38" s="9"/>
      <c r="P38" s="347"/>
      <c r="Q38" s="347"/>
      <c r="R38" s="9"/>
      <c r="S38" s="204"/>
      <c r="T38" s="642"/>
      <c r="U38" s="93"/>
      <c r="V38" s="92"/>
      <c r="W38" s="56"/>
      <c r="X38" s="56"/>
      <c r="Y38" s="56"/>
      <c r="Z38" s="56"/>
    </row>
    <row r="39" spans="2:27" ht="14.5" customHeight="1">
      <c r="B39" s="25" t="s">
        <v>226</v>
      </c>
      <c r="C39" s="208">
        <f t="shared" ref="C39" si="75">C11/C8</f>
        <v>0.76163723916532911</v>
      </c>
      <c r="D39" s="208">
        <f>D11/D8</f>
        <v>0.76465989053948402</v>
      </c>
      <c r="E39" s="346">
        <f>E11/E8</f>
        <v>0.82612612612612613</v>
      </c>
      <c r="F39" s="208">
        <f>F11/F8</f>
        <v>0.81202154805783955</v>
      </c>
      <c r="G39" s="208">
        <f>G11/G8</f>
        <v>0.7996214169821525</v>
      </c>
      <c r="H39" s="208">
        <f t="shared" ref="H39:I39" si="76">H11/H8</f>
        <v>0.79032666497847559</v>
      </c>
      <c r="I39" s="208">
        <f t="shared" si="76"/>
        <v>0.78465583173996178</v>
      </c>
      <c r="J39" s="208">
        <f t="shared" ref="J39:R39" si="77">J11/J8</f>
        <v>0.77757644394110981</v>
      </c>
      <c r="K39" s="208">
        <f t="shared" si="77"/>
        <v>0.78026802218114599</v>
      </c>
      <c r="L39" s="208">
        <f t="shared" si="77"/>
        <v>0.78686987104337636</v>
      </c>
      <c r="M39" s="208">
        <f t="shared" si="77"/>
        <v>0.77924697445091884</v>
      </c>
      <c r="N39" s="208">
        <f t="shared" si="77"/>
        <v>0.78019757521329147</v>
      </c>
      <c r="O39" s="208">
        <f t="shared" si="77"/>
        <v>0.81215139442231077</v>
      </c>
      <c r="P39" s="346">
        <f t="shared" si="77"/>
        <v>1.000484027105518</v>
      </c>
      <c r="Q39" s="346">
        <f t="shared" si="77"/>
        <v>0.85964332892998674</v>
      </c>
      <c r="R39" s="208">
        <f t="shared" si="77"/>
        <v>0.78136139874384658</v>
      </c>
      <c r="S39" s="209">
        <f t="shared" ref="S39" si="78">S11/S8</f>
        <v>0.80410979451027453</v>
      </c>
      <c r="T39" s="645"/>
      <c r="U39" s="93">
        <f>AVERAGE(C39:O39,R39,S39)</f>
        <v>0.78938867947304303</v>
      </c>
      <c r="V39" s="92">
        <f>+U39</f>
        <v>0.78938867947304303</v>
      </c>
      <c r="W39" s="92">
        <f t="shared" ref="W39:Z39" si="79">+V39</f>
        <v>0.78938867947304303</v>
      </c>
      <c r="X39" s="92">
        <f t="shared" si="79"/>
        <v>0.78938867947304303</v>
      </c>
      <c r="Y39" s="92">
        <f t="shared" si="79"/>
        <v>0.78938867947304303</v>
      </c>
      <c r="Z39" s="92">
        <f t="shared" si="79"/>
        <v>0.78938867947304303</v>
      </c>
    </row>
    <row r="40" spans="2:27" ht="14.5" customHeight="1">
      <c r="B40" s="25" t="s">
        <v>227</v>
      </c>
      <c r="C40" s="208">
        <f t="shared" ref="C40" si="80">C15/C8</f>
        <v>0.13536650615302301</v>
      </c>
      <c r="D40" s="208">
        <f>D15/D8</f>
        <v>0.14047432890278863</v>
      </c>
      <c r="E40" s="346">
        <f>E15/E8</f>
        <v>0.15915915915915915</v>
      </c>
      <c r="F40" s="208">
        <f>F15/F8</f>
        <v>0.15735752764388999</v>
      </c>
      <c r="G40" s="208">
        <f>G15/G8</f>
        <v>0.15900486749594375</v>
      </c>
      <c r="H40" s="208">
        <f t="shared" ref="H40:R40" si="81">H15/H8</f>
        <v>0.16940997720942011</v>
      </c>
      <c r="I40" s="208">
        <f t="shared" si="81"/>
        <v>0.15965583173996176</v>
      </c>
      <c r="J40" s="208">
        <f t="shared" si="81"/>
        <v>0.15922989807474519</v>
      </c>
      <c r="K40" s="208">
        <f t="shared" si="81"/>
        <v>0.14510166358595195</v>
      </c>
      <c r="L40" s="208">
        <f t="shared" si="81"/>
        <v>0.15029308323563892</v>
      </c>
      <c r="M40" s="208">
        <f t="shared" si="81"/>
        <v>0.16248319139399373</v>
      </c>
      <c r="N40" s="208">
        <f t="shared" si="81"/>
        <v>0.14526268522676247</v>
      </c>
      <c r="O40" s="208">
        <f t="shared" si="81"/>
        <v>0.14860557768924304</v>
      </c>
      <c r="P40" s="346">
        <f t="shared" si="81"/>
        <v>0.30542110358180058</v>
      </c>
      <c r="Q40" s="346">
        <f t="shared" si="81"/>
        <v>0.23051519154557465</v>
      </c>
      <c r="R40" s="208">
        <f t="shared" si="81"/>
        <v>0.14615515192666781</v>
      </c>
      <c r="S40" s="209">
        <f t="shared" ref="S40" si="82">S15/S8</f>
        <v>0.14624268786560671</v>
      </c>
      <c r="T40" s="645"/>
      <c r="U40" s="93">
        <f>AVERAGE(N40,O40,R40,S40)</f>
        <v>0.14656652567707001</v>
      </c>
      <c r="V40" s="92">
        <f t="shared" ref="V40:Z45" si="83">+U40</f>
        <v>0.14656652567707001</v>
      </c>
      <c r="W40" s="92">
        <f t="shared" si="83"/>
        <v>0.14656652567707001</v>
      </c>
      <c r="X40" s="92">
        <f t="shared" si="83"/>
        <v>0.14656652567707001</v>
      </c>
      <c r="Y40" s="92">
        <f t="shared" si="83"/>
        <v>0.14656652567707001</v>
      </c>
      <c r="Z40" s="92">
        <f t="shared" si="83"/>
        <v>0.14656652567707001</v>
      </c>
    </row>
    <row r="41" spans="2:27" ht="14.5" customHeight="1">
      <c r="B41" s="25"/>
      <c r="C41" s="9"/>
      <c r="D41" s="9"/>
      <c r="E41" s="347"/>
      <c r="F41" s="9"/>
      <c r="G41" s="9"/>
      <c r="H41" s="9"/>
      <c r="I41" s="9"/>
      <c r="J41" s="9"/>
      <c r="K41" s="9"/>
      <c r="L41" s="9"/>
      <c r="M41" s="9"/>
      <c r="N41" s="9"/>
      <c r="O41" s="9"/>
      <c r="P41" s="347"/>
      <c r="Q41" s="347"/>
      <c r="R41" s="9"/>
      <c r="S41" s="204"/>
      <c r="T41" s="642"/>
      <c r="U41" s="93"/>
      <c r="V41" s="92"/>
      <c r="W41" s="92"/>
      <c r="X41" s="92"/>
      <c r="Y41" s="92"/>
      <c r="Z41" s="92"/>
    </row>
    <row r="42" spans="2:27" ht="14.5" customHeight="1">
      <c r="B42" s="25" t="s">
        <v>228</v>
      </c>
      <c r="C42" s="208">
        <f t="shared" ref="C42" si="84">-C26/C8</f>
        <v>4.7886570358480471E-2</v>
      </c>
      <c r="D42" s="208">
        <f>-D26/D8</f>
        <v>2.1370862653114411E-2</v>
      </c>
      <c r="E42" s="346">
        <f>-E26/E8</f>
        <v>-2.1021021021021023E-2</v>
      </c>
      <c r="F42" s="208">
        <f>-F26/F8</f>
        <v>-9.9234476892543239E-3</v>
      </c>
      <c r="G42" s="208">
        <f>-G26/G8</f>
        <v>1.8117901568415359E-2</v>
      </c>
      <c r="H42" s="208">
        <f t="shared" ref="H42:I42" si="85">-H26/H8</f>
        <v>7.8500886300329198E-3</v>
      </c>
      <c r="I42" s="208">
        <f t="shared" si="85"/>
        <v>-5.7361376673040155E-3</v>
      </c>
      <c r="J42" s="208">
        <f t="shared" ref="J42:R42" si="86">-J26/J8</f>
        <v>-5.6625141562853904E-3</v>
      </c>
      <c r="K42" s="208">
        <f t="shared" si="86"/>
        <v>8.3179297597042508E-3</v>
      </c>
      <c r="L42" s="208">
        <f t="shared" si="86"/>
        <v>-2.9308323563892145E-2</v>
      </c>
      <c r="M42" s="208">
        <f t="shared" si="86"/>
        <v>1.7705064993276558E-2</v>
      </c>
      <c r="N42" s="208">
        <f t="shared" si="86"/>
        <v>2.9187247418051188E-3</v>
      </c>
      <c r="O42" s="208">
        <f t="shared" si="86"/>
        <v>8.4462151394422313E-2</v>
      </c>
      <c r="P42" s="346">
        <f t="shared" si="86"/>
        <v>-0.18780251694094868</v>
      </c>
      <c r="Q42" s="346">
        <f t="shared" si="86"/>
        <v>-5.5151915455746367E-2</v>
      </c>
      <c r="R42" s="208">
        <f t="shared" si="86"/>
        <v>-3.4459344763198098E-2</v>
      </c>
      <c r="S42" s="209">
        <f t="shared" ref="S42" si="87">-S26/S8</f>
        <v>-2.8198590070496476E-2</v>
      </c>
      <c r="T42" s="645"/>
      <c r="U42" s="93">
        <f>AVERAGE(C42:S42)</f>
        <v>-9.9196774840526521E-3</v>
      </c>
      <c r="V42" s="92">
        <f t="shared" si="83"/>
        <v>-9.9196774840526521E-3</v>
      </c>
      <c r="W42" s="92">
        <f t="shared" si="83"/>
        <v>-9.9196774840526521E-3</v>
      </c>
      <c r="X42" s="92">
        <f t="shared" si="83"/>
        <v>-9.9196774840526521E-3</v>
      </c>
      <c r="Y42" s="92">
        <f t="shared" si="83"/>
        <v>-9.9196774840526521E-3</v>
      </c>
      <c r="Z42" s="92">
        <f t="shared" si="83"/>
        <v>-9.9196774840526521E-3</v>
      </c>
    </row>
    <row r="43" spans="2:27" ht="14.5" customHeight="1">
      <c r="B43" s="25" t="s">
        <v>155</v>
      </c>
      <c r="C43" s="208">
        <f t="shared" ref="C43" si="88">-C27/C8</f>
        <v>6.9020866773675763E-2</v>
      </c>
      <c r="D43" s="208">
        <f>-D27/D8</f>
        <v>5.6293979671618449E-2</v>
      </c>
      <c r="E43" s="346">
        <f>-E27/E8</f>
        <v>9.3093093093093091E-2</v>
      </c>
      <c r="F43" s="208">
        <f>-F27/F8</f>
        <v>9.3847462432662315E-2</v>
      </c>
      <c r="G43" s="208">
        <f>-G27/G8</f>
        <v>8.1395348837209308E-2</v>
      </c>
      <c r="H43" s="208">
        <f t="shared" ref="H43:I43" si="89">-H27/H8</f>
        <v>5.8749050392504429E-2</v>
      </c>
      <c r="I43" s="208">
        <f t="shared" si="89"/>
        <v>6.0468451242829825E-2</v>
      </c>
      <c r="J43" s="208">
        <f t="shared" ref="J43:R43" si="90">-J27/J8</f>
        <v>6.0928652321630805E-2</v>
      </c>
      <c r="K43" s="208">
        <f t="shared" si="90"/>
        <v>4.8752310536044362E-2</v>
      </c>
      <c r="L43" s="208">
        <f t="shared" si="90"/>
        <v>6.9871043376318873E-2</v>
      </c>
      <c r="M43" s="208">
        <f t="shared" si="90"/>
        <v>6.6562079784849848E-2</v>
      </c>
      <c r="N43" s="208">
        <f t="shared" si="90"/>
        <v>8.2846879209699145E-2</v>
      </c>
      <c r="O43" s="208">
        <f t="shared" si="90"/>
        <v>2.4302788844621514E-2</v>
      </c>
      <c r="P43" s="346">
        <f t="shared" si="90"/>
        <v>5.3727008712487902E-2</v>
      </c>
      <c r="Q43" s="346">
        <f t="shared" si="90"/>
        <v>6.6380449141347428E-2</v>
      </c>
      <c r="R43" s="208">
        <f t="shared" si="90"/>
        <v>3.3610592429129178E-2</v>
      </c>
      <c r="S43" s="209">
        <f t="shared" ref="S43" si="91">-S27/S8</f>
        <v>2.5498725063746813E-2</v>
      </c>
      <c r="T43" s="645"/>
      <c r="U43" s="93">
        <f>AVERAGE(D43:S43)</f>
        <v>6.102049469311209E-2</v>
      </c>
      <c r="V43" s="92">
        <f t="shared" si="83"/>
        <v>6.102049469311209E-2</v>
      </c>
      <c r="W43" s="92">
        <f t="shared" si="83"/>
        <v>6.102049469311209E-2</v>
      </c>
      <c r="X43" s="92">
        <f t="shared" si="83"/>
        <v>6.102049469311209E-2</v>
      </c>
      <c r="Y43" s="92">
        <f t="shared" si="83"/>
        <v>6.102049469311209E-2</v>
      </c>
      <c r="Z43" s="92">
        <f t="shared" si="83"/>
        <v>6.102049469311209E-2</v>
      </c>
    </row>
    <row r="44" spans="2:27" ht="14.5" customHeight="1">
      <c r="B44" s="25"/>
      <c r="C44" s="208"/>
      <c r="D44" s="208"/>
      <c r="E44" s="346"/>
      <c r="F44" s="208"/>
      <c r="G44" s="208"/>
      <c r="H44" s="208"/>
      <c r="I44" s="208"/>
      <c r="J44" s="208"/>
      <c r="K44" s="208"/>
      <c r="L44" s="208"/>
      <c r="M44" s="208"/>
      <c r="N44" s="208"/>
      <c r="O44" s="208"/>
      <c r="P44" s="346"/>
      <c r="Q44" s="346"/>
      <c r="R44" s="208"/>
      <c r="S44" s="209"/>
      <c r="T44" s="645"/>
      <c r="U44" s="93"/>
      <c r="V44" s="92"/>
      <c r="W44" s="92"/>
      <c r="X44" s="92"/>
      <c r="Y44" s="92"/>
      <c r="Z44" s="92"/>
    </row>
    <row r="45" spans="2:27" ht="14.5" customHeight="1">
      <c r="B45" s="25" t="s">
        <v>153</v>
      </c>
      <c r="C45" s="208">
        <f t="shared" ref="C45" si="92">C25/C8</f>
        <v>5.7249866238630286E-2</v>
      </c>
      <c r="D45" s="208">
        <f>D25/D8</f>
        <v>6.4894448788115719E-2</v>
      </c>
      <c r="E45" s="346">
        <f>E25/E8</f>
        <v>8.0780780780780784E-2</v>
      </c>
      <c r="F45" s="208">
        <f>F25/F8</f>
        <v>7.9104054437198756E-2</v>
      </c>
      <c r="G45" s="208">
        <f>G25/G8</f>
        <v>8.2477014602487825E-2</v>
      </c>
      <c r="H45" s="208">
        <f t="shared" ref="H45:I45" si="93">H25/H8</f>
        <v>8.9389718916181318E-2</v>
      </c>
      <c r="I45" s="208">
        <f t="shared" si="93"/>
        <v>8.2456978967495223E-2</v>
      </c>
      <c r="J45" s="208">
        <f t="shared" ref="J45:R45" si="94">J25/J8</f>
        <v>8.0181200453001131E-2</v>
      </c>
      <c r="K45" s="208">
        <f t="shared" si="94"/>
        <v>7.3937153419593352E-2</v>
      </c>
      <c r="L45" s="208">
        <f t="shared" si="94"/>
        <v>7.6436107854630717E-2</v>
      </c>
      <c r="M45" s="208">
        <f t="shared" si="94"/>
        <v>7.7991931869116987E-2</v>
      </c>
      <c r="N45" s="208">
        <f t="shared" si="94"/>
        <v>7.3417153120790307E-2</v>
      </c>
      <c r="O45" s="208">
        <f t="shared" si="94"/>
        <v>6.5537848605577695E-2</v>
      </c>
      <c r="P45" s="346">
        <f t="shared" si="94"/>
        <v>0.15004840271055178</v>
      </c>
      <c r="Q45" s="346">
        <f t="shared" si="94"/>
        <v>0.1023778071334214</v>
      </c>
      <c r="R45" s="208">
        <f t="shared" si="94"/>
        <v>7.2313698862671874E-2</v>
      </c>
      <c r="S45" s="209">
        <f t="shared" ref="S45" si="95">S25/S8</f>
        <v>5.9547022648867555E-2</v>
      </c>
      <c r="T45" s="645"/>
      <c r="U45" s="93">
        <f>AVERAGE(G45:S45)</f>
        <v>8.3547079935722079E-2</v>
      </c>
      <c r="V45" s="92">
        <f t="shared" si="83"/>
        <v>8.3547079935722079E-2</v>
      </c>
      <c r="W45" s="92">
        <f t="shared" si="83"/>
        <v>8.3547079935722079E-2</v>
      </c>
      <c r="X45" s="92">
        <f t="shared" si="83"/>
        <v>8.3547079935722079E-2</v>
      </c>
      <c r="Y45" s="92">
        <f t="shared" si="83"/>
        <v>8.3547079935722079E-2</v>
      </c>
      <c r="Z45" s="92">
        <f t="shared" si="83"/>
        <v>8.3547079935722079E-2</v>
      </c>
    </row>
    <row r="46" spans="2:27" ht="14.5" customHeight="1">
      <c r="B46" s="25"/>
      <c r="C46" s="25"/>
      <c r="D46" s="25"/>
      <c r="E46" s="348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48"/>
      <c r="Q46" s="348"/>
      <c r="R46" s="25"/>
      <c r="S46" s="210"/>
      <c r="T46" s="646"/>
      <c r="U46" s="9"/>
      <c r="V46" s="9"/>
      <c r="W46" s="58"/>
      <c r="X46" s="59"/>
      <c r="Y46" s="60"/>
      <c r="Z46" s="59"/>
    </row>
    <row r="47" spans="2:27" ht="14.5" customHeight="1">
      <c r="B47" s="51" t="s">
        <v>128</v>
      </c>
      <c r="C47" s="24">
        <f t="shared" ref="C47" si="96">+C31</f>
        <v>794000</v>
      </c>
      <c r="D47" s="24">
        <f>+D31</f>
        <v>1874000</v>
      </c>
      <c r="E47" s="344">
        <f>+E31</f>
        <v>1620000</v>
      </c>
      <c r="F47" s="24">
        <f>+F31</f>
        <v>1516000</v>
      </c>
      <c r="G47" s="24">
        <f>+G31</f>
        <v>1221000</v>
      </c>
      <c r="H47" s="24">
        <f t="shared" ref="H47:I47" si="97">+H31</f>
        <v>1229000</v>
      </c>
      <c r="I47" s="24">
        <f t="shared" si="97"/>
        <v>1289000</v>
      </c>
      <c r="J47" s="24">
        <f t="shared" ref="J47:S47" si="98">+J31</f>
        <v>1381000</v>
      </c>
      <c r="K47" s="24">
        <f t="shared" si="98"/>
        <v>1042000</v>
      </c>
      <c r="L47" s="24">
        <f t="shared" si="98"/>
        <v>1445000</v>
      </c>
      <c r="M47" s="24">
        <f t="shared" si="98"/>
        <v>1440000</v>
      </c>
      <c r="N47" s="24">
        <f t="shared" si="98"/>
        <v>1634000</v>
      </c>
      <c r="O47" s="24">
        <f t="shared" si="98"/>
        <v>1623000</v>
      </c>
      <c r="P47" s="344">
        <f t="shared" si="98"/>
        <v>3244000</v>
      </c>
      <c r="Q47" s="344">
        <f t="shared" si="98"/>
        <v>3978000</v>
      </c>
      <c r="R47" s="24">
        <f t="shared" si="98"/>
        <v>3113000</v>
      </c>
      <c r="S47" s="206">
        <f t="shared" si="98"/>
        <v>3056000</v>
      </c>
      <c r="T47" s="643"/>
      <c r="U47" s="24">
        <f>+R47-U48</f>
        <v>2960200</v>
      </c>
      <c r="V47" s="24">
        <f t="shared" ref="V47:Z47" si="99">+U47-V48</f>
        <v>2807400</v>
      </c>
      <c r="W47" s="24">
        <f t="shared" si="99"/>
        <v>2654600</v>
      </c>
      <c r="X47" s="24">
        <f t="shared" si="99"/>
        <v>2501800</v>
      </c>
      <c r="Y47" s="24">
        <f t="shared" si="99"/>
        <v>2349000</v>
      </c>
      <c r="Z47" s="24">
        <f t="shared" si="99"/>
        <v>2196200</v>
      </c>
    </row>
    <row r="48" spans="2:27" ht="14.5" customHeight="1">
      <c r="B48" s="25" t="s">
        <v>230</v>
      </c>
      <c r="C48" s="25"/>
      <c r="D48" s="25"/>
      <c r="E48" s="348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348"/>
      <c r="Q48" s="348"/>
      <c r="R48" s="25"/>
      <c r="S48" s="210"/>
      <c r="T48" s="646"/>
      <c r="U48" s="9">
        <f>+S47*$U$49</f>
        <v>152800</v>
      </c>
      <c r="V48" s="9">
        <f>+U48</f>
        <v>152800</v>
      </c>
      <c r="W48" s="9">
        <f t="shared" ref="W48:Z48" si="100">+V48</f>
        <v>152800</v>
      </c>
      <c r="X48" s="9">
        <f t="shared" si="100"/>
        <v>152800</v>
      </c>
      <c r="Y48" s="9">
        <f t="shared" si="100"/>
        <v>152800</v>
      </c>
      <c r="Z48" s="9">
        <f t="shared" si="100"/>
        <v>152800</v>
      </c>
    </row>
    <row r="49" spans="2:26" ht="14.5" customHeight="1">
      <c r="B49" s="25" t="s">
        <v>594</v>
      </c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9"/>
      <c r="O49" s="9"/>
      <c r="P49" s="9"/>
      <c r="Q49" s="9"/>
      <c r="R49" s="9"/>
      <c r="S49" s="204"/>
      <c r="T49" s="642"/>
      <c r="U49" s="92">
        <v>0.05</v>
      </c>
      <c r="V49" s="9"/>
      <c r="W49" s="9"/>
      <c r="X49" s="9"/>
      <c r="Y49" s="9"/>
      <c r="Z49" s="9"/>
    </row>
    <row r="50" spans="2:26" ht="14.5" customHeight="1"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9"/>
      <c r="O50" s="9"/>
      <c r="P50" s="9"/>
      <c r="Q50" s="9"/>
      <c r="R50" s="9"/>
      <c r="S50" s="9"/>
      <c r="T50" s="9"/>
      <c r="U50" s="9"/>
      <c r="V50" s="9"/>
      <c r="W50" s="9"/>
    </row>
    <row r="51" spans="2:26" ht="11.5" customHeight="1"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9"/>
      <c r="O51" s="9"/>
      <c r="P51" s="9"/>
      <c r="Q51" s="9"/>
      <c r="R51" s="25"/>
      <c r="S51" s="25"/>
      <c r="T51" s="25"/>
      <c r="V51" s="22"/>
      <c r="W51" s="13"/>
    </row>
    <row r="52" spans="2:26" ht="11.5" customHeight="1"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9"/>
      <c r="O52" s="9"/>
      <c r="P52" s="9"/>
      <c r="Q52" s="9"/>
      <c r="R52" s="25"/>
      <c r="S52" s="25"/>
      <c r="T52" s="25"/>
      <c r="V52" s="22"/>
      <c r="W52" s="13"/>
    </row>
    <row r="53" spans="2:26" ht="11.5" customHeight="1"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9"/>
      <c r="O53" s="9"/>
      <c r="P53" s="9"/>
      <c r="Q53" s="9"/>
      <c r="R53" s="25"/>
      <c r="S53" s="25"/>
      <c r="T53" s="25"/>
      <c r="V53" s="22"/>
      <c r="W53" s="13"/>
    </row>
    <row r="54" spans="2:26" ht="11.5" customHeight="1"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9"/>
      <c r="O54" s="9"/>
      <c r="P54" s="9"/>
      <c r="Q54" s="9"/>
      <c r="R54" s="25"/>
      <c r="S54" s="25"/>
      <c r="T54" s="25"/>
      <c r="V54" s="22"/>
      <c r="W54" s="13"/>
    </row>
    <row r="55" spans="2:26" ht="11.5" customHeight="1"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9"/>
      <c r="O55" s="9"/>
      <c r="P55" s="9"/>
      <c r="Q55" s="9"/>
      <c r="R55" s="25"/>
      <c r="S55" s="25"/>
      <c r="T55" s="25"/>
      <c r="V55" s="22"/>
      <c r="W55" s="13"/>
    </row>
    <row r="56" spans="2:26" ht="11.5" customHeight="1"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9"/>
      <c r="O56" s="9"/>
      <c r="P56" s="9"/>
      <c r="Q56" s="9"/>
      <c r="R56" s="25"/>
      <c r="S56" s="25"/>
      <c r="T56" s="25"/>
      <c r="V56" s="22"/>
      <c r="W56" s="13"/>
    </row>
    <row r="57" spans="2:26" ht="11.5" customHeight="1"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9"/>
      <c r="O57" s="9"/>
      <c r="P57" s="9"/>
      <c r="Q57" s="9"/>
      <c r="R57" s="25"/>
      <c r="S57" s="25"/>
      <c r="T57" s="25"/>
      <c r="V57" s="22"/>
      <c r="W57" s="13"/>
    </row>
    <row r="58" spans="2:26" ht="11.5" customHeight="1"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9"/>
      <c r="O58" s="9"/>
      <c r="P58" s="9"/>
      <c r="Q58" s="9"/>
      <c r="R58" s="25"/>
      <c r="S58" s="25"/>
      <c r="T58" s="25"/>
      <c r="V58" s="22"/>
      <c r="W58" s="13"/>
    </row>
    <row r="59" spans="2:26" ht="11.5" customHeight="1"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9"/>
      <c r="O59" s="9"/>
      <c r="P59" s="9"/>
      <c r="Q59" s="9"/>
      <c r="R59" s="25"/>
      <c r="S59" s="25"/>
      <c r="T59" s="25"/>
      <c r="V59" s="22"/>
      <c r="W59" s="13"/>
    </row>
    <row r="60" spans="2:26" ht="11.5" customHeight="1"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9"/>
      <c r="O60" s="9"/>
      <c r="P60" s="9"/>
      <c r="Q60" s="9"/>
      <c r="R60" s="25"/>
      <c r="S60" s="25"/>
      <c r="T60" s="25"/>
      <c r="V60" s="22"/>
      <c r="W60" s="13"/>
    </row>
    <row r="61" spans="2:26" ht="11.5" customHeight="1"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9"/>
      <c r="O61" s="9"/>
      <c r="P61" s="9"/>
      <c r="Q61" s="9"/>
      <c r="R61" s="25"/>
      <c r="S61" s="25"/>
      <c r="T61" s="25"/>
      <c r="V61" s="22"/>
      <c r="W61" s="13"/>
    </row>
    <row r="62" spans="2:26" ht="11.5" customHeight="1"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9"/>
      <c r="O62" s="9"/>
      <c r="P62" s="9"/>
      <c r="Q62" s="9"/>
      <c r="R62" s="25"/>
      <c r="S62" s="25"/>
      <c r="T62" s="25"/>
      <c r="V62" s="22"/>
      <c r="W62" s="13"/>
    </row>
    <row r="63" spans="2:26" ht="11.5" customHeight="1"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9"/>
      <c r="O63" s="9"/>
      <c r="P63" s="9"/>
      <c r="Q63" s="9"/>
      <c r="R63" s="25"/>
      <c r="S63" s="25"/>
      <c r="T63" s="25"/>
      <c r="V63" s="22"/>
      <c r="W63" s="13"/>
    </row>
    <row r="64" spans="2:26" ht="11.5" customHeight="1"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9"/>
      <c r="O64" s="9"/>
      <c r="P64" s="9"/>
      <c r="Q64" s="9"/>
      <c r="R64" s="25"/>
      <c r="S64" s="25"/>
      <c r="T64" s="25"/>
      <c r="V64" s="22"/>
      <c r="W64" s="13"/>
    </row>
    <row r="65" spans="2:23" ht="11.5" customHeight="1"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9"/>
      <c r="O65" s="9"/>
      <c r="P65" s="9"/>
      <c r="Q65" s="9"/>
      <c r="R65" s="25"/>
      <c r="S65" s="25"/>
      <c r="T65" s="25"/>
      <c r="V65" s="22"/>
      <c r="W65" s="13"/>
    </row>
    <row r="66" spans="2:23" ht="11.5" customHeight="1"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9"/>
      <c r="O66" s="9"/>
      <c r="P66" s="9"/>
      <c r="Q66" s="9"/>
      <c r="R66" s="25"/>
      <c r="S66" s="25"/>
      <c r="T66" s="25"/>
      <c r="V66" s="22"/>
      <c r="W66" s="13"/>
    </row>
    <row r="67" spans="2:23" ht="11.5" customHeight="1"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9"/>
      <c r="O67" s="9"/>
      <c r="P67" s="9"/>
      <c r="Q67" s="9"/>
      <c r="R67" s="25"/>
      <c r="S67" s="25"/>
      <c r="T67" s="25"/>
      <c r="V67" s="22"/>
      <c r="W67" s="13"/>
    </row>
    <row r="68" spans="2:23" ht="11.5" customHeight="1"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9"/>
      <c r="O68" s="9"/>
      <c r="P68" s="9"/>
      <c r="Q68" s="9"/>
      <c r="R68" s="25"/>
      <c r="S68" s="25"/>
      <c r="T68" s="25"/>
      <c r="V68" s="22"/>
      <c r="W68" s="13"/>
    </row>
    <row r="69" spans="2:23" ht="11.5" customHeight="1"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9"/>
      <c r="O69" s="9"/>
      <c r="P69" s="9"/>
      <c r="Q69" s="9"/>
      <c r="R69" s="25"/>
      <c r="S69" s="25"/>
      <c r="T69" s="25"/>
      <c r="V69" s="22"/>
      <c r="W69" s="13"/>
    </row>
    <row r="70" spans="2:23" ht="11.5" customHeight="1"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9"/>
      <c r="O70" s="9"/>
      <c r="P70" s="9"/>
      <c r="Q70" s="9"/>
      <c r="R70" s="25"/>
      <c r="S70" s="25"/>
      <c r="T70" s="25"/>
      <c r="V70" s="22"/>
      <c r="W70" s="13"/>
    </row>
    <row r="71" spans="2:23" ht="11.5" customHeight="1"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9"/>
      <c r="O71" s="9"/>
      <c r="P71" s="9"/>
      <c r="Q71" s="9"/>
      <c r="R71" s="25"/>
      <c r="S71" s="25"/>
      <c r="T71" s="25"/>
      <c r="V71" s="22"/>
      <c r="W71" s="13"/>
    </row>
    <row r="72" spans="2:23" ht="11.5" customHeight="1"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9"/>
      <c r="O72" s="9"/>
      <c r="P72" s="9"/>
      <c r="Q72" s="9"/>
      <c r="R72" s="25"/>
      <c r="S72" s="25"/>
      <c r="T72" s="25"/>
      <c r="V72" s="22"/>
      <c r="W72" s="13"/>
    </row>
    <row r="73" spans="2:23" ht="11.5" customHeight="1"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9"/>
      <c r="O73" s="9"/>
      <c r="P73" s="9"/>
      <c r="Q73" s="9"/>
      <c r="R73" s="25"/>
      <c r="S73" s="25"/>
      <c r="T73" s="25"/>
      <c r="V73" s="22"/>
      <c r="W73" s="13"/>
    </row>
    <row r="74" spans="2:23" ht="11.5" customHeight="1"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9"/>
      <c r="O74" s="9"/>
      <c r="P74" s="9"/>
      <c r="Q74" s="9"/>
      <c r="R74" s="25"/>
      <c r="S74" s="25"/>
      <c r="T74" s="25"/>
      <c r="V74" s="22"/>
      <c r="W74" s="13"/>
    </row>
    <row r="75" spans="2:23" ht="11.5" customHeight="1"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9"/>
      <c r="O75" s="9"/>
      <c r="P75" s="9"/>
      <c r="Q75" s="9"/>
      <c r="R75" s="25"/>
      <c r="S75" s="25"/>
      <c r="T75" s="25"/>
      <c r="V75" s="22"/>
      <c r="W75" s="13"/>
    </row>
    <row r="76" spans="2:23" ht="11.5" customHeight="1"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9"/>
      <c r="O76" s="9"/>
      <c r="P76" s="9"/>
      <c r="Q76" s="9"/>
      <c r="R76" s="25"/>
      <c r="S76" s="25"/>
      <c r="T76" s="25"/>
      <c r="V76" s="22"/>
      <c r="W76" s="13"/>
    </row>
    <row r="77" spans="2:23" ht="11.5" customHeight="1"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9"/>
      <c r="O77" s="9"/>
      <c r="P77" s="9"/>
      <c r="Q77" s="9"/>
      <c r="R77" s="25"/>
      <c r="S77" s="25"/>
      <c r="T77" s="25"/>
      <c r="V77" s="22"/>
      <c r="W77" s="13"/>
    </row>
    <row r="78" spans="2:23" ht="11.5" customHeight="1"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9"/>
      <c r="O78" s="9"/>
      <c r="P78" s="9"/>
      <c r="Q78" s="9"/>
      <c r="R78" s="25"/>
      <c r="S78" s="25"/>
      <c r="T78" s="25"/>
      <c r="V78" s="22"/>
      <c r="W78" s="13"/>
    </row>
    <row r="79" spans="2:23" ht="11.5" customHeight="1"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9"/>
      <c r="O79" s="9"/>
      <c r="P79" s="9"/>
      <c r="Q79" s="9"/>
      <c r="R79" s="25"/>
      <c r="S79" s="25"/>
      <c r="T79" s="25"/>
      <c r="V79" s="22"/>
      <c r="W79" s="13"/>
    </row>
    <row r="80" spans="2:23" ht="11.5" customHeight="1"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9"/>
      <c r="O80" s="9"/>
      <c r="P80" s="9"/>
      <c r="Q80" s="9"/>
      <c r="R80" s="25"/>
      <c r="S80" s="25"/>
      <c r="T80" s="25"/>
      <c r="V80" s="22"/>
      <c r="W80" s="13"/>
    </row>
    <row r="81" spans="2:23" ht="11.5" customHeight="1"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9"/>
      <c r="O81" s="9"/>
      <c r="P81" s="9"/>
      <c r="Q81" s="9"/>
      <c r="R81" s="25"/>
      <c r="S81" s="25"/>
      <c r="T81" s="25"/>
      <c r="V81" s="22"/>
      <c r="W81" s="13"/>
    </row>
    <row r="82" spans="2:23" ht="11.5" customHeight="1"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9"/>
      <c r="O82" s="9"/>
      <c r="P82" s="9"/>
      <c r="Q82" s="9"/>
      <c r="R82" s="25"/>
      <c r="S82" s="25"/>
      <c r="T82" s="25"/>
      <c r="V82" s="22"/>
      <c r="W82" s="13"/>
    </row>
    <row r="83" spans="2:23" ht="11.5" customHeight="1"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9"/>
      <c r="O83" s="9"/>
      <c r="P83" s="9"/>
      <c r="Q83" s="9"/>
      <c r="R83" s="25"/>
      <c r="S83" s="25"/>
      <c r="T83" s="25"/>
      <c r="V83" s="22"/>
      <c r="W83" s="13"/>
    </row>
    <row r="84" spans="2:23" ht="11.5" customHeight="1"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9"/>
      <c r="O84" s="9"/>
      <c r="P84" s="9"/>
      <c r="Q84" s="9"/>
      <c r="R84" s="25"/>
      <c r="S84" s="25"/>
      <c r="T84" s="25"/>
      <c r="V84" s="22"/>
      <c r="W84" s="13"/>
    </row>
    <row r="85" spans="2:23" ht="11.5" customHeight="1"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9"/>
      <c r="O85" s="9"/>
      <c r="P85" s="9"/>
      <c r="Q85" s="9"/>
      <c r="R85" s="25"/>
      <c r="S85" s="25"/>
      <c r="T85" s="25"/>
      <c r="V85" s="22"/>
      <c r="W85" s="13"/>
    </row>
    <row r="86" spans="2:23" ht="11.5" customHeight="1"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9"/>
      <c r="O86" s="9"/>
      <c r="P86" s="9"/>
      <c r="Q86" s="9"/>
      <c r="R86" s="25"/>
      <c r="S86" s="25"/>
      <c r="T86" s="25"/>
      <c r="V86" s="22"/>
      <c r="W86" s="13"/>
    </row>
    <row r="87" spans="2:23" ht="11.5" customHeight="1"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9"/>
      <c r="O87" s="9"/>
      <c r="P87" s="9"/>
      <c r="Q87" s="9"/>
      <c r="R87" s="25"/>
      <c r="S87" s="25"/>
      <c r="T87" s="25"/>
      <c r="V87" s="22"/>
      <c r="W87" s="13"/>
    </row>
    <row r="88" spans="2:23" ht="11.5" customHeight="1"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9"/>
      <c r="O88" s="9"/>
      <c r="P88" s="9"/>
      <c r="Q88" s="9"/>
      <c r="R88" s="25"/>
      <c r="S88" s="25"/>
      <c r="T88" s="25"/>
      <c r="V88" s="22"/>
      <c r="W88" s="13"/>
    </row>
    <row r="89" spans="2:23" ht="11.5" customHeight="1"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9"/>
      <c r="O89" s="9"/>
      <c r="P89" s="9"/>
      <c r="Q89" s="9"/>
      <c r="R89" s="25"/>
      <c r="S89" s="25"/>
      <c r="T89" s="25"/>
      <c r="V89" s="22"/>
      <c r="W89" s="13"/>
    </row>
    <row r="90" spans="2:23" ht="11.5" customHeight="1"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9"/>
      <c r="O90" s="9"/>
      <c r="P90" s="9"/>
      <c r="Q90" s="9"/>
      <c r="R90" s="25"/>
      <c r="S90" s="25"/>
      <c r="T90" s="25"/>
      <c r="V90" s="22"/>
      <c r="W90" s="13"/>
    </row>
    <row r="91" spans="2:23" ht="11.5" customHeight="1"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9"/>
      <c r="O91" s="9"/>
      <c r="P91" s="9"/>
      <c r="Q91" s="9"/>
      <c r="R91" s="25"/>
      <c r="S91" s="25"/>
      <c r="T91" s="25"/>
      <c r="V91" s="22"/>
      <c r="W91" s="13"/>
    </row>
    <row r="92" spans="2:23" ht="11.5" customHeight="1"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9"/>
      <c r="O92" s="9"/>
      <c r="P92" s="9"/>
      <c r="Q92" s="9"/>
      <c r="R92" s="25"/>
      <c r="S92" s="25"/>
      <c r="T92" s="25"/>
      <c r="V92" s="22"/>
      <c r="W92" s="13"/>
    </row>
    <row r="93" spans="2:23" ht="11.5" customHeight="1"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9"/>
      <c r="O93" s="9"/>
      <c r="P93" s="9"/>
      <c r="Q93" s="9"/>
      <c r="R93" s="25"/>
      <c r="S93" s="25"/>
      <c r="T93" s="25"/>
      <c r="V93" s="22"/>
      <c r="W93" s="13"/>
    </row>
    <row r="94" spans="2:23" ht="11.5" customHeight="1"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9"/>
      <c r="O94" s="9"/>
      <c r="P94" s="9"/>
      <c r="Q94" s="9"/>
      <c r="R94" s="25"/>
      <c r="S94" s="25"/>
      <c r="T94" s="25"/>
      <c r="V94" s="22"/>
      <c r="W94" s="13"/>
    </row>
    <row r="95" spans="2:23" ht="11.5" customHeight="1"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9"/>
      <c r="O95" s="9"/>
      <c r="P95" s="9"/>
      <c r="Q95" s="9"/>
      <c r="R95" s="25"/>
      <c r="S95" s="25"/>
      <c r="T95" s="25"/>
      <c r="V95" s="22"/>
      <c r="W95" s="13"/>
    </row>
    <row r="96" spans="2:23" ht="11.5" customHeight="1"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9"/>
      <c r="O96" s="9"/>
      <c r="P96" s="9"/>
      <c r="Q96" s="9"/>
      <c r="R96" s="25"/>
      <c r="S96" s="25"/>
      <c r="T96" s="25"/>
      <c r="V96" s="22"/>
      <c r="W96" s="13"/>
    </row>
    <row r="97" spans="2:23" ht="11.5" customHeight="1"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9"/>
      <c r="O97" s="9"/>
      <c r="P97" s="9"/>
      <c r="Q97" s="9"/>
      <c r="R97" s="25"/>
      <c r="S97" s="25"/>
      <c r="T97" s="25"/>
      <c r="V97" s="22"/>
      <c r="W97" s="13"/>
    </row>
    <row r="98" spans="2:23" ht="17.149999999999999" customHeight="1"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9"/>
      <c r="O98" s="9"/>
      <c r="P98" s="9"/>
      <c r="Q98" s="9"/>
      <c r="R98" s="25"/>
      <c r="S98" s="25"/>
      <c r="T98" s="25"/>
      <c r="V98" s="22"/>
      <c r="W98" s="13"/>
    </row>
    <row r="99" spans="2:23" ht="17.149999999999999" customHeight="1"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9"/>
      <c r="O99" s="9"/>
      <c r="P99" s="9"/>
      <c r="Q99" s="9"/>
      <c r="R99" s="25"/>
      <c r="S99" s="25"/>
      <c r="T99" s="25"/>
      <c r="V99" s="22"/>
      <c r="W99" s="13"/>
    </row>
  </sheetData>
  <mergeCells count="2">
    <mergeCell ref="U4:Z4"/>
    <mergeCell ref="C4:T4"/>
  </mergeCells>
  <phoneticPr fontId="23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BF418-C846-4939-AD08-2FE86EDE6457}">
  <sheetPr>
    <tabColor rgb="FF0066FF"/>
  </sheetPr>
  <dimension ref="A1:AB176"/>
  <sheetViews>
    <sheetView tabSelected="1" workbookViewId="0">
      <selection activeCell="I166" sqref="I166"/>
    </sheetView>
  </sheetViews>
  <sheetFormatPr defaultRowHeight="14.5"/>
  <cols>
    <col min="1" max="1" width="30.36328125" customWidth="1"/>
    <col min="2" max="2" width="13.453125" customWidth="1"/>
    <col min="3" max="4" width="13.26953125" customWidth="1"/>
    <col min="5" max="5" width="13.1796875" customWidth="1"/>
    <col min="6" max="6" width="12.453125" customWidth="1"/>
    <col min="7" max="7" width="12.54296875" customWidth="1"/>
    <col min="8" max="8" width="12.26953125" customWidth="1"/>
    <col min="9" max="9" width="13" customWidth="1"/>
    <col min="10" max="10" width="11.36328125" bestFit="1" customWidth="1"/>
    <col min="11" max="11" width="12.54296875" bestFit="1" customWidth="1"/>
    <col min="12" max="12" width="2.7265625" customWidth="1"/>
    <col min="13" max="13" width="12.26953125" style="34" customWidth="1"/>
    <col min="14" max="14" width="10.81640625" customWidth="1"/>
    <col min="15" max="15" width="18.81640625" customWidth="1"/>
    <col min="16" max="19" width="12.26953125" customWidth="1"/>
    <col min="20" max="21" width="10.453125" customWidth="1"/>
    <col min="22" max="22" width="12.453125" customWidth="1"/>
    <col min="23" max="27" width="10.81640625" customWidth="1"/>
    <col min="28" max="28" width="12.453125" bestFit="1" customWidth="1"/>
  </cols>
  <sheetData>
    <row r="1" spans="1:27" ht="28.75" customHeight="1" thickBot="1">
      <c r="A1" s="462" t="s">
        <v>75</v>
      </c>
      <c r="B1" s="74" t="s">
        <v>76</v>
      </c>
      <c r="C1" s="236" t="s">
        <v>77</v>
      </c>
      <c r="D1" s="376"/>
      <c r="E1" s="376"/>
      <c r="F1" s="377"/>
      <c r="G1" s="32" t="s">
        <v>78</v>
      </c>
      <c r="H1" s="371">
        <f>'Yahoo Input Val'!B1</f>
        <v>45714</v>
      </c>
      <c r="U1" s="33" t="s">
        <v>79</v>
      </c>
      <c r="V1" s="33"/>
      <c r="W1" s="378"/>
      <c r="X1" s="378"/>
      <c r="Y1" s="378"/>
      <c r="Z1" s="378"/>
      <c r="AA1" s="378"/>
    </row>
    <row r="2" spans="1:27" ht="18" customHeight="1" thickBot="1">
      <c r="A2" s="379" t="s">
        <v>257</v>
      </c>
      <c r="B2" s="35"/>
      <c r="G2" s="36" t="s">
        <v>235</v>
      </c>
      <c r="H2" s="237">
        <v>45657</v>
      </c>
      <c r="U2" s="37" t="s">
        <v>80</v>
      </c>
    </row>
    <row r="3" spans="1:27" ht="10.5" customHeight="1" thickBot="1"/>
    <row r="4" spans="1:27" ht="16" thickBot="1">
      <c r="A4" s="380" t="s">
        <v>81</v>
      </c>
      <c r="B4" s="381"/>
      <c r="C4" s="381"/>
      <c r="D4" s="381"/>
      <c r="E4" s="381"/>
      <c r="F4" s="381"/>
      <c r="G4" s="381"/>
      <c r="H4" s="382"/>
      <c r="I4" s="381"/>
      <c r="J4" s="381"/>
      <c r="U4" s="38" t="s">
        <v>82</v>
      </c>
      <c r="V4" s="38"/>
      <c r="W4" s="39" t="s">
        <v>83</v>
      </c>
      <c r="X4" s="40"/>
      <c r="Y4" s="40"/>
      <c r="Z4" s="40"/>
      <c r="AA4" s="40"/>
    </row>
    <row r="5" spans="1:27" s="385" customFormat="1" ht="44.5" customHeight="1" thickBot="1">
      <c r="A5" s="383"/>
      <c r="B5" s="384"/>
      <c r="C5" s="186" t="s">
        <v>84</v>
      </c>
      <c r="D5" s="186" t="s">
        <v>85</v>
      </c>
      <c r="E5" s="186" t="s">
        <v>86</v>
      </c>
      <c r="F5" s="186" t="s">
        <v>87</v>
      </c>
      <c r="G5" s="186" t="s">
        <v>88</v>
      </c>
      <c r="H5" s="187" t="s">
        <v>89</v>
      </c>
      <c r="I5" s="186" t="s">
        <v>592</v>
      </c>
      <c r="J5" s="175" t="s">
        <v>527</v>
      </c>
      <c r="M5" s="82"/>
      <c r="U5" s="386" t="s">
        <v>90</v>
      </c>
      <c r="V5" s="386"/>
      <c r="W5" s="387">
        <v>44012</v>
      </c>
      <c r="X5" s="388">
        <v>43830</v>
      </c>
      <c r="Y5" s="388">
        <v>43465</v>
      </c>
      <c r="Z5" s="388">
        <v>43100</v>
      </c>
      <c r="AA5" s="388">
        <v>42735</v>
      </c>
    </row>
    <row r="6" spans="1:27">
      <c r="A6" s="176" t="s">
        <v>91</v>
      </c>
      <c r="B6" s="177"/>
      <c r="C6" s="177">
        <f>+F6+D6-E6</f>
        <v>15185631.199999999</v>
      </c>
      <c r="D6" s="177">
        <f>+'Historical Analysis'!D49+'Historical Analysis'!D53</f>
        <v>3056000</v>
      </c>
      <c r="E6" s="177">
        <f>'Historical Analysis'!D24</f>
        <v>896000</v>
      </c>
      <c r="F6" s="177">
        <f>+H6*G6</f>
        <v>13025631.199999999</v>
      </c>
      <c r="G6" s="463">
        <f>'Yahoo Input Val'!B6*1000</f>
        <v>93160</v>
      </c>
      <c r="H6" s="464">
        <f>'Yahoo Input Val'!B4</f>
        <v>139.82</v>
      </c>
      <c r="I6" s="178"/>
      <c r="J6" s="178"/>
      <c r="K6" s="385"/>
      <c r="U6" s="41" t="s">
        <v>92</v>
      </c>
      <c r="W6" s="46">
        <f>+'Historical Analysis'!E7</f>
        <v>5891000</v>
      </c>
      <c r="X6" s="43">
        <f>+'Historical Analysis'!F7</f>
        <v>3028000</v>
      </c>
      <c r="Y6" s="43">
        <f>+'Historical Analysis'!G7</f>
        <v>2066000</v>
      </c>
      <c r="Z6" s="43">
        <f>+'Historical Analysis'!H7</f>
        <v>5020000</v>
      </c>
      <c r="AA6" s="43">
        <f>+'Historical Analysis'!I7</f>
        <v>4454000</v>
      </c>
    </row>
    <row r="7" spans="1:27">
      <c r="A7" s="389"/>
      <c r="B7" s="390"/>
      <c r="C7" s="390"/>
      <c r="D7" s="390"/>
      <c r="E7" s="390"/>
      <c r="F7" s="390"/>
      <c r="G7" s="390"/>
      <c r="H7" s="179"/>
      <c r="I7" s="391"/>
      <c r="J7" s="391"/>
      <c r="K7" s="385"/>
      <c r="U7" t="s">
        <v>3</v>
      </c>
      <c r="W7" s="46">
        <f>+'Historical Analysis'!E8</f>
        <v>4603000</v>
      </c>
      <c r="X7" s="43">
        <f>+'Historical Analysis'!F8</f>
        <v>2603000</v>
      </c>
      <c r="Y7" s="43">
        <f>+'Historical Analysis'!G8</f>
        <v>2067000</v>
      </c>
      <c r="Z7" s="43">
        <f>+'Historical Analysis'!H8</f>
        <v>4077000</v>
      </c>
      <c r="AA7" s="43">
        <f>+'Historical Analysis'!I8</f>
        <v>3475000</v>
      </c>
    </row>
    <row r="8" spans="1:27" ht="15" thickBot="1">
      <c r="A8" s="389" t="s">
        <v>93</v>
      </c>
      <c r="B8" s="390"/>
      <c r="C8" s="390">
        <f>+D8+F8-E8</f>
        <v>15706135.265132962</v>
      </c>
      <c r="D8" s="390">
        <f>+D6</f>
        <v>3056000</v>
      </c>
      <c r="E8" s="390">
        <f>+E6</f>
        <v>896000</v>
      </c>
      <c r="F8" s="390">
        <f>+G8*H8</f>
        <v>13546135.265132962</v>
      </c>
      <c r="G8" s="390">
        <f>+G6</f>
        <v>93160</v>
      </c>
      <c r="H8" s="179">
        <f>+E40</f>
        <v>145.40720550808246</v>
      </c>
      <c r="I8" s="391" t="str">
        <f>IF(J8&lt;0,"Sell",IF(J8&gt;0.1,"Buy","Hold"))</f>
        <v>Hold</v>
      </c>
      <c r="J8" s="183">
        <f t="shared" ref="J8:J13" si="0">+H8/$H$6-1</f>
        <v>3.9959987899316651E-2</v>
      </c>
      <c r="K8" s="385"/>
      <c r="U8" s="41" t="s">
        <v>94</v>
      </c>
      <c r="W8" s="392">
        <f>+W6-W7</f>
        <v>1288000</v>
      </c>
      <c r="X8" s="393">
        <f>+X6-X7</f>
        <v>425000</v>
      </c>
      <c r="Y8" s="393">
        <f>+Y6-Y7</f>
        <v>-1000</v>
      </c>
      <c r="Z8" s="393">
        <f>+Z6-Z7</f>
        <v>943000</v>
      </c>
      <c r="AA8" s="393">
        <f>+AA6-AA7</f>
        <v>979000</v>
      </c>
    </row>
    <row r="9" spans="1:27" ht="15" thickTop="1">
      <c r="A9" s="389" t="s">
        <v>95</v>
      </c>
      <c r="B9" s="390"/>
      <c r="C9" s="390">
        <f>+D9+F9-E9</f>
        <v>7296123.5520710442</v>
      </c>
      <c r="D9" s="390">
        <f>+D8</f>
        <v>3056000</v>
      </c>
      <c r="E9" s="390">
        <f>+E8</f>
        <v>896000</v>
      </c>
      <c r="F9" s="390">
        <f>+G9*H9</f>
        <v>5136123.5520710442</v>
      </c>
      <c r="G9" s="390">
        <f>+G8</f>
        <v>93160</v>
      </c>
      <c r="H9" s="179">
        <f>+B48</f>
        <v>55.132283727684033</v>
      </c>
      <c r="I9" s="391" t="str">
        <f t="shared" ref="I9:I13" si="1">IF(J9&lt;0,"Sell",IF(J9&gt;0.1,"Buy","Hold"))</f>
        <v>Sell</v>
      </c>
      <c r="J9" s="183">
        <f t="shared" si="0"/>
        <v>-0.60569100466539805</v>
      </c>
      <c r="U9" s="41" t="s">
        <v>96</v>
      </c>
      <c r="W9" s="394">
        <f>+'Historical Analysis'!E10</f>
        <v>861000</v>
      </c>
      <c r="X9" s="395">
        <f>+'Historical Analysis'!F10</f>
        <v>698000</v>
      </c>
      <c r="Y9" s="395">
        <f>+'Historical Analysis'!G10</f>
        <v>631000</v>
      </c>
      <c r="Z9" s="395">
        <f>+'Historical Analysis'!H10</f>
        <v>746000</v>
      </c>
      <c r="AA9" s="395">
        <f>+'Historical Analysis'!I10</f>
        <v>647000</v>
      </c>
    </row>
    <row r="10" spans="1:27">
      <c r="A10" s="396" t="s">
        <v>97</v>
      </c>
      <c r="B10" s="390"/>
      <c r="C10" s="397">
        <f>+B69</f>
        <v>12591404.028158134</v>
      </c>
      <c r="D10" s="390">
        <f>+D8</f>
        <v>3056000</v>
      </c>
      <c r="E10" s="390">
        <f>+E8</f>
        <v>896000</v>
      </c>
      <c r="F10" s="390">
        <f>+C10-D10+E10</f>
        <v>10431404.028158134</v>
      </c>
      <c r="G10" s="390">
        <f>+G8</f>
        <v>93160</v>
      </c>
      <c r="H10" s="179">
        <f>+F10/G10</f>
        <v>111.97299300298555</v>
      </c>
      <c r="I10" s="391" t="str">
        <f t="shared" si="1"/>
        <v>Sell</v>
      </c>
      <c r="J10" s="183">
        <f t="shared" si="0"/>
        <v>-0.19916325988424011</v>
      </c>
      <c r="U10" s="41" t="s">
        <v>221</v>
      </c>
      <c r="W10" s="46">
        <f>+W8-W9</f>
        <v>427000</v>
      </c>
      <c r="X10" s="43">
        <f>+X8-X9</f>
        <v>-273000</v>
      </c>
      <c r="Y10" s="43">
        <f>+Y8-Y9</f>
        <v>-632000</v>
      </c>
      <c r="Z10" s="43">
        <f>+Z8-Z9</f>
        <v>197000</v>
      </c>
      <c r="AA10" s="43">
        <f>+AA8-AA9</f>
        <v>332000</v>
      </c>
    </row>
    <row r="11" spans="1:27">
      <c r="A11" s="396" t="s">
        <v>537</v>
      </c>
      <c r="B11" s="390"/>
      <c r="C11" s="390">
        <f>+D11+F11-E11</f>
        <v>19345050.069980532</v>
      </c>
      <c r="D11" s="390">
        <f>+D10</f>
        <v>3056000</v>
      </c>
      <c r="E11" s="390">
        <f>+E10</f>
        <v>896000</v>
      </c>
      <c r="F11" s="390">
        <f>+G11*H11</f>
        <v>17185050.069980532</v>
      </c>
      <c r="G11" s="390">
        <f>+G9</f>
        <v>93160</v>
      </c>
      <c r="H11" s="179">
        <f>+E67</f>
        <v>184.46812011572061</v>
      </c>
      <c r="I11" s="391" t="str">
        <f t="shared" si="1"/>
        <v>Buy</v>
      </c>
      <c r="J11" s="183">
        <f t="shared" si="0"/>
        <v>0.31932570530482485</v>
      </c>
      <c r="U11" s="41"/>
      <c r="W11" s="46"/>
      <c r="X11" s="43"/>
      <c r="Y11" s="43"/>
      <c r="Z11" s="43"/>
      <c r="AA11" s="43"/>
    </row>
    <row r="12" spans="1:27">
      <c r="A12" s="396" t="s">
        <v>98</v>
      </c>
      <c r="B12" s="390"/>
      <c r="C12" s="397">
        <f>+B92</f>
        <v>11551334.16856904</v>
      </c>
      <c r="D12" s="390">
        <f>+D10</f>
        <v>3056000</v>
      </c>
      <c r="E12" s="390">
        <f>+E10</f>
        <v>896000</v>
      </c>
      <c r="F12" s="390">
        <f>+C12-D12+E12</f>
        <v>9391334.1685690396</v>
      </c>
      <c r="G12" s="390">
        <f>+G10</f>
        <v>93160</v>
      </c>
      <c r="H12" s="179">
        <f>+F12/G12</f>
        <v>100.80865359133792</v>
      </c>
      <c r="I12" s="391" t="str">
        <f t="shared" si="1"/>
        <v>Sell</v>
      </c>
      <c r="J12" s="183">
        <f t="shared" si="0"/>
        <v>-0.2790112030372055</v>
      </c>
      <c r="U12" s="41" t="s">
        <v>222</v>
      </c>
      <c r="W12" s="398">
        <f>+'Historical Analysis'!E12</f>
        <v>427000</v>
      </c>
      <c r="X12" s="399">
        <f>+'Historical Analysis'!F12</f>
        <v>-273000</v>
      </c>
      <c r="Y12" s="399">
        <f>+'Historical Analysis'!G12</f>
        <v>-632000</v>
      </c>
      <c r="Z12" s="399">
        <f>+'Historical Analysis'!H12</f>
        <v>197000</v>
      </c>
      <c r="AA12" s="399">
        <f>+'Historical Analysis'!I12</f>
        <v>332000</v>
      </c>
    </row>
    <row r="13" spans="1:27">
      <c r="A13" s="389" t="s">
        <v>99</v>
      </c>
      <c r="B13" s="390"/>
      <c r="C13" s="390">
        <f>+D13+F13-E13</f>
        <v>17549780.464346435</v>
      </c>
      <c r="D13" s="390">
        <f>+D12</f>
        <v>3056000</v>
      </c>
      <c r="E13" s="390">
        <f>+E12</f>
        <v>896000</v>
      </c>
      <c r="F13" s="390">
        <f>+D119</f>
        <v>15389780.464346435</v>
      </c>
      <c r="G13" s="390">
        <f>+G12</f>
        <v>93160</v>
      </c>
      <c r="H13" s="179">
        <f>+F13/G13</f>
        <v>165.19729996078183</v>
      </c>
      <c r="I13" s="391" t="str">
        <f t="shared" si="1"/>
        <v>Buy</v>
      </c>
      <c r="J13" s="183">
        <f t="shared" si="0"/>
        <v>0.18149978515793053</v>
      </c>
      <c r="U13" s="41" t="s">
        <v>224</v>
      </c>
      <c r="W13" s="400">
        <f>+W10-W12</f>
        <v>0</v>
      </c>
      <c r="X13" s="44">
        <f>+X10-X12</f>
        <v>0</v>
      </c>
      <c r="Y13" s="44">
        <f>+Y10-Y12</f>
        <v>0</v>
      </c>
      <c r="Z13" s="44">
        <f>+Z10-Z12</f>
        <v>0</v>
      </c>
      <c r="AA13" s="44">
        <f>+AA10-AA12</f>
        <v>0</v>
      </c>
    </row>
    <row r="14" spans="1:27">
      <c r="A14" s="389" t="s">
        <v>586</v>
      </c>
      <c r="B14" s="390"/>
      <c r="C14" s="390">
        <f>+F14+D14-E14</f>
        <v>14513612.041881461</v>
      </c>
      <c r="D14" s="390">
        <f>+D13</f>
        <v>3056000</v>
      </c>
      <c r="E14" s="390">
        <f>+E13</f>
        <v>896000</v>
      </c>
      <c r="F14" s="390">
        <f>+H14*G14</f>
        <v>12353612.041881461</v>
      </c>
      <c r="G14" s="390">
        <f>+G13</f>
        <v>93160</v>
      </c>
      <c r="H14" s="179">
        <f>+D175</f>
        <v>132.60639804509941</v>
      </c>
      <c r="I14" s="391" t="str">
        <f t="shared" ref="I14" si="2">IF(J14&lt;0,"Sell",IF(J14&gt;0.1,"Buy","Hold"))</f>
        <v>Sell</v>
      </c>
      <c r="J14" s="183">
        <f t="shared" ref="J14" si="3">+H14/$H$6-1</f>
        <v>-5.1592060899017134E-2</v>
      </c>
      <c r="U14" s="41"/>
      <c r="W14" s="400"/>
      <c r="X14" s="44"/>
      <c r="Y14" s="44"/>
      <c r="Z14" s="44"/>
      <c r="AA14" s="44"/>
    </row>
    <row r="15" spans="1:27">
      <c r="A15" s="401"/>
      <c r="B15" s="402"/>
      <c r="C15" s="403"/>
      <c r="D15" s="403"/>
      <c r="E15" s="403"/>
      <c r="F15" s="403"/>
      <c r="G15" s="403"/>
      <c r="H15" s="404"/>
      <c r="I15" s="405"/>
      <c r="J15" s="184"/>
      <c r="U15" s="41" t="s">
        <v>223</v>
      </c>
      <c r="W15" s="406">
        <f>+'Historical Analysis'!E14</f>
        <v>15000</v>
      </c>
      <c r="X15" s="52">
        <f>+'Historical Analysis'!F14</f>
        <v>15000</v>
      </c>
      <c r="Y15" s="52">
        <f>+'Historical Analysis'!G14</f>
        <v>23000</v>
      </c>
      <c r="Z15" s="52">
        <f>+'Historical Analysis'!H14</f>
        <v>25000</v>
      </c>
      <c r="AA15" s="52">
        <f>+'Historical Analysis'!I14</f>
        <v>15000</v>
      </c>
    </row>
    <row r="16" spans="1:27" ht="15" thickBot="1">
      <c r="A16" s="180" t="s">
        <v>100</v>
      </c>
      <c r="B16" s="144"/>
      <c r="C16" s="181">
        <f>AVERAGE(C8:C13)</f>
        <v>14006637.924709693</v>
      </c>
      <c r="D16" s="181"/>
      <c r="E16" s="181"/>
      <c r="F16" s="181">
        <f>AVERAGE(F8:F13)</f>
        <v>11846637.924709693</v>
      </c>
      <c r="G16" s="181"/>
      <c r="H16" s="220">
        <f>AVERAGE(H8:H13)</f>
        <v>127.16442598443207</v>
      </c>
      <c r="I16" s="182" t="s">
        <v>236</v>
      </c>
      <c r="J16" s="185">
        <f>+H16/$H$6-1</f>
        <v>-9.0513331537461883E-2</v>
      </c>
      <c r="U16" s="41" t="s">
        <v>10</v>
      </c>
      <c r="W16" s="46">
        <f>+W15+W13</f>
        <v>15000</v>
      </c>
      <c r="X16" s="407">
        <f>+X15+X13</f>
        <v>15000</v>
      </c>
      <c r="Y16" s="407">
        <f>+Y15+Y13</f>
        <v>23000</v>
      </c>
      <c r="Z16" s="407">
        <f>+Z15+Z13</f>
        <v>25000</v>
      </c>
      <c r="AA16" s="407">
        <f>+AA15+AA13</f>
        <v>15000</v>
      </c>
    </row>
    <row r="17" spans="1:27">
      <c r="A17" s="408"/>
      <c r="B17" s="409"/>
      <c r="C17" s="409"/>
      <c r="D17" s="409"/>
      <c r="E17" s="409"/>
      <c r="F17" s="409"/>
      <c r="G17" s="409"/>
      <c r="H17" s="409"/>
      <c r="I17" s="409"/>
      <c r="J17" s="409"/>
      <c r="U17" s="41" t="s">
        <v>225</v>
      </c>
      <c r="W17" s="410">
        <f>+'Historical Analysis'!E16</f>
        <v>0</v>
      </c>
      <c r="X17" s="43">
        <f>+'Historical Analysis'!F16</f>
        <v>0</v>
      </c>
      <c r="Y17" s="43">
        <f>+'Historical Analysis'!G16</f>
        <v>0</v>
      </c>
      <c r="Z17" s="43">
        <f>+'Historical Analysis'!H16</f>
        <v>16000</v>
      </c>
      <c r="AA17" s="43">
        <f>+'Historical Analysis'!I16</f>
        <v>0</v>
      </c>
    </row>
    <row r="18" spans="1:27" ht="9.65" customHeight="1" thickBot="1">
      <c r="U18" s="41" t="s">
        <v>12</v>
      </c>
      <c r="W18" s="392">
        <f>+W16-W17</f>
        <v>15000</v>
      </c>
      <c r="X18" s="393">
        <f>+X16-X17</f>
        <v>15000</v>
      </c>
      <c r="Y18" s="393">
        <f>+Y16-Y17</f>
        <v>23000</v>
      </c>
      <c r="Z18" s="393">
        <f>+Z16-Z17</f>
        <v>9000</v>
      </c>
      <c r="AA18" s="393">
        <f>+AA16-AA17</f>
        <v>15000</v>
      </c>
    </row>
    <row r="19" spans="1:27" ht="16" thickTop="1">
      <c r="A19" s="411" t="s">
        <v>91</v>
      </c>
      <c r="B19" s="412"/>
      <c r="C19" s="413"/>
      <c r="D19" s="413"/>
      <c r="E19" s="413"/>
      <c r="F19" s="413"/>
      <c r="G19" s="413"/>
      <c r="H19" s="413"/>
      <c r="U19" s="41" t="s">
        <v>101</v>
      </c>
      <c r="W19" s="42">
        <v>103329.27324401138</v>
      </c>
    </row>
    <row r="20" spans="1:27" ht="7.5" customHeight="1">
      <c r="U20" s="41" t="s">
        <v>102</v>
      </c>
      <c r="W20" s="45">
        <f>+W18/W19</f>
        <v>0.14516699410609035</v>
      </c>
      <c r="X20" s="44"/>
      <c r="Y20" s="44"/>
      <c r="Z20" s="44"/>
      <c r="AA20" s="44"/>
    </row>
    <row r="21" spans="1:27" ht="44" thickBot="1">
      <c r="A21" s="244" t="s">
        <v>104</v>
      </c>
      <c r="B21" s="252" t="s">
        <v>105</v>
      </c>
      <c r="C21" s="255" t="s">
        <v>539</v>
      </c>
      <c r="D21" s="255" t="s">
        <v>106</v>
      </c>
      <c r="E21" s="255" t="s">
        <v>107</v>
      </c>
      <c r="F21" s="255" t="s">
        <v>585</v>
      </c>
      <c r="G21" s="245" t="s">
        <v>540</v>
      </c>
      <c r="H21" s="255" t="s">
        <v>108</v>
      </c>
      <c r="U21" s="386" t="s">
        <v>90</v>
      </c>
      <c r="V21" s="386"/>
      <c r="W21" s="387">
        <f>+W5</f>
        <v>44012</v>
      </c>
      <c r="X21" s="388">
        <v>43830</v>
      </c>
      <c r="Y21" s="388">
        <v>43465</v>
      </c>
      <c r="Z21" s="388">
        <v>43100</v>
      </c>
      <c r="AA21" s="388">
        <v>42735</v>
      </c>
    </row>
    <row r="22" spans="1:27" ht="20.149999999999999" hidden="1" customHeight="1">
      <c r="A22" s="248" t="s">
        <v>109</v>
      </c>
      <c r="B22" s="147" t="s">
        <v>110</v>
      </c>
      <c r="C22" s="148">
        <v>64.37</v>
      </c>
      <c r="D22" s="149">
        <v>32.695999999999998</v>
      </c>
      <c r="E22" s="150">
        <v>2104.6415200000001</v>
      </c>
      <c r="F22" s="150">
        <v>328.71</v>
      </c>
      <c r="G22" s="257"/>
      <c r="H22" s="260">
        <v>2433.3515200000002</v>
      </c>
      <c r="W22" s="410"/>
    </row>
    <row r="23" spans="1:27" ht="30" hidden="1" customHeight="1">
      <c r="A23" s="249" t="s">
        <v>111</v>
      </c>
      <c r="B23" s="151" t="s">
        <v>112</v>
      </c>
      <c r="C23" s="152">
        <v>30.76</v>
      </c>
      <c r="D23" s="153">
        <v>74.518000000000001</v>
      </c>
      <c r="E23" s="150">
        <v>2292.1736800000003</v>
      </c>
      <c r="F23" s="263">
        <v>402.1</v>
      </c>
      <c r="G23" s="258"/>
      <c r="H23" s="261">
        <v>2694.2736800000002</v>
      </c>
      <c r="W23" s="410"/>
    </row>
    <row r="24" spans="1:27" ht="15.75" hidden="1" customHeight="1">
      <c r="A24" s="249" t="s">
        <v>113</v>
      </c>
      <c r="B24" s="151" t="s">
        <v>114</v>
      </c>
      <c r="C24" s="152">
        <v>24.35</v>
      </c>
      <c r="D24" s="153">
        <v>380.96499999999997</v>
      </c>
      <c r="E24" s="150">
        <v>9276.4977500000005</v>
      </c>
      <c r="F24" s="263">
        <v>3647</v>
      </c>
      <c r="G24" s="258"/>
      <c r="H24" s="261">
        <v>12923.49775</v>
      </c>
      <c r="W24" s="410"/>
    </row>
    <row r="25" spans="1:27" ht="30" hidden="1" customHeight="1">
      <c r="A25" s="249" t="s">
        <v>115</v>
      </c>
      <c r="B25" s="151" t="s">
        <v>116</v>
      </c>
      <c r="C25" s="152">
        <v>23.6</v>
      </c>
      <c r="D25" s="153">
        <v>5.2530000000000001</v>
      </c>
      <c r="E25" s="150">
        <v>123.97080000000001</v>
      </c>
      <c r="F25" s="263">
        <v>765.2</v>
      </c>
      <c r="G25" s="258"/>
      <c r="H25" s="261">
        <v>889.1708000000001</v>
      </c>
      <c r="W25" s="410"/>
    </row>
    <row r="26" spans="1:27" ht="20.149999999999999" hidden="1" customHeight="1">
      <c r="A26" s="249" t="s">
        <v>117</v>
      </c>
      <c r="B26" s="151" t="s">
        <v>118</v>
      </c>
      <c r="C26" s="152">
        <v>8.52</v>
      </c>
      <c r="D26" s="153">
        <v>201.8</v>
      </c>
      <c r="E26" s="150">
        <v>1719.336</v>
      </c>
      <c r="F26" s="263">
        <v>925.61</v>
      </c>
      <c r="G26" s="258"/>
      <c r="H26" s="261">
        <v>2644.9459999999999</v>
      </c>
      <c r="W26" s="410"/>
    </row>
    <row r="27" spans="1:27" ht="20.149999999999999" hidden="1" customHeight="1">
      <c r="A27" s="249" t="s">
        <v>119</v>
      </c>
      <c r="B27" s="152" t="s">
        <v>120</v>
      </c>
      <c r="C27" s="152">
        <v>19.920000000000002</v>
      </c>
      <c r="D27" s="153">
        <v>21.282</v>
      </c>
      <c r="E27" s="150">
        <v>423.93744000000004</v>
      </c>
      <c r="F27" s="263">
        <v>198.43</v>
      </c>
      <c r="G27" s="258"/>
      <c r="H27" s="261">
        <v>622.36743999999999</v>
      </c>
      <c r="W27" s="410"/>
    </row>
    <row r="28" spans="1:27" ht="20.149999999999999" hidden="1" customHeight="1">
      <c r="A28" s="249" t="s">
        <v>121</v>
      </c>
      <c r="B28" s="152" t="s">
        <v>122</v>
      </c>
      <c r="C28" s="152">
        <v>67.510000000000005</v>
      </c>
      <c r="D28" s="153">
        <v>216.71100000000001</v>
      </c>
      <c r="E28" s="150">
        <v>14630.159610000002</v>
      </c>
      <c r="F28" s="263">
        <v>1325</v>
      </c>
      <c r="G28" s="258"/>
      <c r="H28" s="261">
        <v>15955.159610000002</v>
      </c>
      <c r="W28" s="410"/>
    </row>
    <row r="29" spans="1:27" ht="20.149999999999999" hidden="1" customHeight="1">
      <c r="A29" s="250" t="s">
        <v>123</v>
      </c>
      <c r="B29" s="238" t="s">
        <v>124</v>
      </c>
      <c r="C29" s="239">
        <v>28.92</v>
      </c>
      <c r="D29" s="240">
        <v>31.791</v>
      </c>
      <c r="E29" s="241">
        <v>919.3957200000001</v>
      </c>
      <c r="F29" s="264">
        <v>626.63</v>
      </c>
      <c r="G29" s="259"/>
      <c r="H29" s="262">
        <v>1546.0257200000001</v>
      </c>
      <c r="W29" s="410"/>
    </row>
    <row r="30" spans="1:27" ht="20.149999999999999" customHeight="1" thickBot="1">
      <c r="A30" s="246"/>
      <c r="B30" s="253"/>
      <c r="C30" s="256">
        <f>+H1</f>
        <v>45714</v>
      </c>
      <c r="D30" s="256">
        <f>+H1</f>
        <v>45714</v>
      </c>
      <c r="E30" s="256">
        <f>+H1</f>
        <v>45714</v>
      </c>
      <c r="F30" s="256">
        <f>+H2</f>
        <v>45657</v>
      </c>
      <c r="G30" s="247">
        <f>+H2</f>
        <v>45657</v>
      </c>
      <c r="H30" s="256">
        <f>+H1</f>
        <v>45714</v>
      </c>
      <c r="W30" s="410"/>
    </row>
    <row r="31" spans="1:27" ht="31" customHeight="1" thickTop="1">
      <c r="A31" s="251" t="s">
        <v>125</v>
      </c>
      <c r="B31" s="242" t="s">
        <v>126</v>
      </c>
      <c r="C31" s="242">
        <f>+H6</f>
        <v>139.82</v>
      </c>
      <c r="D31" s="154">
        <f>+G6</f>
        <v>93160</v>
      </c>
      <c r="E31" s="254">
        <f>+D31*C31</f>
        <v>13025631.199999999</v>
      </c>
      <c r="F31" s="243">
        <f>'Historical Analysis'!C53+'Historical Analysis'!C49</f>
        <v>3782000</v>
      </c>
      <c r="G31" s="154">
        <f>'Historical Analysis'!C24</f>
        <v>1383000</v>
      </c>
      <c r="H31" s="154">
        <f>+E31+F31-G31</f>
        <v>15424631.199999999</v>
      </c>
      <c r="U31" t="s">
        <v>127</v>
      </c>
      <c r="W31" s="46">
        <f>+'Historical Analysis'!F24</f>
        <v>1187000</v>
      </c>
      <c r="X31" s="43">
        <f>+'Historical Analysis'!G24</f>
        <v>1882000</v>
      </c>
      <c r="Y31" s="43">
        <f>+'Historical Analysis'!H24</f>
        <v>961000</v>
      </c>
      <c r="Z31" s="43">
        <f>+'Historical Analysis'!I24</f>
        <v>686000</v>
      </c>
      <c r="AA31" s="43">
        <f>+'Historical Analysis'!J24</f>
        <v>552000</v>
      </c>
    </row>
    <row r="32" spans="1:27" ht="15" thickBot="1">
      <c r="U32" s="414" t="s">
        <v>30</v>
      </c>
      <c r="V32" s="415"/>
      <c r="W32" s="47">
        <f>+'Historical Analysis'!F42</f>
        <v>12603000</v>
      </c>
      <c r="X32" s="48">
        <f>+'Historical Analysis'!G42</f>
        <v>9129000</v>
      </c>
      <c r="Y32" s="48">
        <f>+'Historical Analysis'!H42</f>
        <v>8417000</v>
      </c>
      <c r="Z32" s="48">
        <f>+'Historical Analysis'!I42</f>
        <v>7643000</v>
      </c>
      <c r="AA32" s="48">
        <f>+'Historical Analysis'!J42</f>
        <v>7572000</v>
      </c>
    </row>
    <row r="33" spans="1:28" ht="16" thickTop="1">
      <c r="A33" s="411" t="s">
        <v>93</v>
      </c>
      <c r="B33" s="413"/>
      <c r="C33" s="413"/>
      <c r="D33" s="413"/>
      <c r="E33" s="413"/>
      <c r="F33" s="413"/>
      <c r="G33" s="413"/>
      <c r="H33" s="416"/>
      <c r="U33" t="s">
        <v>128</v>
      </c>
      <c r="W33" s="46">
        <f>+'Historical Analysis'!F37</f>
        <v>954000</v>
      </c>
      <c r="X33" s="43">
        <f>+'Historical Analysis'!G37</f>
        <v>980000</v>
      </c>
      <c r="Y33" s="43">
        <f>+'Historical Analysis'!H37</f>
        <v>843000</v>
      </c>
      <c r="Z33" s="43">
        <f>+'Historical Analysis'!I37</f>
        <v>735000</v>
      </c>
      <c r="AA33" s="43">
        <f>+'Historical Analysis'!J37</f>
        <v>750000</v>
      </c>
    </row>
    <row r="34" spans="1:28">
      <c r="A34" s="155"/>
      <c r="B34" s="142"/>
      <c r="C34" s="142"/>
      <c r="D34" s="142"/>
      <c r="E34" s="142"/>
      <c r="F34" s="142"/>
      <c r="G34" s="142"/>
      <c r="H34" s="142"/>
      <c r="U34" t="s">
        <v>41</v>
      </c>
      <c r="W34" s="46">
        <f>+'Historical Analysis'!F57</f>
        <v>9037000</v>
      </c>
      <c r="X34" s="43">
        <f>+'Historical Analysis'!G57</f>
        <v>5915000</v>
      </c>
      <c r="Y34" s="43">
        <f>+'Historical Analysis'!H57</f>
        <v>4450000</v>
      </c>
      <c r="Z34" s="43">
        <f>+'Historical Analysis'!I57</f>
        <v>3966000</v>
      </c>
      <c r="AA34" s="43">
        <f>+'Historical Analysis'!J57</f>
        <v>3719000</v>
      </c>
    </row>
    <row r="35" spans="1:28" ht="16.5" customHeight="1">
      <c r="A35" s="156" t="s">
        <v>129</v>
      </c>
      <c r="B35" s="144"/>
      <c r="C35" s="142"/>
      <c r="D35" s="156" t="s">
        <v>130</v>
      </c>
      <c r="E35" s="144"/>
      <c r="F35" s="142"/>
      <c r="G35" s="142"/>
      <c r="H35" s="142"/>
      <c r="U35" t="s">
        <v>43</v>
      </c>
      <c r="W35" s="46">
        <f>+W32-W34</f>
        <v>3566000</v>
      </c>
      <c r="X35" s="43">
        <f>+X32-X34</f>
        <v>3214000</v>
      </c>
      <c r="Y35" s="43">
        <f>+Y32-Y34</f>
        <v>3967000</v>
      </c>
      <c r="Z35" s="43">
        <f>+Z32-Z34</f>
        <v>3677000</v>
      </c>
      <c r="AA35" s="43">
        <f>+AA32-AA34</f>
        <v>3853000</v>
      </c>
    </row>
    <row r="36" spans="1:28" ht="16.5" customHeight="1">
      <c r="A36" s="144" t="s">
        <v>518</v>
      </c>
      <c r="B36" s="217">
        <v>3.8670000000000003E-2</v>
      </c>
      <c r="C36" s="144"/>
      <c r="D36" s="144" t="s">
        <v>131</v>
      </c>
      <c r="E36" s="162">
        <f>'Yahoo Input Val'!B14</f>
        <v>0.6</v>
      </c>
      <c r="F36" s="142"/>
      <c r="G36" s="142"/>
      <c r="H36" s="142"/>
      <c r="W36" s="43"/>
      <c r="X36" s="43"/>
      <c r="Y36" s="43"/>
      <c r="Z36" s="43"/>
      <c r="AA36" s="43"/>
    </row>
    <row r="37" spans="1:28" ht="16.5" customHeight="1">
      <c r="A37" s="144" t="s">
        <v>132</v>
      </c>
      <c r="B37" s="145">
        <f>+'Technical Analysis'!J18</f>
        <v>1.490472324165208</v>
      </c>
      <c r="C37" s="216"/>
      <c r="D37" s="144"/>
      <c r="E37" s="162"/>
      <c r="F37" s="163"/>
      <c r="G37" s="142"/>
      <c r="H37" s="142"/>
      <c r="U37" s="38" t="s">
        <v>133</v>
      </c>
      <c r="V37" s="38"/>
      <c r="W37" s="39" t="s">
        <v>83</v>
      </c>
      <c r="X37" s="40"/>
      <c r="Y37" s="40"/>
      <c r="Z37" s="40"/>
      <c r="AA37" s="40"/>
    </row>
    <row r="38" spans="1:28" ht="16.5" customHeight="1" thickBot="1">
      <c r="A38" s="144" t="s">
        <v>496</v>
      </c>
      <c r="B38" s="217">
        <v>5.5E-2</v>
      </c>
      <c r="C38" s="144"/>
      <c r="D38" s="144" t="s">
        <v>134</v>
      </c>
      <c r="E38" s="628">
        <f>+'Yahoo Input Val'!B15</f>
        <v>162.35</v>
      </c>
      <c r="F38" s="163" t="s">
        <v>646</v>
      </c>
      <c r="G38" s="142"/>
      <c r="H38" s="142"/>
      <c r="U38" s="386" t="s">
        <v>90</v>
      </c>
      <c r="V38" s="386"/>
      <c r="W38" s="387">
        <f>+W21</f>
        <v>44012</v>
      </c>
      <c r="X38" s="388">
        <v>43830</v>
      </c>
      <c r="Y38" s="388">
        <v>43465</v>
      </c>
      <c r="Z38" s="388">
        <v>43100</v>
      </c>
      <c r="AA38" s="388">
        <v>42735</v>
      </c>
    </row>
    <row r="39" spans="1:28" ht="16.5" customHeight="1" thickBot="1">
      <c r="A39" s="144" t="s">
        <v>135</v>
      </c>
      <c r="B39" s="160">
        <f>+B38+B36</f>
        <v>9.3670000000000003E-2</v>
      </c>
      <c r="C39" s="144"/>
      <c r="D39" s="144" t="s">
        <v>136</v>
      </c>
      <c r="E39" s="160">
        <f>+B40</f>
        <v>0.12064597782908645</v>
      </c>
      <c r="F39" s="142"/>
      <c r="G39" s="142"/>
      <c r="H39" s="142"/>
      <c r="M39" s="286" t="s">
        <v>564</v>
      </c>
      <c r="N39" s="287"/>
      <c r="O39" s="288"/>
      <c r="U39" s="41" t="s">
        <v>137</v>
      </c>
      <c r="W39" s="55">
        <v>-358000</v>
      </c>
      <c r="X39" s="43">
        <v>-369000</v>
      </c>
      <c r="Y39" s="43">
        <v>-297000</v>
      </c>
      <c r="Z39" s="43">
        <v>-298000</v>
      </c>
      <c r="AA39" s="43">
        <v>-211000</v>
      </c>
    </row>
    <row r="40" spans="1:28" ht="16.5" customHeight="1" thickBot="1">
      <c r="A40" s="164" t="s">
        <v>138</v>
      </c>
      <c r="B40" s="374">
        <f>+B36+B37*B38</f>
        <v>0.12064597782908645</v>
      </c>
      <c r="C40" s="144"/>
      <c r="D40" s="158" t="s">
        <v>483</v>
      </c>
      <c r="E40" s="159">
        <f>+(E38+E36)/(1+(E39))</f>
        <v>145.40720550808246</v>
      </c>
      <c r="F40" s="163"/>
      <c r="G40" s="142"/>
      <c r="H40" s="142"/>
      <c r="M40" s="417" t="s">
        <v>563</v>
      </c>
      <c r="N40" s="142"/>
      <c r="O40" s="289"/>
      <c r="U40" s="41" t="s">
        <v>139</v>
      </c>
      <c r="W40" s="55">
        <v>363000</v>
      </c>
      <c r="X40" s="43">
        <v>364000</v>
      </c>
      <c r="Y40" s="43">
        <v>327000</v>
      </c>
      <c r="Z40" s="43">
        <v>366000</v>
      </c>
      <c r="AA40" s="43">
        <v>342000</v>
      </c>
    </row>
    <row r="41" spans="1:28" ht="16.5" customHeight="1" thickBot="1">
      <c r="A41" s="165"/>
      <c r="B41" s="165"/>
      <c r="C41" s="142"/>
      <c r="D41" s="142"/>
      <c r="E41" s="142"/>
      <c r="F41" s="142"/>
      <c r="G41" s="142"/>
      <c r="H41" s="142"/>
      <c r="M41" s="290"/>
      <c r="N41" s="291"/>
      <c r="O41" s="292"/>
    </row>
    <row r="42" spans="1:28" ht="15.5">
      <c r="A42" s="411" t="s">
        <v>95</v>
      </c>
      <c r="B42" s="413"/>
      <c r="C42" s="413"/>
      <c r="D42" s="413"/>
      <c r="E42" s="413"/>
      <c r="F42" s="413"/>
      <c r="G42" s="413"/>
      <c r="H42" s="416"/>
      <c r="U42" s="38" t="s">
        <v>140</v>
      </c>
      <c r="V42" s="38"/>
      <c r="W42" s="39" t="s">
        <v>83</v>
      </c>
      <c r="X42" s="40"/>
      <c r="Y42" s="40"/>
      <c r="Z42" s="40"/>
      <c r="AA42" s="40"/>
      <c r="AB42" s="38" t="s">
        <v>141</v>
      </c>
    </row>
    <row r="43" spans="1:28" ht="15" thickBot="1">
      <c r="A43" s="146"/>
      <c r="B43" s="146"/>
      <c r="C43" s="146"/>
      <c r="D43" s="146"/>
      <c r="E43" s="146"/>
      <c r="F43" s="146"/>
      <c r="G43" s="146"/>
      <c r="H43" s="146"/>
      <c r="U43" s="386" t="s">
        <v>90</v>
      </c>
      <c r="V43" s="386"/>
      <c r="W43" s="387">
        <f>+W21</f>
        <v>44012</v>
      </c>
      <c r="X43" s="388">
        <v>43830</v>
      </c>
      <c r="Y43" s="388">
        <v>43465</v>
      </c>
      <c r="Z43" s="388">
        <v>43100</v>
      </c>
      <c r="AA43" s="388">
        <v>42735</v>
      </c>
      <c r="AB43" s="388"/>
    </row>
    <row r="44" spans="1:28">
      <c r="A44" s="156" t="s">
        <v>142</v>
      </c>
      <c r="B44" s="146"/>
      <c r="C44" s="146"/>
      <c r="D44" s="156" t="s">
        <v>143</v>
      </c>
      <c r="E44" s="146"/>
      <c r="F44" s="146"/>
      <c r="G44" s="146"/>
      <c r="H44" s="146"/>
      <c r="U44" s="41" t="s">
        <v>144</v>
      </c>
      <c r="W44" s="49">
        <f>+W6/X6-1</f>
        <v>0.94550858652575953</v>
      </c>
      <c r="X44" s="49">
        <f>+X6/Y6-1</f>
        <v>0.46563407550822844</v>
      </c>
      <c r="Y44" s="49">
        <f>+Y6/Z6-1</f>
        <v>-0.58844621513944229</v>
      </c>
      <c r="Z44" s="49">
        <f>+Z6/AA6-1</f>
        <v>0.12707678491243835</v>
      </c>
      <c r="AB44" s="418">
        <f>AVERAGE(W44:AA44)</f>
        <v>0.23744330795174601</v>
      </c>
    </row>
    <row r="45" spans="1:28">
      <c r="A45" s="146" t="s">
        <v>145</v>
      </c>
      <c r="B45" s="161">
        <f>+F45</f>
        <v>0.6</v>
      </c>
      <c r="C45" s="146"/>
      <c r="D45" s="146" t="s">
        <v>146</v>
      </c>
      <c r="E45" s="146"/>
      <c r="F45" s="373">
        <f>+E36</f>
        <v>0.6</v>
      </c>
      <c r="G45" s="657">
        <f>+F45/F47</f>
        <v>4.2912315834644542E-3</v>
      </c>
      <c r="H45" s="144" t="s">
        <v>638</v>
      </c>
      <c r="U45" s="41" t="s">
        <v>147</v>
      </c>
      <c r="W45" s="49">
        <f>+W7/W6</f>
        <v>0.78136139874384658</v>
      </c>
      <c r="X45" s="49">
        <f>+X7/X6</f>
        <v>0.85964332892998674</v>
      </c>
      <c r="Y45" s="49">
        <f>+Y7/Y6</f>
        <v>1.000484027105518</v>
      </c>
      <c r="Z45" s="49">
        <f>+Z7/Z6</f>
        <v>0.81215139442231077</v>
      </c>
      <c r="AA45" s="49">
        <f>+AA7/AA6</f>
        <v>0.78019757521329147</v>
      </c>
      <c r="AB45" s="418">
        <f>AVERAGE(W45:AA45)</f>
        <v>0.84676754488299077</v>
      </c>
    </row>
    <row r="46" spans="1:28">
      <c r="A46" s="146" t="s">
        <v>148</v>
      </c>
      <c r="B46" s="157">
        <f>+B40</f>
        <v>0.12064597782908645</v>
      </c>
      <c r="C46" s="146"/>
      <c r="D46" s="146" t="s">
        <v>149</v>
      </c>
      <c r="E46" s="146"/>
      <c r="F46" s="161">
        <f>+F47+F45</f>
        <v>140.41999999999999</v>
      </c>
      <c r="G46" s="146"/>
      <c r="H46" s="146"/>
      <c r="U46" s="41" t="s">
        <v>150</v>
      </c>
      <c r="W46" s="49">
        <f>+W9/W6</f>
        <v>0.14615515192666781</v>
      </c>
      <c r="X46" s="49">
        <f>+X9/X6</f>
        <v>0.23051519154557465</v>
      </c>
      <c r="Y46" s="49">
        <f>+Y9/Y6</f>
        <v>0.30542110358180058</v>
      </c>
      <c r="Z46" s="49">
        <f>+Z9/Z6</f>
        <v>0.14860557768924304</v>
      </c>
      <c r="AA46" s="49">
        <f>+AA9/AA6</f>
        <v>0.14526268522676247</v>
      </c>
      <c r="AB46" s="418">
        <f>AVERAGE(W46:AA46)</f>
        <v>0.19519194199400972</v>
      </c>
    </row>
    <row r="47" spans="1:28" ht="15" thickBot="1">
      <c r="A47" s="146" t="s">
        <v>151</v>
      </c>
      <c r="B47" s="375">
        <f>+B46*C47</f>
        <v>0.10858138004617782</v>
      </c>
      <c r="C47" s="278">
        <v>0.9</v>
      </c>
      <c r="D47" s="146" t="s">
        <v>152</v>
      </c>
      <c r="E47" s="146"/>
      <c r="F47" s="166">
        <f>+C31</f>
        <v>139.82</v>
      </c>
      <c r="G47" s="146"/>
      <c r="H47" s="146"/>
      <c r="U47" s="41" t="s">
        <v>153</v>
      </c>
      <c r="W47" s="49">
        <f>+W40/W6</f>
        <v>6.1619419453403497E-2</v>
      </c>
      <c r="X47" s="49">
        <f>+X40/X6</f>
        <v>0.1202113606340819</v>
      </c>
      <c r="Y47" s="49">
        <f>+Y40/Y6</f>
        <v>0.15827686350435624</v>
      </c>
      <c r="Z47" s="49">
        <f>+Z40/Z6</f>
        <v>7.2908366533864538E-2</v>
      </c>
      <c r="AA47" s="49">
        <f>+AA40/AA6</f>
        <v>7.6784912438257746E-2</v>
      </c>
      <c r="AB47" s="418">
        <f>AVERAGE(W47:AA47)</f>
        <v>9.7960184512792786E-2</v>
      </c>
    </row>
    <row r="48" spans="1:28" ht="15" thickBot="1">
      <c r="A48" s="158" t="s">
        <v>484</v>
      </c>
      <c r="B48" s="159">
        <f>+(B45*(1+B47))/(B46-B47)</f>
        <v>55.132283727684033</v>
      </c>
      <c r="C48" s="146"/>
      <c r="D48" s="144" t="s">
        <v>154</v>
      </c>
      <c r="E48" s="146"/>
      <c r="F48" s="167">
        <f>+(F45+(F46-F47))/F47</f>
        <v>8.5824631669288685E-3</v>
      </c>
      <c r="G48" s="146"/>
      <c r="H48" s="146"/>
      <c r="U48" s="41" t="s">
        <v>155</v>
      </c>
      <c r="W48" s="49">
        <f>-W39/W6</f>
        <v>6.0770667119334577E-2</v>
      </c>
      <c r="X48" s="49">
        <f>-X39/X6</f>
        <v>0.12186261558784676</v>
      </c>
      <c r="Y48" s="49">
        <f>-Y39/Y6</f>
        <v>0.14375605033881897</v>
      </c>
      <c r="Z48" s="49">
        <f>-Z39/Z6</f>
        <v>5.9362549800796811E-2</v>
      </c>
      <c r="AA48" s="49">
        <f>-AA39/AA6</f>
        <v>4.7373147732375394E-2</v>
      </c>
      <c r="AB48" s="418">
        <f>AVERAGE(W48:AA48)</f>
        <v>8.6625006115834499E-2</v>
      </c>
    </row>
    <row r="49" spans="1:27">
      <c r="A49" s="155"/>
      <c r="B49" s="142"/>
      <c r="C49" s="142"/>
      <c r="D49" s="142"/>
      <c r="E49" s="142"/>
      <c r="F49" s="142"/>
      <c r="G49" s="142"/>
      <c r="H49" s="144"/>
      <c r="U49" t="s">
        <v>41</v>
      </c>
      <c r="W49" s="46">
        <f>+'Historical Analysis'!F72</f>
        <v>2021</v>
      </c>
      <c r="X49" s="43">
        <f>+'Historical Analysis'!G72</f>
        <v>2020</v>
      </c>
      <c r="Y49" s="43">
        <f>+'Historical Analysis'!H72</f>
        <v>2019</v>
      </c>
      <c r="Z49" s="43">
        <f>+'Historical Analysis'!I72</f>
        <v>2018</v>
      </c>
      <c r="AA49" s="43">
        <f>+'Historical Analysis'!J72</f>
        <v>2017</v>
      </c>
    </row>
    <row r="50" spans="1:27" ht="10.5" customHeight="1">
      <c r="W50" s="41"/>
    </row>
    <row r="51" spans="1:27" ht="15.5">
      <c r="A51" s="411" t="s">
        <v>97</v>
      </c>
      <c r="B51" s="413"/>
      <c r="C51" s="413"/>
      <c r="D51" s="413"/>
      <c r="E51" s="413"/>
      <c r="F51" s="413"/>
      <c r="G51" s="413"/>
      <c r="H51" s="413"/>
      <c r="I51" s="413"/>
      <c r="J51" s="413"/>
      <c r="K51" s="413"/>
    </row>
    <row r="52" spans="1:27" ht="8.25" customHeight="1">
      <c r="A52" s="419"/>
      <c r="B52" s="402"/>
      <c r="C52" s="402"/>
      <c r="D52" s="402"/>
      <c r="E52" s="402"/>
      <c r="F52" s="402"/>
      <c r="G52" s="402"/>
      <c r="H52" s="402"/>
      <c r="I52" s="402"/>
      <c r="J52" s="402"/>
      <c r="K52" s="402"/>
    </row>
    <row r="53" spans="1:27" ht="43.5" customHeight="1">
      <c r="A53" s="265" t="s">
        <v>104</v>
      </c>
      <c r="B53" s="271" t="s">
        <v>105</v>
      </c>
      <c r="C53" s="274" t="str">
        <f>+C21</f>
        <v>Stock Price</v>
      </c>
      <c r="D53" s="272" t="s">
        <v>106</v>
      </c>
      <c r="E53" s="273" t="s">
        <v>156</v>
      </c>
      <c r="F53" s="273" t="str">
        <f>+F21</f>
        <v>Debt 
(ST&amp;LT)
($000)</v>
      </c>
      <c r="G53" s="272" t="str">
        <f>+G21</f>
        <v>Cash
 ($000)</v>
      </c>
      <c r="H53" s="273" t="s">
        <v>108</v>
      </c>
      <c r="I53" s="273" t="s">
        <v>541</v>
      </c>
      <c r="J53" s="273" t="s">
        <v>157</v>
      </c>
      <c r="K53" s="273" t="s">
        <v>158</v>
      </c>
    </row>
    <row r="54" spans="1:27" ht="20.5" customHeight="1" thickBot="1">
      <c r="A54" s="269"/>
      <c r="B54" s="266"/>
      <c r="C54" s="267">
        <f>+H1</f>
        <v>45714</v>
      </c>
      <c r="D54" s="270">
        <f>+H1</f>
        <v>45714</v>
      </c>
      <c r="E54" s="270">
        <f>+H1</f>
        <v>45714</v>
      </c>
      <c r="F54" s="268">
        <f>+H2</f>
        <v>45657</v>
      </c>
      <c r="G54" s="267">
        <f>+H2</f>
        <v>45657</v>
      </c>
      <c r="H54" s="267">
        <f>+H1</f>
        <v>45714</v>
      </c>
      <c r="I54" s="267">
        <f>+H2</f>
        <v>45657</v>
      </c>
      <c r="J54" s="267">
        <f>+H1</f>
        <v>45714</v>
      </c>
      <c r="K54" s="267">
        <f>+H1</f>
        <v>45714</v>
      </c>
    </row>
    <row r="55" spans="1:27" ht="15.65" customHeight="1" thickTop="1">
      <c r="A55" s="471" t="s">
        <v>109</v>
      </c>
      <c r="B55" s="472" t="s">
        <v>110</v>
      </c>
      <c r="C55" s="473">
        <f>+'Yahoo Input Val'!C4</f>
        <v>146.44</v>
      </c>
      <c r="D55" s="474">
        <f>'Yahoo Input Val'!C6*1000</f>
        <v>46910</v>
      </c>
      <c r="E55" s="475">
        <f t="shared" ref="E55:E62" si="4">+D55*C55</f>
        <v>6869500.3999999994</v>
      </c>
      <c r="F55" s="476">
        <f>'Yahoo Input Val'!C9*1000</f>
        <v>1920000</v>
      </c>
      <c r="G55" s="474">
        <f>+'Yahoo Input Val'!C10*1000</f>
        <v>58560</v>
      </c>
      <c r="H55" s="475">
        <f t="shared" ref="H55:H62" si="5">+E55+F55-G55</f>
        <v>8730940.3999999985</v>
      </c>
      <c r="I55" s="474">
        <f>+'Yahoo Input Val'!C11*1000</f>
        <v>473370</v>
      </c>
      <c r="J55" s="477">
        <f t="shared" ref="J55:J62" si="6">+H55/I55</f>
        <v>18.444219954792231</v>
      </c>
      <c r="K55" s="478">
        <f>+'Yahoo Input Val'!C5</f>
        <v>1.24</v>
      </c>
    </row>
    <row r="56" spans="1:27" ht="15.65" customHeight="1">
      <c r="A56" s="471" t="s">
        <v>159</v>
      </c>
      <c r="B56" s="472" t="s">
        <v>114</v>
      </c>
      <c r="C56" s="473">
        <f>+'Yahoo Input Val'!D4</f>
        <v>259.95999999999998</v>
      </c>
      <c r="D56" s="474">
        <f>'Yahoo Input Val'!D6*1000</f>
        <v>243780</v>
      </c>
      <c r="E56" s="475">
        <f t="shared" si="4"/>
        <v>63373048.799999997</v>
      </c>
      <c r="F56" s="476">
        <f>'Yahoo Input Val'!D9*1000</f>
        <v>11960000</v>
      </c>
      <c r="G56" s="474">
        <f>+'Yahoo Input Val'!D10*1000</f>
        <v>1300000</v>
      </c>
      <c r="H56" s="475">
        <f t="shared" si="5"/>
        <v>74033048.799999997</v>
      </c>
      <c r="I56" s="474">
        <f>+'Yahoo Input Val'!D11*1000</f>
        <v>2460000</v>
      </c>
      <c r="J56" s="477">
        <f t="shared" si="6"/>
        <v>30.094735284552844</v>
      </c>
      <c r="K56" s="478">
        <f>+'Yahoo Input Val'!D5</f>
        <v>1.31</v>
      </c>
    </row>
    <row r="57" spans="1:27" ht="15.65" customHeight="1">
      <c r="A57" s="471" t="s">
        <v>639</v>
      </c>
      <c r="B57" s="472" t="s">
        <v>640</v>
      </c>
      <c r="C57" s="473">
        <v>13.34</v>
      </c>
      <c r="D57" s="474">
        <v>123170</v>
      </c>
      <c r="E57" s="475">
        <f t="shared" si="4"/>
        <v>1643087.8</v>
      </c>
      <c r="F57" s="476">
        <v>1080000</v>
      </c>
      <c r="G57" s="474">
        <v>211140</v>
      </c>
      <c r="H57" s="475">
        <f t="shared" si="5"/>
        <v>2511947.7999999998</v>
      </c>
      <c r="I57" s="474">
        <v>235050</v>
      </c>
      <c r="J57" s="477">
        <f t="shared" si="6"/>
        <v>10.686865773239736</v>
      </c>
      <c r="K57" s="478">
        <v>1.54</v>
      </c>
    </row>
    <row r="58" spans="1:27" ht="15.65" customHeight="1">
      <c r="A58" s="479" t="s">
        <v>160</v>
      </c>
      <c r="B58" s="480" t="s">
        <v>161</v>
      </c>
      <c r="C58" s="473">
        <f>+'Yahoo Input Val'!E4</f>
        <v>125.31</v>
      </c>
      <c r="D58" s="474">
        <f>'Yahoo Input Val'!E6*1000</f>
        <v>165390</v>
      </c>
      <c r="E58" s="475">
        <f t="shared" si="4"/>
        <v>20725020.900000002</v>
      </c>
      <c r="F58" s="476">
        <f>'Yahoo Input Val'!E9*1000</f>
        <v>3770000</v>
      </c>
      <c r="G58" s="474">
        <f>+'Yahoo Input Val'!E10*1000</f>
        <v>1010000</v>
      </c>
      <c r="H58" s="475">
        <f t="shared" si="5"/>
        <v>23485020.900000002</v>
      </c>
      <c r="I58" s="474">
        <f>+'Yahoo Input Val'!E11*1000</f>
        <v>1180000</v>
      </c>
      <c r="J58" s="477">
        <f t="shared" si="6"/>
        <v>19.902560084745765</v>
      </c>
      <c r="K58" s="478">
        <f>+'Yahoo Input Val'!E5</f>
        <v>0.94</v>
      </c>
    </row>
    <row r="59" spans="1:27" ht="15.65" customHeight="1">
      <c r="A59" s="479" t="s">
        <v>119</v>
      </c>
      <c r="B59" s="481" t="s">
        <v>120</v>
      </c>
      <c r="C59" s="473">
        <f>+'Yahoo Input Val'!F4</f>
        <v>20.87</v>
      </c>
      <c r="D59" s="474">
        <f>'Yahoo Input Val'!F6*1000</f>
        <v>24500</v>
      </c>
      <c r="E59" s="475">
        <f t="shared" si="4"/>
        <v>511315</v>
      </c>
      <c r="F59" s="476">
        <f>'Yahoo Input Val'!F9*1000</f>
        <v>368330</v>
      </c>
      <c r="G59" s="474">
        <f>+'Yahoo Input Val'!F10*1000</f>
        <v>35750</v>
      </c>
      <c r="H59" s="475">
        <f t="shared" si="5"/>
        <v>843895</v>
      </c>
      <c r="I59" s="474">
        <f>+'Yahoo Input Val'!F11*1000</f>
        <v>83990</v>
      </c>
      <c r="J59" s="477">
        <f t="shared" si="6"/>
        <v>10.047565186331706</v>
      </c>
      <c r="K59" s="478">
        <f>+'Yahoo Input Val'!F5</f>
        <v>1.48</v>
      </c>
    </row>
    <row r="60" spans="1:27" ht="15.65" customHeight="1">
      <c r="A60" s="479" t="s">
        <v>121</v>
      </c>
      <c r="B60" s="481" t="s">
        <v>122</v>
      </c>
      <c r="C60" s="473">
        <f>+'Yahoo Input Val'!G4</f>
        <v>282.16000000000003</v>
      </c>
      <c r="D60" s="474">
        <f>'Yahoo Input Val'!G6*1000</f>
        <v>282160</v>
      </c>
      <c r="E60" s="475">
        <f>+D60*C60</f>
        <v>79614265.600000009</v>
      </c>
      <c r="F60" s="476">
        <f>'Yahoo Input Val'!G9*1000</f>
        <v>15350000</v>
      </c>
      <c r="G60" s="474">
        <f>+'Yahoo Input Val'!G10*1000</f>
        <v>396000</v>
      </c>
      <c r="H60" s="475">
        <f>+E60+F60-G60</f>
        <v>94568265.600000009</v>
      </c>
      <c r="I60" s="474">
        <f>+'Yahoo Input Val'!G11*1000</f>
        <v>4260000</v>
      </c>
      <c r="J60" s="477">
        <f t="shared" si="6"/>
        <v>22.199123380281691</v>
      </c>
      <c r="K60" s="478">
        <f>+'Yahoo Input Val'!G5</f>
        <v>1.59</v>
      </c>
    </row>
    <row r="61" spans="1:27" ht="15.65" customHeight="1">
      <c r="A61" s="479" t="s">
        <v>162</v>
      </c>
      <c r="B61" s="481" t="s">
        <v>163</v>
      </c>
      <c r="C61" s="473">
        <f>+'Yahoo Input Val'!I4</f>
        <v>12.34</v>
      </c>
      <c r="D61" s="474">
        <f>'Yahoo Input Val'!I6*1000</f>
        <v>209440</v>
      </c>
      <c r="E61" s="475">
        <f t="shared" si="4"/>
        <v>2584489.6</v>
      </c>
      <c r="F61" s="476">
        <f>'Yahoo Input Val'!I9*1000</f>
        <v>4790000</v>
      </c>
      <c r="G61" s="474">
        <f>+'Yahoo Input Val'!I10*1000</f>
        <v>402000</v>
      </c>
      <c r="H61" s="475">
        <f t="shared" si="5"/>
        <v>6972489.5999999996</v>
      </c>
      <c r="I61" s="474">
        <f>+'Yahoo Input Val'!I11*1000</f>
        <v>606000</v>
      </c>
      <c r="J61" s="477">
        <f t="shared" si="6"/>
        <v>11.505758415841584</v>
      </c>
      <c r="K61" s="478">
        <f>+'Yahoo Input Val'!I5</f>
        <v>2.0099999999999998</v>
      </c>
    </row>
    <row r="62" spans="1:27" ht="15.65" customHeight="1" thickBot="1">
      <c r="A62" s="482" t="s">
        <v>164</v>
      </c>
      <c r="B62" s="483" t="s">
        <v>538</v>
      </c>
      <c r="C62" s="473">
        <f>+'Yahoo Input Val'!J4</f>
        <v>107.5</v>
      </c>
      <c r="D62" s="474">
        <f>'Yahoo Input Val'!J6*1000</f>
        <v>77790</v>
      </c>
      <c r="E62" s="484">
        <f t="shared" si="4"/>
        <v>8362425</v>
      </c>
      <c r="F62" s="476">
        <f>'Yahoo Input Val'!J9*1000</f>
        <v>2490000</v>
      </c>
      <c r="G62" s="474">
        <f>+'Yahoo Input Val'!J10*1000</f>
        <v>103000</v>
      </c>
      <c r="H62" s="484">
        <f t="shared" si="5"/>
        <v>10749425</v>
      </c>
      <c r="I62" s="474">
        <f>+'Yahoo Input Val'!J11*1000</f>
        <v>593000</v>
      </c>
      <c r="J62" s="485">
        <f t="shared" si="6"/>
        <v>18.127192242833051</v>
      </c>
      <c r="K62" s="478">
        <f>+'Yahoo Input Val'!J5</f>
        <v>1.32</v>
      </c>
    </row>
    <row r="63" spans="1:27" ht="9.65" customHeight="1" thickBot="1">
      <c r="L63" s="135"/>
      <c r="M63" s="135"/>
    </row>
    <row r="64" spans="1:27" ht="15.65" customHeight="1" thickBot="1">
      <c r="A64" s="486" t="s">
        <v>125</v>
      </c>
      <c r="B64" s="487" t="s">
        <v>126</v>
      </c>
      <c r="C64" s="488">
        <f>+C31</f>
        <v>139.82</v>
      </c>
      <c r="D64" s="489">
        <f>D31</f>
        <v>93160</v>
      </c>
      <c r="E64" s="489">
        <f>+D64*C64</f>
        <v>13025631.199999999</v>
      </c>
      <c r="F64" s="490">
        <f>+F31</f>
        <v>3782000</v>
      </c>
      <c r="G64" s="489">
        <f>+G31</f>
        <v>1383000</v>
      </c>
      <c r="H64" s="489">
        <f>+F64+E64-G64</f>
        <v>15424631.199999999</v>
      </c>
      <c r="I64" s="489">
        <f>'Historical Analysis'!C91</f>
        <v>749000</v>
      </c>
      <c r="J64" s="491">
        <f>+H64/I64</f>
        <v>20.593633110814419</v>
      </c>
      <c r="K64" s="492">
        <f>+B37</f>
        <v>1.490472324165208</v>
      </c>
      <c r="L64" s="41"/>
    </row>
    <row r="65" spans="1:27" ht="15" thickBot="1">
      <c r="A65" s="144"/>
      <c r="B65" s="402"/>
      <c r="C65" s="493"/>
      <c r="D65" s="493"/>
      <c r="E65" s="402"/>
      <c r="F65" s="402"/>
      <c r="G65" s="402"/>
      <c r="H65" s="402"/>
      <c r="I65" s="402"/>
      <c r="J65" s="494"/>
      <c r="K65" s="402"/>
    </row>
    <row r="66" spans="1:27" ht="15" thickBot="1">
      <c r="A66" s="144" t="s">
        <v>536</v>
      </c>
      <c r="B66" s="403">
        <f>+I64</f>
        <v>749000</v>
      </c>
      <c r="C66" s="495">
        <f>+J67</f>
        <v>16.810953308622341</v>
      </c>
      <c r="D66" s="143" t="s">
        <v>482</v>
      </c>
      <c r="E66" s="130">
        <f>+H10</f>
        <v>111.97299300298555</v>
      </c>
      <c r="F66" s="402"/>
      <c r="G66" s="402"/>
      <c r="H66" s="402"/>
      <c r="I66" s="158" t="s">
        <v>165</v>
      </c>
      <c r="J66" s="495">
        <f>AVERAGE(J55:J62)</f>
        <v>17.626002540327327</v>
      </c>
      <c r="K66" s="495">
        <f>AVERAGE(K55:K64)</f>
        <v>1.4356080360183563</v>
      </c>
      <c r="L66" s="420"/>
    </row>
    <row r="67" spans="1:27" ht="15" thickBot="1">
      <c r="A67" s="144" t="s">
        <v>520</v>
      </c>
      <c r="B67" s="403">
        <f>+B66</f>
        <v>749000</v>
      </c>
      <c r="C67" s="495">
        <f>AVERAGE(J56,J60)</f>
        <v>26.146929332417265</v>
      </c>
      <c r="D67" s="143" t="s">
        <v>482</v>
      </c>
      <c r="E67" s="496">
        <f>+((C67*B67)-F64+G64)/D64</f>
        <v>184.46812011572061</v>
      </c>
      <c r="F67" s="145"/>
      <c r="G67" s="145"/>
      <c r="H67" s="402"/>
      <c r="I67" s="158" t="s">
        <v>519</v>
      </c>
      <c r="J67" s="660">
        <f>SUM(J55+J58+J60+J61+J62+J57)/6</f>
        <v>16.810953308622341</v>
      </c>
      <c r="K67" s="495"/>
    </row>
    <row r="68" spans="1:27" ht="15" thickBot="1">
      <c r="A68" s="144"/>
      <c r="B68" s="402"/>
      <c r="C68" s="402"/>
      <c r="D68" s="402"/>
      <c r="E68" s="144"/>
      <c r="F68" s="145"/>
      <c r="G68" s="145"/>
      <c r="H68" s="402"/>
      <c r="I68" s="158"/>
      <c r="J68" s="495"/>
      <c r="K68" s="495"/>
    </row>
    <row r="69" spans="1:27" ht="15" thickBot="1">
      <c r="A69" s="497" t="s">
        <v>166</v>
      </c>
      <c r="B69" s="498">
        <f>+B66*C66</f>
        <v>12591404.028158134</v>
      </c>
      <c r="C69" s="402"/>
      <c r="D69" s="402"/>
      <c r="E69" s="144"/>
      <c r="F69" s="145"/>
      <c r="G69" s="145"/>
      <c r="H69" s="402"/>
      <c r="I69" s="402"/>
      <c r="J69" s="146"/>
      <c r="K69" s="146"/>
    </row>
    <row r="70" spans="1:27">
      <c r="A70" s="155"/>
      <c r="B70" s="142"/>
      <c r="C70" s="142"/>
      <c r="D70" s="142"/>
      <c r="E70" s="142"/>
      <c r="F70" s="142"/>
      <c r="G70" s="142"/>
      <c r="H70" s="144"/>
      <c r="I70" s="144"/>
      <c r="J70" s="144"/>
      <c r="K70" s="144"/>
      <c r="W70" s="46"/>
      <c r="X70" s="43"/>
      <c r="Y70" s="43"/>
      <c r="Z70" s="43"/>
      <c r="AA70" s="43"/>
    </row>
    <row r="71" spans="1:27" ht="15.5">
      <c r="A71" s="421" t="s">
        <v>167</v>
      </c>
      <c r="B71" s="422"/>
      <c r="C71" s="422"/>
      <c r="D71" s="422"/>
      <c r="E71" s="422"/>
      <c r="F71" s="422"/>
      <c r="G71" s="422"/>
      <c r="H71" s="422"/>
      <c r="I71" s="422"/>
      <c r="J71" s="422"/>
      <c r="K71" s="34"/>
    </row>
    <row r="72" spans="1:27" ht="4.5" customHeight="1">
      <c r="A72" s="402"/>
      <c r="B72" s="402"/>
      <c r="C72" s="402"/>
      <c r="D72" s="402"/>
      <c r="E72" s="402"/>
      <c r="F72" s="402"/>
      <c r="G72" s="402"/>
      <c r="H72" s="402"/>
      <c r="I72" s="402"/>
      <c r="J72" s="402"/>
    </row>
    <row r="73" spans="1:27" ht="11.25" customHeight="1" thickBot="1">
      <c r="A73" s="402"/>
      <c r="B73" s="402"/>
      <c r="C73" s="423"/>
      <c r="D73" s="423"/>
      <c r="E73" s="423"/>
      <c r="F73" s="423"/>
      <c r="G73" s="423"/>
      <c r="H73" s="424"/>
      <c r="I73" s="423"/>
      <c r="J73" s="402"/>
      <c r="X73" s="34"/>
      <c r="Y73" s="34"/>
    </row>
    <row r="74" spans="1:27" ht="45" customHeight="1" thickBot="1">
      <c r="A74" s="499" t="s">
        <v>168</v>
      </c>
      <c r="B74" s="679" t="s">
        <v>169</v>
      </c>
      <c r="C74" s="680"/>
      <c r="D74" s="500" t="s">
        <v>170</v>
      </c>
      <c r="E74" s="501" t="s">
        <v>101</v>
      </c>
      <c r="F74" s="501" t="s">
        <v>171</v>
      </c>
      <c r="G74" s="501" t="s">
        <v>172</v>
      </c>
      <c r="H74" s="501" t="s">
        <v>173</v>
      </c>
      <c r="I74" s="501" t="s">
        <v>174</v>
      </c>
      <c r="J74" s="502" t="s">
        <v>157</v>
      </c>
    </row>
    <row r="75" spans="1:27" s="426" customFormat="1" ht="14.5" customHeight="1">
      <c r="A75" s="503" t="s">
        <v>639</v>
      </c>
      <c r="B75" s="681" t="s">
        <v>641</v>
      </c>
      <c r="C75" s="682">
        <v>19.5</v>
      </c>
      <c r="D75" s="504">
        <v>13.5</v>
      </c>
      <c r="E75" s="505">
        <f>+D57*1000</f>
        <v>123170000</v>
      </c>
      <c r="F75" s="506">
        <f>+E75*D75/1000000</f>
        <v>1662.7950000000001</v>
      </c>
      <c r="G75" s="507">
        <f>+F57/1000</f>
        <v>1080</v>
      </c>
      <c r="H75" s="506">
        <f>+G75+F75</f>
        <v>2742.7950000000001</v>
      </c>
      <c r="I75" s="508">
        <f>+I57/1000</f>
        <v>235.05</v>
      </c>
      <c r="J75" s="509">
        <f>+H75/I75</f>
        <v>11.668985322271856</v>
      </c>
      <c r="K75" s="425">
        <v>0.3</v>
      </c>
      <c r="L75" s="426" t="s">
        <v>543</v>
      </c>
      <c r="M75" s="34"/>
      <c r="N75" s="661" t="s">
        <v>642</v>
      </c>
      <c r="O75"/>
      <c r="P75"/>
      <c r="Q75"/>
      <c r="R75"/>
      <c r="S75"/>
    </row>
    <row r="76" spans="1:27" s="426" customFormat="1" ht="14.5" customHeight="1">
      <c r="A76" s="503" t="s">
        <v>548</v>
      </c>
      <c r="B76" s="681" t="s">
        <v>549</v>
      </c>
      <c r="C76" s="682">
        <v>19.5</v>
      </c>
      <c r="D76" s="504">
        <v>90</v>
      </c>
      <c r="E76" s="505">
        <v>82960000</v>
      </c>
      <c r="F76" s="506">
        <f>+E76*D76/1000000</f>
        <v>7466.4</v>
      </c>
      <c r="G76" s="507">
        <f>2160-79</f>
        <v>2081</v>
      </c>
      <c r="H76" s="506">
        <f>+G76+F76</f>
        <v>9547.4</v>
      </c>
      <c r="I76" s="508">
        <v>573</v>
      </c>
      <c r="J76" s="509">
        <f>+H76/I76</f>
        <v>16.662129144851658</v>
      </c>
      <c r="K76" s="425">
        <v>0.3</v>
      </c>
      <c r="L76" s="426" t="s">
        <v>543</v>
      </c>
      <c r="M76" s="34"/>
      <c r="N76"/>
      <c r="O76"/>
      <c r="P76"/>
      <c r="Q76"/>
      <c r="R76"/>
      <c r="S76"/>
    </row>
    <row r="77" spans="1:27" s="426" customFormat="1" ht="14.5" customHeight="1">
      <c r="A77" s="503" t="s">
        <v>491</v>
      </c>
      <c r="B77" s="681" t="s">
        <v>175</v>
      </c>
      <c r="C77" s="682">
        <v>19.5</v>
      </c>
      <c r="D77" s="504">
        <v>19.5</v>
      </c>
      <c r="E77" s="505">
        <v>177560000</v>
      </c>
      <c r="F77" s="506">
        <f>+E77*D77/1000000</f>
        <v>3462.42</v>
      </c>
      <c r="G77" s="507">
        <f>2700-396.77</f>
        <v>2303.23</v>
      </c>
      <c r="H77" s="506">
        <f>+G77+F77</f>
        <v>5765.65</v>
      </c>
      <c r="I77" s="508">
        <v>356.39</v>
      </c>
      <c r="J77" s="509">
        <f>+H77/I77</f>
        <v>16.177923061814305</v>
      </c>
      <c r="K77" s="425">
        <v>0.151</v>
      </c>
      <c r="L77" s="426" t="s">
        <v>543</v>
      </c>
      <c r="M77" s="34"/>
      <c r="N77"/>
      <c r="O77"/>
      <c r="P77"/>
      <c r="Q77"/>
      <c r="R77"/>
      <c r="S77"/>
    </row>
    <row r="78" spans="1:27" s="426" customFormat="1" ht="14.5" customHeight="1">
      <c r="A78" s="503" t="s">
        <v>544</v>
      </c>
      <c r="B78" s="681" t="s">
        <v>175</v>
      </c>
      <c r="C78" s="682">
        <v>20.5</v>
      </c>
      <c r="D78" s="504" t="s">
        <v>545</v>
      </c>
      <c r="E78" s="505"/>
      <c r="F78" s="506"/>
      <c r="G78" s="507"/>
      <c r="H78" s="506">
        <v>1500</v>
      </c>
      <c r="I78" s="508">
        <v>82</v>
      </c>
      <c r="J78" s="509">
        <f>+H78/I78</f>
        <v>18.292682926829269</v>
      </c>
      <c r="K78" s="425"/>
      <c r="M78" s="34"/>
      <c r="N78"/>
      <c r="O78"/>
      <c r="P78"/>
      <c r="Q78"/>
      <c r="R78"/>
      <c r="S78"/>
    </row>
    <row r="79" spans="1:27" s="426" customFormat="1" ht="14.5" customHeight="1">
      <c r="A79" s="503" t="s">
        <v>181</v>
      </c>
      <c r="B79" s="681" t="s">
        <v>490</v>
      </c>
      <c r="C79" s="682">
        <v>72.08</v>
      </c>
      <c r="D79" s="504">
        <v>72.08</v>
      </c>
      <c r="E79" s="505">
        <v>154000000</v>
      </c>
      <c r="F79" s="506">
        <f>+E79*D79/1000000</f>
        <v>11100.32</v>
      </c>
      <c r="G79" s="507">
        <v>1090</v>
      </c>
      <c r="H79" s="506">
        <f>+G79+F79</f>
        <v>12190.32</v>
      </c>
      <c r="I79" s="508">
        <v>980</v>
      </c>
      <c r="J79" s="509">
        <f>+H79/I79</f>
        <v>12.439102040816326</v>
      </c>
      <c r="K79"/>
      <c r="M79" s="34"/>
      <c r="N79"/>
      <c r="O79"/>
      <c r="P79"/>
      <c r="Q79"/>
      <c r="R79"/>
      <c r="S79"/>
    </row>
    <row r="80" spans="1:27" s="426" customFormat="1" ht="14.5" customHeight="1">
      <c r="A80" s="503" t="s">
        <v>113</v>
      </c>
      <c r="B80" s="681" t="s">
        <v>175</v>
      </c>
      <c r="C80" s="682"/>
      <c r="D80" s="504">
        <v>47.5</v>
      </c>
      <c r="E80" s="505">
        <v>390400000</v>
      </c>
      <c r="F80" s="506">
        <f>+E80*D80/1000000</f>
        <v>18544</v>
      </c>
      <c r="G80" s="507">
        <v>6180</v>
      </c>
      <c r="H80" s="506">
        <f>+F80+G80</f>
        <v>24724</v>
      </c>
      <c r="I80" s="508">
        <v>1680</v>
      </c>
      <c r="J80" s="509">
        <f t="shared" ref="J80:J90" si="7">+H80/I80</f>
        <v>14.716666666666667</v>
      </c>
      <c r="K80"/>
      <c r="M80" s="34"/>
      <c r="N80"/>
      <c r="O80"/>
      <c r="P80"/>
      <c r="Q80"/>
      <c r="R80"/>
      <c r="S80"/>
    </row>
    <row r="81" spans="1:19" s="426" customFormat="1" ht="14.5" customHeight="1">
      <c r="A81" s="503" t="s">
        <v>176</v>
      </c>
      <c r="B81" s="678" t="s">
        <v>177</v>
      </c>
      <c r="C81" s="674"/>
      <c r="D81" s="504">
        <v>82</v>
      </c>
      <c r="E81" s="505">
        <v>33078000</v>
      </c>
      <c r="F81" s="506">
        <f>+E81*D81/1000000</f>
        <v>2712.3960000000002</v>
      </c>
      <c r="G81" s="507">
        <f>273.825+4.853</f>
        <v>278.678</v>
      </c>
      <c r="H81" s="506">
        <f t="shared" ref="H81:H87" si="8">+F81+G81</f>
        <v>2991.0740000000001</v>
      </c>
      <c r="I81" s="508">
        <f>+H81/31.9</f>
        <v>93.764075235109729</v>
      </c>
      <c r="J81" s="509">
        <f t="shared" si="7"/>
        <v>31.9</v>
      </c>
      <c r="K81"/>
      <c r="M81" s="34"/>
      <c r="N81"/>
      <c r="O81"/>
      <c r="P81"/>
      <c r="Q81"/>
      <c r="R81"/>
      <c r="S81"/>
    </row>
    <row r="82" spans="1:19" s="426" customFormat="1" ht="14.5" customHeight="1">
      <c r="A82" s="510" t="s">
        <v>178</v>
      </c>
      <c r="B82" s="673" t="s">
        <v>177</v>
      </c>
      <c r="C82" s="674"/>
      <c r="D82" s="511">
        <v>45</v>
      </c>
      <c r="E82" s="512">
        <v>73335000</v>
      </c>
      <c r="F82" s="506">
        <f>+E82*D82/1000000</f>
        <v>3300.0749999999998</v>
      </c>
      <c r="G82" s="513">
        <v>123.5</v>
      </c>
      <c r="H82" s="506">
        <f t="shared" si="8"/>
        <v>3423.5749999999998</v>
      </c>
      <c r="I82" s="514">
        <v>187.2</v>
      </c>
      <c r="J82" s="515">
        <f t="shared" si="7"/>
        <v>18.288327991452991</v>
      </c>
      <c r="K82"/>
      <c r="M82" s="34"/>
      <c r="N82"/>
      <c r="O82"/>
      <c r="P82"/>
      <c r="Q82"/>
      <c r="R82"/>
      <c r="S82"/>
    </row>
    <row r="83" spans="1:19" s="426" customFormat="1" ht="14.5" customHeight="1">
      <c r="A83" s="510" t="s">
        <v>179</v>
      </c>
      <c r="B83" s="673" t="s">
        <v>180</v>
      </c>
      <c r="C83" s="674"/>
      <c r="D83" s="511"/>
      <c r="E83" s="512"/>
      <c r="F83" s="516">
        <v>5578</v>
      </c>
      <c r="G83" s="513">
        <v>0</v>
      </c>
      <c r="H83" s="506">
        <f t="shared" si="8"/>
        <v>5578</v>
      </c>
      <c r="I83" s="514">
        <v>504</v>
      </c>
      <c r="J83" s="515">
        <f t="shared" si="7"/>
        <v>11.067460317460318</v>
      </c>
      <c r="K83"/>
      <c r="M83" s="34"/>
      <c r="N83"/>
      <c r="O83"/>
      <c r="P83"/>
      <c r="Q83"/>
      <c r="R83"/>
      <c r="S83"/>
    </row>
    <row r="84" spans="1:19" s="426" customFormat="1" ht="14.5" customHeight="1">
      <c r="A84" s="517" t="s">
        <v>181</v>
      </c>
      <c r="B84" s="673" t="s">
        <v>182</v>
      </c>
      <c r="C84" s="674"/>
      <c r="D84" s="511"/>
      <c r="E84" s="512"/>
      <c r="F84" s="516"/>
      <c r="G84" s="513"/>
      <c r="H84" s="516">
        <v>4096</v>
      </c>
      <c r="I84" s="514">
        <f>+H84/13</f>
        <v>315.07692307692309</v>
      </c>
      <c r="J84" s="515">
        <f t="shared" si="7"/>
        <v>13</v>
      </c>
      <c r="K84"/>
      <c r="M84" s="34"/>
      <c r="N84"/>
      <c r="O84"/>
      <c r="P84"/>
      <c r="Q84"/>
      <c r="R84"/>
      <c r="S84"/>
    </row>
    <row r="85" spans="1:19" s="426" customFormat="1" ht="14.5" customHeight="1">
      <c r="A85" s="517" t="s">
        <v>117</v>
      </c>
      <c r="B85" s="678" t="s">
        <v>175</v>
      </c>
      <c r="C85" s="674"/>
      <c r="D85" s="511">
        <v>12.22</v>
      </c>
      <c r="E85" s="512">
        <v>203000000</v>
      </c>
      <c r="F85" s="506">
        <f t="shared" ref="F85:F90" si="9">+E85*D85/1000000</f>
        <v>2480.66</v>
      </c>
      <c r="G85" s="513">
        <v>925.71</v>
      </c>
      <c r="H85" s="506">
        <f t="shared" si="8"/>
        <v>3406.37</v>
      </c>
      <c r="I85" s="514">
        <v>229.7</v>
      </c>
      <c r="J85" s="515">
        <f t="shared" si="7"/>
        <v>14.829647366129734</v>
      </c>
      <c r="K85"/>
      <c r="M85" s="34"/>
      <c r="N85"/>
      <c r="O85"/>
      <c r="P85"/>
      <c r="Q85"/>
      <c r="R85"/>
      <c r="S85"/>
    </row>
    <row r="86" spans="1:19" s="426" customFormat="1" ht="14.5" customHeight="1">
      <c r="A86" s="510" t="s">
        <v>183</v>
      </c>
      <c r="B86" s="673" t="s">
        <v>175</v>
      </c>
      <c r="C86" s="674"/>
      <c r="D86" s="511">
        <v>1.1499999999999999</v>
      </c>
      <c r="E86" s="512">
        <v>172053000</v>
      </c>
      <c r="F86" s="506">
        <f t="shared" si="9"/>
        <v>197.86094999999997</v>
      </c>
      <c r="G86" s="513">
        <v>2681.96</v>
      </c>
      <c r="H86" s="506">
        <f t="shared" si="8"/>
        <v>2879.8209499999998</v>
      </c>
      <c r="I86" s="514">
        <v>245</v>
      </c>
      <c r="J86" s="515">
        <f t="shared" si="7"/>
        <v>11.754371224489795</v>
      </c>
      <c r="K86" s="427"/>
      <c r="M86" s="34"/>
      <c r="N86"/>
      <c r="O86"/>
      <c r="P86"/>
      <c r="Q86"/>
      <c r="R86"/>
      <c r="S86"/>
    </row>
    <row r="87" spans="1:19" s="426" customFormat="1" ht="14.5" customHeight="1">
      <c r="A87" s="510" t="s">
        <v>115</v>
      </c>
      <c r="B87" s="673" t="s">
        <v>184</v>
      </c>
      <c r="C87" s="674"/>
      <c r="D87" s="511">
        <v>24</v>
      </c>
      <c r="E87" s="512">
        <v>19583000</v>
      </c>
      <c r="F87" s="506">
        <f t="shared" si="9"/>
        <v>469.99200000000002</v>
      </c>
      <c r="G87" s="513">
        <v>765.2</v>
      </c>
      <c r="H87" s="506">
        <f t="shared" si="8"/>
        <v>1235.192</v>
      </c>
      <c r="I87" s="514">
        <v>85</v>
      </c>
      <c r="J87" s="515">
        <f t="shared" si="7"/>
        <v>14.531670588235293</v>
      </c>
      <c r="K87" s="427"/>
      <c r="M87" s="34"/>
      <c r="N87"/>
      <c r="O87"/>
      <c r="P87"/>
      <c r="Q87"/>
      <c r="R87"/>
      <c r="S87"/>
    </row>
    <row r="88" spans="1:19" s="426" customFormat="1" ht="14.5" customHeight="1">
      <c r="A88" s="510" t="s">
        <v>185</v>
      </c>
      <c r="B88" s="673" t="s">
        <v>175</v>
      </c>
      <c r="C88" s="674"/>
      <c r="D88" s="511">
        <v>24</v>
      </c>
      <c r="E88" s="512">
        <v>40284000</v>
      </c>
      <c r="F88" s="516">
        <f t="shared" si="9"/>
        <v>966.81600000000003</v>
      </c>
      <c r="G88" s="513">
        <v>217.29</v>
      </c>
      <c r="H88" s="506">
        <f>+F88+G88</f>
        <v>1184.106</v>
      </c>
      <c r="I88" s="514">
        <v>90.07</v>
      </c>
      <c r="J88" s="515">
        <f t="shared" si="7"/>
        <v>13.14650827134451</v>
      </c>
      <c r="K88" s="427"/>
      <c r="M88" s="34"/>
      <c r="N88"/>
      <c r="O88"/>
      <c r="P88"/>
      <c r="Q88"/>
      <c r="R88"/>
      <c r="S88"/>
    </row>
    <row r="89" spans="1:19" s="426" customFormat="1" ht="14.5" customHeight="1">
      <c r="A89" s="518" t="s">
        <v>186</v>
      </c>
      <c r="B89" s="673" t="s">
        <v>175</v>
      </c>
      <c r="C89" s="674"/>
      <c r="D89" s="519">
        <v>12.25</v>
      </c>
      <c r="E89" s="520">
        <v>44808000</v>
      </c>
      <c r="F89" s="521">
        <f t="shared" si="9"/>
        <v>548.89800000000002</v>
      </c>
      <c r="G89" s="522">
        <v>243.6</v>
      </c>
      <c r="H89" s="506">
        <f>+F89+G89</f>
        <v>792.49800000000005</v>
      </c>
      <c r="I89" s="523">
        <v>55.12</v>
      </c>
      <c r="J89" s="524">
        <f t="shared" si="7"/>
        <v>14.377685050798259</v>
      </c>
      <c r="K89" s="427"/>
      <c r="M89" s="34"/>
      <c r="N89"/>
      <c r="O89"/>
      <c r="P89"/>
      <c r="Q89"/>
      <c r="R89"/>
      <c r="S89"/>
    </row>
    <row r="90" spans="1:19" s="426" customFormat="1" ht="14.5" customHeight="1" thickBot="1">
      <c r="A90" s="525" t="s">
        <v>187</v>
      </c>
      <c r="B90" s="675" t="s">
        <v>175</v>
      </c>
      <c r="C90" s="676"/>
      <c r="D90" s="526">
        <v>19.93</v>
      </c>
      <c r="E90" s="527">
        <v>95077000</v>
      </c>
      <c r="F90" s="528">
        <f t="shared" si="9"/>
        <v>1894.8846100000001</v>
      </c>
      <c r="G90" s="529">
        <v>1231.5</v>
      </c>
      <c r="H90" s="530">
        <f>+F90+G90</f>
        <v>3126.3846100000001</v>
      </c>
      <c r="I90" s="531">
        <v>224.85</v>
      </c>
      <c r="J90" s="532">
        <f t="shared" si="7"/>
        <v>13.904312252612854</v>
      </c>
      <c r="K90" s="427"/>
      <c r="M90" s="34"/>
      <c r="N90"/>
      <c r="O90"/>
      <c r="P90"/>
      <c r="Q90"/>
      <c r="R90"/>
      <c r="S90"/>
    </row>
    <row r="91" spans="1:19" ht="15" thickBot="1">
      <c r="A91" s="402"/>
      <c r="B91" s="402"/>
      <c r="C91" s="402"/>
      <c r="D91" s="402"/>
      <c r="E91" s="402"/>
      <c r="F91" s="402"/>
      <c r="G91" s="402"/>
      <c r="H91" s="402"/>
      <c r="I91" s="533" t="s">
        <v>165</v>
      </c>
      <c r="J91" s="534">
        <f>AVERAGE(J75:J90)</f>
        <v>15.422342014110868</v>
      </c>
      <c r="K91" s="420"/>
    </row>
    <row r="92" spans="1:19" ht="13.4" customHeight="1" thickBot="1">
      <c r="A92" s="497" t="s">
        <v>188</v>
      </c>
      <c r="B92" s="498">
        <f>+I92*J91</f>
        <v>11551334.16856904</v>
      </c>
      <c r="C92" s="143" t="s">
        <v>482</v>
      </c>
      <c r="D92" s="130">
        <f>+H12</f>
        <v>100.80865359133792</v>
      </c>
      <c r="E92" s="402"/>
      <c r="F92" s="402"/>
      <c r="G92" s="146"/>
      <c r="H92" s="158" t="s">
        <v>521</v>
      </c>
      <c r="I92" s="535">
        <f>+I64</f>
        <v>749000</v>
      </c>
      <c r="J92" s="460"/>
    </row>
    <row r="93" spans="1:19">
      <c r="A93" s="402"/>
      <c r="B93" s="402"/>
      <c r="C93" s="402"/>
      <c r="D93" s="402"/>
      <c r="E93" s="402"/>
      <c r="F93" s="402"/>
      <c r="G93" s="402"/>
      <c r="H93" s="402"/>
      <c r="I93" s="402"/>
      <c r="J93" s="402"/>
    </row>
    <row r="94" spans="1:19" ht="15.5">
      <c r="A94" s="421" t="s">
        <v>99</v>
      </c>
      <c r="B94" s="413"/>
      <c r="C94" s="413"/>
      <c r="D94" s="413"/>
      <c r="E94" s="413"/>
      <c r="F94" s="413"/>
      <c r="G94" s="413"/>
      <c r="H94" s="413"/>
      <c r="I94" s="413"/>
      <c r="J94" s="413"/>
    </row>
    <row r="95" spans="1:19" ht="11.5" customHeight="1">
      <c r="A95" s="428"/>
      <c r="B95" s="429"/>
      <c r="C95" s="429"/>
      <c r="D95" s="430" t="s">
        <v>189</v>
      </c>
      <c r="E95" s="431">
        <v>1</v>
      </c>
      <c r="F95" s="431">
        <v>2</v>
      </c>
      <c r="G95" s="431">
        <v>3</v>
      </c>
      <c r="H95" s="431">
        <v>4</v>
      </c>
      <c r="I95" s="431">
        <v>5</v>
      </c>
      <c r="J95" s="431">
        <v>6</v>
      </c>
    </row>
    <row r="96" spans="1:19" ht="15" thickBot="1">
      <c r="A96" s="126"/>
      <c r="B96" s="677" t="s">
        <v>487</v>
      </c>
      <c r="C96" s="671"/>
      <c r="D96" s="672"/>
      <c r="E96" s="671" t="s">
        <v>234</v>
      </c>
      <c r="F96" s="671"/>
      <c r="G96" s="671"/>
      <c r="H96" s="672"/>
      <c r="I96" s="536" t="s">
        <v>190</v>
      </c>
      <c r="J96" s="432"/>
    </row>
    <row r="97" spans="1:24" ht="15" thickBot="1">
      <c r="A97" s="433"/>
      <c r="B97" s="537">
        <v>2022</v>
      </c>
      <c r="C97" s="538">
        <v>2023</v>
      </c>
      <c r="D97" s="539">
        <v>2024</v>
      </c>
      <c r="E97" s="540">
        <f>+Projections!U7</f>
        <v>2025</v>
      </c>
      <c r="F97" s="540">
        <f>+Projections!V7</f>
        <v>2026</v>
      </c>
      <c r="G97" s="540">
        <f>+Projections!W7</f>
        <v>2027</v>
      </c>
      <c r="H97" s="540">
        <f>+Projections!X7</f>
        <v>2028</v>
      </c>
      <c r="I97" s="541">
        <f>+Projections!Y7</f>
        <v>2029</v>
      </c>
      <c r="J97" s="542">
        <f>+Projections!Z7</f>
        <v>2030</v>
      </c>
    </row>
    <row r="98" spans="1:24">
      <c r="A98" s="402" t="s">
        <v>192</v>
      </c>
      <c r="B98" s="168">
        <f>Projections!R8</f>
        <v>5891000</v>
      </c>
      <c r="C98" s="168">
        <f>Projections!S8</f>
        <v>6667000</v>
      </c>
      <c r="D98" s="169">
        <f>Projections!T8</f>
        <v>6648000</v>
      </c>
      <c r="E98" s="168">
        <f>+Projections!U8</f>
        <v>7000350</v>
      </c>
      <c r="F98" s="168">
        <f>+Projections!V8</f>
        <v>7350367.5</v>
      </c>
      <c r="G98" s="168">
        <f>+Projections!W8</f>
        <v>8085404.2500000009</v>
      </c>
      <c r="H98" s="168">
        <f>+Projections!X8</f>
        <v>8893944.6750000026</v>
      </c>
      <c r="I98" s="173">
        <f>+Projections!Y8</f>
        <v>9783339.1425000038</v>
      </c>
      <c r="J98" s="168">
        <f>+Projections!Z8</f>
        <v>10761673.056750005</v>
      </c>
      <c r="K98" s="591">
        <v>0.1</v>
      </c>
    </row>
    <row r="99" spans="1:24">
      <c r="A99" s="402" t="s">
        <v>193</v>
      </c>
      <c r="B99" s="543">
        <f>+Projections!R37</f>
        <v>0.94550858652575953</v>
      </c>
      <c r="C99" s="543">
        <f t="shared" ref="C99" si="10">+C98/B98-1</f>
        <v>0.13172636224749623</v>
      </c>
      <c r="D99" s="544">
        <f>+D98/C98-1</f>
        <v>-2.8498575071246313E-3</v>
      </c>
      <c r="E99" s="543">
        <f>E98/D98-1</f>
        <v>5.3000902527075899E-2</v>
      </c>
      <c r="F99" s="543">
        <f t="shared" ref="F99:J99" si="11">F98/E98-1</f>
        <v>5.0000000000000044E-2</v>
      </c>
      <c r="G99" s="543">
        <f t="shared" si="11"/>
        <v>0.10000000000000009</v>
      </c>
      <c r="H99" s="543">
        <f t="shared" si="11"/>
        <v>0.10000000000000009</v>
      </c>
      <c r="I99" s="545">
        <f t="shared" si="11"/>
        <v>0.10000000000000009</v>
      </c>
      <c r="J99" s="543">
        <f t="shared" si="11"/>
        <v>0.10000000000000009</v>
      </c>
      <c r="K99" s="434"/>
      <c r="L99" s="435"/>
    </row>
    <row r="100" spans="1:24">
      <c r="A100" s="402" t="s">
        <v>194</v>
      </c>
      <c r="B100" s="168">
        <f>-Projections!R11</f>
        <v>-4603000</v>
      </c>
      <c r="C100" s="168">
        <f>-Projections!S11</f>
        <v>-5361000</v>
      </c>
      <c r="D100" s="169">
        <f>-Projections!T11</f>
        <v>-5351000</v>
      </c>
      <c r="E100" s="168">
        <f>-Projections!U11</f>
        <v>-5525997.0423491169</v>
      </c>
      <c r="F100" s="168">
        <f>-Projections!V11</f>
        <v>-5802296.8944665724</v>
      </c>
      <c r="G100" s="168">
        <f>-Projections!W11</f>
        <v>-6382526.5839132303</v>
      </c>
      <c r="H100" s="168">
        <f>-Projections!X11</f>
        <v>-7020779.2423045551</v>
      </c>
      <c r="I100" s="173">
        <f>-Projections!Y11</f>
        <v>-7722857.1665350115</v>
      </c>
      <c r="J100" s="168">
        <f>-Projections!Z11</f>
        <v>-8495142.8831885122</v>
      </c>
      <c r="K100" s="592">
        <v>0.8</v>
      </c>
    </row>
    <row r="101" spans="1:24">
      <c r="A101" s="402" t="s">
        <v>195</v>
      </c>
      <c r="B101" s="170">
        <f>-Projections!R15</f>
        <v>-861000</v>
      </c>
      <c r="C101" s="170">
        <f>-Projections!S15</f>
        <v>-975000</v>
      </c>
      <c r="D101" s="171">
        <f>-Projections!T15</f>
        <v>-881000</v>
      </c>
      <c r="E101" s="170">
        <f>-Projections!U15</f>
        <v>-1026016.9780234771</v>
      </c>
      <c r="F101" s="170">
        <f>-Projections!V15</f>
        <v>-1077317.8269246509</v>
      </c>
      <c r="G101" s="170">
        <f>-Projections!W15</f>
        <v>-1185049.6096171162</v>
      </c>
      <c r="H101" s="170">
        <f>-Projections!X15</f>
        <v>-1303554.570578828</v>
      </c>
      <c r="I101" s="174">
        <f>-Projections!Y15</f>
        <v>-1433910.027636711</v>
      </c>
      <c r="J101" s="170">
        <f>-Projections!Z15</f>
        <v>-1577301.0304003821</v>
      </c>
      <c r="K101" s="593">
        <v>0.12</v>
      </c>
      <c r="M101" s="34" t="s">
        <v>528</v>
      </c>
    </row>
    <row r="102" spans="1:24" ht="15" thickBot="1">
      <c r="A102" s="402" t="s">
        <v>196</v>
      </c>
      <c r="B102" s="546">
        <f t="shared" ref="B102:C102" si="12">SUM(B98:B101)</f>
        <v>427000.94550858624</v>
      </c>
      <c r="C102" s="546">
        <f t="shared" si="12"/>
        <v>331000.13172636181</v>
      </c>
      <c r="D102" s="547">
        <f>SUM(D98:D101)</f>
        <v>415999.99715014268</v>
      </c>
      <c r="E102" s="168">
        <f>+E98+E100+E101</f>
        <v>448335.97962740599</v>
      </c>
      <c r="F102" s="168">
        <f t="shared" ref="F102:J102" si="13">+F98+F100+F101</f>
        <v>470752.77860877663</v>
      </c>
      <c r="G102" s="168">
        <f t="shared" si="13"/>
        <v>517828.05646965443</v>
      </c>
      <c r="H102" s="168">
        <f t="shared" si="13"/>
        <v>569610.86211661948</v>
      </c>
      <c r="I102" s="173">
        <f t="shared" si="13"/>
        <v>626571.94832828129</v>
      </c>
      <c r="J102" s="168">
        <f t="shared" si="13"/>
        <v>689229.14316111081</v>
      </c>
      <c r="K102" s="434"/>
      <c r="M102" s="436" t="s">
        <v>529</v>
      </c>
      <c r="X102" s="44"/>
    </row>
    <row r="103" spans="1:24" ht="15" thickBot="1">
      <c r="A103" s="402" t="s">
        <v>197</v>
      </c>
      <c r="B103" s="276">
        <v>0.22</v>
      </c>
      <c r="C103" s="402"/>
      <c r="D103" s="547"/>
      <c r="E103" s="168">
        <f>-$B$103*E102</f>
        <v>-98633.915518029316</v>
      </c>
      <c r="F103" s="168">
        <f t="shared" ref="F103:J103" si="14">-$B$103*F102</f>
        <v>-103565.61129393087</v>
      </c>
      <c r="G103" s="168">
        <f t="shared" si="14"/>
        <v>-113922.17242332398</v>
      </c>
      <c r="H103" s="168">
        <f t="shared" si="14"/>
        <v>-125314.38966565629</v>
      </c>
      <c r="I103" s="173">
        <f t="shared" si="14"/>
        <v>-137845.82863222188</v>
      </c>
      <c r="J103" s="168">
        <f t="shared" si="14"/>
        <v>-151630.41149544439</v>
      </c>
      <c r="K103" s="434"/>
      <c r="M103" s="437" t="s">
        <v>530</v>
      </c>
    </row>
    <row r="104" spans="1:24">
      <c r="A104" s="402" t="s">
        <v>198</v>
      </c>
      <c r="B104" s="402"/>
      <c r="C104" s="402"/>
      <c r="D104" s="438"/>
      <c r="E104" s="168">
        <f>Projections!U25</f>
        <v>584858.80102803209</v>
      </c>
      <c r="F104" s="168">
        <f>Projections!V25</f>
        <v>614101.7410794337</v>
      </c>
      <c r="G104" s="168">
        <f>Projections!W25</f>
        <v>675511.91518737713</v>
      </c>
      <c r="H104" s="168">
        <f>Projections!X25</f>
        <v>743063.10670611495</v>
      </c>
      <c r="I104" s="173">
        <f>Projections!Y25</f>
        <v>817369.41737672652</v>
      </c>
      <c r="J104" s="168">
        <f>Projections!Z25</f>
        <v>899106.3591143993</v>
      </c>
      <c r="K104" s="593">
        <v>0.08</v>
      </c>
      <c r="M104" s="439" t="s">
        <v>531</v>
      </c>
    </row>
    <row r="105" spans="1:24">
      <c r="A105" s="402" t="s">
        <v>485</v>
      </c>
      <c r="B105" s="402"/>
      <c r="C105" s="402"/>
      <c r="D105" s="438"/>
      <c r="E105" s="168">
        <f>Projections!U26</f>
        <v>69441.21427548799</v>
      </c>
      <c r="F105" s="168">
        <f>Projections!V26</f>
        <v>72913.274989262383</v>
      </c>
      <c r="G105" s="168">
        <f>Projections!W26</f>
        <v>80204.602488188626</v>
      </c>
      <c r="H105" s="168">
        <f>Projections!X26</f>
        <v>88225.062737007509</v>
      </c>
      <c r="I105" s="173">
        <f>Projections!Y26</f>
        <v>97047.569010708263</v>
      </c>
      <c r="J105" s="168">
        <f>Projections!Z26</f>
        <v>106752.3259117791</v>
      </c>
      <c r="K105" s="594">
        <v>4.0000000000000001E-3</v>
      </c>
      <c r="M105" s="440" t="s">
        <v>532</v>
      </c>
      <c r="N105" t="s">
        <v>533</v>
      </c>
    </row>
    <row r="106" spans="1:24">
      <c r="A106" s="402" t="s">
        <v>199</v>
      </c>
      <c r="B106" s="402"/>
      <c r="C106" s="402"/>
      <c r="D106" s="438"/>
      <c r="E106" s="168">
        <f>Projections!U27</f>
        <v>-427164.8200249272</v>
      </c>
      <c r="F106" s="168">
        <f>Projections!V27</f>
        <v>-448523.06102617359</v>
      </c>
      <c r="G106" s="168">
        <f>Projections!W27</f>
        <v>-493375.367128791</v>
      </c>
      <c r="H106" s="168">
        <f>Projections!X27</f>
        <v>-542712.90384167014</v>
      </c>
      <c r="I106" s="173">
        <f>Projections!Y27</f>
        <v>-596984.19422583724</v>
      </c>
      <c r="J106" s="168">
        <f>Projections!Z27</f>
        <v>-656682.61364842101</v>
      </c>
      <c r="K106" s="594">
        <v>0.06</v>
      </c>
    </row>
    <row r="107" spans="1:24" ht="15" thickBot="1">
      <c r="A107" s="402" t="s">
        <v>200</v>
      </c>
      <c r="B107" s="402"/>
      <c r="C107" s="402"/>
      <c r="D107" s="438"/>
      <c r="E107" s="548">
        <f>SUM(E102:E106)</f>
        <v>576837.25938796951</v>
      </c>
      <c r="F107" s="549">
        <f t="shared" ref="F107:J107" si="15">SUM(F102:F106)</f>
        <v>605679.12235736824</v>
      </c>
      <c r="G107" s="549">
        <f t="shared" si="15"/>
        <v>666247.03459310508</v>
      </c>
      <c r="H107" s="549">
        <f t="shared" si="15"/>
        <v>732871.73805241566</v>
      </c>
      <c r="I107" s="550">
        <f t="shared" si="15"/>
        <v>806158.9118576569</v>
      </c>
      <c r="J107" s="551">
        <f t="shared" si="15"/>
        <v>886774.80304342404</v>
      </c>
      <c r="K107" s="434"/>
    </row>
    <row r="108" spans="1:24" ht="7.5" customHeight="1" thickTop="1">
      <c r="A108" s="441"/>
      <c r="B108" s="441"/>
      <c r="C108" s="441"/>
      <c r="D108" s="170"/>
      <c r="E108" s="170"/>
      <c r="F108" s="170"/>
      <c r="G108" s="170"/>
      <c r="H108" s="170"/>
      <c r="I108" s="174"/>
      <c r="J108" s="168"/>
      <c r="K108" s="434"/>
    </row>
    <row r="109" spans="1:24">
      <c r="A109" s="442" t="s">
        <v>103</v>
      </c>
      <c r="B109" s="442"/>
      <c r="C109" s="442"/>
      <c r="D109" s="181">
        <f>+Projections!T35</f>
        <v>749000</v>
      </c>
      <c r="E109" s="181"/>
      <c r="F109" s="181"/>
      <c r="G109" s="181"/>
      <c r="H109" s="181"/>
      <c r="I109" s="552">
        <f>I102+I104</f>
        <v>1443941.3657050077</v>
      </c>
      <c r="J109" s="535"/>
      <c r="K109" s="434"/>
      <c r="M109" s="34" t="s">
        <v>595</v>
      </c>
    </row>
    <row r="110" spans="1:24" ht="12" customHeight="1">
      <c r="A110" s="553" t="s">
        <v>201</v>
      </c>
      <c r="B110" s="553"/>
      <c r="C110" s="553"/>
      <c r="D110" s="554">
        <f>+D6</f>
        <v>3056000</v>
      </c>
      <c r="E110" s="554"/>
      <c r="F110" s="554"/>
      <c r="G110" s="554"/>
      <c r="H110" s="554"/>
      <c r="I110" s="555">
        <f>Projections!Y47</f>
        <v>2349000</v>
      </c>
      <c r="J110" s="556"/>
      <c r="K110" s="434"/>
    </row>
    <row r="111" spans="1:24" ht="7.5" customHeight="1">
      <c r="A111" s="402"/>
      <c r="B111" s="402"/>
      <c r="C111" s="402"/>
      <c r="D111" s="402"/>
      <c r="E111" s="402"/>
      <c r="F111" s="402"/>
      <c r="G111" s="402"/>
      <c r="H111" s="402"/>
      <c r="I111" s="443"/>
      <c r="J111" s="402"/>
      <c r="K111" s="434"/>
    </row>
    <row r="112" spans="1:24" ht="15" thickBot="1">
      <c r="A112" s="557" t="s">
        <v>202</v>
      </c>
      <c r="B112" s="558" t="s">
        <v>191</v>
      </c>
      <c r="C112" s="402"/>
      <c r="D112" s="559" t="s">
        <v>203</v>
      </c>
      <c r="E112" s="402"/>
      <c r="F112" s="402"/>
      <c r="G112" s="402"/>
      <c r="H112" s="402"/>
      <c r="I112" s="443"/>
      <c r="J112" s="402"/>
      <c r="K112" s="434"/>
    </row>
    <row r="113" spans="1:15">
      <c r="A113" s="402" t="s">
        <v>204</v>
      </c>
      <c r="B113" s="465">
        <f>J67</f>
        <v>16.810953308622341</v>
      </c>
      <c r="C113" s="402"/>
      <c r="D113" s="444"/>
      <c r="E113" s="445"/>
      <c r="F113" s="402" t="s">
        <v>506</v>
      </c>
      <c r="G113" s="402"/>
      <c r="H113" s="402"/>
      <c r="I113" s="446">
        <f>B113*I109</f>
        <v>24274030.879255261</v>
      </c>
      <c r="J113" s="402"/>
      <c r="K113" s="434"/>
    </row>
    <row r="114" spans="1:15">
      <c r="A114" s="402" t="s">
        <v>205</v>
      </c>
      <c r="B114" s="466">
        <f>J125</f>
        <v>0.11362556896920478</v>
      </c>
      <c r="C114" s="142" t="s">
        <v>218</v>
      </c>
      <c r="D114" s="467">
        <v>0.08</v>
      </c>
      <c r="E114" s="445"/>
      <c r="F114" s="402" t="s">
        <v>507</v>
      </c>
      <c r="G114" s="402"/>
      <c r="H114" s="402"/>
      <c r="I114" s="173">
        <f>J107/(B114-D114)</f>
        <v>26372038.607155073</v>
      </c>
      <c r="J114" s="402"/>
      <c r="K114" s="434"/>
    </row>
    <row r="115" spans="1:15">
      <c r="A115" s="402" t="s">
        <v>165</v>
      </c>
      <c r="B115" s="423"/>
      <c r="C115" s="402"/>
      <c r="D115" s="560"/>
      <c r="E115" s="402"/>
      <c r="F115" s="402"/>
      <c r="G115" s="402"/>
      <c r="H115" s="402"/>
      <c r="I115" s="235">
        <f>AVERAGE(I113:I114)</f>
        <v>25323034.743205167</v>
      </c>
      <c r="J115" s="402"/>
      <c r="K115" s="434"/>
    </row>
    <row r="116" spans="1:15">
      <c r="A116" s="402" t="s">
        <v>206</v>
      </c>
      <c r="B116" s="423"/>
      <c r="C116" s="402"/>
      <c r="D116" s="403"/>
      <c r="E116" s="402"/>
      <c r="F116" s="402"/>
      <c r="G116" s="402"/>
      <c r="H116" s="402"/>
      <c r="I116" s="446">
        <f>-I110</f>
        <v>-2349000</v>
      </c>
      <c r="J116" s="402"/>
      <c r="K116" s="434"/>
    </row>
    <row r="117" spans="1:15" ht="16.5" customHeight="1" thickBot="1">
      <c r="A117" s="402" t="s">
        <v>207</v>
      </c>
      <c r="B117" s="423"/>
      <c r="C117" s="402"/>
      <c r="D117" s="402"/>
      <c r="E117" s="402"/>
      <c r="F117" s="402"/>
      <c r="G117" s="402"/>
      <c r="H117" s="402"/>
      <c r="I117" s="448">
        <f>+I115+I116</f>
        <v>22974034.743205167</v>
      </c>
      <c r="J117" s="402"/>
    </row>
    <row r="118" spans="1:15" ht="15.5" thickTop="1" thickBot="1">
      <c r="A118" s="449" t="s">
        <v>208</v>
      </c>
      <c r="B118" s="561">
        <f>+B126</f>
        <v>0.12064597782908645</v>
      </c>
      <c r="C118" s="449"/>
      <c r="D118" s="562"/>
      <c r="E118" s="563">
        <f>+E107</f>
        <v>576837.25938796951</v>
      </c>
      <c r="F118" s="563">
        <f t="shared" ref="F118:H118" si="16">+F107</f>
        <v>605679.12235736824</v>
      </c>
      <c r="G118" s="563">
        <f t="shared" si="16"/>
        <v>666247.03459310508</v>
      </c>
      <c r="H118" s="563">
        <f t="shared" si="16"/>
        <v>732871.73805241566</v>
      </c>
      <c r="I118" s="563">
        <f>+I107+I117</f>
        <v>23780193.655062824</v>
      </c>
      <c r="J118" s="402"/>
    </row>
    <row r="119" spans="1:15" ht="15.5" thickTop="1" thickBot="1">
      <c r="A119" s="450" t="s">
        <v>535</v>
      </c>
      <c r="B119" s="451"/>
      <c r="C119" s="451"/>
      <c r="D119" s="275">
        <f>NPV(B118,E118:I118)</f>
        <v>15389780.464346435</v>
      </c>
      <c r="E119" s="564"/>
      <c r="F119" s="564"/>
      <c r="G119" s="564"/>
      <c r="H119" s="564"/>
      <c r="I119" s="564"/>
      <c r="J119" s="402"/>
      <c r="K119" t="s">
        <v>534</v>
      </c>
    </row>
    <row r="120" spans="1:15" ht="15" thickBot="1">
      <c r="A120" s="402"/>
      <c r="B120" s="402"/>
      <c r="C120" s="143" t="s">
        <v>502</v>
      </c>
      <c r="D120" s="172">
        <f>+D119/D64</f>
        <v>165.19729996078183</v>
      </c>
      <c r="E120" s="218" t="s">
        <v>542</v>
      </c>
      <c r="F120" s="402"/>
      <c r="G120" s="402"/>
      <c r="H120" s="402"/>
      <c r="I120" s="402"/>
      <c r="J120" s="402"/>
      <c r="M120" s="34" t="s">
        <v>497</v>
      </c>
      <c r="N120" s="43">
        <f>+'Historical Analysis'!E49</f>
        <v>660000</v>
      </c>
      <c r="O120" s="43">
        <f>'Historical Analysis'!F49</f>
        <v>10000</v>
      </c>
    </row>
    <row r="121" spans="1:15" ht="15" thickBot="1">
      <c r="A121" s="402"/>
      <c r="B121" s="402"/>
      <c r="C121" s="402"/>
      <c r="D121" s="402"/>
      <c r="E121" s="402"/>
      <c r="F121" s="402"/>
      <c r="G121" s="402"/>
      <c r="H121" s="402"/>
      <c r="I121" s="402"/>
      <c r="J121" s="402"/>
      <c r="N121" s="43"/>
      <c r="O121" s="43"/>
    </row>
    <row r="122" spans="1:15" ht="15" thickBot="1">
      <c r="A122" s="452" t="s">
        <v>526</v>
      </c>
      <c r="B122" s="453"/>
      <c r="C122" s="402"/>
      <c r="D122" s="565"/>
      <c r="E122" s="452" t="s">
        <v>215</v>
      </c>
      <c r="F122" s="454" t="s">
        <v>486</v>
      </c>
      <c r="G122" s="454" t="s">
        <v>216</v>
      </c>
      <c r="H122" s="454" t="s">
        <v>489</v>
      </c>
      <c r="I122" s="454" t="s">
        <v>217</v>
      </c>
      <c r="J122" s="455" t="s">
        <v>218</v>
      </c>
      <c r="M122" s="34" t="s">
        <v>498</v>
      </c>
      <c r="N122" s="43">
        <f>+'Historical Analysis'!E53</f>
        <v>2453000</v>
      </c>
      <c r="O122" s="43">
        <f>+'Historical Analysis'!F53</f>
        <v>3968000</v>
      </c>
    </row>
    <row r="123" spans="1:15">
      <c r="A123" s="180" t="s">
        <v>210</v>
      </c>
      <c r="B123" s="566">
        <f>+B36</f>
        <v>3.8670000000000003E-2</v>
      </c>
      <c r="C123" s="402"/>
      <c r="D123" s="565"/>
      <c r="E123" s="180" t="s">
        <v>128</v>
      </c>
      <c r="F123" s="535">
        <f>Projections!S47</f>
        <v>3056000</v>
      </c>
      <c r="G123" s="567">
        <f>+F123/F125</f>
        <v>0.19003047402305806</v>
      </c>
      <c r="H123" s="568">
        <f>B131</f>
        <v>0.10731074728481116</v>
      </c>
      <c r="I123" s="568">
        <f>H123*(1-B103)</f>
        <v>8.3702382882152704E-2</v>
      </c>
      <c r="J123" s="569">
        <f>I123*G123</f>
        <v>1.590600349595498E-2</v>
      </c>
      <c r="M123" s="34" t="s">
        <v>253</v>
      </c>
      <c r="N123" s="43">
        <f>SUM(N120:N122)</f>
        <v>3113000</v>
      </c>
      <c r="O123" s="43">
        <f>SUM(O120:O122)</f>
        <v>3978000</v>
      </c>
    </row>
    <row r="124" spans="1:15">
      <c r="A124" s="180" t="s">
        <v>211</v>
      </c>
      <c r="B124" s="570">
        <f>B38</f>
        <v>5.5E-2</v>
      </c>
      <c r="C124" s="402"/>
      <c r="D124" s="565"/>
      <c r="E124" s="180" t="s">
        <v>501</v>
      </c>
      <c r="F124" s="535">
        <f>E31</f>
        <v>13025631.199999999</v>
      </c>
      <c r="G124" s="567">
        <f>+F124/F125</f>
        <v>0.80996952597694194</v>
      </c>
      <c r="H124" s="568">
        <f>+B126</f>
        <v>0.12064597782908645</v>
      </c>
      <c r="I124" s="571">
        <f>H124</f>
        <v>0.12064597782908645</v>
      </c>
      <c r="J124" s="569">
        <f>+I124*G124</f>
        <v>9.7719565473249795E-2</v>
      </c>
      <c r="O124" s="44">
        <f>AVERAGE(N123:O123)</f>
        <v>3545500</v>
      </c>
    </row>
    <row r="125" spans="1:15" ht="15" thickBot="1">
      <c r="A125" s="180" t="s">
        <v>213</v>
      </c>
      <c r="B125" s="572">
        <f>+K64</f>
        <v>1.490472324165208</v>
      </c>
      <c r="C125" s="402"/>
      <c r="D125" s="565"/>
      <c r="E125" s="573" t="s">
        <v>508</v>
      </c>
      <c r="F125" s="574">
        <f>SUM(F123:F124)</f>
        <v>16081631.199999999</v>
      </c>
      <c r="G125" s="575">
        <f>+G123+G124</f>
        <v>1</v>
      </c>
      <c r="H125" s="576"/>
      <c r="I125" s="595" t="s">
        <v>596</v>
      </c>
      <c r="J125" s="577">
        <f>J124+J123</f>
        <v>0.11362556896920478</v>
      </c>
    </row>
    <row r="126" spans="1:15" ht="15" thickBot="1">
      <c r="A126" s="573" t="s">
        <v>214</v>
      </c>
      <c r="B126" s="578">
        <f>B123+B125*B124</f>
        <v>0.12064597782908645</v>
      </c>
      <c r="C126" s="402"/>
      <c r="D126" s="402"/>
      <c r="E126" s="445"/>
      <c r="F126" s="402"/>
      <c r="G126" s="402"/>
      <c r="H126" s="402"/>
      <c r="I126" s="402"/>
      <c r="J126" s="402"/>
    </row>
    <row r="127" spans="1:15" ht="17.149999999999999" customHeight="1" thickBot="1">
      <c r="A127" s="402"/>
      <c r="B127" s="402"/>
      <c r="C127" s="402"/>
      <c r="D127" s="402"/>
      <c r="E127" s="402"/>
      <c r="F127" s="402"/>
      <c r="G127" s="402"/>
      <c r="H127" s="402"/>
      <c r="I127" s="402"/>
      <c r="J127" s="402"/>
    </row>
    <row r="128" spans="1:15" ht="15" thickBot="1">
      <c r="A128" s="452" t="s">
        <v>525</v>
      </c>
      <c r="B128" s="453"/>
      <c r="C128" s="402"/>
      <c r="D128" s="402"/>
      <c r="E128" s="579" t="s">
        <v>523</v>
      </c>
      <c r="F128" s="579"/>
      <c r="G128" s="579"/>
      <c r="H128" s="580">
        <f>+J125</f>
        <v>0.11362556896920478</v>
      </c>
      <c r="I128" s="402"/>
      <c r="J128" s="402"/>
    </row>
    <row r="129" spans="1:15">
      <c r="A129" s="581" t="s">
        <v>488</v>
      </c>
      <c r="B129" s="582">
        <f>AVERAGE(Projections!R31:S31)</f>
        <v>3084500</v>
      </c>
      <c r="C129" s="402"/>
      <c r="D129" s="402"/>
      <c r="E129" s="579" t="s">
        <v>524</v>
      </c>
      <c r="F129" s="579"/>
      <c r="G129" s="579"/>
      <c r="H129" s="580">
        <f>+B126</f>
        <v>0.12064597782908645</v>
      </c>
      <c r="I129" s="402"/>
      <c r="J129" s="402"/>
    </row>
    <row r="130" spans="1:15" ht="15" thickBot="1">
      <c r="A130" s="583" t="s">
        <v>209</v>
      </c>
      <c r="B130" s="584">
        <f>+'Historical Analysis'!D12</f>
        <v>331000</v>
      </c>
      <c r="C130" s="402"/>
      <c r="D130" s="402"/>
      <c r="E130" s="402"/>
      <c r="F130" s="402"/>
      <c r="G130" s="402"/>
      <c r="H130" s="402"/>
      <c r="I130" s="402"/>
      <c r="J130" s="402"/>
    </row>
    <row r="131" spans="1:15" ht="15" thickBot="1">
      <c r="A131" s="585" t="s">
        <v>212</v>
      </c>
      <c r="B131" s="219">
        <f>+B130/B129</f>
        <v>0.10731074728481116</v>
      </c>
      <c r="C131" s="402"/>
      <c r="D131" s="402"/>
      <c r="E131" s="402"/>
      <c r="F131" s="402"/>
      <c r="G131" s="402"/>
      <c r="H131" s="402"/>
      <c r="I131" s="402"/>
      <c r="J131" s="402"/>
    </row>
    <row r="132" spans="1:15">
      <c r="A132" s="402"/>
      <c r="B132" s="402"/>
      <c r="C132" s="402"/>
      <c r="D132" s="402"/>
      <c r="E132" s="402"/>
      <c r="F132" s="402"/>
      <c r="G132" s="402"/>
      <c r="H132" s="402"/>
      <c r="I132" s="402"/>
      <c r="J132" s="402"/>
      <c r="N132" s="43"/>
      <c r="O132" s="43"/>
    </row>
    <row r="133" spans="1:15">
      <c r="A133" s="119" t="s">
        <v>565</v>
      </c>
      <c r="B133" s="116"/>
      <c r="C133" s="116"/>
      <c r="D133" s="116"/>
      <c r="E133" s="116"/>
      <c r="F133" s="116"/>
      <c r="G133" s="116"/>
      <c r="H133" s="116"/>
      <c r="I133" s="116"/>
      <c r="J133" s="116"/>
    </row>
    <row r="134" spans="1:15" ht="17.5" customHeight="1">
      <c r="A134" s="294" t="s">
        <v>571</v>
      </c>
      <c r="B134" s="126" t="s">
        <v>569</v>
      </c>
      <c r="C134" s="293" t="s">
        <v>486</v>
      </c>
      <c r="D134" s="293" t="s">
        <v>578</v>
      </c>
      <c r="E134" s="126"/>
      <c r="F134" s="294" t="s">
        <v>572</v>
      </c>
      <c r="G134" s="294"/>
      <c r="H134" s="294" t="s">
        <v>576</v>
      </c>
      <c r="I134" s="294" t="s">
        <v>556</v>
      </c>
      <c r="J134" s="294" t="s">
        <v>577</v>
      </c>
    </row>
    <row r="135" spans="1:15" ht="13" customHeight="1">
      <c r="A135" s="402" t="s">
        <v>566</v>
      </c>
      <c r="B135" s="468">
        <v>3.5</v>
      </c>
      <c r="C135" s="403">
        <f>+B135*B66</f>
        <v>2621500</v>
      </c>
      <c r="D135" s="296">
        <f>+C135/$C$139</f>
        <v>0.15142797939711822</v>
      </c>
      <c r="E135" s="296"/>
      <c r="F135" s="402" t="s">
        <v>573</v>
      </c>
      <c r="G135" s="402"/>
      <c r="H135" s="470">
        <f>+H6</f>
        <v>139.82</v>
      </c>
      <c r="I135" s="469">
        <f>+D64</f>
        <v>93160</v>
      </c>
      <c r="J135" s="456">
        <f>+I135*H135</f>
        <v>13025631.199999999</v>
      </c>
    </row>
    <row r="136" spans="1:15" ht="13" customHeight="1">
      <c r="A136" s="402" t="s">
        <v>567</v>
      </c>
      <c r="B136" s="468">
        <f>+B137-B135</f>
        <v>2.5</v>
      </c>
      <c r="C136" s="403">
        <f>+C137-C135</f>
        <v>1872500</v>
      </c>
      <c r="D136" s="296">
        <f t="shared" ref="D136:D139" si="17">+C136/$C$139</f>
        <v>0.108162842426513</v>
      </c>
      <c r="E136" s="296"/>
      <c r="F136" s="402" t="s">
        <v>574</v>
      </c>
      <c r="G136" s="402"/>
      <c r="H136" s="402"/>
      <c r="I136" s="402"/>
      <c r="J136" s="403">
        <f>+F64</f>
        <v>3782000</v>
      </c>
    </row>
    <row r="137" spans="1:15" ht="13" customHeight="1">
      <c r="A137" s="402" t="s">
        <v>570</v>
      </c>
      <c r="B137" s="468">
        <v>6</v>
      </c>
      <c r="C137" s="457">
        <f>B137*B66</f>
        <v>4494000</v>
      </c>
      <c r="D137" s="296">
        <f t="shared" si="17"/>
        <v>0.25959082182363119</v>
      </c>
      <c r="E137" s="296"/>
      <c r="F137" s="402" t="s">
        <v>575</v>
      </c>
      <c r="G137" s="402"/>
      <c r="H137" s="466">
        <v>0.03</v>
      </c>
      <c r="I137" s="402"/>
      <c r="J137" s="403">
        <f>+H137*(J136+J135)</f>
        <v>504228.93599999999</v>
      </c>
    </row>
    <row r="138" spans="1:15" ht="13" customHeight="1">
      <c r="A138" s="402" t="s">
        <v>568</v>
      </c>
      <c r="B138" s="468">
        <f>C138/B66</f>
        <v>17.113297911882508</v>
      </c>
      <c r="C138" s="403">
        <f>+J139-C137</f>
        <v>12817860.136</v>
      </c>
      <c r="D138" s="296">
        <f t="shared" si="17"/>
        <v>0.74040917817636875</v>
      </c>
      <c r="E138" s="296"/>
      <c r="F138" s="402"/>
      <c r="G138" s="402"/>
      <c r="H138" s="402"/>
      <c r="I138" s="402"/>
      <c r="J138" s="402"/>
    </row>
    <row r="139" spans="1:15" ht="13" customHeight="1" thickBot="1">
      <c r="A139" s="402" t="s">
        <v>253</v>
      </c>
      <c r="B139" s="402"/>
      <c r="C139" s="458">
        <f>C138+C137</f>
        <v>17311860.136</v>
      </c>
      <c r="D139" s="297">
        <f t="shared" si="17"/>
        <v>1</v>
      </c>
      <c r="E139" s="296"/>
      <c r="F139" s="402" t="s">
        <v>253</v>
      </c>
      <c r="G139" s="402"/>
      <c r="H139" s="402"/>
      <c r="I139" s="402"/>
      <c r="J139" s="459">
        <f>SUM(J135:J137)</f>
        <v>17311860.136</v>
      </c>
    </row>
    <row r="140" spans="1:15" ht="13" customHeight="1" thickTop="1">
      <c r="A140" s="402"/>
      <c r="B140" s="402"/>
      <c r="C140" s="402"/>
      <c r="D140" s="402"/>
      <c r="E140" s="296"/>
      <c r="F140" s="402"/>
      <c r="G140" s="402"/>
      <c r="H140" s="402"/>
      <c r="I140" s="402"/>
      <c r="J140" s="402"/>
    </row>
    <row r="141" spans="1:15" ht="13" customHeight="1">
      <c r="A141" s="142" t="s">
        <v>581</v>
      </c>
      <c r="B141" s="402"/>
      <c r="C141" s="402"/>
      <c r="D141" s="402"/>
      <c r="E141" s="402"/>
      <c r="F141" s="402"/>
      <c r="G141" s="402"/>
      <c r="H141" s="402"/>
      <c r="I141" s="402"/>
      <c r="J141" s="402"/>
    </row>
    <row r="142" spans="1:15" ht="13" customHeight="1">
      <c r="A142" s="402" t="s">
        <v>582</v>
      </c>
      <c r="B142" s="301">
        <v>0.6</v>
      </c>
      <c r="C142" s="402"/>
      <c r="D142" s="402"/>
      <c r="E142" s="295">
        <f>$B$142*Projections!U40</f>
        <v>8.7939915406242006E-2</v>
      </c>
      <c r="F142" s="295">
        <f>$B$142*Projections!V40</f>
        <v>8.7939915406242006E-2</v>
      </c>
      <c r="G142" s="295">
        <f>$B$142*Projections!W40</f>
        <v>8.7939915406242006E-2</v>
      </c>
      <c r="H142" s="295">
        <f>$B$142*Projections!X40</f>
        <v>8.7939915406242006E-2</v>
      </c>
      <c r="I142" s="295">
        <f>$B$142*Projections!Y40</f>
        <v>8.7939915406242006E-2</v>
      </c>
      <c r="J142" s="295">
        <f>$B$142*Projections!Z40</f>
        <v>8.7939915406242006E-2</v>
      </c>
    </row>
    <row r="143" spans="1:15" ht="13" customHeight="1">
      <c r="A143" s="402"/>
      <c r="B143" s="402"/>
      <c r="C143" s="402"/>
      <c r="D143" s="402"/>
      <c r="E143" s="402"/>
      <c r="F143" s="402"/>
      <c r="G143" s="402"/>
      <c r="H143" s="402"/>
      <c r="I143" s="402"/>
      <c r="J143" s="402"/>
    </row>
    <row r="144" spans="1:15" ht="11.5" customHeight="1">
      <c r="A144" s="428"/>
      <c r="B144" s="429"/>
      <c r="C144" s="429"/>
      <c r="D144" s="430" t="s">
        <v>189</v>
      </c>
      <c r="E144" s="431">
        <v>1</v>
      </c>
      <c r="F144" s="431">
        <v>2</v>
      </c>
      <c r="G144" s="431">
        <v>3</v>
      </c>
      <c r="H144" s="431">
        <v>4</v>
      </c>
      <c r="I144" s="431">
        <v>5</v>
      </c>
      <c r="J144" s="431">
        <v>6</v>
      </c>
    </row>
    <row r="145" spans="1:24" ht="15" thickBot="1">
      <c r="A145" s="659"/>
      <c r="B145" s="668" t="s">
        <v>487</v>
      </c>
      <c r="C145" s="669"/>
      <c r="D145" s="670"/>
      <c r="E145" s="669" t="s">
        <v>234</v>
      </c>
      <c r="F145" s="669"/>
      <c r="G145" s="669"/>
      <c r="H145" s="670"/>
      <c r="I145" s="536" t="s">
        <v>190</v>
      </c>
      <c r="J145" s="658"/>
    </row>
    <row r="146" spans="1:24" ht="15" thickBot="1">
      <c r="A146" s="433"/>
      <c r="B146" s="537">
        <f t="shared" ref="B146:J146" si="18">B97</f>
        <v>2022</v>
      </c>
      <c r="C146" s="538">
        <f t="shared" si="18"/>
        <v>2023</v>
      </c>
      <c r="D146" s="539">
        <f t="shared" si="18"/>
        <v>2024</v>
      </c>
      <c r="E146" s="540">
        <f t="shared" si="18"/>
        <v>2025</v>
      </c>
      <c r="F146" s="540">
        <f t="shared" si="18"/>
        <v>2026</v>
      </c>
      <c r="G146" s="540">
        <f t="shared" si="18"/>
        <v>2027</v>
      </c>
      <c r="H146" s="540">
        <f t="shared" si="18"/>
        <v>2028</v>
      </c>
      <c r="I146" s="541">
        <f t="shared" si="18"/>
        <v>2029</v>
      </c>
      <c r="J146" s="542">
        <f t="shared" si="18"/>
        <v>2030</v>
      </c>
    </row>
    <row r="147" spans="1:24">
      <c r="A147" s="402" t="s">
        <v>192</v>
      </c>
      <c r="B147" s="168">
        <f t="shared" ref="B147:J147" si="19">B98</f>
        <v>5891000</v>
      </c>
      <c r="C147" s="168">
        <f t="shared" si="19"/>
        <v>6667000</v>
      </c>
      <c r="D147" s="169">
        <f t="shared" si="19"/>
        <v>6648000</v>
      </c>
      <c r="E147" s="168">
        <f t="shared" si="19"/>
        <v>7000350</v>
      </c>
      <c r="F147" s="168">
        <f t="shared" si="19"/>
        <v>7350367.5</v>
      </c>
      <c r="G147" s="168">
        <f t="shared" si="19"/>
        <v>8085404.2500000009</v>
      </c>
      <c r="H147" s="168">
        <f t="shared" si="19"/>
        <v>8893944.6750000026</v>
      </c>
      <c r="I147" s="173">
        <f t="shared" si="19"/>
        <v>9783339.1425000038</v>
      </c>
      <c r="J147" s="168">
        <f t="shared" si="19"/>
        <v>10761673.056750005</v>
      </c>
    </row>
    <row r="148" spans="1:24">
      <c r="A148" s="402" t="s">
        <v>193</v>
      </c>
      <c r="B148" s="543"/>
      <c r="C148" s="543">
        <f t="shared" ref="C148:J149" si="20">C99</f>
        <v>0.13172636224749623</v>
      </c>
      <c r="D148" s="544">
        <f t="shared" si="20"/>
        <v>-2.8498575071246313E-3</v>
      </c>
      <c r="E148" s="543">
        <f t="shared" si="20"/>
        <v>5.3000902527075899E-2</v>
      </c>
      <c r="F148" s="543">
        <f t="shared" si="20"/>
        <v>5.0000000000000044E-2</v>
      </c>
      <c r="G148" s="543">
        <f t="shared" si="20"/>
        <v>0.10000000000000009</v>
      </c>
      <c r="H148" s="543">
        <f t="shared" si="20"/>
        <v>0.10000000000000009</v>
      </c>
      <c r="I148" s="545">
        <f t="shared" si="20"/>
        <v>0.10000000000000009</v>
      </c>
      <c r="J148" s="543">
        <f t="shared" si="20"/>
        <v>0.10000000000000009</v>
      </c>
      <c r="K148" s="434"/>
      <c r="L148" s="435"/>
    </row>
    <row r="149" spans="1:24">
      <c r="A149" s="402" t="s">
        <v>194</v>
      </c>
      <c r="B149" s="168">
        <f>B100</f>
        <v>-4603000</v>
      </c>
      <c r="C149" s="168">
        <f t="shared" si="20"/>
        <v>-5361000</v>
      </c>
      <c r="D149" s="169">
        <f t="shared" si="20"/>
        <v>-5351000</v>
      </c>
      <c r="E149" s="168">
        <f t="shared" si="20"/>
        <v>-5525997.0423491169</v>
      </c>
      <c r="F149" s="168">
        <f t="shared" si="20"/>
        <v>-5802296.8944665724</v>
      </c>
      <c r="G149" s="168">
        <f t="shared" si="20"/>
        <v>-6382526.5839132303</v>
      </c>
      <c r="H149" s="168">
        <f t="shared" si="20"/>
        <v>-7020779.2423045551</v>
      </c>
      <c r="I149" s="173">
        <f t="shared" si="20"/>
        <v>-7722857.1665350115</v>
      </c>
      <c r="J149" s="168">
        <f t="shared" si="20"/>
        <v>-8495142.8831885122</v>
      </c>
      <c r="K149" s="434"/>
    </row>
    <row r="150" spans="1:24">
      <c r="A150" s="402" t="s">
        <v>195</v>
      </c>
      <c r="B150" s="170">
        <f>B101</f>
        <v>-861000</v>
      </c>
      <c r="C150" s="170">
        <f>C101</f>
        <v>-975000</v>
      </c>
      <c r="D150" s="171">
        <f>D101</f>
        <v>-881000</v>
      </c>
      <c r="E150" s="170">
        <f t="shared" ref="E150:J150" si="21">-E142*E147</f>
        <v>-615610.18681408628</v>
      </c>
      <c r="F150" s="170">
        <f t="shared" si="21"/>
        <v>-646390.69615479058</v>
      </c>
      <c r="G150" s="170">
        <f t="shared" si="21"/>
        <v>-711029.76577026967</v>
      </c>
      <c r="H150" s="170">
        <f t="shared" si="21"/>
        <v>-782132.74234729679</v>
      </c>
      <c r="I150" s="174">
        <f t="shared" si="21"/>
        <v>-860346.0165820265</v>
      </c>
      <c r="J150" s="170">
        <f t="shared" si="21"/>
        <v>-946380.61824022932</v>
      </c>
      <c r="K150" s="434"/>
      <c r="M150" s="34" t="s">
        <v>528</v>
      </c>
    </row>
    <row r="151" spans="1:24" ht="15" thickBot="1">
      <c r="A151" s="402" t="s">
        <v>196</v>
      </c>
      <c r="B151" s="546">
        <f t="shared" ref="B151:C151" si="22">SUM(B147:B150)</f>
        <v>427000</v>
      </c>
      <c r="C151" s="546">
        <f t="shared" si="22"/>
        <v>331000.13172636181</v>
      </c>
      <c r="D151" s="547">
        <f>SUM(D147:D150)</f>
        <v>415999.99715014268</v>
      </c>
      <c r="E151" s="168">
        <f>E147+E149+E150</f>
        <v>858742.77083679684</v>
      </c>
      <c r="F151" s="168">
        <f t="shared" ref="F151:J151" si="23">F147+F149+F150</f>
        <v>901679.90937863698</v>
      </c>
      <c r="G151" s="168">
        <f t="shared" si="23"/>
        <v>991847.90031650092</v>
      </c>
      <c r="H151" s="168">
        <f t="shared" si="23"/>
        <v>1091032.6903481507</v>
      </c>
      <c r="I151" s="173">
        <f t="shared" si="23"/>
        <v>1200135.9593829657</v>
      </c>
      <c r="J151" s="168">
        <f t="shared" si="23"/>
        <v>1320149.5553212636</v>
      </c>
      <c r="K151" s="434"/>
      <c r="M151" s="436" t="s">
        <v>529</v>
      </c>
      <c r="X151" s="44"/>
    </row>
    <row r="152" spans="1:24" ht="15" thickBot="1">
      <c r="A152" s="402" t="s">
        <v>209</v>
      </c>
      <c r="B152" s="586">
        <v>0.08</v>
      </c>
      <c r="C152" s="546"/>
      <c r="D152" s="547"/>
      <c r="E152" s="168">
        <f>-$B$152*E151</f>
        <v>-68699.421666943745</v>
      </c>
      <c r="F152" s="168">
        <f t="shared" ref="F152:J152" si="24">-$B$152*F151</f>
        <v>-72134.392750290965</v>
      </c>
      <c r="G152" s="168">
        <f t="shared" si="24"/>
        <v>-79347.83202532008</v>
      </c>
      <c r="H152" s="168">
        <f t="shared" si="24"/>
        <v>-87282.61522785206</v>
      </c>
      <c r="I152" s="173">
        <f t="shared" si="24"/>
        <v>-96010.876750637253</v>
      </c>
      <c r="J152" s="168">
        <f t="shared" si="24"/>
        <v>-105611.9644257011</v>
      </c>
      <c r="K152" s="434"/>
      <c r="M152" s="436"/>
      <c r="X152" s="44"/>
    </row>
    <row r="153" spans="1:24" ht="15" thickBot="1">
      <c r="A153" s="402" t="s">
        <v>10</v>
      </c>
      <c r="B153" s="546"/>
      <c r="C153" s="546"/>
      <c r="D153" s="547"/>
      <c r="E153" s="299">
        <f>+E151+E152</f>
        <v>790043.34916985314</v>
      </c>
      <c r="F153" s="300">
        <f t="shared" ref="F153:J153" si="25">+F151+F152</f>
        <v>829545.51662834606</v>
      </c>
      <c r="G153" s="300">
        <f t="shared" si="25"/>
        <v>912500.06829118088</v>
      </c>
      <c r="H153" s="300">
        <f t="shared" si="25"/>
        <v>1003750.0751202987</v>
      </c>
      <c r="I153" s="235">
        <f t="shared" si="25"/>
        <v>1104125.0826323284</v>
      </c>
      <c r="J153" s="300">
        <f t="shared" si="25"/>
        <v>1214537.5908955624</v>
      </c>
      <c r="K153" s="434"/>
      <c r="M153" s="436"/>
      <c r="X153" s="44"/>
    </row>
    <row r="154" spans="1:24" ht="15" thickBot="1">
      <c r="A154" s="402" t="s">
        <v>197</v>
      </c>
      <c r="B154" s="276">
        <v>0.16</v>
      </c>
      <c r="C154" s="402"/>
      <c r="D154" s="547"/>
      <c r="E154" s="168">
        <f>-$B$154*E153</f>
        <v>-126406.93586717651</v>
      </c>
      <c r="F154" s="168">
        <f t="shared" ref="F154:J154" si="26">-$B$154*F153</f>
        <v>-132727.28266053536</v>
      </c>
      <c r="G154" s="168">
        <f t="shared" si="26"/>
        <v>-146000.01092658893</v>
      </c>
      <c r="H154" s="168">
        <f t="shared" si="26"/>
        <v>-160600.01201924778</v>
      </c>
      <c r="I154" s="173">
        <f t="shared" si="26"/>
        <v>-176660.01322117256</v>
      </c>
      <c r="J154" s="168">
        <f t="shared" si="26"/>
        <v>-194326.01454328999</v>
      </c>
      <c r="K154" s="434"/>
      <c r="M154" s="437" t="s">
        <v>530</v>
      </c>
    </row>
    <row r="155" spans="1:24">
      <c r="A155" s="402" t="s">
        <v>579</v>
      </c>
      <c r="B155" s="298"/>
      <c r="C155" s="402"/>
      <c r="D155" s="547"/>
      <c r="E155" s="168">
        <f>-E152</f>
        <v>68699.421666943745</v>
      </c>
      <c r="F155" s="168">
        <f t="shared" ref="F155:J155" si="27">-F152</f>
        <v>72134.392750290965</v>
      </c>
      <c r="G155" s="168">
        <f t="shared" si="27"/>
        <v>79347.83202532008</v>
      </c>
      <c r="H155" s="168">
        <f t="shared" si="27"/>
        <v>87282.61522785206</v>
      </c>
      <c r="I155" s="173">
        <f t="shared" si="27"/>
        <v>96010.876750637253</v>
      </c>
      <c r="J155" s="168">
        <f t="shared" si="27"/>
        <v>105611.9644257011</v>
      </c>
      <c r="K155" s="434"/>
      <c r="M155" s="437"/>
    </row>
    <row r="156" spans="1:24">
      <c r="A156" s="402" t="s">
        <v>198</v>
      </c>
      <c r="B156" s="402"/>
      <c r="C156" s="402"/>
      <c r="D156" s="438"/>
      <c r="E156" s="168">
        <f t="shared" ref="E156:J158" si="28">E104</f>
        <v>584858.80102803209</v>
      </c>
      <c r="F156" s="168">
        <f t="shared" si="28"/>
        <v>614101.7410794337</v>
      </c>
      <c r="G156" s="168">
        <f t="shared" si="28"/>
        <v>675511.91518737713</v>
      </c>
      <c r="H156" s="168">
        <f t="shared" si="28"/>
        <v>743063.10670611495</v>
      </c>
      <c r="I156" s="173">
        <f t="shared" si="28"/>
        <v>817369.41737672652</v>
      </c>
      <c r="J156" s="168">
        <f t="shared" si="28"/>
        <v>899106.3591143993</v>
      </c>
      <c r="K156" s="434"/>
      <c r="M156" s="439" t="s">
        <v>531</v>
      </c>
    </row>
    <row r="157" spans="1:24">
      <c r="A157" s="402" t="s">
        <v>485</v>
      </c>
      <c r="B157" s="402"/>
      <c r="C157" s="402"/>
      <c r="D157" s="438"/>
      <c r="E157" s="168">
        <f t="shared" si="28"/>
        <v>69441.21427548799</v>
      </c>
      <c r="F157" s="168">
        <f t="shared" si="28"/>
        <v>72913.274989262383</v>
      </c>
      <c r="G157" s="168">
        <f t="shared" si="28"/>
        <v>80204.602488188626</v>
      </c>
      <c r="H157" s="168">
        <f t="shared" si="28"/>
        <v>88225.062737007509</v>
      </c>
      <c r="I157" s="173">
        <f t="shared" si="28"/>
        <v>97047.569010708263</v>
      </c>
      <c r="J157" s="168">
        <f t="shared" si="28"/>
        <v>106752.3259117791</v>
      </c>
      <c r="K157" s="434"/>
      <c r="M157" s="440" t="s">
        <v>532</v>
      </c>
      <c r="N157" t="s">
        <v>533</v>
      </c>
    </row>
    <row r="158" spans="1:24">
      <c r="A158" s="402" t="s">
        <v>199</v>
      </c>
      <c r="B158" s="402"/>
      <c r="C158" s="402"/>
      <c r="D158" s="438"/>
      <c r="E158" s="168">
        <f t="shared" si="28"/>
        <v>-427164.8200249272</v>
      </c>
      <c r="F158" s="168">
        <f t="shared" si="28"/>
        <v>-448523.06102617359</v>
      </c>
      <c r="G158" s="168">
        <f t="shared" si="28"/>
        <v>-493375.367128791</v>
      </c>
      <c r="H158" s="168">
        <f t="shared" si="28"/>
        <v>-542712.90384167014</v>
      </c>
      <c r="I158" s="173">
        <f t="shared" si="28"/>
        <v>-596984.19422583724</v>
      </c>
      <c r="J158" s="168">
        <f t="shared" si="28"/>
        <v>-656682.61364842101</v>
      </c>
      <c r="K158" s="434"/>
    </row>
    <row r="159" spans="1:24" ht="15" thickBot="1">
      <c r="A159" s="402" t="s">
        <v>200</v>
      </c>
      <c r="B159" s="402"/>
      <c r="C159" s="402"/>
      <c r="D159" s="438"/>
      <c r="E159" s="549">
        <f>SUM(E153:E158)</f>
        <v>959471.03024821333</v>
      </c>
      <c r="F159" s="549">
        <f t="shared" ref="F159:J159" si="29">SUM(F153:F158)</f>
        <v>1007444.5817606242</v>
      </c>
      <c r="G159" s="549">
        <f t="shared" si="29"/>
        <v>1108189.0399366866</v>
      </c>
      <c r="H159" s="549">
        <f t="shared" si="29"/>
        <v>1219007.9439303554</v>
      </c>
      <c r="I159" s="550">
        <f t="shared" si="29"/>
        <v>1340908.7383233905</v>
      </c>
      <c r="J159" s="551">
        <f t="shared" si="29"/>
        <v>1474999.6121557308</v>
      </c>
      <c r="K159" s="434"/>
    </row>
    <row r="160" spans="1:24" ht="7.5" customHeight="1" thickTop="1">
      <c r="A160" s="441"/>
      <c r="B160" s="441"/>
      <c r="C160" s="441"/>
      <c r="D160" s="170"/>
      <c r="E160" s="170"/>
      <c r="F160" s="170"/>
      <c r="G160" s="170"/>
      <c r="H160" s="170"/>
      <c r="I160" s="174"/>
      <c r="J160" s="168"/>
      <c r="K160" s="434"/>
    </row>
    <row r="161" spans="1:15">
      <c r="A161" s="442" t="s">
        <v>103</v>
      </c>
      <c r="B161" s="442"/>
      <c r="C161" s="442"/>
      <c r="D161" s="181">
        <f t="shared" ref="D161:J161" si="30">D109</f>
        <v>749000</v>
      </c>
      <c r="E161" s="181">
        <f t="shared" si="30"/>
        <v>0</v>
      </c>
      <c r="F161" s="181">
        <f t="shared" si="30"/>
        <v>0</v>
      </c>
      <c r="G161" s="181">
        <f t="shared" si="30"/>
        <v>0</v>
      </c>
      <c r="H161" s="181">
        <f t="shared" si="30"/>
        <v>0</v>
      </c>
      <c r="I161" s="587">
        <f t="shared" si="30"/>
        <v>1443941.3657050077</v>
      </c>
      <c r="J161" s="535">
        <f t="shared" si="30"/>
        <v>0</v>
      </c>
      <c r="K161" s="434"/>
    </row>
    <row r="162" spans="1:15" ht="12" customHeight="1">
      <c r="A162" s="553" t="s">
        <v>580</v>
      </c>
      <c r="B162" s="588">
        <v>0.01</v>
      </c>
      <c r="C162" s="553"/>
      <c r="D162" s="554">
        <f>+C137</f>
        <v>4494000</v>
      </c>
      <c r="E162" s="554">
        <f>+D162+E172</f>
        <v>4449060</v>
      </c>
      <c r="F162" s="554">
        <f t="shared" ref="F162:J162" si="31">+E162+F172</f>
        <v>4404120</v>
      </c>
      <c r="G162" s="554">
        <f t="shared" si="31"/>
        <v>4359180</v>
      </c>
      <c r="H162" s="554">
        <f t="shared" si="31"/>
        <v>4314240</v>
      </c>
      <c r="I162" s="555">
        <f t="shared" si="31"/>
        <v>4269300</v>
      </c>
      <c r="J162" s="556">
        <f t="shared" si="31"/>
        <v>4269300</v>
      </c>
      <c r="K162" s="434"/>
    </row>
    <row r="163" spans="1:15" ht="7.5" customHeight="1">
      <c r="A163" s="402"/>
      <c r="B163" s="402"/>
      <c r="C163" s="402"/>
      <c r="D163" s="402"/>
      <c r="E163" s="402"/>
      <c r="F163" s="402"/>
      <c r="G163" s="402"/>
      <c r="H163" s="402"/>
      <c r="I163" s="443"/>
      <c r="J163" s="402"/>
      <c r="K163" s="434"/>
    </row>
    <row r="164" spans="1:15" ht="15" thickBot="1">
      <c r="A164" s="557" t="s">
        <v>202</v>
      </c>
      <c r="B164" s="558" t="s">
        <v>191</v>
      </c>
      <c r="C164" s="402"/>
      <c r="D164" s="559" t="s">
        <v>203</v>
      </c>
      <c r="E164" s="402"/>
      <c r="F164" s="402"/>
      <c r="G164" s="402"/>
      <c r="H164" s="402"/>
      <c r="I164" s="443"/>
      <c r="J164" s="402"/>
      <c r="K164" s="434"/>
    </row>
    <row r="165" spans="1:15">
      <c r="A165" s="402" t="s">
        <v>204</v>
      </c>
      <c r="B165" s="460">
        <f>+B113</f>
        <v>16.810953308622341</v>
      </c>
      <c r="C165" s="402"/>
      <c r="D165" s="444"/>
      <c r="E165" s="445"/>
      <c r="F165" s="402" t="s">
        <v>506</v>
      </c>
      <c r="G165" s="402"/>
      <c r="H165" s="402"/>
      <c r="I165" s="446">
        <f>B165*I161</f>
        <v>24274030.879255261</v>
      </c>
      <c r="J165" s="402"/>
      <c r="K165" s="434"/>
    </row>
    <row r="166" spans="1:15">
      <c r="A166" s="402" t="s">
        <v>205</v>
      </c>
      <c r="B166" s="447">
        <f>+B114</f>
        <v>0.11362556896920478</v>
      </c>
      <c r="C166" s="142" t="s">
        <v>218</v>
      </c>
      <c r="D166" s="447">
        <v>0.08</v>
      </c>
      <c r="E166" s="445"/>
      <c r="F166" s="402" t="s">
        <v>507</v>
      </c>
      <c r="G166" s="402"/>
      <c r="H166" s="402"/>
      <c r="I166" s="173">
        <f>J159/(B166-D166)</f>
        <v>43865417.22183425</v>
      </c>
      <c r="J166" s="402"/>
      <c r="K166" s="434"/>
    </row>
    <row r="167" spans="1:15">
      <c r="A167" s="402" t="s">
        <v>165</v>
      </c>
      <c r="B167" s="402"/>
      <c r="C167" s="402"/>
      <c r="D167" s="560"/>
      <c r="E167" s="402"/>
      <c r="F167" s="402"/>
      <c r="G167" s="402"/>
      <c r="H167" s="402"/>
      <c r="I167" s="235">
        <f>AVERAGE(I165:I166)</f>
        <v>34069724.050544754</v>
      </c>
      <c r="J167" s="402"/>
      <c r="K167" s="434"/>
    </row>
    <row r="168" spans="1:15">
      <c r="A168" s="402" t="s">
        <v>206</v>
      </c>
      <c r="B168" s="402"/>
      <c r="C168" s="402"/>
      <c r="D168" s="403"/>
      <c r="E168" s="402"/>
      <c r="F168" s="402"/>
      <c r="G168" s="402"/>
      <c r="H168" s="402"/>
      <c r="I168" s="446">
        <f>-I162</f>
        <v>-4269300</v>
      </c>
      <c r="J168" s="402"/>
      <c r="K168" s="434"/>
    </row>
    <row r="169" spans="1:15" ht="16.5" customHeight="1" thickBot="1">
      <c r="A169" s="402" t="s">
        <v>207</v>
      </c>
      <c r="B169" s="143" t="s">
        <v>583</v>
      </c>
      <c r="C169" s="165" t="s">
        <v>584</v>
      </c>
      <c r="D169" s="402"/>
      <c r="E169" s="402"/>
      <c r="F169" s="402"/>
      <c r="G169" s="402"/>
      <c r="H169" s="402"/>
      <c r="I169" s="448">
        <f>I167+I168</f>
        <v>29800424.050544754</v>
      </c>
      <c r="J169" s="402"/>
    </row>
    <row r="170" spans="1:15" ht="16.5" customHeight="1" thickTop="1">
      <c r="A170" s="402" t="s">
        <v>587</v>
      </c>
      <c r="B170" s="143"/>
      <c r="C170" s="165"/>
      <c r="D170" s="402"/>
      <c r="E170" s="303">
        <f>E159</f>
        <v>959471.03024821333</v>
      </c>
      <c r="F170" s="303">
        <f t="shared" ref="F170:I170" si="32">F159</f>
        <v>1007444.5817606242</v>
      </c>
      <c r="G170" s="303">
        <f t="shared" si="32"/>
        <v>1108189.0399366866</v>
      </c>
      <c r="H170" s="303">
        <f t="shared" si="32"/>
        <v>1219007.9439303554</v>
      </c>
      <c r="I170" s="304">
        <f t="shared" si="32"/>
        <v>1340908.7383233905</v>
      </c>
      <c r="J170" s="402"/>
    </row>
    <row r="171" spans="1:15" ht="16.5" customHeight="1">
      <c r="A171" s="402" t="s">
        <v>588</v>
      </c>
      <c r="B171" s="143"/>
      <c r="C171" s="165"/>
      <c r="D171" s="402"/>
      <c r="E171" s="403">
        <f>E152</f>
        <v>-68699.421666943745</v>
      </c>
      <c r="F171" s="403">
        <f t="shared" ref="F171:I171" si="33">F152</f>
        <v>-72134.392750290965</v>
      </c>
      <c r="G171" s="403">
        <f t="shared" si="33"/>
        <v>-79347.83202532008</v>
      </c>
      <c r="H171" s="403">
        <f t="shared" si="33"/>
        <v>-87282.61522785206</v>
      </c>
      <c r="I171" s="446">
        <f t="shared" si="33"/>
        <v>-96010.876750637253</v>
      </c>
      <c r="J171" s="402"/>
    </row>
    <row r="172" spans="1:15" ht="16.5" customHeight="1">
      <c r="A172" s="402" t="s">
        <v>589</v>
      </c>
      <c r="B172" s="143"/>
      <c r="C172" s="302">
        <v>0.01</v>
      </c>
      <c r="D172" s="402"/>
      <c r="E172" s="403">
        <f>-$C$172*$D$162</f>
        <v>-44940</v>
      </c>
      <c r="F172" s="403">
        <f t="shared" ref="F172:I172" si="34">-$C$172*$D$162</f>
        <v>-44940</v>
      </c>
      <c r="G172" s="403">
        <f t="shared" si="34"/>
        <v>-44940</v>
      </c>
      <c r="H172" s="403">
        <f t="shared" si="34"/>
        <v>-44940</v>
      </c>
      <c r="I172" s="446">
        <f t="shared" si="34"/>
        <v>-44940</v>
      </c>
      <c r="J172" s="402"/>
    </row>
    <row r="173" spans="1:15" ht="15" thickBot="1">
      <c r="A173" s="449" t="s">
        <v>208</v>
      </c>
      <c r="B173" s="589">
        <v>0.25</v>
      </c>
      <c r="C173" s="461">
        <f>IRR(D173:I173)</f>
        <v>0.23986179512234562</v>
      </c>
      <c r="D173" s="562">
        <f>-C138</f>
        <v>-12817860.136</v>
      </c>
      <c r="E173" s="590">
        <f>SUM(E169:E172)</f>
        <v>845831.60858126963</v>
      </c>
      <c r="F173" s="590">
        <f t="shared" ref="F173:I173" si="35">SUM(F169:F172)</f>
        <v>890370.18901033327</v>
      </c>
      <c r="G173" s="590">
        <f t="shared" si="35"/>
        <v>983901.2079113666</v>
      </c>
      <c r="H173" s="590">
        <f t="shared" si="35"/>
        <v>1086785.3287025033</v>
      </c>
      <c r="I173" s="590">
        <f t="shared" si="35"/>
        <v>31000381.912117507</v>
      </c>
      <c r="J173" s="402"/>
    </row>
    <row r="174" spans="1:15" ht="15.5" thickTop="1" thickBot="1">
      <c r="A174" s="450" t="s">
        <v>535</v>
      </c>
      <c r="B174" s="451"/>
      <c r="C174" s="451"/>
      <c r="D174" s="275">
        <f>NPV(B173,E173:I173)</f>
        <v>12353612.041881461</v>
      </c>
      <c r="E174" s="564"/>
      <c r="F174" s="564"/>
      <c r="G174" s="564"/>
      <c r="H174" s="564"/>
      <c r="I174" s="564"/>
      <c r="J174" s="402"/>
      <c r="K174" t="s">
        <v>534</v>
      </c>
    </row>
    <row r="175" spans="1:15" ht="15" thickBot="1">
      <c r="A175" s="402"/>
      <c r="B175" s="402"/>
      <c r="C175" s="143" t="s">
        <v>502</v>
      </c>
      <c r="D175" s="172">
        <f>D174/D64</f>
        <v>132.60639804509941</v>
      </c>
      <c r="E175" s="218" t="s">
        <v>542</v>
      </c>
      <c r="F175" s="402"/>
      <c r="G175" s="402"/>
      <c r="H175" s="402"/>
      <c r="I175" s="402"/>
      <c r="J175" s="402"/>
      <c r="M175" s="34" t="s">
        <v>497</v>
      </c>
      <c r="N175" s="43">
        <f>+'Historical Analysis'!E88</f>
        <v>0</v>
      </c>
      <c r="O175" s="43">
        <f>'Historical Analysis'!F88</f>
        <v>0</v>
      </c>
    </row>
    <row r="176" spans="1:15">
      <c r="A176" s="402"/>
      <c r="B176" s="402"/>
      <c r="C176" s="402"/>
      <c r="D176" s="402"/>
      <c r="E176" s="402"/>
      <c r="F176" s="402"/>
      <c r="G176" s="402"/>
      <c r="H176" s="402"/>
      <c r="I176" s="402"/>
      <c r="J176" s="402"/>
    </row>
  </sheetData>
  <mergeCells count="21">
    <mergeCell ref="B74:C74"/>
    <mergeCell ref="B80:C80"/>
    <mergeCell ref="B81:C81"/>
    <mergeCell ref="B82:C82"/>
    <mergeCell ref="B83:C83"/>
    <mergeCell ref="B75:C75"/>
    <mergeCell ref="B79:C79"/>
    <mergeCell ref="B78:C78"/>
    <mergeCell ref="B77:C77"/>
    <mergeCell ref="B76:C76"/>
    <mergeCell ref="B84:C84"/>
    <mergeCell ref="B85:C85"/>
    <mergeCell ref="B86:C86"/>
    <mergeCell ref="B87:C87"/>
    <mergeCell ref="B88:C88"/>
    <mergeCell ref="B145:D145"/>
    <mergeCell ref="E145:H145"/>
    <mergeCell ref="E96:H96"/>
    <mergeCell ref="B89:C89"/>
    <mergeCell ref="B90:C90"/>
    <mergeCell ref="B96:D96"/>
  </mergeCells>
  <hyperlinks>
    <hyperlink ref="C1" r:id="rId1" xr:uid="{C7AEFBB4-87F0-41DD-8CB5-3721A78EFE8B}"/>
    <hyperlink ref="M40" r:id="rId2" xr:uid="{2C93F95B-9C93-4E7D-9AAB-B3C726D0AF33}"/>
    <hyperlink ref="N75" r:id="rId3" xr:uid="{DE4416FA-6E36-437F-B83E-F70B542DEA64}"/>
  </hyperlinks>
  <pageMargins left="0.7" right="0.7" top="0.75" bottom="0.75" header="0.3" footer="0.3"/>
  <pageSetup orientation="portrait" r:id="rId4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4A97C-93B1-4810-8E43-0C8A1E0BC840}">
  <sheetPr>
    <tabColor rgb="FF0066FF"/>
  </sheetPr>
  <dimension ref="B1:S54"/>
  <sheetViews>
    <sheetView workbookViewId="0">
      <selection activeCell="I50" sqref="I50"/>
    </sheetView>
  </sheetViews>
  <sheetFormatPr defaultRowHeight="14.5"/>
  <cols>
    <col min="2" max="2" width="19" customWidth="1"/>
    <col min="3" max="3" width="14.81640625" bestFit="1" customWidth="1"/>
    <col min="4" max="11" width="13.7265625" customWidth="1"/>
    <col min="14" max="14" width="9.81640625" bestFit="1" customWidth="1"/>
    <col min="18" max="18" width="4.81640625" bestFit="1" customWidth="1"/>
  </cols>
  <sheetData>
    <row r="1" spans="2:13" ht="18">
      <c r="B1" s="2" t="str">
        <f>+'Historical Analysis'!B1</f>
        <v>HYATT HOTELS CORPORATION</v>
      </c>
    </row>
    <row r="2" spans="2:13">
      <c r="B2" t="s">
        <v>629</v>
      </c>
    </row>
    <row r="4" spans="2:13">
      <c r="K4" s="611" t="s">
        <v>607</v>
      </c>
    </row>
    <row r="5" spans="2:13">
      <c r="B5" s="598"/>
      <c r="C5" s="598">
        <v>2021</v>
      </c>
      <c r="D5" s="598">
        <v>2022</v>
      </c>
      <c r="E5" s="598">
        <v>2023</v>
      </c>
      <c r="F5" s="598"/>
      <c r="G5" s="598">
        <v>2024</v>
      </c>
      <c r="H5" s="598">
        <v>2025</v>
      </c>
      <c r="I5" s="598">
        <v>2026</v>
      </c>
      <c r="J5" s="598">
        <v>2027</v>
      </c>
      <c r="K5" s="602">
        <v>2028</v>
      </c>
    </row>
    <row r="6" spans="2:13">
      <c r="B6" s="367" t="s">
        <v>192</v>
      </c>
      <c r="C6" s="55">
        <f>Projections!Q8</f>
        <v>3028000</v>
      </c>
      <c r="D6" s="55">
        <f>Projections!R8</f>
        <v>5891000</v>
      </c>
      <c r="E6" s="55">
        <f>Projections!S8</f>
        <v>6667000</v>
      </c>
      <c r="F6" s="43"/>
      <c r="G6" s="43">
        <f>+E6*(1+G7)</f>
        <v>7000350</v>
      </c>
      <c r="H6" s="43">
        <f>+G6*(1+H7)</f>
        <v>7350367.5</v>
      </c>
      <c r="I6" s="43">
        <f t="shared" ref="I6:K6" si="0">+H6*(1+I7)</f>
        <v>7717885.875</v>
      </c>
      <c r="J6" s="43">
        <f t="shared" si="0"/>
        <v>8103780.1687500002</v>
      </c>
      <c r="K6" s="603">
        <f t="shared" si="0"/>
        <v>8508969.1771875005</v>
      </c>
    </row>
    <row r="7" spans="2:13">
      <c r="B7" s="367"/>
      <c r="C7" s="367"/>
      <c r="D7" s="614">
        <f>+D6/C6-1</f>
        <v>0.94550858652575953</v>
      </c>
      <c r="E7" s="614">
        <f>+E6/D6-1</f>
        <v>0.13172636224749623</v>
      </c>
      <c r="G7" s="591">
        <v>0.05</v>
      </c>
      <c r="H7" s="591">
        <v>0.05</v>
      </c>
      <c r="I7" s="591">
        <v>0.05</v>
      </c>
      <c r="J7" s="591">
        <v>0.05</v>
      </c>
      <c r="K7" s="604">
        <v>0.05</v>
      </c>
    </row>
    <row r="8" spans="2:13">
      <c r="B8" s="367" t="s">
        <v>3</v>
      </c>
      <c r="C8" s="55">
        <f>-Projections!Q11</f>
        <v>-2603000</v>
      </c>
      <c r="D8" s="55">
        <f>-Projections!R11</f>
        <v>-4603000</v>
      </c>
      <c r="E8" s="55">
        <f>-Projections!S11</f>
        <v>-5361000</v>
      </c>
      <c r="F8" s="43"/>
      <c r="G8" s="43">
        <f>-G9*G6</f>
        <v>-5705552.4817905063</v>
      </c>
      <c r="H8" s="43">
        <f t="shared" ref="H8:K8" si="1">-H9*H6</f>
        <v>-5990830.1058800314</v>
      </c>
      <c r="I8" s="43">
        <f t="shared" si="1"/>
        <v>-6290371.611174033</v>
      </c>
      <c r="J8" s="43">
        <f t="shared" si="1"/>
        <v>-6604890.1917327344</v>
      </c>
      <c r="K8" s="603">
        <f t="shared" si="1"/>
        <v>-6935134.7013193723</v>
      </c>
    </row>
    <row r="9" spans="2:13">
      <c r="B9" s="367" t="s">
        <v>597</v>
      </c>
      <c r="C9" s="615">
        <f>-C8/C6</f>
        <v>0.85964332892998674</v>
      </c>
      <c r="D9" s="615">
        <f t="shared" ref="D9:E9" si="2">-D8/D6</f>
        <v>0.78136139874384658</v>
      </c>
      <c r="E9" s="615">
        <f t="shared" si="2"/>
        <v>0.80410979451027453</v>
      </c>
      <c r="G9" s="56">
        <f>AVERAGE(C9:E9)</f>
        <v>0.81503817406136925</v>
      </c>
      <c r="H9" s="56">
        <f>+G9</f>
        <v>0.81503817406136925</v>
      </c>
      <c r="I9" s="56">
        <f t="shared" ref="I9:K9" si="3">+H9</f>
        <v>0.81503817406136925</v>
      </c>
      <c r="J9" s="56">
        <f t="shared" si="3"/>
        <v>0.81503817406136925</v>
      </c>
      <c r="K9" s="605">
        <f t="shared" si="3"/>
        <v>0.81503817406136925</v>
      </c>
    </row>
    <row r="10" spans="2:13">
      <c r="B10" s="367"/>
      <c r="C10" s="367"/>
      <c r="D10" s="367"/>
      <c r="E10" s="367"/>
      <c r="K10" s="606"/>
    </row>
    <row r="11" spans="2:13">
      <c r="B11" s="367" t="s">
        <v>598</v>
      </c>
      <c r="C11" s="55">
        <f>-Projections!Q15</f>
        <v>-698000</v>
      </c>
      <c r="D11" s="55">
        <f>-Projections!R15</f>
        <v>-861000</v>
      </c>
      <c r="E11" s="55">
        <f>-Projections!S15</f>
        <v>-975000</v>
      </c>
      <c r="F11" s="43"/>
      <c r="G11" s="43">
        <f>-G12*G6</f>
        <v>-770038.5</v>
      </c>
      <c r="H11" s="43">
        <f t="shared" ref="H11:K11" si="4">-H12*H6</f>
        <v>-808540.42500000005</v>
      </c>
      <c r="I11" s="43">
        <f t="shared" si="4"/>
        <v>-848967.44625000004</v>
      </c>
      <c r="J11" s="43">
        <f t="shared" si="4"/>
        <v>-891415.81856250006</v>
      </c>
      <c r="K11" s="603">
        <f t="shared" si="4"/>
        <v>-935986.60949062509</v>
      </c>
      <c r="M11" s="596">
        <v>2816900</v>
      </c>
    </row>
    <row r="12" spans="2:13">
      <c r="B12" s="367" t="s">
        <v>599</v>
      </c>
      <c r="C12" s="615">
        <f>-C11/C6</f>
        <v>0.23051519154557465</v>
      </c>
      <c r="D12" s="615">
        <f t="shared" ref="D12:E12" si="5">-D11/D6</f>
        <v>0.14615515192666781</v>
      </c>
      <c r="E12" s="615">
        <f t="shared" si="5"/>
        <v>0.14624268786560671</v>
      </c>
      <c r="G12" s="591">
        <v>0.11</v>
      </c>
      <c r="H12" s="591">
        <v>0.11</v>
      </c>
      <c r="I12" s="591">
        <v>0.11</v>
      </c>
      <c r="J12" s="591">
        <v>0.11</v>
      </c>
      <c r="K12" s="604">
        <v>0.11</v>
      </c>
      <c r="M12" s="596">
        <v>2862600</v>
      </c>
    </row>
    <row r="13" spans="2:13">
      <c r="B13" s="367"/>
      <c r="C13" s="367"/>
      <c r="D13" s="367"/>
      <c r="E13" s="367"/>
      <c r="K13" s="606"/>
      <c r="M13" s="596">
        <v>2707500</v>
      </c>
    </row>
    <row r="14" spans="2:13">
      <c r="B14" s="367" t="s">
        <v>303</v>
      </c>
      <c r="C14" s="600">
        <f>+C6+C8+C11</f>
        <v>-273000</v>
      </c>
      <c r="D14" s="600">
        <f t="shared" ref="D14:K14" si="6">+D6+D8+D11</f>
        <v>427000</v>
      </c>
      <c r="E14" s="600">
        <f t="shared" si="6"/>
        <v>331000</v>
      </c>
      <c r="G14" s="600">
        <f t="shared" si="6"/>
        <v>524759.01820949372</v>
      </c>
      <c r="H14" s="600">
        <f t="shared" si="6"/>
        <v>550996.96911996859</v>
      </c>
      <c r="I14" s="600">
        <f t="shared" si="6"/>
        <v>578546.81757596694</v>
      </c>
      <c r="J14" s="600">
        <f t="shared" si="6"/>
        <v>607474.15845476568</v>
      </c>
      <c r="K14" s="607">
        <f t="shared" si="6"/>
        <v>637847.86637750315</v>
      </c>
    </row>
    <row r="15" spans="2:13" ht="15" thickBot="1">
      <c r="B15" s="367"/>
      <c r="C15" s="612"/>
      <c r="D15" s="612"/>
      <c r="E15" s="612"/>
      <c r="G15" s="601"/>
      <c r="H15" s="601"/>
      <c r="I15" s="601"/>
      <c r="J15" s="601"/>
      <c r="K15" s="608"/>
      <c r="M15" s="596">
        <v>381700</v>
      </c>
    </row>
    <row r="16" spans="2:13" ht="15" thickTop="1">
      <c r="B16" s="613" t="s">
        <v>600</v>
      </c>
      <c r="C16" s="367"/>
      <c r="D16" s="367"/>
      <c r="E16" s="367"/>
      <c r="K16" s="606"/>
      <c r="M16" s="596">
        <v>370400</v>
      </c>
    </row>
    <row r="17" spans="2:13">
      <c r="B17" s="367" t="s">
        <v>48</v>
      </c>
      <c r="C17" s="55">
        <f>Projections!Q25</f>
        <v>310000</v>
      </c>
      <c r="D17" s="55">
        <f>Projections!R25</f>
        <v>426000</v>
      </c>
      <c r="E17" s="55">
        <f>Projections!S25</f>
        <v>397000</v>
      </c>
      <c r="G17" s="44">
        <f>G22*G6</f>
        <v>546583.89466658386</v>
      </c>
      <c r="H17" s="44">
        <f t="shared" ref="H17:K17" si="7">H22*H6</f>
        <v>573913.08939991309</v>
      </c>
      <c r="I17" s="44">
        <f t="shared" si="7"/>
        <v>602608.74386990874</v>
      </c>
      <c r="J17" s="44">
        <f t="shared" si="7"/>
        <v>632739.18106340419</v>
      </c>
      <c r="K17" s="609">
        <f t="shared" si="7"/>
        <v>664376.14011657448</v>
      </c>
      <c r="M17" s="596">
        <v>329700</v>
      </c>
    </row>
    <row r="18" spans="2:13">
      <c r="B18" s="367" t="s">
        <v>229</v>
      </c>
      <c r="C18" s="55">
        <f>+Projections!Q26</f>
        <v>167000</v>
      </c>
      <c r="D18" s="55">
        <f>+Projections!R26</f>
        <v>203000</v>
      </c>
      <c r="E18" s="55">
        <f>+Projections!S26</f>
        <v>188000</v>
      </c>
      <c r="G18" s="44">
        <f>G23*G6</f>
        <v>274903.39515789598</v>
      </c>
      <c r="H18" s="44">
        <f t="shared" ref="H18:K18" si="8">H23*H6</f>
        <v>288648.56491579075</v>
      </c>
      <c r="I18" s="44">
        <f t="shared" si="8"/>
        <v>303080.99316158029</v>
      </c>
      <c r="J18" s="44">
        <f t="shared" si="8"/>
        <v>318235.04281965934</v>
      </c>
      <c r="K18" s="609">
        <f t="shared" si="8"/>
        <v>334146.79496064229</v>
      </c>
    </row>
    <row r="19" spans="2:13">
      <c r="B19" s="367" t="s">
        <v>601</v>
      </c>
      <c r="C19" s="55">
        <f>+Projections!Q27</f>
        <v>-201000</v>
      </c>
      <c r="D19" s="55">
        <f>+Projections!R27</f>
        <v>-198000</v>
      </c>
      <c r="E19" s="55">
        <f>+Projections!S27</f>
        <v>-170000</v>
      </c>
      <c r="G19" s="44">
        <f>+G24*G6</f>
        <v>-292824.09595262865</v>
      </c>
      <c r="H19" s="44">
        <f t="shared" ref="H19:K19" si="9">+H24*H6</f>
        <v>-307465.30075026007</v>
      </c>
      <c r="I19" s="44">
        <f t="shared" si="9"/>
        <v>-322838.56578777306</v>
      </c>
      <c r="J19" s="44">
        <f t="shared" si="9"/>
        <v>-338980.49407716171</v>
      </c>
      <c r="K19" s="609">
        <f t="shared" si="9"/>
        <v>-355929.51878101984</v>
      </c>
      <c r="M19" s="596">
        <v>-108000</v>
      </c>
    </row>
    <row r="20" spans="2:13">
      <c r="B20" s="367" t="s">
        <v>103</v>
      </c>
      <c r="C20" s="367"/>
      <c r="D20" s="367"/>
      <c r="E20" s="367"/>
      <c r="K20" s="620">
        <f>+K14+K17</f>
        <v>1302224.0064940776</v>
      </c>
      <c r="M20" s="596">
        <v>-644600</v>
      </c>
    </row>
    <row r="21" spans="2:13">
      <c r="B21" s="367" t="s">
        <v>191</v>
      </c>
      <c r="C21" s="367"/>
      <c r="D21" s="367"/>
      <c r="E21" s="367"/>
      <c r="K21" s="606"/>
      <c r="M21" s="596">
        <v>454200</v>
      </c>
    </row>
    <row r="22" spans="2:13">
      <c r="B22" s="367" t="s">
        <v>48</v>
      </c>
      <c r="C22" s="614">
        <f>C17/C6</f>
        <v>0.1023778071334214</v>
      </c>
      <c r="D22" s="614">
        <f t="shared" ref="D22:E22" si="10">D17/D6</f>
        <v>7.2313698862671874E-2</v>
      </c>
      <c r="E22" s="614">
        <f t="shared" si="10"/>
        <v>5.9547022648867555E-2</v>
      </c>
      <c r="G22" s="418">
        <f>AVERAGE(C22:E22)</f>
        <v>7.8079509548320283E-2</v>
      </c>
      <c r="H22" s="418">
        <f>+G22</f>
        <v>7.8079509548320283E-2</v>
      </c>
      <c r="I22" s="418">
        <f>+H22</f>
        <v>7.8079509548320283E-2</v>
      </c>
      <c r="J22" s="418">
        <f>+I22</f>
        <v>7.8079509548320283E-2</v>
      </c>
      <c r="K22" s="610">
        <f>+J22</f>
        <v>7.8079509548320283E-2</v>
      </c>
    </row>
    <row r="23" spans="2:13">
      <c r="B23" s="367" t="s">
        <v>229</v>
      </c>
      <c r="C23" s="614">
        <f>C18/C6</f>
        <v>5.5151915455746367E-2</v>
      </c>
      <c r="D23" s="614">
        <f t="shared" ref="D23:E23" si="11">D18/D6</f>
        <v>3.4459344763198098E-2</v>
      </c>
      <c r="E23" s="614">
        <f t="shared" si="11"/>
        <v>2.8198590070496476E-2</v>
      </c>
      <c r="G23" s="418">
        <f>AVERAGE(C23:E23)</f>
        <v>3.9269950096480315E-2</v>
      </c>
      <c r="H23" s="418">
        <f>+G23</f>
        <v>3.9269950096480315E-2</v>
      </c>
      <c r="I23" s="418">
        <f t="shared" ref="I23:K23" si="12">+H23</f>
        <v>3.9269950096480315E-2</v>
      </c>
      <c r="J23" s="418">
        <f t="shared" si="12"/>
        <v>3.9269950096480315E-2</v>
      </c>
      <c r="K23" s="610">
        <f t="shared" si="12"/>
        <v>3.9269950096480315E-2</v>
      </c>
      <c r="M23" s="596">
        <v>-2357400</v>
      </c>
    </row>
    <row r="24" spans="2:13">
      <c r="B24" s="367" t="s">
        <v>601</v>
      </c>
      <c r="C24" s="615">
        <f>C19/C6</f>
        <v>-6.6380449141347428E-2</v>
      </c>
      <c r="D24" s="615">
        <f t="shared" ref="D24:E24" si="13">D19/D6</f>
        <v>-3.3610592429129178E-2</v>
      </c>
      <c r="E24" s="615">
        <f t="shared" si="13"/>
        <v>-2.5498725063746813E-2</v>
      </c>
      <c r="G24" s="418">
        <f>AVERAGE(C24:E24)</f>
        <v>-4.1829922211407806E-2</v>
      </c>
      <c r="H24" s="418">
        <f>+G24</f>
        <v>-4.1829922211407806E-2</v>
      </c>
      <c r="I24" s="418">
        <f t="shared" ref="I24:K24" si="14">+H24</f>
        <v>-4.1829922211407806E-2</v>
      </c>
      <c r="J24" s="418">
        <f t="shared" si="14"/>
        <v>-4.1829922211407806E-2</v>
      </c>
      <c r="K24" s="610">
        <f t="shared" si="14"/>
        <v>-4.1829922211407806E-2</v>
      </c>
      <c r="M24" s="596">
        <v>-1899200</v>
      </c>
    </row>
    <row r="25" spans="2:13">
      <c r="K25" s="606"/>
      <c r="M25" s="596">
        <v>-2040000</v>
      </c>
    </row>
    <row r="26" spans="2:13">
      <c r="B26" t="s">
        <v>602</v>
      </c>
      <c r="K26" s="606"/>
    </row>
    <row r="27" spans="2:13">
      <c r="K27" s="606"/>
    </row>
    <row r="28" spans="2:13" ht="15" thickBot="1">
      <c r="B28" s="616" t="s">
        <v>603</v>
      </c>
      <c r="C28" s="414"/>
      <c r="D28" s="414"/>
      <c r="E28" s="414"/>
      <c r="F28" s="414"/>
      <c r="G28" s="414">
        <f>+G5</f>
        <v>2024</v>
      </c>
      <c r="H28" s="414">
        <f t="shared" ref="H28:K28" si="15">+H5</f>
        <v>2025</v>
      </c>
      <c r="I28" s="414">
        <f t="shared" si="15"/>
        <v>2026</v>
      </c>
      <c r="J28" s="414">
        <f t="shared" si="15"/>
        <v>2027</v>
      </c>
      <c r="K28" s="414">
        <f t="shared" si="15"/>
        <v>2028</v>
      </c>
    </row>
    <row r="29" spans="2:13" ht="15" thickTop="1">
      <c r="B29" t="s">
        <v>303</v>
      </c>
      <c r="G29" s="44">
        <f>+G14</f>
        <v>524759.01820949372</v>
      </c>
      <c r="H29" s="44">
        <f t="shared" ref="H29:K29" si="16">+H14</f>
        <v>550996.96911996859</v>
      </c>
      <c r="I29" s="44">
        <f t="shared" si="16"/>
        <v>578546.81757596694</v>
      </c>
      <c r="J29" s="44">
        <f t="shared" si="16"/>
        <v>607474.15845476568</v>
      </c>
      <c r="K29" s="609">
        <f t="shared" si="16"/>
        <v>637847.86637750315</v>
      </c>
    </row>
    <row r="30" spans="2:13">
      <c r="B30" t="s">
        <v>604</v>
      </c>
      <c r="E30" s="621">
        <v>0.22</v>
      </c>
      <c r="G30" s="44">
        <f>-$E$30*G29</f>
        <v>-115446.98400608862</v>
      </c>
      <c r="H30" s="44">
        <f t="shared" ref="H30:K30" si="17">-$E$30*H29</f>
        <v>-121219.33320639309</v>
      </c>
      <c r="I30" s="44">
        <f t="shared" si="17"/>
        <v>-127280.29986671272</v>
      </c>
      <c r="J30" s="44">
        <f t="shared" si="17"/>
        <v>-133644.31486004844</v>
      </c>
      <c r="K30" s="609">
        <f t="shared" si="17"/>
        <v>-140326.53060305069</v>
      </c>
    </row>
    <row r="31" spans="2:13">
      <c r="B31" t="s">
        <v>605</v>
      </c>
      <c r="G31" s="44">
        <f>+G17</f>
        <v>546583.89466658386</v>
      </c>
      <c r="H31" s="44">
        <f t="shared" ref="H31:K31" si="18">+H17</f>
        <v>573913.08939991309</v>
      </c>
      <c r="I31" s="44">
        <f t="shared" si="18"/>
        <v>602608.74386990874</v>
      </c>
      <c r="J31" s="44">
        <f t="shared" si="18"/>
        <v>632739.18106340419</v>
      </c>
      <c r="K31" s="609">
        <f t="shared" si="18"/>
        <v>664376.14011657448</v>
      </c>
    </row>
    <row r="32" spans="2:13">
      <c r="B32" t="s">
        <v>485</v>
      </c>
      <c r="G32" s="44">
        <f>+G18</f>
        <v>274903.39515789598</v>
      </c>
      <c r="H32" s="44">
        <f t="shared" ref="H32:K32" si="19">+H18</f>
        <v>288648.56491579075</v>
      </c>
      <c r="I32" s="44">
        <f t="shared" si="19"/>
        <v>303080.99316158029</v>
      </c>
      <c r="J32" s="44">
        <f t="shared" si="19"/>
        <v>318235.04281965934</v>
      </c>
      <c r="K32" s="609">
        <f t="shared" si="19"/>
        <v>334146.79496064229</v>
      </c>
    </row>
    <row r="33" spans="2:19">
      <c r="B33" t="s">
        <v>606</v>
      </c>
      <c r="G33" s="44">
        <f>+G19</f>
        <v>-292824.09595262865</v>
      </c>
      <c r="H33" s="44">
        <f t="shared" ref="H33:K33" si="20">+H19</f>
        <v>-307465.30075026007</v>
      </c>
      <c r="I33" s="44">
        <f t="shared" si="20"/>
        <v>-322838.56578777306</v>
      </c>
      <c r="J33" s="44">
        <f t="shared" si="20"/>
        <v>-338980.49407716171</v>
      </c>
      <c r="K33" s="609">
        <f t="shared" si="20"/>
        <v>-355929.51878101984</v>
      </c>
    </row>
    <row r="34" spans="2:19" ht="15" thickBot="1">
      <c r="B34" t="s">
        <v>200</v>
      </c>
      <c r="G34" s="393">
        <f>SUM(G29:G33)</f>
        <v>937975.22807525634</v>
      </c>
      <c r="H34" s="393">
        <f t="shared" ref="H34:K34" si="21">SUM(H29:H33)</f>
        <v>984873.98947901931</v>
      </c>
      <c r="I34" s="393">
        <f t="shared" si="21"/>
        <v>1034117.6889529701</v>
      </c>
      <c r="J34" s="393">
        <f t="shared" si="21"/>
        <v>1085823.5734006192</v>
      </c>
      <c r="K34" s="619">
        <f t="shared" si="21"/>
        <v>1140114.7520706493</v>
      </c>
    </row>
    <row r="35" spans="2:19" ht="15" thickTop="1">
      <c r="K35" s="606"/>
    </row>
    <row r="36" spans="2:19">
      <c r="B36" s="37" t="s">
        <v>202</v>
      </c>
      <c r="K36" s="606"/>
    </row>
    <row r="37" spans="2:19">
      <c r="B37" t="s">
        <v>608</v>
      </c>
      <c r="D37" t="s">
        <v>610</v>
      </c>
      <c r="G37">
        <f>+C46</f>
        <v>22.216317715614952</v>
      </c>
      <c r="K37" s="603">
        <f>+K20*G37</f>
        <v>28930622.265173458</v>
      </c>
      <c r="M37" s="599" t="s">
        <v>218</v>
      </c>
    </row>
    <row r="38" spans="2:19">
      <c r="B38" t="s">
        <v>609</v>
      </c>
      <c r="D38" t="s">
        <v>611</v>
      </c>
      <c r="F38" s="591">
        <f>+S40</f>
        <v>0.06</v>
      </c>
      <c r="K38" s="609">
        <f>K34/(R40-S40)</f>
        <v>15521992.642270576</v>
      </c>
      <c r="M38" t="s">
        <v>568</v>
      </c>
      <c r="N38" s="618">
        <f>Q42+Q44*(Q43-Q42)</f>
        <v>0.14099785088724115</v>
      </c>
      <c r="O38">
        <v>183.6</v>
      </c>
      <c r="P38" s="597">
        <f>+O38/O40</f>
        <v>0.7832764505119455</v>
      </c>
      <c r="Q38" s="418">
        <f>+N38</f>
        <v>0.14099785088724115</v>
      </c>
      <c r="R38" s="597">
        <f>Q38*P38</f>
        <v>0.11044029617277082</v>
      </c>
    </row>
    <row r="39" spans="2:19">
      <c r="K39" s="607">
        <f>AVERAGE(K37:K38)</f>
        <v>22226307.453722015</v>
      </c>
      <c r="M39" t="s">
        <v>614</v>
      </c>
      <c r="N39" s="49">
        <f>N46/N45</f>
        <v>0.13612565445026178</v>
      </c>
      <c r="O39">
        <v>50.8</v>
      </c>
      <c r="P39" s="597">
        <f>+O39/$O$40</f>
        <v>0.21672354948805461</v>
      </c>
      <c r="Q39" s="49">
        <f>+N39*(1-E30)</f>
        <v>0.10617801047120419</v>
      </c>
      <c r="R39" s="597">
        <f>Q39*P39</f>
        <v>2.3011275306899202E-2</v>
      </c>
    </row>
    <row r="40" spans="2:19">
      <c r="J40" t="s">
        <v>621</v>
      </c>
      <c r="K40" s="603">
        <f>-N45*1000000</f>
        <v>-3056000</v>
      </c>
      <c r="O40">
        <f>+O39+O38</f>
        <v>234.39999999999998</v>
      </c>
      <c r="Q40" t="s">
        <v>218</v>
      </c>
      <c r="R40" s="617">
        <f>+R39+R38</f>
        <v>0.13345157147967002</v>
      </c>
      <c r="S40" s="618">
        <v>0.06</v>
      </c>
    </row>
    <row r="41" spans="2:19">
      <c r="B41" s="623" t="s">
        <v>612</v>
      </c>
      <c r="D41" t="s">
        <v>628</v>
      </c>
      <c r="K41" s="607">
        <f>+K40+K39</f>
        <v>19170307.453722015</v>
      </c>
    </row>
    <row r="42" spans="2:19">
      <c r="B42" t="str">
        <f>+'Valuation Analysis'!A56</f>
        <v>Hilton Worldwide Holdings Inc.</v>
      </c>
      <c r="C42" s="626">
        <f>+'Valuation Analysis'!J56</f>
        <v>30.094735284552844</v>
      </c>
      <c r="G42" s="44">
        <f>G34</f>
        <v>937975.22807525634</v>
      </c>
      <c r="H42" s="44">
        <f t="shared" ref="H42:J42" si="22">H34</f>
        <v>984873.98947901931</v>
      </c>
      <c r="I42" s="44">
        <f t="shared" si="22"/>
        <v>1034117.6889529701</v>
      </c>
      <c r="J42" s="44">
        <f t="shared" si="22"/>
        <v>1085823.5734006192</v>
      </c>
      <c r="K42" s="44">
        <f>K34+K41</f>
        <v>20310422.205792665</v>
      </c>
      <c r="M42" t="s">
        <v>615</v>
      </c>
      <c r="P42" t="s">
        <v>616</v>
      </c>
      <c r="Q42" s="621">
        <v>4.6800000000000001E-2</v>
      </c>
    </row>
    <row r="43" spans="2:19">
      <c r="B43" t="str">
        <f>+'Valuation Analysis'!A60</f>
        <v>Marriott International</v>
      </c>
      <c r="C43" s="626">
        <f>+'Valuation Analysis'!J60</f>
        <v>22.199123380281691</v>
      </c>
      <c r="G43" s="35">
        <f>NPV(N38,G42:K42)</f>
        <v>13417939.856015967</v>
      </c>
      <c r="P43" t="s">
        <v>617</v>
      </c>
      <c r="Q43" s="621">
        <v>0.11</v>
      </c>
    </row>
    <row r="44" spans="2:19" ht="15" thickBot="1">
      <c r="B44" t="str">
        <f>+'Valuation Analysis'!A62</f>
        <v>Wyndham Worldwide</v>
      </c>
      <c r="C44" s="626">
        <f>+'Valuation Analysis'!J62</f>
        <v>18.127192242833051</v>
      </c>
      <c r="G44" s="43">
        <f>+'Valuation Analysis'!D31</f>
        <v>93160</v>
      </c>
      <c r="M44" t="s">
        <v>619</v>
      </c>
      <c r="P44" t="s">
        <v>618</v>
      </c>
      <c r="Q44">
        <f>+'Technical Analysis'!J18</f>
        <v>1.490472324165208</v>
      </c>
    </row>
    <row r="45" spans="2:19" ht="15" thickBot="1">
      <c r="B45" t="str">
        <f>+'Valuation Analysis'!A55</f>
        <v>Choice Hotels International</v>
      </c>
      <c r="C45" s="626">
        <f>+'Valuation Analysis'!J55</f>
        <v>18.444219954792231</v>
      </c>
      <c r="G45" s="627">
        <f>+G43/G44</f>
        <v>144.03112769446079</v>
      </c>
      <c r="M45" t="s">
        <v>602</v>
      </c>
      <c r="N45">
        <f>+Projections!S47/1000000</f>
        <v>3.056</v>
      </c>
      <c r="O45" t="s">
        <v>620</v>
      </c>
    </row>
    <row r="46" spans="2:19">
      <c r="C46" s="626">
        <f>AVERAGE(C42:C45)</f>
        <v>22.216317715614952</v>
      </c>
      <c r="D46">
        <v>13.81</v>
      </c>
      <c r="E46">
        <f>+D46*C46</f>
        <v>306.80734765264248</v>
      </c>
      <c r="M46" t="s">
        <v>209</v>
      </c>
      <c r="N46">
        <f>+'Historical Analysis'!C12/1000000</f>
        <v>0.41599999999999998</v>
      </c>
    </row>
    <row r="47" spans="2:19">
      <c r="E47">
        <f>+E46-N45</f>
        <v>303.75134765264249</v>
      </c>
      <c r="F47" s="625">
        <f>+E47/(G44/1000000)</f>
        <v>3260.5340022825512</v>
      </c>
    </row>
    <row r="49" spans="2:6">
      <c r="B49" s="623" t="s">
        <v>622</v>
      </c>
      <c r="C49" s="622" t="s">
        <v>625</v>
      </c>
      <c r="E49" s="623" t="s">
        <v>626</v>
      </c>
      <c r="F49" s="622" t="s">
        <v>627</v>
      </c>
    </row>
    <row r="50" spans="2:6">
      <c r="B50" t="s">
        <v>623</v>
      </c>
      <c r="C50" s="281">
        <f>+'Valuation Analysis'!E38</f>
        <v>162.35</v>
      </c>
      <c r="E50" t="s">
        <v>593</v>
      </c>
      <c r="F50">
        <f>+C51</f>
        <v>6.68</v>
      </c>
    </row>
    <row r="51" spans="2:6">
      <c r="B51" t="s">
        <v>624</v>
      </c>
      <c r="C51">
        <v>6.68</v>
      </c>
      <c r="E51" t="s">
        <v>613</v>
      </c>
      <c r="F51" s="418">
        <f>+C52</f>
        <v>0.14099785088724115</v>
      </c>
    </row>
    <row r="52" spans="2:6">
      <c r="B52" t="s">
        <v>613</v>
      </c>
      <c r="C52" s="418">
        <f>+N38</f>
        <v>0.14099785088724115</v>
      </c>
      <c r="E52" t="s">
        <v>203</v>
      </c>
      <c r="F52" s="591">
        <f>+F38</f>
        <v>0.06</v>
      </c>
    </row>
    <row r="54" spans="2:6">
      <c r="C54" s="624">
        <f>(C50+C51)/(1+C52)</f>
        <v>148.14225974971126</v>
      </c>
      <c r="F54" s="624">
        <f>+F50/(F51-F52)</f>
        <v>82.471323952772167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24F13-D13B-4E3A-965D-1171050EB8DA}">
  <sheetPr>
    <tabColor rgb="FF0066FF"/>
  </sheetPr>
  <dimension ref="A1:AB106"/>
  <sheetViews>
    <sheetView showGridLines="0" workbookViewId="0">
      <selection activeCell="S8" sqref="S8"/>
    </sheetView>
  </sheetViews>
  <sheetFormatPr defaultRowHeight="14.5"/>
  <cols>
    <col min="1" max="1" width="11.26953125" customWidth="1"/>
    <col min="2" max="5" width="8.81640625" style="61"/>
    <col min="6" max="7" width="8.81640625" style="34"/>
    <col min="8" max="8" width="1.81640625" customWidth="1"/>
    <col min="9" max="9" width="8.81640625" customWidth="1"/>
    <col min="13" max="14" width="8.81640625" style="34"/>
    <col min="15" max="15" width="1.54296875" customWidth="1"/>
    <col min="16" max="16" width="11.1796875" customWidth="1"/>
    <col min="17" max="17" width="8.81640625" style="78"/>
    <col min="18" max="18" width="0.81640625" style="34" customWidth="1"/>
    <col min="19" max="19" width="8.81640625" style="34"/>
    <col min="22" max="22" width="11.54296875" bestFit="1" customWidth="1"/>
    <col min="23" max="23" width="15" customWidth="1"/>
    <col min="25" max="25" width="1.453125" customWidth="1"/>
    <col min="26" max="26" width="11.54296875" customWidth="1"/>
  </cols>
  <sheetData>
    <row r="1" spans="1:28" ht="23.5">
      <c r="A1" s="113" t="s">
        <v>256</v>
      </c>
      <c r="B1" s="114"/>
      <c r="C1" s="114"/>
      <c r="D1" s="114"/>
      <c r="E1" s="114"/>
      <c r="F1" s="115"/>
      <c r="G1" s="115"/>
      <c r="H1" s="116"/>
      <c r="I1" s="116"/>
      <c r="J1" s="116"/>
      <c r="K1" s="116"/>
      <c r="L1" s="116"/>
      <c r="M1" s="115"/>
      <c r="N1" s="115"/>
      <c r="O1" s="116"/>
      <c r="P1" s="116"/>
      <c r="Q1" s="117"/>
      <c r="R1" s="115"/>
      <c r="S1" s="115"/>
      <c r="T1" s="116"/>
      <c r="U1" s="116"/>
      <c r="V1" s="116"/>
      <c r="W1" s="116"/>
      <c r="X1" s="116"/>
      <c r="Y1" s="116"/>
      <c r="Z1" s="116"/>
      <c r="AA1" s="116"/>
      <c r="AB1" s="116"/>
    </row>
    <row r="2" spans="1:28" ht="17.149999999999999" customHeight="1">
      <c r="A2" s="77"/>
    </row>
    <row r="3" spans="1:28" ht="17.149999999999999" customHeight="1">
      <c r="A3" s="77"/>
    </row>
    <row r="4" spans="1:28" ht="17.149999999999999" customHeight="1">
      <c r="A4" s="77"/>
    </row>
    <row r="5" spans="1:28" ht="17.149999999999999" customHeight="1">
      <c r="A5" s="77"/>
    </row>
    <row r="6" spans="1:28" ht="17.149999999999999" customHeight="1">
      <c r="A6" s="77"/>
    </row>
    <row r="7" spans="1:28" ht="17.149999999999999" customHeight="1">
      <c r="A7" s="77"/>
    </row>
    <row r="8" spans="1:28" ht="17.149999999999999" customHeight="1">
      <c r="A8" s="77"/>
    </row>
    <row r="9" spans="1:28" ht="17.149999999999999" customHeight="1">
      <c r="A9" s="77"/>
    </row>
    <row r="10" spans="1:28" ht="17.149999999999999" customHeight="1">
      <c r="A10" s="77"/>
    </row>
    <row r="11" spans="1:28" ht="17.149999999999999" customHeight="1">
      <c r="A11" s="77"/>
    </row>
    <row r="12" spans="1:28" ht="17.149999999999999" customHeight="1">
      <c r="A12" s="77"/>
    </row>
    <row r="13" spans="1:28" ht="17.149999999999999" customHeight="1">
      <c r="A13" s="77"/>
    </row>
    <row r="14" spans="1:28" ht="17.149999999999999" customHeight="1">
      <c r="A14" s="77"/>
    </row>
    <row r="15" spans="1:28" ht="17.149999999999999" customHeight="1">
      <c r="A15" s="77"/>
    </row>
    <row r="16" spans="1:28" ht="17.149999999999999" customHeight="1">
      <c r="A16" s="77"/>
    </row>
    <row r="17" spans="1:28" ht="17.149999999999999" customHeight="1" thickBot="1">
      <c r="A17" s="77"/>
    </row>
    <row r="18" spans="1:28" ht="17.149999999999999" customHeight="1" thickBot="1">
      <c r="A18" s="77"/>
      <c r="I18" s="127" t="s">
        <v>132</v>
      </c>
      <c r="J18" s="128">
        <f>+X86</f>
        <v>1.490472324165208</v>
      </c>
      <c r="S18" s="123" t="s">
        <v>245</v>
      </c>
      <c r="T18" s="124"/>
      <c r="U18" s="125"/>
      <c r="V18" s="125"/>
      <c r="W18" s="125"/>
      <c r="X18" s="125"/>
      <c r="Z18" s="126" t="s">
        <v>255</v>
      </c>
      <c r="AA18" s="125"/>
      <c r="AB18" s="125"/>
    </row>
    <row r="19" spans="1:28" ht="8.9" customHeight="1">
      <c r="A19" s="77"/>
      <c r="R19"/>
    </row>
    <row r="20" spans="1:28" ht="21.65" customHeight="1" thickBot="1">
      <c r="A20" s="118" t="s">
        <v>500</v>
      </c>
      <c r="B20" s="114"/>
      <c r="C20" s="114"/>
      <c r="D20" s="114"/>
      <c r="E20" s="114"/>
      <c r="F20" s="115"/>
      <c r="G20" s="115"/>
      <c r="I20" s="118" t="s">
        <v>522</v>
      </c>
      <c r="J20" s="116"/>
      <c r="K20" s="116"/>
      <c r="L20" s="116"/>
      <c r="M20" s="115"/>
      <c r="N20" s="115"/>
      <c r="P20" s="119" t="s">
        <v>244</v>
      </c>
      <c r="Q20" s="117"/>
      <c r="R20"/>
      <c r="S20" s="120" t="s">
        <v>248</v>
      </c>
      <c r="T20" s="120" t="s">
        <v>247</v>
      </c>
      <c r="U20" s="120" t="s">
        <v>250</v>
      </c>
      <c r="V20" s="120" t="s">
        <v>249</v>
      </c>
      <c r="W20" s="121" t="s">
        <v>252</v>
      </c>
      <c r="X20" s="120" t="s">
        <v>251</v>
      </c>
      <c r="Z20" s="122" t="s">
        <v>637</v>
      </c>
      <c r="AA20" s="116"/>
      <c r="AB20" s="116"/>
    </row>
    <row r="21" spans="1:28" s="82" customFormat="1" ht="34.75" customHeight="1" thickBot="1">
      <c r="A21" s="107" t="s">
        <v>237</v>
      </c>
      <c r="B21" s="108" t="s">
        <v>238</v>
      </c>
      <c r="C21" s="108" t="s">
        <v>239</v>
      </c>
      <c r="D21" s="108" t="s">
        <v>240</v>
      </c>
      <c r="E21" s="108" t="s">
        <v>241</v>
      </c>
      <c r="F21" s="109" t="s">
        <v>242</v>
      </c>
      <c r="G21" s="129" t="s">
        <v>254</v>
      </c>
      <c r="I21" s="108" t="s">
        <v>238</v>
      </c>
      <c r="J21" s="108" t="s">
        <v>239</v>
      </c>
      <c r="K21" s="108" t="s">
        <v>240</v>
      </c>
      <c r="L21" s="108" t="s">
        <v>241</v>
      </c>
      <c r="M21" s="109" t="s">
        <v>242</v>
      </c>
      <c r="N21" s="129" t="s">
        <v>494</v>
      </c>
      <c r="P21" s="110" t="s">
        <v>237</v>
      </c>
      <c r="Q21" s="111" t="s">
        <v>125</v>
      </c>
      <c r="S21" s="112" t="s">
        <v>125</v>
      </c>
      <c r="T21" s="112" t="s">
        <v>246</v>
      </c>
      <c r="U21" s="112"/>
      <c r="V21" s="112"/>
      <c r="W21" s="112"/>
      <c r="X21" s="112"/>
      <c r="Y21"/>
      <c r="Z21" s="112" t="s">
        <v>237</v>
      </c>
      <c r="AA21" s="112" t="s">
        <v>125</v>
      </c>
      <c r="AB21" s="112" t="s">
        <v>246</v>
      </c>
    </row>
    <row r="22" spans="1:28" ht="17.5" customHeight="1">
      <c r="A22" s="133">
        <f>+'Stock Historical Yahoo'!A2</f>
        <v>43862</v>
      </c>
      <c r="B22" s="134">
        <f>+'Stock Historical Yahoo'!B2</f>
        <v>85.129997000000003</v>
      </c>
      <c r="C22" s="134">
        <f>+'Stock Historical Yahoo'!C2</f>
        <v>94.980002999999996</v>
      </c>
      <c r="D22" s="134">
        <f>+'Stock Historical Yahoo'!D2</f>
        <v>74.5</v>
      </c>
      <c r="E22" s="134">
        <f>+'Stock Historical Yahoo'!E2</f>
        <v>76.599997999999999</v>
      </c>
      <c r="F22" s="132"/>
      <c r="G22" s="76"/>
      <c r="I22" s="134">
        <f>+'S&amp;P ETF Yahoo'!B2</f>
        <v>323.35000600000001</v>
      </c>
      <c r="J22" s="134">
        <f>+'S&amp;P ETF Yahoo'!C2</f>
        <v>339.07998700000002</v>
      </c>
      <c r="K22" s="134">
        <f>+'S&amp;P ETF Yahoo'!D2</f>
        <v>285.540009</v>
      </c>
      <c r="L22" s="134">
        <f>+'S&amp;P ETF Yahoo'!E2</f>
        <v>296.26001000000002</v>
      </c>
      <c r="M22" s="132"/>
      <c r="N22" s="76"/>
      <c r="P22" s="53">
        <f t="shared" ref="P22:P73" si="0">+A22</f>
        <v>43862</v>
      </c>
      <c r="Q22" s="78">
        <f t="shared" ref="Q22:Q73" si="1">+E22</f>
        <v>76.599997999999999</v>
      </c>
      <c r="R22"/>
      <c r="S22" s="80"/>
      <c r="T22" s="80"/>
      <c r="U22" s="56"/>
      <c r="V22" s="56"/>
      <c r="W22" s="88"/>
      <c r="X22" s="88"/>
      <c r="Z22" s="53"/>
      <c r="AA22" s="56"/>
      <c r="AB22" s="56"/>
    </row>
    <row r="23" spans="1:28" ht="17.5" customHeight="1">
      <c r="A23" s="133">
        <f>+'Stock Historical Yahoo'!A3</f>
        <v>43891</v>
      </c>
      <c r="B23" s="134">
        <f>+'Stock Historical Yahoo'!B3</f>
        <v>77.120002999999997</v>
      </c>
      <c r="C23" s="134">
        <f>+'Stock Historical Yahoo'!C3</f>
        <v>77.660004000000001</v>
      </c>
      <c r="D23" s="134">
        <f>+'Stock Historical Yahoo'!D3</f>
        <v>24.02</v>
      </c>
      <c r="E23" s="134">
        <f>+'Stock Historical Yahoo'!E3</f>
        <v>47.900002000000001</v>
      </c>
      <c r="F23" s="132">
        <f t="shared" ref="F23:F73" si="2">+E23/E22-1</f>
        <v>-0.37467358680609886</v>
      </c>
      <c r="G23" s="76">
        <f t="shared" ref="G23:G73" si="3">+F23+G22</f>
        <v>-0.37467358680609886</v>
      </c>
      <c r="I23" s="134">
        <f>+'S&amp;P ETF Yahoo'!B3</f>
        <v>298.209991</v>
      </c>
      <c r="J23" s="134">
        <f>+'S&amp;P ETF Yahoo'!C3</f>
        <v>313.83999599999999</v>
      </c>
      <c r="K23" s="134">
        <f>+'S&amp;P ETF Yahoo'!D3</f>
        <v>218.259995</v>
      </c>
      <c r="L23" s="134">
        <f>+'S&amp;P ETF Yahoo'!E3</f>
        <v>257.75</v>
      </c>
      <c r="M23" s="132">
        <f t="shared" ref="M23:M73" si="4">+L23/L22-1</f>
        <v>-0.12998720279527443</v>
      </c>
      <c r="N23" s="76">
        <f t="shared" ref="N23:N73" si="5">+M23+N22</f>
        <v>-0.12998720279527443</v>
      </c>
      <c r="P23" s="53">
        <f t="shared" si="0"/>
        <v>43891</v>
      </c>
      <c r="Q23" s="78">
        <f t="shared" si="1"/>
        <v>47.900002000000001</v>
      </c>
      <c r="R23"/>
      <c r="S23" s="80">
        <f t="shared" ref="S23:S73" si="6">+F23</f>
        <v>-0.37467358680609886</v>
      </c>
      <c r="T23" s="80">
        <f t="shared" ref="T23:T73" si="7">+M23</f>
        <v>-0.12998720279527443</v>
      </c>
      <c r="U23" s="56">
        <f t="shared" ref="U23:U54" si="8">+S23-$S$85</f>
        <v>-0.39368830662918303</v>
      </c>
      <c r="V23" s="56">
        <f t="shared" ref="V23:V54" si="9">+T23-$T$85</f>
        <v>-0.14341082355697068</v>
      </c>
      <c r="W23" s="88">
        <f t="shared" ref="W23:W73" si="10">+V23*U23</f>
        <v>5.6459164278440339E-2</v>
      </c>
      <c r="X23" s="88">
        <f t="shared" ref="X23:X73" si="11">+V23^2</f>
        <v>2.0566664313288577E-2</v>
      </c>
      <c r="Z23" s="53">
        <f t="shared" ref="Z23:Z73" si="12">+A23</f>
        <v>43891</v>
      </c>
      <c r="AA23" s="56">
        <f t="shared" ref="AA23:AA73" si="13">+G23</f>
        <v>-0.37467358680609886</v>
      </c>
      <c r="AB23" s="56">
        <f t="shared" ref="AB23:AB73" si="14">+N23</f>
        <v>-0.12998720279527443</v>
      </c>
    </row>
    <row r="24" spans="1:28" ht="17.5" customHeight="1">
      <c r="A24" s="133">
        <f>+'Stock Historical Yahoo'!A4</f>
        <v>43922</v>
      </c>
      <c r="B24" s="134">
        <f>+'Stock Historical Yahoo'!B4</f>
        <v>45</v>
      </c>
      <c r="C24" s="134">
        <f>+'Stock Historical Yahoo'!C4</f>
        <v>60.029998999999997</v>
      </c>
      <c r="D24" s="134">
        <f>+'Stock Historical Yahoo'!D4</f>
        <v>36.119999</v>
      </c>
      <c r="E24" s="134">
        <f>+'Stock Historical Yahoo'!E4</f>
        <v>56.259998000000003</v>
      </c>
      <c r="F24" s="132">
        <f t="shared" si="2"/>
        <v>0.17453018060416792</v>
      </c>
      <c r="G24" s="76">
        <f t="shared" si="3"/>
        <v>-0.20014340620193094</v>
      </c>
      <c r="I24" s="134">
        <f>+'S&amp;P ETF Yahoo'!B4</f>
        <v>247.979996</v>
      </c>
      <c r="J24" s="134">
        <f>+'S&amp;P ETF Yahoo'!C4</f>
        <v>294.88000499999998</v>
      </c>
      <c r="K24" s="134">
        <f>+'S&amp;P ETF Yahoo'!D4</f>
        <v>243.89999399999999</v>
      </c>
      <c r="L24" s="134">
        <f>+'S&amp;P ETF Yahoo'!E4</f>
        <v>290.48001099999999</v>
      </c>
      <c r="M24" s="132">
        <f t="shared" si="4"/>
        <v>0.12698355383123183</v>
      </c>
      <c r="N24" s="76">
        <f t="shared" si="5"/>
        <v>-3.0036489640425934E-3</v>
      </c>
      <c r="P24" s="53">
        <f t="shared" si="0"/>
        <v>43922</v>
      </c>
      <c r="Q24" s="78">
        <f t="shared" si="1"/>
        <v>56.259998000000003</v>
      </c>
      <c r="R24"/>
      <c r="S24" s="80">
        <f t="shared" si="6"/>
        <v>0.17453018060416792</v>
      </c>
      <c r="T24" s="80">
        <f t="shared" si="7"/>
        <v>0.12698355383123183</v>
      </c>
      <c r="U24" s="56">
        <f t="shared" si="8"/>
        <v>0.15551546078108378</v>
      </c>
      <c r="V24" s="56">
        <f t="shared" si="9"/>
        <v>0.11355993306953556</v>
      </c>
      <c r="W24" s="88">
        <f t="shared" si="10"/>
        <v>1.7660325317577857E-2</v>
      </c>
      <c r="X24" s="88">
        <f t="shared" si="11"/>
        <v>1.2895858398757397E-2</v>
      </c>
      <c r="Z24" s="53">
        <f t="shared" si="12"/>
        <v>43922</v>
      </c>
      <c r="AA24" s="56">
        <f t="shared" si="13"/>
        <v>-0.20014340620193094</v>
      </c>
      <c r="AB24" s="56">
        <f t="shared" si="14"/>
        <v>-3.0036489640425934E-3</v>
      </c>
    </row>
    <row r="25" spans="1:28" ht="17.5" customHeight="1">
      <c r="A25" s="133">
        <f>+'Stock Historical Yahoo'!A5</f>
        <v>43952</v>
      </c>
      <c r="B25" s="134">
        <f>+'Stock Historical Yahoo'!B5</f>
        <v>54.060001</v>
      </c>
      <c r="C25" s="134">
        <f>+'Stock Historical Yahoo'!C5</f>
        <v>59.110000999999997</v>
      </c>
      <c r="D25" s="134">
        <f>+'Stock Historical Yahoo'!D5</f>
        <v>41.869999</v>
      </c>
      <c r="E25" s="134">
        <f>+'Stock Historical Yahoo'!E5</f>
        <v>55.09</v>
      </c>
      <c r="F25" s="132">
        <f t="shared" si="2"/>
        <v>-2.0796268069543822E-2</v>
      </c>
      <c r="G25" s="76">
        <f t="shared" si="3"/>
        <v>-0.22093967427147476</v>
      </c>
      <c r="I25" s="134">
        <f>+'S&amp;P ETF Yahoo'!B5</f>
        <v>285.30999800000001</v>
      </c>
      <c r="J25" s="134">
        <f>+'S&amp;P ETF Yahoo'!C5</f>
        <v>306.83999599999999</v>
      </c>
      <c r="K25" s="134">
        <f>+'S&amp;P ETF Yahoo'!D5</f>
        <v>272.98998999999998</v>
      </c>
      <c r="L25" s="134">
        <f>+'S&amp;P ETF Yahoo'!E5</f>
        <v>304.32000699999998</v>
      </c>
      <c r="M25" s="132">
        <f t="shared" si="4"/>
        <v>4.7645261208696388E-2</v>
      </c>
      <c r="N25" s="76">
        <f t="shared" si="5"/>
        <v>4.4641612244653794E-2</v>
      </c>
      <c r="P25" s="53">
        <f t="shared" si="0"/>
        <v>43952</v>
      </c>
      <c r="Q25" s="83">
        <f t="shared" si="1"/>
        <v>55.09</v>
      </c>
      <c r="R25"/>
      <c r="S25" s="80">
        <f t="shared" si="6"/>
        <v>-2.0796268069543822E-2</v>
      </c>
      <c r="T25" s="80">
        <f t="shared" si="7"/>
        <v>4.7645261208696388E-2</v>
      </c>
      <c r="U25" s="56">
        <f t="shared" si="8"/>
        <v>-3.9810987892627964E-2</v>
      </c>
      <c r="V25" s="56">
        <f t="shared" si="9"/>
        <v>3.4221640447000115E-2</v>
      </c>
      <c r="W25" s="88">
        <f t="shared" si="10"/>
        <v>-1.3623973135013889E-3</v>
      </c>
      <c r="X25" s="88">
        <f t="shared" si="11"/>
        <v>1.1711206748837542E-3</v>
      </c>
      <c r="Z25" s="53">
        <f t="shared" si="12"/>
        <v>43952</v>
      </c>
      <c r="AA25" s="56">
        <f t="shared" si="13"/>
        <v>-0.22093967427147476</v>
      </c>
      <c r="AB25" s="56">
        <f t="shared" si="14"/>
        <v>4.4641612244653794E-2</v>
      </c>
    </row>
    <row r="26" spans="1:28" ht="17.5" customHeight="1">
      <c r="A26" s="133">
        <f>+'Stock Historical Yahoo'!A6</f>
        <v>43983</v>
      </c>
      <c r="B26" s="134">
        <f>+'Stock Historical Yahoo'!B6</f>
        <v>55.09</v>
      </c>
      <c r="C26" s="134">
        <f>+'Stock Historical Yahoo'!C6</f>
        <v>68.169998000000007</v>
      </c>
      <c r="D26" s="134">
        <f>+'Stock Historical Yahoo'!D6</f>
        <v>46.810001</v>
      </c>
      <c r="E26" s="134">
        <f>+'Stock Historical Yahoo'!E6</f>
        <v>50.290000999999997</v>
      </c>
      <c r="F26" s="132">
        <f t="shared" si="2"/>
        <v>-8.7130132510437552E-2</v>
      </c>
      <c r="G26" s="76">
        <f t="shared" si="3"/>
        <v>-0.30806980678191231</v>
      </c>
      <c r="I26" s="134">
        <f>+'S&amp;P ETF Yahoo'!B6</f>
        <v>303.61999500000002</v>
      </c>
      <c r="J26" s="134">
        <f>+'S&amp;P ETF Yahoo'!C6</f>
        <v>323.41000400000001</v>
      </c>
      <c r="K26" s="134">
        <f>+'S&amp;P ETF Yahoo'!D6</f>
        <v>296.73998999999998</v>
      </c>
      <c r="L26" s="134">
        <f>+'S&amp;P ETF Yahoo'!E6</f>
        <v>308.35998499999999</v>
      </c>
      <c r="M26" s="132">
        <f t="shared" si="4"/>
        <v>1.3275426876551144E-2</v>
      </c>
      <c r="N26" s="76">
        <f t="shared" si="5"/>
        <v>5.7917039121204938E-2</v>
      </c>
      <c r="P26" s="53">
        <f t="shared" si="0"/>
        <v>43983</v>
      </c>
      <c r="Q26" s="78">
        <f t="shared" si="1"/>
        <v>50.290000999999997</v>
      </c>
      <c r="R26"/>
      <c r="S26" s="80">
        <f t="shared" si="6"/>
        <v>-8.7130132510437552E-2</v>
      </c>
      <c r="T26" s="80">
        <f t="shared" si="7"/>
        <v>1.3275426876551144E-2</v>
      </c>
      <c r="U26" s="56">
        <f t="shared" si="8"/>
        <v>-0.10614485233352169</v>
      </c>
      <c r="V26" s="56">
        <f t="shared" si="9"/>
        <v>-1.4819388514512692E-4</v>
      </c>
      <c r="W26" s="88">
        <f t="shared" si="10"/>
        <v>1.5730018055460373E-5</v>
      </c>
      <c r="X26" s="88">
        <f t="shared" si="11"/>
        <v>2.1961427594407069E-8</v>
      </c>
      <c r="Z26" s="53">
        <f t="shared" si="12"/>
        <v>43983</v>
      </c>
      <c r="AA26" s="56">
        <f t="shared" si="13"/>
        <v>-0.30806980678191231</v>
      </c>
      <c r="AB26" s="56">
        <f t="shared" si="14"/>
        <v>5.7917039121204938E-2</v>
      </c>
    </row>
    <row r="27" spans="1:28" ht="17.5" customHeight="1">
      <c r="A27" s="133">
        <f>+'Stock Historical Yahoo'!A7</f>
        <v>44013</v>
      </c>
      <c r="B27" s="134">
        <f>+'Stock Historical Yahoo'!B7</f>
        <v>51.25</v>
      </c>
      <c r="C27" s="134">
        <f>+'Stock Historical Yahoo'!C7</f>
        <v>54.279998999999997</v>
      </c>
      <c r="D27" s="134">
        <f>+'Stock Historical Yahoo'!D7</f>
        <v>46.889999000000003</v>
      </c>
      <c r="E27" s="134">
        <f>+'Stock Historical Yahoo'!E7</f>
        <v>48</v>
      </c>
      <c r="F27" s="132">
        <f t="shared" si="2"/>
        <v>-4.5535910806603463E-2</v>
      </c>
      <c r="G27" s="76">
        <f t="shared" si="3"/>
        <v>-0.35360571758851578</v>
      </c>
      <c r="I27" s="134">
        <f>+'S&amp;P ETF Yahoo'!B7</f>
        <v>309.57000699999998</v>
      </c>
      <c r="J27" s="134">
        <f>+'S&amp;P ETF Yahoo'!C7</f>
        <v>327.23001099999999</v>
      </c>
      <c r="K27" s="134">
        <f>+'S&amp;P ETF Yahoo'!D7</f>
        <v>309.07000699999998</v>
      </c>
      <c r="L27" s="134">
        <f>+'S&amp;P ETF Yahoo'!E7</f>
        <v>326.51998900000001</v>
      </c>
      <c r="M27" s="132">
        <f t="shared" si="4"/>
        <v>5.8892219754129282E-2</v>
      </c>
      <c r="N27" s="76">
        <f t="shared" si="5"/>
        <v>0.11680925887533422</v>
      </c>
      <c r="P27" s="53">
        <f t="shared" si="0"/>
        <v>44013</v>
      </c>
      <c r="Q27" s="78">
        <f t="shared" si="1"/>
        <v>48</v>
      </c>
      <c r="R27"/>
      <c r="S27" s="80">
        <f t="shared" si="6"/>
        <v>-4.5535910806603463E-2</v>
      </c>
      <c r="T27" s="80">
        <f t="shared" si="7"/>
        <v>5.8892219754129282E-2</v>
      </c>
      <c r="U27" s="56">
        <f t="shared" si="8"/>
        <v>-6.4550630629687605E-2</v>
      </c>
      <c r="V27" s="56">
        <f t="shared" si="9"/>
        <v>4.546859899243301E-2</v>
      </c>
      <c r="W27" s="88">
        <f t="shared" si="10"/>
        <v>-2.9350267388099293E-3</v>
      </c>
      <c r="X27" s="88">
        <f t="shared" si="11"/>
        <v>2.0673934943346802E-3</v>
      </c>
      <c r="Z27" s="53">
        <f t="shared" si="12"/>
        <v>44013</v>
      </c>
      <c r="AA27" s="56">
        <f t="shared" si="13"/>
        <v>-0.35360571758851578</v>
      </c>
      <c r="AB27" s="56">
        <f t="shared" si="14"/>
        <v>0.11680925887533422</v>
      </c>
    </row>
    <row r="28" spans="1:28" ht="17.5" customHeight="1">
      <c r="A28" s="133">
        <f>+'Stock Historical Yahoo'!A8</f>
        <v>44044</v>
      </c>
      <c r="B28" s="134">
        <f>+'Stock Historical Yahoo'!B8</f>
        <v>48</v>
      </c>
      <c r="C28" s="134">
        <f>+'Stock Historical Yahoo'!C8</f>
        <v>59.98</v>
      </c>
      <c r="D28" s="134">
        <f>+'Stock Historical Yahoo'!D8</f>
        <v>45.619999</v>
      </c>
      <c r="E28" s="134">
        <f>+'Stock Historical Yahoo'!E8</f>
        <v>56.490001999999997</v>
      </c>
      <c r="F28" s="132">
        <f t="shared" si="2"/>
        <v>0.17687504166666668</v>
      </c>
      <c r="G28" s="76">
        <f t="shared" si="3"/>
        <v>-0.1767306759218491</v>
      </c>
      <c r="I28" s="134">
        <f>+'S&amp;P ETF Yahoo'!B8</f>
        <v>328.32000699999998</v>
      </c>
      <c r="J28" s="134">
        <f>+'S&amp;P ETF Yahoo'!C8</f>
        <v>351.29998799999998</v>
      </c>
      <c r="K28" s="134">
        <f>+'S&amp;P ETF Yahoo'!D8</f>
        <v>327.73001099999999</v>
      </c>
      <c r="L28" s="134">
        <f>+'S&amp;P ETF Yahoo'!E8</f>
        <v>349.30999800000001</v>
      </c>
      <c r="M28" s="132">
        <f t="shared" si="4"/>
        <v>6.9796673305657864E-2</v>
      </c>
      <c r="N28" s="76">
        <f t="shared" si="5"/>
        <v>0.18660593218099208</v>
      </c>
      <c r="P28" s="53">
        <f t="shared" si="0"/>
        <v>44044</v>
      </c>
      <c r="Q28" s="78">
        <f t="shared" si="1"/>
        <v>56.490001999999997</v>
      </c>
      <c r="R28"/>
      <c r="S28" s="80">
        <f t="shared" si="6"/>
        <v>0.17687504166666668</v>
      </c>
      <c r="T28" s="80">
        <f t="shared" si="7"/>
        <v>6.9796673305657864E-2</v>
      </c>
      <c r="U28" s="56">
        <f t="shared" si="8"/>
        <v>0.15786032184358254</v>
      </c>
      <c r="V28" s="56">
        <f t="shared" si="9"/>
        <v>5.6373052543961591E-2</v>
      </c>
      <c r="W28" s="88">
        <f t="shared" si="10"/>
        <v>8.8990682178949655E-3</v>
      </c>
      <c r="X28" s="88">
        <f t="shared" si="11"/>
        <v>3.1779210531242543E-3</v>
      </c>
      <c r="Z28" s="53">
        <f t="shared" si="12"/>
        <v>44044</v>
      </c>
      <c r="AA28" s="56">
        <f t="shared" si="13"/>
        <v>-0.1767306759218491</v>
      </c>
      <c r="AB28" s="56">
        <f t="shared" si="14"/>
        <v>0.18660593218099208</v>
      </c>
    </row>
    <row r="29" spans="1:28" ht="17.5" customHeight="1">
      <c r="A29" s="133">
        <f>+'Stock Historical Yahoo'!A9</f>
        <v>44075</v>
      </c>
      <c r="B29" s="134">
        <f>+'Stock Historical Yahoo'!B9</f>
        <v>55.610000999999997</v>
      </c>
      <c r="C29" s="134">
        <f>+'Stock Historical Yahoo'!C9</f>
        <v>61.560001</v>
      </c>
      <c r="D29" s="134">
        <f>+'Stock Historical Yahoo'!D9</f>
        <v>51.209999000000003</v>
      </c>
      <c r="E29" s="134">
        <f>+'Stock Historical Yahoo'!E9</f>
        <v>53.369999</v>
      </c>
      <c r="F29" s="132">
        <f t="shared" si="2"/>
        <v>-5.5231065490137454E-2</v>
      </c>
      <c r="G29" s="76">
        <f t="shared" si="3"/>
        <v>-0.23196174141198656</v>
      </c>
      <c r="I29" s="134">
        <f>+'S&amp;P ETF Yahoo'!B9</f>
        <v>350.209991</v>
      </c>
      <c r="J29" s="134">
        <f>+'S&amp;P ETF Yahoo'!C9</f>
        <v>358.75</v>
      </c>
      <c r="K29" s="134">
        <f>+'S&amp;P ETF Yahoo'!D9</f>
        <v>319.79998799999998</v>
      </c>
      <c r="L29" s="134">
        <f>+'S&amp;P ETF Yahoo'!E9</f>
        <v>334.89001500000001</v>
      </c>
      <c r="M29" s="132">
        <f t="shared" si="4"/>
        <v>-4.1281334867489305E-2</v>
      </c>
      <c r="N29" s="76">
        <f t="shared" si="5"/>
        <v>0.14532459731350278</v>
      </c>
      <c r="P29" s="53">
        <f t="shared" si="0"/>
        <v>44075</v>
      </c>
      <c r="Q29" s="78">
        <f t="shared" si="1"/>
        <v>53.369999</v>
      </c>
      <c r="R29"/>
      <c r="S29" s="80">
        <f t="shared" si="6"/>
        <v>-5.5231065490137454E-2</v>
      </c>
      <c r="T29" s="80">
        <f t="shared" si="7"/>
        <v>-4.1281334867489305E-2</v>
      </c>
      <c r="U29" s="56">
        <f t="shared" si="8"/>
        <v>-7.4245785313221596E-2</v>
      </c>
      <c r="V29" s="56">
        <f t="shared" si="9"/>
        <v>-5.4704955629185578E-2</v>
      </c>
      <c r="W29" s="88">
        <f t="shared" si="10"/>
        <v>4.0616123912138253E-3</v>
      </c>
      <c r="X29" s="88">
        <f t="shared" si="11"/>
        <v>2.9926321703911628E-3</v>
      </c>
      <c r="Z29" s="53">
        <f t="shared" si="12"/>
        <v>44075</v>
      </c>
      <c r="AA29" s="56">
        <f t="shared" si="13"/>
        <v>-0.23196174141198656</v>
      </c>
      <c r="AB29" s="56">
        <f t="shared" si="14"/>
        <v>0.14532459731350278</v>
      </c>
    </row>
    <row r="30" spans="1:28" ht="17.5" customHeight="1">
      <c r="A30" s="133">
        <f>+'Stock Historical Yahoo'!A10</f>
        <v>44105</v>
      </c>
      <c r="B30" s="134">
        <f>+'Stock Historical Yahoo'!B10</f>
        <v>54.060001</v>
      </c>
      <c r="C30" s="134">
        <f>+'Stock Historical Yahoo'!C10</f>
        <v>60.259998000000003</v>
      </c>
      <c r="D30" s="134">
        <f>+'Stock Historical Yahoo'!D10</f>
        <v>51.5</v>
      </c>
      <c r="E30" s="134">
        <f>+'Stock Historical Yahoo'!E10</f>
        <v>55.139999000000003</v>
      </c>
      <c r="F30" s="132">
        <f t="shared" si="2"/>
        <v>3.3164699890663396E-2</v>
      </c>
      <c r="G30" s="76">
        <f t="shared" si="3"/>
        <v>-0.19879704152132316</v>
      </c>
      <c r="I30" s="134">
        <f>+'S&amp;P ETF Yahoo'!B10</f>
        <v>337.69000199999999</v>
      </c>
      <c r="J30" s="134">
        <f>+'S&amp;P ETF Yahoo'!C10</f>
        <v>354.01998900000001</v>
      </c>
      <c r="K30" s="134">
        <f>+'S&amp;P ETF Yahoo'!D10</f>
        <v>322.60000600000001</v>
      </c>
      <c r="L30" s="134">
        <f>+'S&amp;P ETF Yahoo'!E10</f>
        <v>326.540009</v>
      </c>
      <c r="M30" s="132">
        <f t="shared" si="4"/>
        <v>-2.4933577073057878E-2</v>
      </c>
      <c r="N30" s="76">
        <f t="shared" si="5"/>
        <v>0.1203910202404449</v>
      </c>
      <c r="P30" s="53">
        <f t="shared" si="0"/>
        <v>44105</v>
      </c>
      <c r="Q30" s="78">
        <f t="shared" si="1"/>
        <v>55.139999000000003</v>
      </c>
      <c r="R30"/>
      <c r="S30" s="80">
        <f t="shared" si="6"/>
        <v>3.3164699890663396E-2</v>
      </c>
      <c r="T30" s="80">
        <f t="shared" si="7"/>
        <v>-2.4933577073057878E-2</v>
      </c>
      <c r="U30" s="56">
        <f t="shared" si="8"/>
        <v>1.4149980067579251E-2</v>
      </c>
      <c r="V30" s="56">
        <f t="shared" si="9"/>
        <v>-3.835719783475415E-2</v>
      </c>
      <c r="W30" s="88">
        <f t="shared" si="10"/>
        <v>-5.427535848099652E-4</v>
      </c>
      <c r="X30" s="88">
        <f t="shared" si="11"/>
        <v>1.4712746257344684E-3</v>
      </c>
      <c r="Z30" s="53">
        <f t="shared" si="12"/>
        <v>44105</v>
      </c>
      <c r="AA30" s="56">
        <f t="shared" si="13"/>
        <v>-0.19879704152132316</v>
      </c>
      <c r="AB30" s="56">
        <f t="shared" si="14"/>
        <v>0.1203910202404449</v>
      </c>
    </row>
    <row r="31" spans="1:28" ht="17.5" customHeight="1">
      <c r="A31" s="133">
        <f>+'Stock Historical Yahoo'!A11</f>
        <v>44136</v>
      </c>
      <c r="B31" s="134">
        <f>+'Stock Historical Yahoo'!B11</f>
        <v>55.299999</v>
      </c>
      <c r="C31" s="134">
        <f>+'Stock Historical Yahoo'!C11</f>
        <v>74.540001000000004</v>
      </c>
      <c r="D31" s="134">
        <f>+'Stock Historical Yahoo'!D11</f>
        <v>54.490001999999997</v>
      </c>
      <c r="E31" s="134">
        <f>+'Stock Historical Yahoo'!E11</f>
        <v>71.970000999999996</v>
      </c>
      <c r="F31" s="132">
        <f t="shared" si="2"/>
        <v>0.30522311035950489</v>
      </c>
      <c r="G31" s="76">
        <f t="shared" si="3"/>
        <v>0.10642606883818173</v>
      </c>
      <c r="I31" s="134">
        <f>+'S&amp;P ETF Yahoo'!B11</f>
        <v>330.20001200000002</v>
      </c>
      <c r="J31" s="134">
        <f>+'S&amp;P ETF Yahoo'!C11</f>
        <v>364.38000499999998</v>
      </c>
      <c r="K31" s="134">
        <f>+'S&amp;P ETF Yahoo'!D11</f>
        <v>327.23998999999998</v>
      </c>
      <c r="L31" s="134">
        <f>+'S&amp;P ETF Yahoo'!E11</f>
        <v>362.05999800000001</v>
      </c>
      <c r="M31" s="132">
        <f t="shared" si="4"/>
        <v>0.10877683598030408</v>
      </c>
      <c r="N31" s="76">
        <f t="shared" si="5"/>
        <v>0.22916785622074898</v>
      </c>
      <c r="P31" s="53">
        <f t="shared" si="0"/>
        <v>44136</v>
      </c>
      <c r="Q31" s="78">
        <f t="shared" si="1"/>
        <v>71.970000999999996</v>
      </c>
      <c r="R31"/>
      <c r="S31" s="80">
        <f t="shared" si="6"/>
        <v>0.30522311035950489</v>
      </c>
      <c r="T31" s="80">
        <f t="shared" si="7"/>
        <v>0.10877683598030408</v>
      </c>
      <c r="U31" s="56">
        <f t="shared" si="8"/>
        <v>0.28620839053642072</v>
      </c>
      <c r="V31" s="56">
        <f t="shared" si="9"/>
        <v>9.5353215218607804E-2</v>
      </c>
      <c r="W31" s="88">
        <f t="shared" si="10"/>
        <v>2.7290890260190676E-2</v>
      </c>
      <c r="X31" s="88">
        <f t="shared" si="11"/>
        <v>9.0922356525261396E-3</v>
      </c>
      <c r="Z31" s="53">
        <f t="shared" si="12"/>
        <v>44136</v>
      </c>
      <c r="AA31" s="56">
        <f t="shared" si="13"/>
        <v>0.10642606883818173</v>
      </c>
      <c r="AB31" s="56">
        <f t="shared" si="14"/>
        <v>0.22916785622074898</v>
      </c>
    </row>
    <row r="32" spans="1:28" ht="17.5" customHeight="1">
      <c r="A32" s="133">
        <f>+'Stock Historical Yahoo'!A12</f>
        <v>44166</v>
      </c>
      <c r="B32" s="134">
        <f>+'Stock Historical Yahoo'!B12</f>
        <v>73.089995999999999</v>
      </c>
      <c r="C32" s="134">
        <f>+'Stock Historical Yahoo'!C12</f>
        <v>76.629997000000003</v>
      </c>
      <c r="D32" s="134">
        <f>+'Stock Historical Yahoo'!D12</f>
        <v>70.019997000000004</v>
      </c>
      <c r="E32" s="134">
        <f>+'Stock Historical Yahoo'!E12</f>
        <v>74.25</v>
      </c>
      <c r="F32" s="132">
        <f t="shared" si="2"/>
        <v>3.1679852276228271E-2</v>
      </c>
      <c r="G32" s="76">
        <f t="shared" si="3"/>
        <v>0.13810592111441</v>
      </c>
      <c r="I32" s="134">
        <f>+'S&amp;P ETF Yahoo'!B12</f>
        <v>365.57000699999998</v>
      </c>
      <c r="J32" s="134">
        <f>+'S&amp;P ETF Yahoo'!C12</f>
        <v>378.459991</v>
      </c>
      <c r="K32" s="134">
        <f>+'S&amp;P ETF Yahoo'!D12</f>
        <v>362.02999899999998</v>
      </c>
      <c r="L32" s="134">
        <f>+'S&amp;P ETF Yahoo'!E12</f>
        <v>373.88000499999998</v>
      </c>
      <c r="M32" s="132">
        <f t="shared" si="4"/>
        <v>3.2646542189949335E-2</v>
      </c>
      <c r="N32" s="76">
        <f t="shared" si="5"/>
        <v>0.26181439841069831</v>
      </c>
      <c r="P32" s="53">
        <f t="shared" si="0"/>
        <v>44166</v>
      </c>
      <c r="Q32" s="78">
        <f t="shared" si="1"/>
        <v>74.25</v>
      </c>
      <c r="R32"/>
      <c r="S32" s="80">
        <f t="shared" si="6"/>
        <v>3.1679852276228271E-2</v>
      </c>
      <c r="T32" s="80">
        <f t="shared" si="7"/>
        <v>3.2646542189949335E-2</v>
      </c>
      <c r="U32" s="56">
        <f t="shared" si="8"/>
        <v>1.2665132453144125E-2</v>
      </c>
      <c r="V32" s="56">
        <f t="shared" si="9"/>
        <v>1.9222921428253062E-2</v>
      </c>
      <c r="W32" s="88">
        <f t="shared" si="10"/>
        <v>2.4346084602520747E-4</v>
      </c>
      <c r="X32" s="88">
        <f t="shared" si="11"/>
        <v>3.6952070823679075E-4</v>
      </c>
      <c r="Z32" s="53">
        <f t="shared" si="12"/>
        <v>44166</v>
      </c>
      <c r="AA32" s="56">
        <f t="shared" si="13"/>
        <v>0.13810592111441</v>
      </c>
      <c r="AB32" s="56">
        <f t="shared" si="14"/>
        <v>0.26181439841069831</v>
      </c>
    </row>
    <row r="33" spans="1:28" ht="17.5" customHeight="1">
      <c r="A33" s="133">
        <f>+'Stock Historical Yahoo'!A13</f>
        <v>44197</v>
      </c>
      <c r="B33" s="134">
        <f>+'Stock Historical Yahoo'!B13</f>
        <v>74.319999999999993</v>
      </c>
      <c r="C33" s="134">
        <f>+'Stock Historical Yahoo'!C13</f>
        <v>75.529999000000004</v>
      </c>
      <c r="D33" s="134">
        <f>+'Stock Historical Yahoo'!D13</f>
        <v>65.440002000000007</v>
      </c>
      <c r="E33" s="134">
        <f>+'Stock Historical Yahoo'!E13</f>
        <v>65.660004000000001</v>
      </c>
      <c r="F33" s="132">
        <f t="shared" si="2"/>
        <v>-0.1156901818181818</v>
      </c>
      <c r="G33" s="76">
        <f t="shared" si="3"/>
        <v>2.2415739296228199E-2</v>
      </c>
      <c r="I33" s="134">
        <f>+'S&amp;P ETF Yahoo'!B13</f>
        <v>375.30999800000001</v>
      </c>
      <c r="J33" s="134">
        <f>+'S&amp;P ETF Yahoo'!C13</f>
        <v>385.85000600000001</v>
      </c>
      <c r="K33" s="134">
        <f>+'S&amp;P ETF Yahoo'!D13</f>
        <v>364.82000699999998</v>
      </c>
      <c r="L33" s="134">
        <f>+'S&amp;P ETF Yahoo'!E13</f>
        <v>370.07000699999998</v>
      </c>
      <c r="M33" s="132">
        <f t="shared" si="4"/>
        <v>-1.019042994823971E-2</v>
      </c>
      <c r="N33" s="76">
        <f t="shared" si="5"/>
        <v>0.2516239684624586</v>
      </c>
      <c r="P33" s="53">
        <f t="shared" si="0"/>
        <v>44197</v>
      </c>
      <c r="Q33" s="78">
        <f t="shared" si="1"/>
        <v>65.660004000000001</v>
      </c>
      <c r="R33"/>
      <c r="S33" s="80">
        <f t="shared" si="6"/>
        <v>-0.1156901818181818</v>
      </c>
      <c r="T33" s="80">
        <f t="shared" si="7"/>
        <v>-1.019042994823971E-2</v>
      </c>
      <c r="U33" s="56">
        <f t="shared" si="8"/>
        <v>-0.13470490164126595</v>
      </c>
      <c r="V33" s="56">
        <f t="shared" si="9"/>
        <v>-2.3614050709935983E-2</v>
      </c>
      <c r="W33" s="88">
        <f t="shared" si="10"/>
        <v>3.1809283782337928E-3</v>
      </c>
      <c r="X33" s="88">
        <f t="shared" si="11"/>
        <v>5.5762339093142811E-4</v>
      </c>
      <c r="Z33" s="53">
        <f t="shared" si="12"/>
        <v>44197</v>
      </c>
      <c r="AA33" s="56">
        <f t="shared" si="13"/>
        <v>2.2415739296228199E-2</v>
      </c>
      <c r="AB33" s="56">
        <f t="shared" si="14"/>
        <v>0.2516239684624586</v>
      </c>
    </row>
    <row r="34" spans="1:28" ht="17.5" customHeight="1">
      <c r="A34" s="133">
        <f>+'Stock Historical Yahoo'!A14</f>
        <v>44228</v>
      </c>
      <c r="B34" s="134">
        <f>+'Stock Historical Yahoo'!B14</f>
        <v>66.800003000000004</v>
      </c>
      <c r="C34" s="134">
        <f>+'Stock Historical Yahoo'!C14</f>
        <v>92.220000999999996</v>
      </c>
      <c r="D34" s="134">
        <f>+'Stock Historical Yahoo'!D14</f>
        <v>66.110000999999997</v>
      </c>
      <c r="E34" s="134">
        <f>+'Stock Historical Yahoo'!E14</f>
        <v>87.949996999999996</v>
      </c>
      <c r="F34" s="132">
        <f t="shared" si="2"/>
        <v>0.33947596165239347</v>
      </c>
      <c r="G34" s="76">
        <f t="shared" si="3"/>
        <v>0.36189170094862166</v>
      </c>
      <c r="I34" s="134">
        <f>+'S&amp;P ETF Yahoo'!B14</f>
        <v>373.72000100000002</v>
      </c>
      <c r="J34" s="134">
        <f>+'S&amp;P ETF Yahoo'!C14</f>
        <v>394.17001299999998</v>
      </c>
      <c r="K34" s="134">
        <f>+'S&amp;P ETF Yahoo'!D14</f>
        <v>370.38000499999998</v>
      </c>
      <c r="L34" s="134">
        <f>+'S&amp;P ETF Yahoo'!E14</f>
        <v>380.35998499999999</v>
      </c>
      <c r="M34" s="132">
        <f t="shared" si="4"/>
        <v>2.7805490327131643E-2</v>
      </c>
      <c r="N34" s="76">
        <f t="shared" si="5"/>
        <v>0.27942945878959025</v>
      </c>
      <c r="P34" s="53">
        <f t="shared" si="0"/>
        <v>44228</v>
      </c>
      <c r="Q34" s="78">
        <f t="shared" si="1"/>
        <v>87.949996999999996</v>
      </c>
      <c r="R34"/>
      <c r="S34" s="80">
        <f t="shared" si="6"/>
        <v>0.33947596165239347</v>
      </c>
      <c r="T34" s="80">
        <f t="shared" si="7"/>
        <v>2.7805490327131643E-2</v>
      </c>
      <c r="U34" s="56">
        <f t="shared" si="8"/>
        <v>0.3204612418293093</v>
      </c>
      <c r="V34" s="56">
        <f t="shared" si="9"/>
        <v>1.4381869565435372E-2</v>
      </c>
      <c r="W34" s="88">
        <f t="shared" si="10"/>
        <v>4.6088317807665685E-3</v>
      </c>
      <c r="X34" s="88">
        <f t="shared" si="11"/>
        <v>2.0683817219719621E-4</v>
      </c>
      <c r="Z34" s="53">
        <f t="shared" si="12"/>
        <v>44228</v>
      </c>
      <c r="AA34" s="56">
        <f t="shared" si="13"/>
        <v>0.36189170094862166</v>
      </c>
      <c r="AB34" s="56">
        <f t="shared" si="14"/>
        <v>0.27942945878959025</v>
      </c>
    </row>
    <row r="35" spans="1:28" ht="17.5" customHeight="1">
      <c r="A35" s="133">
        <f>+'Stock Historical Yahoo'!A15</f>
        <v>44256</v>
      </c>
      <c r="B35" s="134">
        <f>+'Stock Historical Yahoo'!B15</f>
        <v>90</v>
      </c>
      <c r="C35" s="134">
        <f>+'Stock Historical Yahoo'!C15</f>
        <v>90.470000999999996</v>
      </c>
      <c r="D35" s="134">
        <f>+'Stock Historical Yahoo'!D15</f>
        <v>78.180000000000007</v>
      </c>
      <c r="E35" s="134">
        <f>+'Stock Historical Yahoo'!E15</f>
        <v>82.699996999999996</v>
      </c>
      <c r="F35" s="132">
        <f t="shared" si="2"/>
        <v>-5.9693009426708632E-2</v>
      </c>
      <c r="G35" s="76">
        <f t="shared" si="3"/>
        <v>0.30219869152191303</v>
      </c>
      <c r="I35" s="134">
        <f>+'S&amp;P ETF Yahoo'!B15</f>
        <v>385.58999599999999</v>
      </c>
      <c r="J35" s="134">
        <f>+'S&amp;P ETF Yahoo'!C15</f>
        <v>398.11999500000002</v>
      </c>
      <c r="K35" s="134">
        <f>+'S&amp;P ETF Yahoo'!D15</f>
        <v>371.88000499999998</v>
      </c>
      <c r="L35" s="134">
        <f>+'S&amp;P ETF Yahoo'!E15</f>
        <v>396.32998700000002</v>
      </c>
      <c r="M35" s="132">
        <f t="shared" si="4"/>
        <v>4.1986545982222623E-2</v>
      </c>
      <c r="N35" s="76">
        <f t="shared" si="5"/>
        <v>0.32141600477181287</v>
      </c>
      <c r="P35" s="53">
        <f t="shared" si="0"/>
        <v>44256</v>
      </c>
      <c r="Q35" s="78">
        <f t="shared" si="1"/>
        <v>82.699996999999996</v>
      </c>
      <c r="R35"/>
      <c r="S35" s="80">
        <f t="shared" si="6"/>
        <v>-5.9693009426708632E-2</v>
      </c>
      <c r="T35" s="80">
        <f t="shared" si="7"/>
        <v>4.1986545982222623E-2</v>
      </c>
      <c r="U35" s="56">
        <f t="shared" si="8"/>
        <v>-7.8707729249792774E-2</v>
      </c>
      <c r="V35" s="56">
        <f t="shared" si="9"/>
        <v>2.856292522052635E-2</v>
      </c>
      <c r="W35" s="88">
        <f t="shared" si="10"/>
        <v>-2.2481229848392657E-3</v>
      </c>
      <c r="X35" s="88">
        <f t="shared" si="11"/>
        <v>8.1584069715338024E-4</v>
      </c>
      <c r="Z35" s="53">
        <f t="shared" si="12"/>
        <v>44256</v>
      </c>
      <c r="AA35" s="56">
        <f t="shared" si="13"/>
        <v>0.30219869152191303</v>
      </c>
      <c r="AB35" s="56">
        <f t="shared" si="14"/>
        <v>0.32141600477181287</v>
      </c>
    </row>
    <row r="36" spans="1:28" ht="17.5" customHeight="1">
      <c r="A36" s="133">
        <f>+'Stock Historical Yahoo'!A16</f>
        <v>44287</v>
      </c>
      <c r="B36" s="134">
        <f>+'Stock Historical Yahoo'!B16</f>
        <v>83.25</v>
      </c>
      <c r="C36" s="134">
        <f>+'Stock Historical Yahoo'!C16</f>
        <v>87.720000999999996</v>
      </c>
      <c r="D36" s="134">
        <f>+'Stock Historical Yahoo'!D16</f>
        <v>78.589995999999999</v>
      </c>
      <c r="E36" s="134">
        <f>+'Stock Historical Yahoo'!E16</f>
        <v>82.330001999999993</v>
      </c>
      <c r="F36" s="132">
        <f t="shared" si="2"/>
        <v>-4.4739421211829056E-3</v>
      </c>
      <c r="G36" s="76">
        <f t="shared" si="3"/>
        <v>0.29772474940073013</v>
      </c>
      <c r="I36" s="134">
        <f>+'S&amp;P ETF Yahoo'!B16</f>
        <v>398.39999399999999</v>
      </c>
      <c r="J36" s="134">
        <f>+'S&amp;P ETF Yahoo'!C16</f>
        <v>420.72000100000002</v>
      </c>
      <c r="K36" s="134">
        <f>+'S&amp;P ETF Yahoo'!D16</f>
        <v>398.17999300000002</v>
      </c>
      <c r="L36" s="134">
        <f>+'S&amp;P ETF Yahoo'!E16</f>
        <v>417.29998799999998</v>
      </c>
      <c r="M36" s="132">
        <f t="shared" si="4"/>
        <v>5.2910457668700062E-2</v>
      </c>
      <c r="N36" s="76">
        <f t="shared" si="5"/>
        <v>0.37432646244051293</v>
      </c>
      <c r="P36" s="53">
        <f t="shared" si="0"/>
        <v>44287</v>
      </c>
      <c r="Q36" s="78">
        <f t="shared" si="1"/>
        <v>82.330001999999993</v>
      </c>
      <c r="R36"/>
      <c r="S36" s="80">
        <f t="shared" si="6"/>
        <v>-4.4739421211829056E-3</v>
      </c>
      <c r="T36" s="80">
        <f t="shared" si="7"/>
        <v>5.2910457668700062E-2</v>
      </c>
      <c r="U36" s="56">
        <f t="shared" si="8"/>
        <v>-2.3488661944267051E-2</v>
      </c>
      <c r="V36" s="56">
        <f t="shared" si="9"/>
        <v>3.9486836907003789E-2</v>
      </c>
      <c r="W36" s="88">
        <f t="shared" si="10"/>
        <v>-9.2749296335701951E-4</v>
      </c>
      <c r="X36" s="88">
        <f t="shared" si="11"/>
        <v>1.5592102889203166E-3</v>
      </c>
      <c r="Z36" s="53">
        <f t="shared" si="12"/>
        <v>44287</v>
      </c>
      <c r="AA36" s="56">
        <f t="shared" si="13"/>
        <v>0.29772474940073013</v>
      </c>
      <c r="AB36" s="56">
        <f t="shared" si="14"/>
        <v>0.37432646244051293</v>
      </c>
    </row>
    <row r="37" spans="1:28" ht="17.5" customHeight="1">
      <c r="A37" s="133">
        <f>+'Stock Historical Yahoo'!A17</f>
        <v>44317</v>
      </c>
      <c r="B37" s="134">
        <f>+'Stock Historical Yahoo'!B17</f>
        <v>82.989998</v>
      </c>
      <c r="C37" s="134">
        <f>+'Stock Historical Yahoo'!C17</f>
        <v>83.650002000000001</v>
      </c>
      <c r="D37" s="134">
        <f>+'Stock Historical Yahoo'!D17</f>
        <v>75</v>
      </c>
      <c r="E37" s="134">
        <f>+'Stock Historical Yahoo'!E17</f>
        <v>78.080001999999993</v>
      </c>
      <c r="F37" s="132">
        <f t="shared" si="2"/>
        <v>-5.1621521884573696E-2</v>
      </c>
      <c r="G37" s="76">
        <f t="shared" si="3"/>
        <v>0.24610322751615643</v>
      </c>
      <c r="I37" s="134">
        <f>+'S&amp;P ETF Yahoo'!B17</f>
        <v>419.42999300000002</v>
      </c>
      <c r="J37" s="134">
        <f>+'S&amp;P ETF Yahoo'!C17</f>
        <v>422.82000699999998</v>
      </c>
      <c r="K37" s="134">
        <f>+'S&amp;P ETF Yahoo'!D17</f>
        <v>404</v>
      </c>
      <c r="L37" s="134">
        <f>+'S&amp;P ETF Yahoo'!E17</f>
        <v>420.040009</v>
      </c>
      <c r="M37" s="132">
        <f t="shared" si="4"/>
        <v>6.566070162455917E-3</v>
      </c>
      <c r="N37" s="76">
        <f t="shared" si="5"/>
        <v>0.38089253260296885</v>
      </c>
      <c r="P37" s="53">
        <f t="shared" si="0"/>
        <v>44317</v>
      </c>
      <c r="Q37" s="78">
        <f t="shared" si="1"/>
        <v>78.080001999999993</v>
      </c>
      <c r="R37"/>
      <c r="S37" s="80">
        <f t="shared" si="6"/>
        <v>-5.1621521884573696E-2</v>
      </c>
      <c r="T37" s="80">
        <f t="shared" si="7"/>
        <v>6.566070162455917E-3</v>
      </c>
      <c r="U37" s="56">
        <f t="shared" si="8"/>
        <v>-7.0636241707657837E-2</v>
      </c>
      <c r="V37" s="56">
        <f t="shared" si="9"/>
        <v>-6.857550599240354E-3</v>
      </c>
      <c r="W37" s="88">
        <f t="shared" si="10"/>
        <v>4.843916016504355E-4</v>
      </c>
      <c r="X37" s="88">
        <f t="shared" si="11"/>
        <v>4.7026000221141736E-5</v>
      </c>
      <c r="Z37" s="53">
        <f t="shared" si="12"/>
        <v>44317</v>
      </c>
      <c r="AA37" s="56">
        <f t="shared" si="13"/>
        <v>0.24610322751615643</v>
      </c>
      <c r="AB37" s="56">
        <f t="shared" si="14"/>
        <v>0.38089253260296885</v>
      </c>
    </row>
    <row r="38" spans="1:28" ht="17.5" customHeight="1">
      <c r="A38" s="133">
        <f>+'Stock Historical Yahoo'!A18</f>
        <v>44348</v>
      </c>
      <c r="B38" s="134">
        <f>+'Stock Historical Yahoo'!B18</f>
        <v>79.199996999999996</v>
      </c>
      <c r="C38" s="134">
        <f>+'Stock Historical Yahoo'!C18</f>
        <v>84.620002999999997</v>
      </c>
      <c r="D38" s="134">
        <f>+'Stock Historical Yahoo'!D18</f>
        <v>76.319999999999993</v>
      </c>
      <c r="E38" s="134">
        <f>+'Stock Historical Yahoo'!E18</f>
        <v>77.639999000000003</v>
      </c>
      <c r="F38" s="132">
        <f t="shared" si="2"/>
        <v>-5.6352841794239383E-3</v>
      </c>
      <c r="G38" s="76">
        <f t="shared" si="3"/>
        <v>0.24046794333673249</v>
      </c>
      <c r="I38" s="134">
        <f>+'S&amp;P ETF Yahoo'!B18</f>
        <v>422.57000699999998</v>
      </c>
      <c r="J38" s="134">
        <f>+'S&amp;P ETF Yahoo'!C18</f>
        <v>428.77999899999998</v>
      </c>
      <c r="K38" s="134">
        <f>+'S&amp;P ETF Yahoo'!D18</f>
        <v>414.70001200000002</v>
      </c>
      <c r="L38" s="134">
        <f>+'S&amp;P ETF Yahoo'!E18</f>
        <v>428.05999800000001</v>
      </c>
      <c r="M38" s="132">
        <f t="shared" si="4"/>
        <v>1.9093393077229459E-2</v>
      </c>
      <c r="N38" s="76">
        <f t="shared" si="5"/>
        <v>0.39998592568019831</v>
      </c>
      <c r="P38" s="53">
        <f t="shared" si="0"/>
        <v>44348</v>
      </c>
      <c r="Q38" s="78">
        <f t="shared" si="1"/>
        <v>77.639999000000003</v>
      </c>
      <c r="R38"/>
      <c r="S38" s="80">
        <f t="shared" si="6"/>
        <v>-5.6352841794239383E-3</v>
      </c>
      <c r="T38" s="80">
        <f t="shared" si="7"/>
        <v>1.9093393077229459E-2</v>
      </c>
      <c r="U38" s="56">
        <f t="shared" si="8"/>
        <v>-2.4650004002508084E-2</v>
      </c>
      <c r="V38" s="56">
        <f t="shared" si="9"/>
        <v>5.6697723155331881E-3</v>
      </c>
      <c r="W38" s="88">
        <f t="shared" si="10"/>
        <v>-1.3975991027120261E-4</v>
      </c>
      <c r="X38" s="88">
        <f t="shared" si="11"/>
        <v>3.2146318109986568E-5</v>
      </c>
      <c r="Z38" s="53">
        <f t="shared" si="12"/>
        <v>44348</v>
      </c>
      <c r="AA38" s="56">
        <f t="shared" si="13"/>
        <v>0.24046794333673249</v>
      </c>
      <c r="AB38" s="56">
        <f t="shared" si="14"/>
        <v>0.39998592568019831</v>
      </c>
    </row>
    <row r="39" spans="1:28" ht="17.5" customHeight="1">
      <c r="A39" s="133">
        <f>+'Stock Historical Yahoo'!A19</f>
        <v>44378</v>
      </c>
      <c r="B39" s="134">
        <f>+'Stock Historical Yahoo'!B19</f>
        <v>78</v>
      </c>
      <c r="C39" s="134">
        <f>+'Stock Historical Yahoo'!C19</f>
        <v>81.959998999999996</v>
      </c>
      <c r="D39" s="134">
        <f>+'Stock Historical Yahoo'!D19</f>
        <v>71.120002999999997</v>
      </c>
      <c r="E39" s="134">
        <f>+'Stock Historical Yahoo'!E19</f>
        <v>79.870002999999997</v>
      </c>
      <c r="F39" s="132">
        <f t="shared" si="2"/>
        <v>2.8722359978391898E-2</v>
      </c>
      <c r="G39" s="76">
        <f t="shared" si="3"/>
        <v>0.26919030331512439</v>
      </c>
      <c r="I39" s="134">
        <f>+'S&amp;P ETF Yahoo'!B19</f>
        <v>428.86999500000002</v>
      </c>
      <c r="J39" s="134">
        <f>+'S&amp;P ETF Yahoo'!C19</f>
        <v>441.79998799999998</v>
      </c>
      <c r="K39" s="134">
        <f>+'S&amp;P ETF Yahoo'!D19</f>
        <v>421.97000100000002</v>
      </c>
      <c r="L39" s="134">
        <f>+'S&amp;P ETF Yahoo'!E19</f>
        <v>438.51001000000002</v>
      </c>
      <c r="M39" s="132">
        <f t="shared" si="4"/>
        <v>2.4412493689728088E-2</v>
      </c>
      <c r="N39" s="76">
        <f t="shared" si="5"/>
        <v>0.42439841936992639</v>
      </c>
      <c r="P39" s="53">
        <f t="shared" si="0"/>
        <v>44378</v>
      </c>
      <c r="Q39" s="78">
        <f t="shared" si="1"/>
        <v>79.870002999999997</v>
      </c>
      <c r="R39"/>
      <c r="S39" s="80">
        <f t="shared" si="6"/>
        <v>2.8722359978391898E-2</v>
      </c>
      <c r="T39" s="80">
        <f t="shared" si="7"/>
        <v>2.4412493689728088E-2</v>
      </c>
      <c r="U39" s="56">
        <f t="shared" si="8"/>
        <v>9.7076401553077528E-3</v>
      </c>
      <c r="V39" s="56">
        <f t="shared" si="9"/>
        <v>1.0988872928031817E-2</v>
      </c>
      <c r="W39" s="88">
        <f t="shared" si="10"/>
        <v>1.0667602409773594E-4</v>
      </c>
      <c r="X39" s="88">
        <f t="shared" si="11"/>
        <v>1.2075532822843055E-4</v>
      </c>
      <c r="Z39" s="53">
        <f t="shared" si="12"/>
        <v>44378</v>
      </c>
      <c r="AA39" s="56">
        <f t="shared" si="13"/>
        <v>0.26919030331512439</v>
      </c>
      <c r="AB39" s="56">
        <f t="shared" si="14"/>
        <v>0.42439841936992639</v>
      </c>
    </row>
    <row r="40" spans="1:28" ht="17.5" customHeight="1">
      <c r="A40" s="133">
        <f>+'Stock Historical Yahoo'!A20</f>
        <v>44409</v>
      </c>
      <c r="B40" s="134">
        <f>+'Stock Historical Yahoo'!B20</f>
        <v>80.610000999999997</v>
      </c>
      <c r="C40" s="134">
        <f>+'Stock Historical Yahoo'!C20</f>
        <v>81.209998999999996</v>
      </c>
      <c r="D40" s="134">
        <f>+'Stock Historical Yahoo'!D20</f>
        <v>67.699996999999996</v>
      </c>
      <c r="E40" s="134">
        <f>+'Stock Historical Yahoo'!E20</f>
        <v>73.589995999999999</v>
      </c>
      <c r="F40" s="132">
        <f t="shared" si="2"/>
        <v>-7.8627854815530696E-2</v>
      </c>
      <c r="G40" s="76">
        <f t="shared" si="3"/>
        <v>0.1905624484995937</v>
      </c>
      <c r="I40" s="134">
        <f>+'S&amp;P ETF Yahoo'!B20</f>
        <v>440.33999599999999</v>
      </c>
      <c r="J40" s="134">
        <f>+'S&amp;P ETF Yahoo'!C20</f>
        <v>453.07000699999998</v>
      </c>
      <c r="K40" s="134">
        <f>+'S&amp;P ETF Yahoo'!D20</f>
        <v>436.10000600000001</v>
      </c>
      <c r="L40" s="134">
        <f>+'S&amp;P ETF Yahoo'!E20</f>
        <v>451.55999800000001</v>
      </c>
      <c r="M40" s="132">
        <f t="shared" si="4"/>
        <v>2.9759840602042287E-2</v>
      </c>
      <c r="N40" s="76">
        <f t="shared" si="5"/>
        <v>0.45415825997196868</v>
      </c>
      <c r="P40" s="53">
        <f t="shared" si="0"/>
        <v>44409</v>
      </c>
      <c r="Q40" s="78">
        <f t="shared" si="1"/>
        <v>73.589995999999999</v>
      </c>
      <c r="R40"/>
      <c r="S40" s="80">
        <f t="shared" si="6"/>
        <v>-7.8627854815530696E-2</v>
      </c>
      <c r="T40" s="80">
        <f t="shared" si="7"/>
        <v>2.9759840602042287E-2</v>
      </c>
      <c r="U40" s="56">
        <f t="shared" si="8"/>
        <v>-9.7642574638614837E-2</v>
      </c>
      <c r="V40" s="56">
        <f t="shared" si="9"/>
        <v>1.6336219840346014E-2</v>
      </c>
      <c r="W40" s="88">
        <f t="shared" si="10"/>
        <v>-1.5951105650738062E-3</v>
      </c>
      <c r="X40" s="88">
        <f t="shared" si="11"/>
        <v>2.6687207867211475E-4</v>
      </c>
      <c r="Z40" s="53">
        <f t="shared" si="12"/>
        <v>44409</v>
      </c>
      <c r="AA40" s="56">
        <f t="shared" si="13"/>
        <v>0.1905624484995937</v>
      </c>
      <c r="AB40" s="56">
        <f t="shared" si="14"/>
        <v>0.45415825997196868</v>
      </c>
    </row>
    <row r="41" spans="1:28" ht="17.5" customHeight="1">
      <c r="A41" s="133">
        <f>+'Stock Historical Yahoo'!A21</f>
        <v>44440</v>
      </c>
      <c r="B41" s="134">
        <f>+'Stock Historical Yahoo'!B21</f>
        <v>73.900002000000001</v>
      </c>
      <c r="C41" s="134">
        <f>+'Stock Historical Yahoo'!C21</f>
        <v>81.360000999999997</v>
      </c>
      <c r="D41" s="134">
        <f>+'Stock Historical Yahoo'!D21</f>
        <v>70.300003000000004</v>
      </c>
      <c r="E41" s="134">
        <f>+'Stock Historical Yahoo'!E21</f>
        <v>77.099997999999999</v>
      </c>
      <c r="F41" s="132">
        <f t="shared" si="2"/>
        <v>4.7696727691084462E-2</v>
      </c>
      <c r="G41" s="76">
        <f t="shared" si="3"/>
        <v>0.23825917619067816</v>
      </c>
      <c r="I41" s="134">
        <f>+'S&amp;P ETF Yahoo'!B21</f>
        <v>452.55999800000001</v>
      </c>
      <c r="J41" s="134">
        <f>+'S&amp;P ETF Yahoo'!C21</f>
        <v>454.04998799999998</v>
      </c>
      <c r="K41" s="134">
        <f>+'S&amp;P ETF Yahoo'!D21</f>
        <v>428.77999899999998</v>
      </c>
      <c r="L41" s="134">
        <f>+'S&amp;P ETF Yahoo'!E21</f>
        <v>429.14001500000001</v>
      </c>
      <c r="M41" s="132">
        <f t="shared" si="4"/>
        <v>-4.9650064441713493E-2</v>
      </c>
      <c r="N41" s="76">
        <f t="shared" si="5"/>
        <v>0.40450819553025519</v>
      </c>
      <c r="P41" s="53">
        <f t="shared" si="0"/>
        <v>44440</v>
      </c>
      <c r="Q41" s="78">
        <f t="shared" si="1"/>
        <v>77.099997999999999</v>
      </c>
      <c r="R41"/>
      <c r="S41" s="80">
        <f t="shared" si="6"/>
        <v>4.7696727691084462E-2</v>
      </c>
      <c r="T41" s="80">
        <f t="shared" si="7"/>
        <v>-4.9650064441713493E-2</v>
      </c>
      <c r="U41" s="56">
        <f t="shared" si="8"/>
        <v>2.8682007868000316E-2</v>
      </c>
      <c r="V41" s="56">
        <f t="shared" si="9"/>
        <v>-6.3073685203409766E-2</v>
      </c>
      <c r="W41" s="88">
        <f t="shared" si="10"/>
        <v>-1.8090799352679741E-3</v>
      </c>
      <c r="X41" s="88">
        <f t="shared" si="11"/>
        <v>3.9782897651388319E-3</v>
      </c>
      <c r="Z41" s="53">
        <f t="shared" si="12"/>
        <v>44440</v>
      </c>
      <c r="AA41" s="56">
        <f t="shared" si="13"/>
        <v>0.23825917619067816</v>
      </c>
      <c r="AB41" s="56">
        <f t="shared" si="14"/>
        <v>0.40450819553025519</v>
      </c>
    </row>
    <row r="42" spans="1:28" ht="17.5" customHeight="1">
      <c r="A42" s="133">
        <f>+'Stock Historical Yahoo'!A22</f>
        <v>44470</v>
      </c>
      <c r="B42" s="134">
        <f>+'Stock Historical Yahoo'!B22</f>
        <v>78.470000999999996</v>
      </c>
      <c r="C42" s="134">
        <f>+'Stock Historical Yahoo'!C22</f>
        <v>87.75</v>
      </c>
      <c r="D42" s="134">
        <f>+'Stock Historical Yahoo'!D22</f>
        <v>78</v>
      </c>
      <c r="E42" s="134">
        <f>+'Stock Historical Yahoo'!E22</f>
        <v>85.199996999999996</v>
      </c>
      <c r="F42" s="132">
        <f t="shared" si="2"/>
        <v>0.10505835551383536</v>
      </c>
      <c r="G42" s="76">
        <f t="shared" si="3"/>
        <v>0.34331753170451351</v>
      </c>
      <c r="I42" s="134">
        <f>+'S&amp;P ETF Yahoo'!B22</f>
        <v>430.98001099999999</v>
      </c>
      <c r="J42" s="134">
        <f>+'S&amp;P ETF Yahoo'!C22</f>
        <v>459.55999800000001</v>
      </c>
      <c r="K42" s="134">
        <f>+'S&amp;P ETF Yahoo'!D22</f>
        <v>426.35998499999999</v>
      </c>
      <c r="L42" s="134">
        <f>+'S&amp;P ETF Yahoo'!E22</f>
        <v>459.25</v>
      </c>
      <c r="M42" s="132">
        <f t="shared" si="4"/>
        <v>7.0163545573814545E-2</v>
      </c>
      <c r="N42" s="76">
        <f t="shared" si="5"/>
        <v>0.47467174110406973</v>
      </c>
      <c r="P42" s="53">
        <f t="shared" si="0"/>
        <v>44470</v>
      </c>
      <c r="Q42" s="78">
        <f t="shared" si="1"/>
        <v>85.199996999999996</v>
      </c>
      <c r="R42"/>
      <c r="S42" s="80">
        <f t="shared" si="6"/>
        <v>0.10505835551383536</v>
      </c>
      <c r="T42" s="80">
        <f t="shared" si="7"/>
        <v>7.0163545573814545E-2</v>
      </c>
      <c r="U42" s="56">
        <f t="shared" si="8"/>
        <v>8.6043635690751213E-2</v>
      </c>
      <c r="V42" s="56">
        <f t="shared" si="9"/>
        <v>5.6739924812118273E-2</v>
      </c>
      <c r="W42" s="88">
        <f t="shared" si="10"/>
        <v>4.8821094196545203E-3</v>
      </c>
      <c r="X42" s="88">
        <f t="shared" si="11"/>
        <v>3.2194190676848346E-3</v>
      </c>
      <c r="Z42" s="53">
        <f t="shared" si="12"/>
        <v>44470</v>
      </c>
      <c r="AA42" s="56">
        <f t="shared" si="13"/>
        <v>0.34331753170451351</v>
      </c>
      <c r="AB42" s="56">
        <f t="shared" si="14"/>
        <v>0.47467174110406973</v>
      </c>
    </row>
    <row r="43" spans="1:28" ht="17.5" customHeight="1">
      <c r="A43" s="133">
        <f>+'Stock Historical Yahoo'!A23</f>
        <v>44501</v>
      </c>
      <c r="B43" s="134">
        <f>+'Stock Historical Yahoo'!B23</f>
        <v>85.449996999999996</v>
      </c>
      <c r="C43" s="134">
        <f>+'Stock Historical Yahoo'!C23</f>
        <v>94.919998000000007</v>
      </c>
      <c r="D43" s="134">
        <f>+'Stock Historical Yahoo'!D23</f>
        <v>74.910004000000001</v>
      </c>
      <c r="E43" s="134">
        <f>+'Stock Historical Yahoo'!E23</f>
        <v>78.769997000000004</v>
      </c>
      <c r="F43" s="132">
        <f t="shared" si="2"/>
        <v>-7.5469486225451354E-2</v>
      </c>
      <c r="G43" s="76">
        <f t="shared" si="3"/>
        <v>0.26784804547906216</v>
      </c>
      <c r="I43" s="134">
        <f>+'S&amp;P ETF Yahoo'!B23</f>
        <v>460.29998799999998</v>
      </c>
      <c r="J43" s="134">
        <f>+'S&amp;P ETF Yahoo'!C23</f>
        <v>473.540009</v>
      </c>
      <c r="K43" s="134">
        <f>+'S&amp;P ETF Yahoo'!D23</f>
        <v>455.29998799999998</v>
      </c>
      <c r="L43" s="134">
        <f>+'S&amp;P ETF Yahoo'!E23</f>
        <v>455.55999800000001</v>
      </c>
      <c r="M43" s="132">
        <f t="shared" si="4"/>
        <v>-8.0348437670114681E-3</v>
      </c>
      <c r="N43" s="76">
        <f t="shared" si="5"/>
        <v>0.46663689733705827</v>
      </c>
      <c r="P43" s="53">
        <f t="shared" si="0"/>
        <v>44501</v>
      </c>
      <c r="Q43" s="78">
        <f t="shared" si="1"/>
        <v>78.769997000000004</v>
      </c>
      <c r="R43"/>
      <c r="S43" s="80">
        <f t="shared" si="6"/>
        <v>-7.5469486225451354E-2</v>
      </c>
      <c r="T43" s="80">
        <f t="shared" si="7"/>
        <v>-8.0348437670114681E-3</v>
      </c>
      <c r="U43" s="56">
        <f t="shared" si="8"/>
        <v>-9.4484206048535496E-2</v>
      </c>
      <c r="V43" s="56">
        <f t="shared" si="9"/>
        <v>-2.1458464528707741E-2</v>
      </c>
      <c r="W43" s="88">
        <f t="shared" si="10"/>
        <v>2.0274859840156124E-3</v>
      </c>
      <c r="X43" s="88">
        <f t="shared" si="11"/>
        <v>4.604656999298083E-4</v>
      </c>
      <c r="Z43" s="53">
        <f t="shared" si="12"/>
        <v>44501</v>
      </c>
      <c r="AA43" s="56">
        <f t="shared" si="13"/>
        <v>0.26784804547906216</v>
      </c>
      <c r="AB43" s="56">
        <f t="shared" si="14"/>
        <v>0.46663689733705827</v>
      </c>
    </row>
    <row r="44" spans="1:28" ht="17.5" customHeight="1">
      <c r="A44" s="133">
        <f>+'Stock Historical Yahoo'!A24</f>
        <v>44531</v>
      </c>
      <c r="B44" s="134">
        <f>+'Stock Historical Yahoo'!B24</f>
        <v>80.389999000000003</v>
      </c>
      <c r="C44" s="134">
        <f>+'Stock Historical Yahoo'!C24</f>
        <v>97.150002000000001</v>
      </c>
      <c r="D44" s="134">
        <f>+'Stock Historical Yahoo'!D24</f>
        <v>77.699996999999996</v>
      </c>
      <c r="E44" s="134">
        <f>+'Stock Historical Yahoo'!E24</f>
        <v>95.900002000000001</v>
      </c>
      <c r="F44" s="132">
        <f t="shared" si="2"/>
        <v>0.21746865116676339</v>
      </c>
      <c r="G44" s="76">
        <f t="shared" si="3"/>
        <v>0.48531669664582555</v>
      </c>
      <c r="I44" s="134">
        <f>+'S&amp;P ETF Yahoo'!B24</f>
        <v>461.64001500000001</v>
      </c>
      <c r="J44" s="134">
        <f>+'S&amp;P ETF Yahoo'!C24</f>
        <v>479</v>
      </c>
      <c r="K44" s="134">
        <f>+'S&amp;P ETF Yahoo'!D24</f>
        <v>448.92001299999998</v>
      </c>
      <c r="L44" s="134">
        <f>+'S&amp;P ETF Yahoo'!E24</f>
        <v>474.959991</v>
      </c>
      <c r="M44" s="132">
        <f t="shared" si="4"/>
        <v>4.2584935211980479E-2</v>
      </c>
      <c r="N44" s="76">
        <f t="shared" si="5"/>
        <v>0.50922183254903874</v>
      </c>
      <c r="P44" s="53">
        <f t="shared" si="0"/>
        <v>44531</v>
      </c>
      <c r="Q44" s="78">
        <f t="shared" si="1"/>
        <v>95.900002000000001</v>
      </c>
      <c r="R44"/>
      <c r="S44" s="80">
        <f t="shared" si="6"/>
        <v>0.21746865116676339</v>
      </c>
      <c r="T44" s="80">
        <f t="shared" si="7"/>
        <v>4.2584935211980479E-2</v>
      </c>
      <c r="U44" s="56">
        <f t="shared" si="8"/>
        <v>0.19845393134367925</v>
      </c>
      <c r="V44" s="56">
        <f t="shared" si="9"/>
        <v>2.9161314450284206E-2</v>
      </c>
      <c r="W44" s="88">
        <f t="shared" si="10"/>
        <v>5.7871774958081438E-3</v>
      </c>
      <c r="X44" s="88">
        <f t="shared" si="11"/>
        <v>8.5038226046835446E-4</v>
      </c>
      <c r="Z44" s="53">
        <f t="shared" si="12"/>
        <v>44531</v>
      </c>
      <c r="AA44" s="56">
        <f t="shared" si="13"/>
        <v>0.48531669664582555</v>
      </c>
      <c r="AB44" s="56">
        <f t="shared" si="14"/>
        <v>0.50922183254903874</v>
      </c>
    </row>
    <row r="45" spans="1:28" ht="17.5" customHeight="1">
      <c r="A45" s="133">
        <f>+'Stock Historical Yahoo'!A25</f>
        <v>44562</v>
      </c>
      <c r="B45" s="134">
        <f>+'Stock Historical Yahoo'!B25</f>
        <v>96.550003000000004</v>
      </c>
      <c r="C45" s="134">
        <f>+'Stock Historical Yahoo'!C25</f>
        <v>99</v>
      </c>
      <c r="D45" s="134">
        <f>+'Stock Historical Yahoo'!D25</f>
        <v>83.309997999999993</v>
      </c>
      <c r="E45" s="134">
        <f>+'Stock Historical Yahoo'!E25</f>
        <v>91.610000999999997</v>
      </c>
      <c r="F45" s="132">
        <f t="shared" si="2"/>
        <v>-4.4734107513365928E-2</v>
      </c>
      <c r="G45" s="76">
        <f t="shared" si="3"/>
        <v>0.44058258913245962</v>
      </c>
      <c r="I45" s="134">
        <f>+'S&amp;P ETF Yahoo'!B25</f>
        <v>476.29998799999998</v>
      </c>
      <c r="J45" s="134">
        <f>+'S&amp;P ETF Yahoo'!C25</f>
        <v>479.98001099999999</v>
      </c>
      <c r="K45" s="134">
        <f>+'S&amp;P ETF Yahoo'!D25</f>
        <v>420.76001000000002</v>
      </c>
      <c r="L45" s="134">
        <f>+'S&amp;P ETF Yahoo'!E25</f>
        <v>449.91000400000001</v>
      </c>
      <c r="M45" s="132">
        <f t="shared" si="4"/>
        <v>-5.2741257105169526E-2</v>
      </c>
      <c r="N45" s="76">
        <f t="shared" si="5"/>
        <v>0.45648057544386922</v>
      </c>
      <c r="P45" s="53">
        <f t="shared" si="0"/>
        <v>44562</v>
      </c>
      <c r="Q45" s="78">
        <f t="shared" si="1"/>
        <v>91.610000999999997</v>
      </c>
      <c r="R45"/>
      <c r="S45" s="80">
        <f t="shared" si="6"/>
        <v>-4.4734107513365928E-2</v>
      </c>
      <c r="T45" s="80">
        <f t="shared" si="7"/>
        <v>-5.2741257105169526E-2</v>
      </c>
      <c r="U45" s="56">
        <f t="shared" si="8"/>
        <v>-6.374882733645007E-2</v>
      </c>
      <c r="V45" s="56">
        <f t="shared" si="9"/>
        <v>-6.6164877866865798E-2</v>
      </c>
      <c r="W45" s="88">
        <f t="shared" si="10"/>
        <v>4.2179333748721343E-3</v>
      </c>
      <c r="X45" s="88">
        <f t="shared" si="11"/>
        <v>4.3777910631372678E-3</v>
      </c>
      <c r="Z45" s="53">
        <f t="shared" si="12"/>
        <v>44562</v>
      </c>
      <c r="AA45" s="56">
        <f t="shared" si="13"/>
        <v>0.44058258913245962</v>
      </c>
      <c r="AB45" s="56">
        <f t="shared" si="14"/>
        <v>0.45648057544386922</v>
      </c>
    </row>
    <row r="46" spans="1:28" ht="17.5" customHeight="1">
      <c r="A46" s="133">
        <f>+'Stock Historical Yahoo'!A26</f>
        <v>44593</v>
      </c>
      <c r="B46" s="134">
        <f>+'Stock Historical Yahoo'!B26</f>
        <v>92.190002000000007</v>
      </c>
      <c r="C46" s="134">
        <f>+'Stock Historical Yahoo'!C26</f>
        <v>108.099998</v>
      </c>
      <c r="D46" s="134">
        <f>+'Stock Historical Yahoo'!D26</f>
        <v>90.839995999999999</v>
      </c>
      <c r="E46" s="134">
        <f>+'Stock Historical Yahoo'!E26</f>
        <v>97.110000999999997</v>
      </c>
      <c r="F46" s="132">
        <f t="shared" si="2"/>
        <v>6.0037113196844016E-2</v>
      </c>
      <c r="G46" s="76">
        <f t="shared" si="3"/>
        <v>0.50061970232930364</v>
      </c>
      <c r="I46" s="134">
        <f>+'S&amp;P ETF Yahoo'!B26</f>
        <v>450.67999300000002</v>
      </c>
      <c r="J46" s="134">
        <f>+'S&amp;P ETF Yahoo'!C26</f>
        <v>458.11999500000002</v>
      </c>
      <c r="K46" s="134">
        <f>+'S&amp;P ETF Yahoo'!D26</f>
        <v>410.64001500000001</v>
      </c>
      <c r="L46" s="134">
        <f>+'S&amp;P ETF Yahoo'!E26</f>
        <v>436.63000499999998</v>
      </c>
      <c r="M46" s="132">
        <f t="shared" si="4"/>
        <v>-2.9517012028921319E-2</v>
      </c>
      <c r="N46" s="76">
        <f t="shared" si="5"/>
        <v>0.4269635634149479</v>
      </c>
      <c r="P46" s="53">
        <f t="shared" si="0"/>
        <v>44593</v>
      </c>
      <c r="Q46" s="78">
        <f t="shared" si="1"/>
        <v>97.110000999999997</v>
      </c>
      <c r="R46"/>
      <c r="S46" s="80">
        <f t="shared" si="6"/>
        <v>6.0037113196844016E-2</v>
      </c>
      <c r="T46" s="80">
        <f t="shared" si="7"/>
        <v>-2.9517012028921319E-2</v>
      </c>
      <c r="U46" s="56">
        <f t="shared" si="8"/>
        <v>4.1022393373759874E-2</v>
      </c>
      <c r="V46" s="56">
        <f t="shared" si="9"/>
        <v>-4.2940632790617592E-2</v>
      </c>
      <c r="W46" s="88">
        <f t="shared" si="10"/>
        <v>-1.7615275300548871E-3</v>
      </c>
      <c r="X46" s="88">
        <f t="shared" si="11"/>
        <v>1.8438979444586627E-3</v>
      </c>
      <c r="Z46" s="53">
        <f t="shared" si="12"/>
        <v>44593</v>
      </c>
      <c r="AA46" s="56">
        <f t="shared" si="13"/>
        <v>0.50061970232930364</v>
      </c>
      <c r="AB46" s="56">
        <f t="shared" si="14"/>
        <v>0.4269635634149479</v>
      </c>
    </row>
    <row r="47" spans="1:28" ht="17.5" customHeight="1">
      <c r="A47" s="133">
        <f>+'Stock Historical Yahoo'!A27</f>
        <v>44621</v>
      </c>
      <c r="B47" s="134">
        <f>+'Stock Historical Yahoo'!B27</f>
        <v>96.080001999999993</v>
      </c>
      <c r="C47" s="134">
        <f>+'Stock Historical Yahoo'!C27</f>
        <v>98.900002000000001</v>
      </c>
      <c r="D47" s="134">
        <f>+'Stock Historical Yahoo'!D27</f>
        <v>81.769997000000004</v>
      </c>
      <c r="E47" s="134">
        <f>+'Stock Historical Yahoo'!E27</f>
        <v>95.449996999999996</v>
      </c>
      <c r="F47" s="132">
        <f t="shared" si="2"/>
        <v>-1.709405810839193E-2</v>
      </c>
      <c r="G47" s="76">
        <f t="shared" si="3"/>
        <v>0.48352564422091171</v>
      </c>
      <c r="I47" s="134">
        <f>+'S&amp;P ETF Yahoo'!B27</f>
        <v>435.040009</v>
      </c>
      <c r="J47" s="134">
        <f>+'S&amp;P ETF Yahoo'!C27</f>
        <v>462.07000699999998</v>
      </c>
      <c r="K47" s="134">
        <f>+'S&amp;P ETF Yahoo'!D27</f>
        <v>415.11999500000002</v>
      </c>
      <c r="L47" s="134">
        <f>+'S&amp;P ETF Yahoo'!E27</f>
        <v>451.64001500000001</v>
      </c>
      <c r="M47" s="132">
        <f t="shared" si="4"/>
        <v>3.4376954923196479E-2</v>
      </c>
      <c r="N47" s="76">
        <f t="shared" si="5"/>
        <v>0.46134051833814438</v>
      </c>
      <c r="P47" s="53">
        <f t="shared" si="0"/>
        <v>44621</v>
      </c>
      <c r="Q47" s="78">
        <f t="shared" si="1"/>
        <v>95.449996999999996</v>
      </c>
      <c r="R47"/>
      <c r="S47" s="80">
        <f t="shared" si="6"/>
        <v>-1.709405810839193E-2</v>
      </c>
      <c r="T47" s="80">
        <f t="shared" si="7"/>
        <v>3.4376954923196479E-2</v>
      </c>
      <c r="U47" s="56">
        <f t="shared" si="8"/>
        <v>-3.6108777931476072E-2</v>
      </c>
      <c r="V47" s="56">
        <f t="shared" si="9"/>
        <v>2.0953334161500206E-2</v>
      </c>
      <c r="W47" s="88">
        <f t="shared" si="10"/>
        <v>-7.5659929016162232E-4</v>
      </c>
      <c r="X47" s="88">
        <f t="shared" si="11"/>
        <v>4.3904221248349152E-4</v>
      </c>
      <c r="Z47" s="53">
        <f t="shared" si="12"/>
        <v>44621</v>
      </c>
      <c r="AA47" s="56">
        <f t="shared" si="13"/>
        <v>0.48352564422091171</v>
      </c>
      <c r="AB47" s="56">
        <f t="shared" si="14"/>
        <v>0.46134051833814438</v>
      </c>
    </row>
    <row r="48" spans="1:28" ht="17.5" customHeight="1">
      <c r="A48" s="133">
        <f>+'Stock Historical Yahoo'!A28</f>
        <v>44652</v>
      </c>
      <c r="B48" s="134">
        <f>+'Stock Historical Yahoo'!B28</f>
        <v>96.580001999999993</v>
      </c>
      <c r="C48" s="134">
        <f>+'Stock Historical Yahoo'!C28</f>
        <v>102.529999</v>
      </c>
      <c r="D48" s="134">
        <f>+'Stock Historical Yahoo'!D28</f>
        <v>86.129997000000003</v>
      </c>
      <c r="E48" s="134">
        <f>+'Stock Historical Yahoo'!E28</f>
        <v>94.959998999999996</v>
      </c>
      <c r="F48" s="132">
        <f t="shared" si="2"/>
        <v>-5.1335569973878226E-3</v>
      </c>
      <c r="G48" s="76">
        <f t="shared" si="3"/>
        <v>0.47839208722352389</v>
      </c>
      <c r="I48" s="134">
        <f>+'S&amp;P ETF Yahoo'!B28</f>
        <v>453.30999800000001</v>
      </c>
      <c r="J48" s="134">
        <f>+'S&amp;P ETF Yahoo'!C28</f>
        <v>457.82998700000002</v>
      </c>
      <c r="K48" s="134">
        <f>+'S&amp;P ETF Yahoo'!D28</f>
        <v>411.209991</v>
      </c>
      <c r="L48" s="134">
        <f>+'S&amp;P ETF Yahoo'!E28</f>
        <v>412</v>
      </c>
      <c r="M48" s="132">
        <f t="shared" si="4"/>
        <v>-8.7769049870392912E-2</v>
      </c>
      <c r="N48" s="76">
        <f t="shared" si="5"/>
        <v>0.37357146846775147</v>
      </c>
      <c r="P48" s="53">
        <f t="shared" si="0"/>
        <v>44652</v>
      </c>
      <c r="Q48" s="78">
        <f t="shared" si="1"/>
        <v>94.959998999999996</v>
      </c>
      <c r="R48"/>
      <c r="S48" s="80">
        <f t="shared" si="6"/>
        <v>-5.1335569973878226E-3</v>
      </c>
      <c r="T48" s="80">
        <f t="shared" si="7"/>
        <v>-8.7769049870392912E-2</v>
      </c>
      <c r="U48" s="56">
        <f t="shared" si="8"/>
        <v>-2.4148276820471968E-2</v>
      </c>
      <c r="V48" s="56">
        <f t="shared" si="9"/>
        <v>-0.10119267063208919</v>
      </c>
      <c r="W48" s="88">
        <f t="shared" si="10"/>
        <v>2.4436286226265339E-3</v>
      </c>
      <c r="X48" s="88">
        <f t="shared" si="11"/>
        <v>1.0239956589654485E-2</v>
      </c>
      <c r="Z48" s="53">
        <f t="shared" si="12"/>
        <v>44652</v>
      </c>
      <c r="AA48" s="56">
        <f t="shared" si="13"/>
        <v>0.47839208722352389</v>
      </c>
      <c r="AB48" s="56">
        <f t="shared" si="14"/>
        <v>0.37357146846775147</v>
      </c>
    </row>
    <row r="49" spans="1:28" ht="17.5" customHeight="1">
      <c r="A49" s="133">
        <f>+'Stock Historical Yahoo'!A29</f>
        <v>44682</v>
      </c>
      <c r="B49" s="134">
        <f>+'Stock Historical Yahoo'!B29</f>
        <v>95.949996999999996</v>
      </c>
      <c r="C49" s="134">
        <f>+'Stock Historical Yahoo'!C29</f>
        <v>96.389999000000003</v>
      </c>
      <c r="D49" s="134">
        <f>+'Stock Historical Yahoo'!D29</f>
        <v>78.029999000000004</v>
      </c>
      <c r="E49" s="134">
        <f>+'Stock Historical Yahoo'!E29</f>
        <v>88.389999000000003</v>
      </c>
      <c r="F49" s="132">
        <f t="shared" si="2"/>
        <v>-6.9187026844850674E-2</v>
      </c>
      <c r="G49" s="76">
        <f t="shared" si="3"/>
        <v>0.40920506037867321</v>
      </c>
      <c r="I49" s="134">
        <f>+'S&amp;P ETF Yahoo'!B29</f>
        <v>412.07000699999998</v>
      </c>
      <c r="J49" s="134">
        <f>+'S&amp;P ETF Yahoo'!C29</f>
        <v>429.66000400000001</v>
      </c>
      <c r="K49" s="134">
        <f>+'S&amp;P ETF Yahoo'!D29</f>
        <v>380.540009</v>
      </c>
      <c r="L49" s="134">
        <f>+'S&amp;P ETF Yahoo'!E29</f>
        <v>412.92999300000002</v>
      </c>
      <c r="M49" s="132">
        <f t="shared" si="4"/>
        <v>2.257264563106931E-3</v>
      </c>
      <c r="N49" s="76">
        <f t="shared" si="5"/>
        <v>0.3758287330308584</v>
      </c>
      <c r="P49" s="53">
        <f t="shared" si="0"/>
        <v>44682</v>
      </c>
      <c r="Q49" s="78">
        <f t="shared" si="1"/>
        <v>88.389999000000003</v>
      </c>
      <c r="R49"/>
      <c r="S49" s="80">
        <f t="shared" si="6"/>
        <v>-6.9187026844850674E-2</v>
      </c>
      <c r="T49" s="80">
        <f t="shared" si="7"/>
        <v>2.257264563106931E-3</v>
      </c>
      <c r="U49" s="56">
        <f t="shared" si="8"/>
        <v>-8.8201746667934816E-2</v>
      </c>
      <c r="V49" s="56">
        <f t="shared" si="9"/>
        <v>-1.116635619858934E-2</v>
      </c>
      <c r="W49" s="88">
        <f t="shared" si="10"/>
        <v>9.8489212063190053E-4</v>
      </c>
      <c r="X49" s="88">
        <f t="shared" si="11"/>
        <v>1.2468751075377457E-4</v>
      </c>
      <c r="Z49" s="53">
        <f t="shared" si="12"/>
        <v>44682</v>
      </c>
      <c r="AA49" s="56">
        <f t="shared" si="13"/>
        <v>0.40920506037867321</v>
      </c>
      <c r="AB49" s="56">
        <f t="shared" si="14"/>
        <v>0.3758287330308584</v>
      </c>
    </row>
    <row r="50" spans="1:28" ht="17.5" customHeight="1">
      <c r="A50" s="133">
        <f>+'Stock Historical Yahoo'!A30</f>
        <v>44713</v>
      </c>
      <c r="B50" s="134">
        <f>+'Stock Historical Yahoo'!B30</f>
        <v>88.379997000000003</v>
      </c>
      <c r="C50" s="134">
        <f>+'Stock Historical Yahoo'!C30</f>
        <v>95.589995999999999</v>
      </c>
      <c r="D50" s="134">
        <f>+'Stock Historical Yahoo'!D30</f>
        <v>70.120002999999997</v>
      </c>
      <c r="E50" s="134">
        <f>+'Stock Historical Yahoo'!E30</f>
        <v>73.910004000000001</v>
      </c>
      <c r="F50" s="132">
        <f t="shared" si="2"/>
        <v>-0.16381938187373435</v>
      </c>
      <c r="G50" s="76">
        <f t="shared" si="3"/>
        <v>0.24538567850493886</v>
      </c>
      <c r="I50" s="134">
        <f>+'S&amp;P ETF Yahoo'!B30</f>
        <v>415.17001299999998</v>
      </c>
      <c r="J50" s="134">
        <f>+'S&amp;P ETF Yahoo'!C30</f>
        <v>417.44000199999999</v>
      </c>
      <c r="K50" s="134">
        <f>+'S&amp;P ETF Yahoo'!D30</f>
        <v>362.17001299999998</v>
      </c>
      <c r="L50" s="134">
        <f>+'S&amp;P ETF Yahoo'!E30</f>
        <v>377.25</v>
      </c>
      <c r="M50" s="132">
        <f t="shared" si="4"/>
        <v>-8.6406881565515237E-2</v>
      </c>
      <c r="N50" s="76">
        <f t="shared" si="5"/>
        <v>0.28942185146534316</v>
      </c>
      <c r="P50" s="53">
        <f t="shared" si="0"/>
        <v>44713</v>
      </c>
      <c r="Q50" s="78">
        <f t="shared" si="1"/>
        <v>73.910004000000001</v>
      </c>
      <c r="R50"/>
      <c r="S50" s="80">
        <f t="shared" si="6"/>
        <v>-0.16381938187373435</v>
      </c>
      <c r="T50" s="80">
        <f t="shared" si="7"/>
        <v>-8.6406881565515237E-2</v>
      </c>
      <c r="U50" s="56">
        <f t="shared" si="8"/>
        <v>-0.18283410169681849</v>
      </c>
      <c r="V50" s="56">
        <f t="shared" si="9"/>
        <v>-9.9830502327211509E-2</v>
      </c>
      <c r="W50" s="88">
        <f t="shared" si="10"/>
        <v>1.8252420214937864E-2</v>
      </c>
      <c r="X50" s="88">
        <f t="shared" si="11"/>
        <v>9.9661291949033823E-3</v>
      </c>
      <c r="Z50" s="53">
        <f t="shared" si="12"/>
        <v>44713</v>
      </c>
      <c r="AA50" s="56">
        <f t="shared" si="13"/>
        <v>0.24538567850493886</v>
      </c>
      <c r="AB50" s="56">
        <f t="shared" si="14"/>
        <v>0.28942185146534316</v>
      </c>
    </row>
    <row r="51" spans="1:28" ht="17.5" customHeight="1">
      <c r="A51" s="133">
        <f>+'Stock Historical Yahoo'!A31</f>
        <v>44743</v>
      </c>
      <c r="B51" s="134">
        <f>+'Stock Historical Yahoo'!B31</f>
        <v>73.629997000000003</v>
      </c>
      <c r="C51" s="134">
        <f>+'Stock Historical Yahoo'!C31</f>
        <v>84.190002000000007</v>
      </c>
      <c r="D51" s="134">
        <f>+'Stock Historical Yahoo'!D31</f>
        <v>71.669998000000007</v>
      </c>
      <c r="E51" s="134">
        <f>+'Stock Historical Yahoo'!E31</f>
        <v>82.75</v>
      </c>
      <c r="F51" s="132">
        <f t="shared" si="2"/>
        <v>0.11960486431579676</v>
      </c>
      <c r="G51" s="76">
        <f t="shared" si="3"/>
        <v>0.36499054282073562</v>
      </c>
      <c r="I51" s="134">
        <f>+'S&amp;P ETF Yahoo'!B31</f>
        <v>376.55999800000001</v>
      </c>
      <c r="J51" s="134">
        <f>+'S&amp;P ETF Yahoo'!C31</f>
        <v>413.02999899999998</v>
      </c>
      <c r="K51" s="134">
        <f>+'S&amp;P ETF Yahoo'!D31</f>
        <v>371.040009</v>
      </c>
      <c r="L51" s="134">
        <f>+'S&amp;P ETF Yahoo'!E31</f>
        <v>411.98998999999998</v>
      </c>
      <c r="M51" s="132">
        <f t="shared" si="4"/>
        <v>9.2087448641484437E-2</v>
      </c>
      <c r="N51" s="76">
        <f t="shared" si="5"/>
        <v>0.3815093001068276</v>
      </c>
      <c r="P51" s="53">
        <f t="shared" si="0"/>
        <v>44743</v>
      </c>
      <c r="Q51" s="78">
        <f t="shared" si="1"/>
        <v>82.75</v>
      </c>
      <c r="R51"/>
      <c r="S51" s="80">
        <f t="shared" si="6"/>
        <v>0.11960486431579676</v>
      </c>
      <c r="T51" s="80">
        <f t="shared" si="7"/>
        <v>9.2087448641484437E-2</v>
      </c>
      <c r="U51" s="56">
        <f t="shared" si="8"/>
        <v>0.10059014449271261</v>
      </c>
      <c r="V51" s="56">
        <f t="shared" si="9"/>
        <v>7.8663827879788165E-2</v>
      </c>
      <c r="W51" s="88">
        <f t="shared" si="10"/>
        <v>7.9128058127777672E-3</v>
      </c>
      <c r="X51" s="88">
        <f t="shared" si="11"/>
        <v>6.1879978167009375E-3</v>
      </c>
      <c r="Z51" s="53">
        <f t="shared" si="12"/>
        <v>44743</v>
      </c>
      <c r="AA51" s="56">
        <f t="shared" si="13"/>
        <v>0.36499054282073562</v>
      </c>
      <c r="AB51" s="56">
        <f t="shared" si="14"/>
        <v>0.3815093001068276</v>
      </c>
    </row>
    <row r="52" spans="1:28" ht="17.5" customHeight="1">
      <c r="A52" s="133">
        <f>+'Stock Historical Yahoo'!A32</f>
        <v>44774</v>
      </c>
      <c r="B52" s="134">
        <f>+'Stock Historical Yahoo'!B32</f>
        <v>82.43</v>
      </c>
      <c r="C52" s="134">
        <f>+'Stock Historical Yahoo'!C32</f>
        <v>96.809997999999993</v>
      </c>
      <c r="D52" s="134">
        <f>+'Stock Historical Yahoo'!D32</f>
        <v>81.449996999999996</v>
      </c>
      <c r="E52" s="134">
        <f>+'Stock Historical Yahoo'!E32</f>
        <v>89.620002999999997</v>
      </c>
      <c r="F52" s="132">
        <f t="shared" si="2"/>
        <v>8.3021184290030137E-2</v>
      </c>
      <c r="G52" s="76">
        <f t="shared" si="3"/>
        <v>0.44801172711076576</v>
      </c>
      <c r="I52" s="134">
        <f>+'S&amp;P ETF Yahoo'!B32</f>
        <v>409.14999399999999</v>
      </c>
      <c r="J52" s="134">
        <f>+'S&amp;P ETF Yahoo'!C32</f>
        <v>431.73001099999999</v>
      </c>
      <c r="K52" s="134">
        <f>+'S&amp;P ETF Yahoo'!D32</f>
        <v>395.040009</v>
      </c>
      <c r="L52" s="134">
        <f>+'S&amp;P ETF Yahoo'!E32</f>
        <v>395.17999300000002</v>
      </c>
      <c r="M52" s="132">
        <f t="shared" si="4"/>
        <v>-4.0801954921283246E-2</v>
      </c>
      <c r="N52" s="76">
        <f t="shared" si="5"/>
        <v>0.34070734518554435</v>
      </c>
      <c r="P52" s="53">
        <f t="shared" si="0"/>
        <v>44774</v>
      </c>
      <c r="Q52" s="78">
        <f t="shared" si="1"/>
        <v>89.620002999999997</v>
      </c>
      <c r="R52"/>
      <c r="S52" s="80">
        <f t="shared" si="6"/>
        <v>8.3021184290030137E-2</v>
      </c>
      <c r="T52" s="80">
        <f t="shared" si="7"/>
        <v>-4.0801954921283246E-2</v>
      </c>
      <c r="U52" s="56">
        <f t="shared" si="8"/>
        <v>6.4006464466945995E-2</v>
      </c>
      <c r="V52" s="56">
        <f t="shared" si="9"/>
        <v>-5.4225575682979518E-2</v>
      </c>
      <c r="W52" s="88">
        <f t="shared" si="10"/>
        <v>-3.4707873831523193E-3</v>
      </c>
      <c r="X52" s="88">
        <f t="shared" si="11"/>
        <v>2.9404130581505397E-3</v>
      </c>
      <c r="Z52" s="53">
        <f t="shared" si="12"/>
        <v>44774</v>
      </c>
      <c r="AA52" s="56">
        <f t="shared" si="13"/>
        <v>0.44801172711076576</v>
      </c>
      <c r="AB52" s="56">
        <f t="shared" si="14"/>
        <v>0.34070734518554435</v>
      </c>
    </row>
    <row r="53" spans="1:28" ht="17.5" customHeight="1">
      <c r="A53" s="133">
        <f>+'Stock Historical Yahoo'!A33</f>
        <v>44805</v>
      </c>
      <c r="B53" s="134">
        <f>+'Stock Historical Yahoo'!B33</f>
        <v>88.949996999999996</v>
      </c>
      <c r="C53" s="134">
        <f>+'Stock Historical Yahoo'!C33</f>
        <v>96.709998999999996</v>
      </c>
      <c r="D53" s="134">
        <f>+'Stock Historical Yahoo'!D33</f>
        <v>77.699996999999996</v>
      </c>
      <c r="E53" s="134">
        <f>+'Stock Historical Yahoo'!E33</f>
        <v>80.959998999999996</v>
      </c>
      <c r="F53" s="132">
        <f t="shared" si="2"/>
        <v>-9.6630257867766467E-2</v>
      </c>
      <c r="G53" s="76">
        <f t="shared" si="3"/>
        <v>0.35138146924299929</v>
      </c>
      <c r="I53" s="134">
        <f>+'S&amp;P ETF Yahoo'!B33</f>
        <v>392.89001500000001</v>
      </c>
      <c r="J53" s="134">
        <f>+'S&amp;P ETF Yahoo'!C33</f>
        <v>411.73001099999999</v>
      </c>
      <c r="K53" s="134">
        <f>+'S&amp;P ETF Yahoo'!D33</f>
        <v>357.040009</v>
      </c>
      <c r="L53" s="134">
        <f>+'S&amp;P ETF Yahoo'!E33</f>
        <v>357.17999300000002</v>
      </c>
      <c r="M53" s="132">
        <f t="shared" si="4"/>
        <v>-9.6158714188751993E-2</v>
      </c>
      <c r="N53" s="76">
        <f t="shared" si="5"/>
        <v>0.24454863099679236</v>
      </c>
      <c r="P53" s="53">
        <f t="shared" si="0"/>
        <v>44805</v>
      </c>
      <c r="Q53" s="78">
        <f t="shared" si="1"/>
        <v>80.959998999999996</v>
      </c>
      <c r="R53"/>
      <c r="S53" s="80">
        <f t="shared" si="6"/>
        <v>-9.6630257867766467E-2</v>
      </c>
      <c r="T53" s="80">
        <f t="shared" si="7"/>
        <v>-9.6158714188751993E-2</v>
      </c>
      <c r="U53" s="56">
        <f t="shared" si="8"/>
        <v>-0.11564497769085061</v>
      </c>
      <c r="V53" s="56">
        <f t="shared" si="9"/>
        <v>-0.10958233495044827</v>
      </c>
      <c r="W53" s="88">
        <f t="shared" si="10"/>
        <v>1.2672646680655909E-2</v>
      </c>
      <c r="X53" s="88">
        <f t="shared" si="11"/>
        <v>1.2008288133192236E-2</v>
      </c>
      <c r="Z53" s="53">
        <f t="shared" si="12"/>
        <v>44805</v>
      </c>
      <c r="AA53" s="56">
        <f t="shared" si="13"/>
        <v>0.35138146924299929</v>
      </c>
      <c r="AB53" s="56">
        <f t="shared" si="14"/>
        <v>0.24454863099679236</v>
      </c>
    </row>
    <row r="54" spans="1:28" ht="17.5" customHeight="1">
      <c r="A54" s="133">
        <f>+'Stock Historical Yahoo'!A34</f>
        <v>44835</v>
      </c>
      <c r="B54" s="134">
        <f>+'Stock Historical Yahoo'!B34</f>
        <v>81.699996999999996</v>
      </c>
      <c r="C54" s="134">
        <f>+'Stock Historical Yahoo'!C34</f>
        <v>94.870002999999997</v>
      </c>
      <c r="D54" s="134">
        <f>+'Stock Historical Yahoo'!D34</f>
        <v>79.519997000000004</v>
      </c>
      <c r="E54" s="134">
        <f>+'Stock Historical Yahoo'!E34</f>
        <v>94.209998999999996</v>
      </c>
      <c r="F54" s="132">
        <f t="shared" si="2"/>
        <v>0.1636610692151812</v>
      </c>
      <c r="G54" s="76">
        <f t="shared" si="3"/>
        <v>0.51504253845818049</v>
      </c>
      <c r="I54" s="134">
        <f>+'S&amp;P ETF Yahoo'!B34</f>
        <v>361.07998700000002</v>
      </c>
      <c r="J54" s="134">
        <f>+'S&amp;P ETF Yahoo'!C34</f>
        <v>389.51998900000001</v>
      </c>
      <c r="K54" s="134">
        <f>+'S&amp;P ETF Yahoo'!D34</f>
        <v>348.10998499999999</v>
      </c>
      <c r="L54" s="134">
        <f>+'S&amp;P ETF Yahoo'!E34</f>
        <v>386.209991</v>
      </c>
      <c r="M54" s="132">
        <f t="shared" si="4"/>
        <v>8.1275543336493561E-2</v>
      </c>
      <c r="N54" s="76">
        <f t="shared" si="5"/>
        <v>0.32582417433328592</v>
      </c>
      <c r="P54" s="53">
        <f t="shared" si="0"/>
        <v>44835</v>
      </c>
      <c r="Q54" s="78">
        <f t="shared" si="1"/>
        <v>94.209998999999996</v>
      </c>
      <c r="R54"/>
      <c r="S54" s="80">
        <f t="shared" si="6"/>
        <v>0.1636610692151812</v>
      </c>
      <c r="T54" s="80">
        <f t="shared" si="7"/>
        <v>8.1275543336493561E-2</v>
      </c>
      <c r="U54" s="56">
        <f t="shared" si="8"/>
        <v>0.14464634939209706</v>
      </c>
      <c r="V54" s="56">
        <f t="shared" si="9"/>
        <v>6.7851922574797288E-2</v>
      </c>
      <c r="W54" s="88">
        <f t="shared" si="10"/>
        <v>9.8145328996796458E-3</v>
      </c>
      <c r="X54" s="88">
        <f t="shared" si="11"/>
        <v>4.603883397096286E-3</v>
      </c>
      <c r="Z54" s="53">
        <f t="shared" si="12"/>
        <v>44835</v>
      </c>
      <c r="AA54" s="56">
        <f t="shared" si="13"/>
        <v>0.51504253845818049</v>
      </c>
      <c r="AB54" s="56">
        <f t="shared" si="14"/>
        <v>0.32582417433328592</v>
      </c>
    </row>
    <row r="55" spans="1:28" ht="17.5" customHeight="1">
      <c r="A55" s="133">
        <f>+'Stock Historical Yahoo'!A35</f>
        <v>44866</v>
      </c>
      <c r="B55" s="134">
        <f>+'Stock Historical Yahoo'!B35</f>
        <v>95.790001000000004</v>
      </c>
      <c r="C55" s="134">
        <f>+'Stock Historical Yahoo'!C35</f>
        <v>100.550003</v>
      </c>
      <c r="D55" s="134">
        <f>+'Stock Historical Yahoo'!D35</f>
        <v>87.589995999999999</v>
      </c>
      <c r="E55" s="134">
        <f>+'Stock Historical Yahoo'!E35</f>
        <v>100.32</v>
      </c>
      <c r="F55" s="132">
        <f t="shared" si="2"/>
        <v>6.4855122225401907E-2</v>
      </c>
      <c r="G55" s="76">
        <f t="shared" si="3"/>
        <v>0.57989766068358239</v>
      </c>
      <c r="I55" s="134">
        <f>+'S&amp;P ETF Yahoo'!B35</f>
        <v>390.14001500000001</v>
      </c>
      <c r="J55" s="134">
        <f>+'S&amp;P ETF Yahoo'!C35</f>
        <v>407.67999300000002</v>
      </c>
      <c r="K55" s="134">
        <f>+'S&amp;P ETF Yahoo'!D35</f>
        <v>368.790009</v>
      </c>
      <c r="L55" s="134">
        <f>+'S&amp;P ETF Yahoo'!E35</f>
        <v>407.67999300000002</v>
      </c>
      <c r="M55" s="132">
        <f t="shared" si="4"/>
        <v>5.5591524042162943E-2</v>
      </c>
      <c r="N55" s="76">
        <f t="shared" si="5"/>
        <v>0.38141569837544886</v>
      </c>
      <c r="P55" s="53">
        <f t="shared" si="0"/>
        <v>44866</v>
      </c>
      <c r="Q55" s="78">
        <f t="shared" si="1"/>
        <v>100.32</v>
      </c>
      <c r="R55"/>
      <c r="S55" s="80">
        <f t="shared" si="6"/>
        <v>6.4855122225401907E-2</v>
      </c>
      <c r="T55" s="80">
        <f t="shared" si="7"/>
        <v>5.5591524042162943E-2</v>
      </c>
      <c r="U55" s="56">
        <f t="shared" ref="U55:U81" si="15">+S55-$S$85</f>
        <v>4.5840402402317765E-2</v>
      </c>
      <c r="V55" s="56">
        <f t="shared" ref="V55:V81" si="16">+T55-$T$85</f>
        <v>4.216790328046667E-2</v>
      </c>
      <c r="W55" s="88">
        <f t="shared" si="10"/>
        <v>1.9329936548386074E-3</v>
      </c>
      <c r="X55" s="88">
        <f t="shared" si="11"/>
        <v>1.7781320670707918E-3</v>
      </c>
      <c r="Z55" s="53">
        <f t="shared" si="12"/>
        <v>44866</v>
      </c>
      <c r="AA55" s="56">
        <f t="shared" si="13"/>
        <v>0.57989766068358239</v>
      </c>
      <c r="AB55" s="56">
        <f t="shared" si="14"/>
        <v>0.38141569837544886</v>
      </c>
    </row>
    <row r="56" spans="1:28" ht="17.5" customHeight="1">
      <c r="A56" s="133">
        <f>+'Stock Historical Yahoo'!A36</f>
        <v>44896</v>
      </c>
      <c r="B56" s="134">
        <f>+'Stock Historical Yahoo'!B36</f>
        <v>100.230003</v>
      </c>
      <c r="C56" s="134">
        <f>+'Stock Historical Yahoo'!C36</f>
        <v>103.5</v>
      </c>
      <c r="D56" s="134">
        <f>+'Stock Historical Yahoo'!D36</f>
        <v>88.010002</v>
      </c>
      <c r="E56" s="134">
        <f>+'Stock Historical Yahoo'!E36</f>
        <v>90.449996999999996</v>
      </c>
      <c r="F56" s="132">
        <f t="shared" si="2"/>
        <v>-9.8385197368420996E-2</v>
      </c>
      <c r="G56" s="76">
        <f t="shared" si="3"/>
        <v>0.4815124633151614</v>
      </c>
      <c r="I56" s="134">
        <f>+'S&amp;P ETF Yahoo'!B36</f>
        <v>408.76998900000001</v>
      </c>
      <c r="J56" s="134">
        <f>+'S&amp;P ETF Yahoo'!C36</f>
        <v>410.48998999999998</v>
      </c>
      <c r="K56" s="134">
        <f>+'S&amp;P ETF Yahoo'!D36</f>
        <v>374.76998900000001</v>
      </c>
      <c r="L56" s="134">
        <f>+'S&amp;P ETF Yahoo'!E36</f>
        <v>382.42999300000002</v>
      </c>
      <c r="M56" s="132">
        <f t="shared" si="4"/>
        <v>-6.193583308857642E-2</v>
      </c>
      <c r="N56" s="76">
        <f t="shared" si="5"/>
        <v>0.31947986528687244</v>
      </c>
      <c r="P56" s="53">
        <f t="shared" si="0"/>
        <v>44896</v>
      </c>
      <c r="Q56" s="78">
        <f t="shared" si="1"/>
        <v>90.449996999999996</v>
      </c>
      <c r="R56"/>
      <c r="S56" s="80">
        <f t="shared" si="6"/>
        <v>-9.8385197368420996E-2</v>
      </c>
      <c r="T56" s="80">
        <f t="shared" si="7"/>
        <v>-6.193583308857642E-2</v>
      </c>
      <c r="U56" s="56">
        <f t="shared" si="15"/>
        <v>-0.11739991719150514</v>
      </c>
      <c r="V56" s="56">
        <f t="shared" si="16"/>
        <v>-7.5359453850272692E-2</v>
      </c>
      <c r="W56" s="88">
        <f t="shared" si="10"/>
        <v>8.8471936416190666E-3</v>
      </c>
      <c r="X56" s="88">
        <f t="shared" si="11"/>
        <v>5.67904728461138E-3</v>
      </c>
      <c r="Z56" s="53">
        <f t="shared" si="12"/>
        <v>44896</v>
      </c>
      <c r="AA56" s="56">
        <f t="shared" si="13"/>
        <v>0.4815124633151614</v>
      </c>
      <c r="AB56" s="56">
        <f t="shared" si="14"/>
        <v>0.31947986528687244</v>
      </c>
    </row>
    <row r="57" spans="1:28" ht="17.5" customHeight="1">
      <c r="A57" s="133">
        <f>+'Stock Historical Yahoo'!A37</f>
        <v>44927</v>
      </c>
      <c r="B57" s="134">
        <f>+'Stock Historical Yahoo'!B37</f>
        <v>91.370002999999997</v>
      </c>
      <c r="C57" s="134">
        <f>+'Stock Historical Yahoo'!C37</f>
        <v>113.19000200000001</v>
      </c>
      <c r="D57" s="134">
        <f>+'Stock Historical Yahoo'!D37</f>
        <v>88.800003000000004</v>
      </c>
      <c r="E57" s="134">
        <f>+'Stock Historical Yahoo'!E37</f>
        <v>109.120003</v>
      </c>
      <c r="F57" s="132">
        <f t="shared" si="2"/>
        <v>0.20641245571296141</v>
      </c>
      <c r="G57" s="76">
        <f t="shared" si="3"/>
        <v>0.68792491902812281</v>
      </c>
      <c r="I57" s="134">
        <f>+'S&amp;P ETF Yahoo'!B37</f>
        <v>384.36999500000002</v>
      </c>
      <c r="J57" s="134">
        <f>+'S&amp;P ETF Yahoo'!C37</f>
        <v>408.16000400000001</v>
      </c>
      <c r="K57" s="134">
        <f>+'S&amp;P ETF Yahoo'!D37</f>
        <v>377.82998700000002</v>
      </c>
      <c r="L57" s="134">
        <f>+'S&amp;P ETF Yahoo'!E37</f>
        <v>406.48001099999999</v>
      </c>
      <c r="M57" s="132">
        <f t="shared" si="4"/>
        <v>6.2887374003638863E-2</v>
      </c>
      <c r="N57" s="76">
        <f t="shared" si="5"/>
        <v>0.38236723929051131</v>
      </c>
      <c r="P57" s="53">
        <f t="shared" si="0"/>
        <v>44927</v>
      </c>
      <c r="Q57" s="78">
        <f t="shared" si="1"/>
        <v>109.120003</v>
      </c>
      <c r="R57"/>
      <c r="S57" s="80">
        <f t="shared" si="6"/>
        <v>0.20641245571296141</v>
      </c>
      <c r="T57" s="80">
        <f t="shared" si="7"/>
        <v>6.2887374003638863E-2</v>
      </c>
      <c r="U57" s="56">
        <f t="shared" si="15"/>
        <v>0.18739773588987726</v>
      </c>
      <c r="V57" s="56">
        <f t="shared" si="16"/>
        <v>4.946375324194259E-2</v>
      </c>
      <c r="W57" s="88">
        <f t="shared" si="10"/>
        <v>9.2693953661556177E-3</v>
      </c>
      <c r="X57" s="88">
        <f t="shared" si="11"/>
        <v>2.446662884779786E-3</v>
      </c>
      <c r="Z57" s="53">
        <f t="shared" si="12"/>
        <v>44927</v>
      </c>
      <c r="AA57" s="56">
        <f t="shared" si="13"/>
        <v>0.68792491902812281</v>
      </c>
      <c r="AB57" s="56">
        <f t="shared" si="14"/>
        <v>0.38236723929051131</v>
      </c>
    </row>
    <row r="58" spans="1:28" ht="17.5" customHeight="1">
      <c r="A58" s="133">
        <f>+'Stock Historical Yahoo'!A38</f>
        <v>44958</v>
      </c>
      <c r="B58" s="134">
        <f>+'Stock Historical Yahoo'!B38</f>
        <v>108.699997</v>
      </c>
      <c r="C58" s="134">
        <f>+'Stock Historical Yahoo'!C38</f>
        <v>119.370003</v>
      </c>
      <c r="D58" s="134">
        <f>+'Stock Historical Yahoo'!D38</f>
        <v>107.120003</v>
      </c>
      <c r="E58" s="134">
        <f>+'Stock Historical Yahoo'!E38</f>
        <v>116.239998</v>
      </c>
      <c r="F58" s="132">
        <f t="shared" si="2"/>
        <v>6.5249219247180523E-2</v>
      </c>
      <c r="G58" s="76">
        <f t="shared" si="3"/>
        <v>0.75317413827530333</v>
      </c>
      <c r="I58" s="134">
        <f>+'S&amp;P ETF Yahoo'!B38</f>
        <v>405.209991</v>
      </c>
      <c r="J58" s="134">
        <f>+'S&amp;P ETF Yahoo'!C38</f>
        <v>418.30999800000001</v>
      </c>
      <c r="K58" s="134">
        <f>+'S&amp;P ETF Yahoo'!D38</f>
        <v>393.64001500000001</v>
      </c>
      <c r="L58" s="134">
        <f>+'S&amp;P ETF Yahoo'!E38</f>
        <v>396.26001000000002</v>
      </c>
      <c r="M58" s="132">
        <f t="shared" si="4"/>
        <v>-2.5142690226900188E-2</v>
      </c>
      <c r="N58" s="76">
        <f t="shared" si="5"/>
        <v>0.35722454906361112</v>
      </c>
      <c r="P58" s="53">
        <f t="shared" si="0"/>
        <v>44958</v>
      </c>
      <c r="Q58" s="78">
        <f t="shared" si="1"/>
        <v>116.239998</v>
      </c>
      <c r="R58"/>
      <c r="S58" s="80">
        <f t="shared" si="6"/>
        <v>6.5249219247180523E-2</v>
      </c>
      <c r="T58" s="80">
        <f t="shared" si="7"/>
        <v>-2.5142690226900188E-2</v>
      </c>
      <c r="U58" s="56">
        <f t="shared" si="15"/>
        <v>4.6234499424096381E-2</v>
      </c>
      <c r="V58" s="56">
        <f t="shared" si="16"/>
        <v>-3.8566310988596461E-2</v>
      </c>
      <c r="W58" s="88">
        <f t="shared" si="10"/>
        <v>-1.7830940831917851E-3</v>
      </c>
      <c r="X58" s="88">
        <f t="shared" si="11"/>
        <v>1.4873603432691361E-3</v>
      </c>
      <c r="Z58" s="53">
        <f t="shared" si="12"/>
        <v>44958</v>
      </c>
      <c r="AA58" s="56">
        <f t="shared" si="13"/>
        <v>0.75317413827530333</v>
      </c>
      <c r="AB58" s="56">
        <f t="shared" si="14"/>
        <v>0.35722454906361112</v>
      </c>
    </row>
    <row r="59" spans="1:28" ht="17.5" customHeight="1">
      <c r="A59" s="133">
        <f>+'Stock Historical Yahoo'!A39</f>
        <v>44986</v>
      </c>
      <c r="B59" s="134">
        <f>+'Stock Historical Yahoo'!B39</f>
        <v>116.489998</v>
      </c>
      <c r="C59" s="134">
        <f>+'Stock Historical Yahoo'!C39</f>
        <v>125.07</v>
      </c>
      <c r="D59" s="134">
        <f>+'Stock Historical Yahoo'!D39</f>
        <v>101.230003</v>
      </c>
      <c r="E59" s="134">
        <f>+'Stock Historical Yahoo'!E39</f>
        <v>111.790001</v>
      </c>
      <c r="F59" s="132">
        <f t="shared" si="2"/>
        <v>-3.8282837891996491E-2</v>
      </c>
      <c r="G59" s="76">
        <f t="shared" si="3"/>
        <v>0.71489130038330684</v>
      </c>
      <c r="I59" s="134">
        <f>+'S&amp;P ETF Yahoo'!B39</f>
        <v>395.41000400000001</v>
      </c>
      <c r="J59" s="134">
        <f>+'S&amp;P ETF Yahoo'!C39</f>
        <v>409.70001200000002</v>
      </c>
      <c r="K59" s="134">
        <f>+'S&amp;P ETF Yahoo'!D39</f>
        <v>380.64999399999999</v>
      </c>
      <c r="L59" s="134">
        <f>+'S&amp;P ETF Yahoo'!E39</f>
        <v>409.39001500000001</v>
      </c>
      <c r="M59" s="132">
        <f t="shared" si="4"/>
        <v>3.3134822259758057E-2</v>
      </c>
      <c r="N59" s="76">
        <f t="shared" si="5"/>
        <v>0.39035937132336918</v>
      </c>
      <c r="P59" s="53">
        <f t="shared" si="0"/>
        <v>44986</v>
      </c>
      <c r="Q59" s="78">
        <f t="shared" si="1"/>
        <v>111.790001</v>
      </c>
      <c r="R59"/>
      <c r="S59" s="80">
        <f t="shared" si="6"/>
        <v>-3.8282837891996491E-2</v>
      </c>
      <c r="T59" s="80">
        <f t="shared" si="7"/>
        <v>3.3134822259758057E-2</v>
      </c>
      <c r="U59" s="56">
        <f t="shared" si="15"/>
        <v>-5.7297557715080633E-2</v>
      </c>
      <c r="V59" s="56">
        <f t="shared" si="16"/>
        <v>1.9711201498061784E-2</v>
      </c>
      <c r="W59" s="88">
        <f t="shared" si="10"/>
        <v>-1.1294037054687788E-3</v>
      </c>
      <c r="X59" s="88">
        <f t="shared" si="11"/>
        <v>3.8853146449719311E-4</v>
      </c>
      <c r="Z59" s="53">
        <f t="shared" si="12"/>
        <v>44986</v>
      </c>
      <c r="AA59" s="56">
        <f t="shared" si="13"/>
        <v>0.71489130038330684</v>
      </c>
      <c r="AB59" s="56">
        <f t="shared" si="14"/>
        <v>0.39035937132336918</v>
      </c>
    </row>
    <row r="60" spans="1:28" ht="17.5" customHeight="1">
      <c r="A60" s="133">
        <f>+'Stock Historical Yahoo'!A40</f>
        <v>45017</v>
      </c>
      <c r="B60" s="134">
        <f>+'Stock Historical Yahoo'!B40</f>
        <v>111.589996</v>
      </c>
      <c r="C60" s="134">
        <f>+'Stock Historical Yahoo'!C40</f>
        <v>117.91999800000001</v>
      </c>
      <c r="D60" s="134">
        <f>+'Stock Historical Yahoo'!D40</f>
        <v>106.230003</v>
      </c>
      <c r="E60" s="134">
        <f>+'Stock Historical Yahoo'!E40</f>
        <v>114.300003</v>
      </c>
      <c r="F60" s="132">
        <f t="shared" si="2"/>
        <v>2.2452831000511431E-2</v>
      </c>
      <c r="G60" s="76">
        <f t="shared" si="3"/>
        <v>0.73734413138381827</v>
      </c>
      <c r="I60" s="134">
        <f>+'S&amp;P ETF Yahoo'!B40</f>
        <v>408.85000600000001</v>
      </c>
      <c r="J60" s="134">
        <f>+'S&amp;P ETF Yahoo'!C40</f>
        <v>415.94000199999999</v>
      </c>
      <c r="K60" s="134">
        <f>+'S&amp;P ETF Yahoo'!D40</f>
        <v>403.77999899999998</v>
      </c>
      <c r="L60" s="134">
        <f>+'S&amp;P ETF Yahoo'!E40</f>
        <v>415.92999300000002</v>
      </c>
      <c r="M60" s="132">
        <f t="shared" si="4"/>
        <v>1.5974932852233836E-2</v>
      </c>
      <c r="N60" s="76">
        <f t="shared" si="5"/>
        <v>0.40633430417560301</v>
      </c>
      <c r="P60" s="53">
        <f t="shared" si="0"/>
        <v>45017</v>
      </c>
      <c r="Q60" s="78">
        <f t="shared" si="1"/>
        <v>114.300003</v>
      </c>
      <c r="R60"/>
      <c r="S60" s="80">
        <f t="shared" si="6"/>
        <v>2.2452831000511431E-2</v>
      </c>
      <c r="T60" s="80">
        <f t="shared" si="7"/>
        <v>1.5974932852233836E-2</v>
      </c>
      <c r="U60" s="56">
        <f t="shared" si="15"/>
        <v>3.4381111774272853E-3</v>
      </c>
      <c r="V60" s="56">
        <f t="shared" si="16"/>
        <v>2.5513120905375653E-3</v>
      </c>
      <c r="W60" s="88">
        <f t="shared" si="10"/>
        <v>8.7716946155825781E-6</v>
      </c>
      <c r="X60" s="88">
        <f t="shared" si="11"/>
        <v>6.5091933833231622E-6</v>
      </c>
      <c r="Z60" s="53">
        <f t="shared" si="12"/>
        <v>45017</v>
      </c>
      <c r="AA60" s="56">
        <f t="shared" si="13"/>
        <v>0.73734413138381827</v>
      </c>
      <c r="AB60" s="56">
        <f t="shared" si="14"/>
        <v>0.40633430417560301</v>
      </c>
    </row>
    <row r="61" spans="1:28" ht="17.5" customHeight="1">
      <c r="A61" s="133">
        <f>+'Stock Historical Yahoo'!A41</f>
        <v>45047</v>
      </c>
      <c r="B61" s="134">
        <f>+'Stock Historical Yahoo'!B41</f>
        <v>113.870003</v>
      </c>
      <c r="C61" s="134">
        <f>+'Stock Historical Yahoo'!C41</f>
        <v>122</v>
      </c>
      <c r="D61" s="134">
        <f>+'Stock Historical Yahoo'!D41</f>
        <v>106.339996</v>
      </c>
      <c r="E61" s="134">
        <f>+'Stock Historical Yahoo'!E41</f>
        <v>107.480003</v>
      </c>
      <c r="F61" s="132">
        <f t="shared" si="2"/>
        <v>-5.9667539991228202E-2</v>
      </c>
      <c r="G61" s="76">
        <f t="shared" si="3"/>
        <v>0.67767659139259007</v>
      </c>
      <c r="I61" s="134">
        <f>+'S&amp;P ETF Yahoo'!B41</f>
        <v>415.47000100000002</v>
      </c>
      <c r="J61" s="134">
        <f>+'S&amp;P ETF Yahoo'!C41</f>
        <v>422.57998700000002</v>
      </c>
      <c r="K61" s="134">
        <f>+'S&amp;P ETF Yahoo'!D41</f>
        <v>403.73998999999998</v>
      </c>
      <c r="L61" s="134">
        <f>+'S&amp;P ETF Yahoo'!E41</f>
        <v>417.85000600000001</v>
      </c>
      <c r="M61" s="132">
        <f t="shared" si="4"/>
        <v>4.6161927062566832E-3</v>
      </c>
      <c r="N61" s="76">
        <f t="shared" si="5"/>
        <v>0.41095049688185969</v>
      </c>
      <c r="P61" s="53">
        <f t="shared" si="0"/>
        <v>45047</v>
      </c>
      <c r="Q61" s="78">
        <f t="shared" si="1"/>
        <v>107.480003</v>
      </c>
      <c r="R61"/>
      <c r="S61" s="80">
        <f t="shared" si="6"/>
        <v>-5.9667539991228202E-2</v>
      </c>
      <c r="T61" s="80">
        <f t="shared" si="7"/>
        <v>4.6161927062566832E-3</v>
      </c>
      <c r="U61" s="56">
        <f t="shared" si="15"/>
        <v>-7.8682259814312344E-2</v>
      </c>
      <c r="V61" s="56">
        <f t="shared" si="16"/>
        <v>-8.8074280554395878E-3</v>
      </c>
      <c r="W61" s="88">
        <f t="shared" si="10"/>
        <v>6.9298834255396139E-4</v>
      </c>
      <c r="X61" s="88">
        <f t="shared" si="11"/>
        <v>7.7570788951744353E-5</v>
      </c>
      <c r="Z61" s="53">
        <f t="shared" si="12"/>
        <v>45047</v>
      </c>
      <c r="AA61" s="56">
        <f t="shared" si="13"/>
        <v>0.67767659139259007</v>
      </c>
      <c r="AB61" s="56">
        <f t="shared" si="14"/>
        <v>0.41095049688185969</v>
      </c>
    </row>
    <row r="62" spans="1:28" ht="17.5" customHeight="1">
      <c r="A62" s="133">
        <f>+'Stock Historical Yahoo'!A42</f>
        <v>45078</v>
      </c>
      <c r="B62" s="134">
        <f>+'Stock Historical Yahoo'!B42</f>
        <v>107.5</v>
      </c>
      <c r="C62" s="134">
        <f>+'Stock Historical Yahoo'!C42</f>
        <v>119.16999800000001</v>
      </c>
      <c r="D62" s="134">
        <f>+'Stock Historical Yahoo'!D42</f>
        <v>106.599998</v>
      </c>
      <c r="E62" s="134">
        <f>+'Stock Historical Yahoo'!E42</f>
        <v>114.58000199999999</v>
      </c>
      <c r="F62" s="132">
        <f t="shared" si="2"/>
        <v>6.6058790489613273E-2</v>
      </c>
      <c r="G62" s="76">
        <f t="shared" si="3"/>
        <v>0.74373538188220334</v>
      </c>
      <c r="I62" s="134">
        <f>+'S&amp;P ETF Yahoo'!B42</f>
        <v>418.08999599999999</v>
      </c>
      <c r="J62" s="134">
        <f>+'S&amp;P ETF Yahoo'!C42</f>
        <v>444.29998799999998</v>
      </c>
      <c r="K62" s="134">
        <f>+'S&amp;P ETF Yahoo'!D42</f>
        <v>416.790009</v>
      </c>
      <c r="L62" s="134">
        <f>+'S&amp;P ETF Yahoo'!E42</f>
        <v>443.27999899999998</v>
      </c>
      <c r="M62" s="132">
        <f t="shared" si="4"/>
        <v>6.0859142359327878E-2</v>
      </c>
      <c r="N62" s="76">
        <f t="shared" si="5"/>
        <v>0.47180963924118757</v>
      </c>
      <c r="P62" s="53">
        <f t="shared" si="0"/>
        <v>45078</v>
      </c>
      <c r="Q62" s="78">
        <f t="shared" si="1"/>
        <v>114.58000199999999</v>
      </c>
      <c r="R62"/>
      <c r="S62" s="80">
        <f t="shared" si="6"/>
        <v>6.6058790489613273E-2</v>
      </c>
      <c r="T62" s="80">
        <f t="shared" si="7"/>
        <v>6.0859142359327878E-2</v>
      </c>
      <c r="U62" s="56">
        <f t="shared" si="15"/>
        <v>4.7044070666529131E-2</v>
      </c>
      <c r="V62" s="56">
        <f t="shared" si="16"/>
        <v>4.7435521597631605E-2</v>
      </c>
      <c r="W62" s="88">
        <f t="shared" si="10"/>
        <v>2.2315600301426501E-3</v>
      </c>
      <c r="X62" s="88">
        <f t="shared" si="11"/>
        <v>2.2501287092393744E-3</v>
      </c>
      <c r="Z62" s="53">
        <f t="shared" si="12"/>
        <v>45078</v>
      </c>
      <c r="AA62" s="56">
        <f t="shared" si="13"/>
        <v>0.74373538188220334</v>
      </c>
      <c r="AB62" s="56">
        <f t="shared" si="14"/>
        <v>0.47180963924118757</v>
      </c>
    </row>
    <row r="63" spans="1:28" ht="17.5" customHeight="1">
      <c r="A63" s="133">
        <f>+'Stock Historical Yahoo'!A43</f>
        <v>45108</v>
      </c>
      <c r="B63" s="134">
        <f>+'Stock Historical Yahoo'!B43</f>
        <v>113.629997</v>
      </c>
      <c r="C63" s="134">
        <f>+'Stock Historical Yahoo'!C43</f>
        <v>127.800003</v>
      </c>
      <c r="D63" s="134">
        <f>+'Stock Historical Yahoo'!D43</f>
        <v>110.389999</v>
      </c>
      <c r="E63" s="134">
        <f>+'Stock Historical Yahoo'!E43</f>
        <v>126.349998</v>
      </c>
      <c r="F63" s="132">
        <f t="shared" si="2"/>
        <v>0.10272295160197342</v>
      </c>
      <c r="G63" s="76">
        <f t="shared" si="3"/>
        <v>0.84645833348417676</v>
      </c>
      <c r="I63" s="134">
        <f>+'S&amp;P ETF Yahoo'!B43</f>
        <v>442.92001299999998</v>
      </c>
      <c r="J63" s="134">
        <f>+'S&amp;P ETF Yahoo'!C43</f>
        <v>459.44000199999999</v>
      </c>
      <c r="K63" s="134">
        <f>+'S&amp;P ETF Yahoo'!D43</f>
        <v>437.05999800000001</v>
      </c>
      <c r="L63" s="134">
        <f>+'S&amp;P ETF Yahoo'!E43</f>
        <v>457.790009</v>
      </c>
      <c r="M63" s="132">
        <f t="shared" si="4"/>
        <v>3.2733283777146127E-2</v>
      </c>
      <c r="N63" s="76">
        <f t="shared" si="5"/>
        <v>0.5045429230183337</v>
      </c>
      <c r="P63" s="53">
        <f t="shared" si="0"/>
        <v>45108</v>
      </c>
      <c r="Q63" s="78">
        <f t="shared" si="1"/>
        <v>126.349998</v>
      </c>
      <c r="R63"/>
      <c r="S63" s="80">
        <f t="shared" si="6"/>
        <v>0.10272295160197342</v>
      </c>
      <c r="T63" s="80">
        <f t="shared" si="7"/>
        <v>3.2733283777146127E-2</v>
      </c>
      <c r="U63" s="56">
        <f t="shared" si="15"/>
        <v>8.370823177888928E-2</v>
      </c>
      <c r="V63" s="56">
        <f t="shared" si="16"/>
        <v>1.9309663015449854E-2</v>
      </c>
      <c r="W63" s="88">
        <f t="shared" si="10"/>
        <v>1.6163777472695225E-3</v>
      </c>
      <c r="X63" s="88">
        <f t="shared" si="11"/>
        <v>3.7286308577023198E-4</v>
      </c>
      <c r="Z63" s="53">
        <f t="shared" si="12"/>
        <v>45108</v>
      </c>
      <c r="AA63" s="56">
        <f t="shared" si="13"/>
        <v>0.84645833348417676</v>
      </c>
      <c r="AB63" s="56">
        <f t="shared" si="14"/>
        <v>0.5045429230183337</v>
      </c>
    </row>
    <row r="64" spans="1:28" ht="17.5" customHeight="1">
      <c r="A64" s="133">
        <f>+'Stock Historical Yahoo'!A44</f>
        <v>45139</v>
      </c>
      <c r="B64" s="134">
        <f>+'Stock Historical Yahoo'!B44</f>
        <v>125.75</v>
      </c>
      <c r="C64" s="134">
        <f>+'Stock Historical Yahoo'!C44</f>
        <v>126.349998</v>
      </c>
      <c r="D64" s="134">
        <f>+'Stock Historical Yahoo'!D44</f>
        <v>110.5</v>
      </c>
      <c r="E64" s="134">
        <f>+'Stock Historical Yahoo'!E44</f>
        <v>112.410004</v>
      </c>
      <c r="F64" s="132">
        <f t="shared" si="2"/>
        <v>-0.1103284069699787</v>
      </c>
      <c r="G64" s="76">
        <f t="shared" si="3"/>
        <v>0.73612992651419806</v>
      </c>
      <c r="I64" s="134">
        <f>+'S&amp;P ETF Yahoo'!B44</f>
        <v>456.26998900000001</v>
      </c>
      <c r="J64" s="134">
        <f>+'S&amp;P ETF Yahoo'!C44</f>
        <v>457.25</v>
      </c>
      <c r="K64" s="134">
        <f>+'S&amp;P ETF Yahoo'!D44</f>
        <v>433.01001000000002</v>
      </c>
      <c r="L64" s="134">
        <f>+'S&amp;P ETF Yahoo'!E44</f>
        <v>450.35000600000001</v>
      </c>
      <c r="M64" s="132">
        <f t="shared" si="4"/>
        <v>-1.6251999505738413E-2</v>
      </c>
      <c r="N64" s="76">
        <f t="shared" si="5"/>
        <v>0.48829092351259529</v>
      </c>
      <c r="P64" s="53">
        <f t="shared" si="0"/>
        <v>45139</v>
      </c>
      <c r="Q64" s="78">
        <f t="shared" si="1"/>
        <v>112.410004</v>
      </c>
      <c r="R64"/>
      <c r="S64" s="80">
        <f t="shared" si="6"/>
        <v>-0.1103284069699787</v>
      </c>
      <c r="T64" s="80">
        <f t="shared" si="7"/>
        <v>-1.6251999505738413E-2</v>
      </c>
      <c r="U64" s="56">
        <f t="shared" si="15"/>
        <v>-0.12934312679306284</v>
      </c>
      <c r="V64" s="56">
        <f t="shared" si="16"/>
        <v>-2.9675620267434685E-2</v>
      </c>
      <c r="W64" s="88">
        <f t="shared" si="10"/>
        <v>3.8383375149135899E-3</v>
      </c>
      <c r="X64" s="88">
        <f t="shared" si="11"/>
        <v>8.8064243825698024E-4</v>
      </c>
      <c r="Z64" s="53">
        <f t="shared" si="12"/>
        <v>45139</v>
      </c>
      <c r="AA64" s="56">
        <f t="shared" si="13"/>
        <v>0.73612992651419806</v>
      </c>
      <c r="AB64" s="56">
        <f t="shared" si="14"/>
        <v>0.48829092351259529</v>
      </c>
    </row>
    <row r="65" spans="1:28" ht="17.5" customHeight="1">
      <c r="A65" s="133">
        <f>+'Stock Historical Yahoo'!A45</f>
        <v>45170</v>
      </c>
      <c r="B65" s="134">
        <f>+'Stock Historical Yahoo'!B45</f>
        <v>113.370003</v>
      </c>
      <c r="C65" s="134">
        <f>+'Stock Historical Yahoo'!C45</f>
        <v>114.959999</v>
      </c>
      <c r="D65" s="134">
        <f>+'Stock Historical Yahoo'!D45</f>
        <v>102.18</v>
      </c>
      <c r="E65" s="134">
        <f>+'Stock Historical Yahoo'!E45</f>
        <v>106.08000199999999</v>
      </c>
      <c r="F65" s="132">
        <f t="shared" si="2"/>
        <v>-5.6311731827711764E-2</v>
      </c>
      <c r="G65" s="76">
        <f t="shared" si="3"/>
        <v>0.6798181946864863</v>
      </c>
      <c r="I65" s="134">
        <f>+'S&amp;P ETF Yahoo'!B45</f>
        <v>453.17001299999998</v>
      </c>
      <c r="J65" s="134">
        <f>+'S&amp;P ETF Yahoo'!C45</f>
        <v>453.67001299999998</v>
      </c>
      <c r="K65" s="134">
        <f>+'S&amp;P ETF Yahoo'!D45</f>
        <v>422.290009</v>
      </c>
      <c r="L65" s="134">
        <f>+'S&amp;P ETF Yahoo'!E45</f>
        <v>427.48001099999999</v>
      </c>
      <c r="M65" s="132">
        <f t="shared" si="4"/>
        <v>-5.0782712768521643E-2</v>
      </c>
      <c r="N65" s="76">
        <f t="shared" si="5"/>
        <v>0.43750821074407364</v>
      </c>
      <c r="P65" s="53">
        <f t="shared" si="0"/>
        <v>45170</v>
      </c>
      <c r="Q65" s="78">
        <f t="shared" si="1"/>
        <v>106.08000199999999</v>
      </c>
      <c r="R65"/>
      <c r="S65" s="80">
        <f t="shared" si="6"/>
        <v>-5.6311731827711764E-2</v>
      </c>
      <c r="T65" s="80">
        <f t="shared" si="7"/>
        <v>-5.0782712768521643E-2</v>
      </c>
      <c r="U65" s="56">
        <f t="shared" si="15"/>
        <v>-7.5326451650795906E-2</v>
      </c>
      <c r="V65" s="56">
        <f t="shared" si="16"/>
        <v>-6.4206333530217916E-2</v>
      </c>
      <c r="W65" s="88">
        <f t="shared" si="10"/>
        <v>4.8364352783388355E-3</v>
      </c>
      <c r="X65" s="88">
        <f t="shared" si="11"/>
        <v>4.1224532653935855E-3</v>
      </c>
      <c r="Z65" s="53">
        <f t="shared" si="12"/>
        <v>45170</v>
      </c>
      <c r="AA65" s="56">
        <f t="shared" si="13"/>
        <v>0.6798181946864863</v>
      </c>
      <c r="AB65" s="56">
        <f t="shared" si="14"/>
        <v>0.43750821074407364</v>
      </c>
    </row>
    <row r="66" spans="1:28" ht="17.5" customHeight="1">
      <c r="A66" s="133">
        <f>+'Stock Historical Yahoo'!A46</f>
        <v>45200</v>
      </c>
      <c r="B66" s="134">
        <f>+'Stock Historical Yahoo'!B46</f>
        <v>105.900002</v>
      </c>
      <c r="C66" s="134">
        <f>+'Stock Historical Yahoo'!C46</f>
        <v>112.970001</v>
      </c>
      <c r="D66" s="134">
        <f>+'Stock Historical Yahoo'!D46</f>
        <v>98.769997000000004</v>
      </c>
      <c r="E66" s="134">
        <f>+'Stock Historical Yahoo'!E46</f>
        <v>102.44000200000001</v>
      </c>
      <c r="F66" s="132">
        <f t="shared" si="2"/>
        <v>-3.4313724843255455E-2</v>
      </c>
      <c r="G66" s="76">
        <f t="shared" si="3"/>
        <v>0.64550446984323084</v>
      </c>
      <c r="I66" s="134">
        <f>+'S&amp;P ETF Yahoo'!B46</f>
        <v>426.61999500000002</v>
      </c>
      <c r="J66" s="134">
        <f>+'S&amp;P ETF Yahoo'!C46</f>
        <v>438.14001500000001</v>
      </c>
      <c r="K66" s="134">
        <f>+'S&amp;P ETF Yahoo'!D46</f>
        <v>409.209991</v>
      </c>
      <c r="L66" s="134">
        <f>+'S&amp;P ETF Yahoo'!E46</f>
        <v>418.20001200000002</v>
      </c>
      <c r="M66" s="132">
        <f t="shared" si="4"/>
        <v>-2.1708615049137348E-2</v>
      </c>
      <c r="N66" s="76">
        <f t="shared" si="5"/>
        <v>0.4157995956949363</v>
      </c>
      <c r="P66" s="53">
        <f t="shared" si="0"/>
        <v>45200</v>
      </c>
      <c r="Q66" s="78">
        <f t="shared" si="1"/>
        <v>102.44000200000001</v>
      </c>
      <c r="R66"/>
      <c r="S66" s="80">
        <f t="shared" si="6"/>
        <v>-3.4313724843255455E-2</v>
      </c>
      <c r="T66" s="80">
        <f t="shared" si="7"/>
        <v>-2.1708615049137348E-2</v>
      </c>
      <c r="U66" s="56">
        <f t="shared" si="15"/>
        <v>-5.3328444666339597E-2</v>
      </c>
      <c r="V66" s="56">
        <f t="shared" si="16"/>
        <v>-3.513223581083362E-2</v>
      </c>
      <c r="W66" s="88">
        <f t="shared" si="10"/>
        <v>1.8735474934428351E-3</v>
      </c>
      <c r="X66" s="88">
        <f t="shared" si="11"/>
        <v>1.2342739930680203E-3</v>
      </c>
      <c r="Z66" s="53">
        <f t="shared" si="12"/>
        <v>45200</v>
      </c>
      <c r="AA66" s="56">
        <f t="shared" si="13"/>
        <v>0.64550446984323084</v>
      </c>
      <c r="AB66" s="56">
        <f t="shared" si="14"/>
        <v>0.4157995956949363</v>
      </c>
    </row>
    <row r="67" spans="1:28" ht="17.5" customHeight="1">
      <c r="A67" s="133">
        <f>+'Stock Historical Yahoo'!A47</f>
        <v>45231</v>
      </c>
      <c r="B67" s="134">
        <f>+'Stock Historical Yahoo'!B47</f>
        <v>102.980003</v>
      </c>
      <c r="C67" s="134">
        <f>+'Stock Historical Yahoo'!C47</f>
        <v>117.58000199999999</v>
      </c>
      <c r="D67" s="134">
        <f>+'Stock Historical Yahoo'!D47</f>
        <v>96.769997000000004</v>
      </c>
      <c r="E67" s="134">
        <f>+'Stock Historical Yahoo'!E47</f>
        <v>114.760002</v>
      </c>
      <c r="F67" s="132">
        <f t="shared" si="2"/>
        <v>0.12026551893273085</v>
      </c>
      <c r="G67" s="76">
        <f t="shared" si="3"/>
        <v>0.7657699887759617</v>
      </c>
      <c r="I67" s="134">
        <f>+'S&amp;P ETF Yahoo'!B47</f>
        <v>419.20001200000002</v>
      </c>
      <c r="J67" s="134">
        <f>+'S&amp;P ETF Yahoo'!C47</f>
        <v>458.32000699999998</v>
      </c>
      <c r="K67" s="134">
        <f>+'S&amp;P ETF Yahoo'!D47</f>
        <v>418.64999399999999</v>
      </c>
      <c r="L67" s="134">
        <f>+'S&amp;P ETF Yahoo'!E47</f>
        <v>456.39999399999999</v>
      </c>
      <c r="M67" s="132">
        <f t="shared" si="4"/>
        <v>9.13438089523535E-2</v>
      </c>
      <c r="N67" s="76">
        <f t="shared" si="5"/>
        <v>0.5071434046472898</v>
      </c>
      <c r="P67" s="53">
        <f t="shared" si="0"/>
        <v>45231</v>
      </c>
      <c r="Q67" s="78">
        <f t="shared" si="1"/>
        <v>114.760002</v>
      </c>
      <c r="R67"/>
      <c r="S67" s="80">
        <f t="shared" si="6"/>
        <v>0.12026551893273085</v>
      </c>
      <c r="T67" s="80">
        <f t="shared" si="7"/>
        <v>9.13438089523535E-2</v>
      </c>
      <c r="U67" s="56">
        <f t="shared" si="15"/>
        <v>0.10125079910964671</v>
      </c>
      <c r="V67" s="56">
        <f t="shared" si="16"/>
        <v>7.7920188190657227E-2</v>
      </c>
      <c r="W67" s="88">
        <f t="shared" si="10"/>
        <v>7.8894813210781001E-3</v>
      </c>
      <c r="X67" s="88">
        <f t="shared" si="11"/>
        <v>6.0715557276674378E-3</v>
      </c>
      <c r="Z67" s="53">
        <f t="shared" si="12"/>
        <v>45231</v>
      </c>
      <c r="AA67" s="56">
        <f t="shared" si="13"/>
        <v>0.7657699887759617</v>
      </c>
      <c r="AB67" s="56">
        <f t="shared" si="14"/>
        <v>0.5071434046472898</v>
      </c>
    </row>
    <row r="68" spans="1:28" ht="17.5" customHeight="1">
      <c r="A68" s="133">
        <f>+'Stock Historical Yahoo'!A48</f>
        <v>45261</v>
      </c>
      <c r="B68" s="134">
        <f>+'Stock Historical Yahoo'!B48</f>
        <v>114.75</v>
      </c>
      <c r="C68" s="134">
        <f>+'Stock Historical Yahoo'!C48</f>
        <v>133.61999499999999</v>
      </c>
      <c r="D68" s="134">
        <f>+'Stock Historical Yahoo'!D48</f>
        <v>114.019997</v>
      </c>
      <c r="E68" s="134">
        <f>+'Stock Historical Yahoo'!E48</f>
        <v>130.41000399999999</v>
      </c>
      <c r="F68" s="132">
        <f t="shared" si="2"/>
        <v>0.13637157308519376</v>
      </c>
      <c r="G68" s="76">
        <f t="shared" si="3"/>
        <v>0.90214156186115546</v>
      </c>
      <c r="I68" s="134">
        <f>+'S&amp;P ETF Yahoo'!B48</f>
        <v>455.76998900000001</v>
      </c>
      <c r="J68" s="134">
        <f>+'S&amp;P ETF Yahoo'!C48</f>
        <v>477.54998799999998</v>
      </c>
      <c r="K68" s="134">
        <f>+'S&amp;P ETF Yahoo'!D48</f>
        <v>454.30999800000001</v>
      </c>
      <c r="L68" s="134">
        <f>+'S&amp;P ETF Yahoo'!E48</f>
        <v>475.30999800000001</v>
      </c>
      <c r="M68" s="132">
        <f t="shared" si="4"/>
        <v>4.143296285845266E-2</v>
      </c>
      <c r="N68" s="76">
        <f t="shared" si="5"/>
        <v>0.54857636750574246</v>
      </c>
      <c r="P68" s="53">
        <f t="shared" si="0"/>
        <v>45261</v>
      </c>
      <c r="Q68" s="78">
        <f t="shared" si="1"/>
        <v>130.41000399999999</v>
      </c>
      <c r="R68"/>
      <c r="S68" s="80">
        <f t="shared" si="6"/>
        <v>0.13637157308519376</v>
      </c>
      <c r="T68" s="80">
        <f t="shared" si="7"/>
        <v>4.143296285845266E-2</v>
      </c>
      <c r="U68" s="56">
        <f t="shared" si="15"/>
        <v>0.11735685326210962</v>
      </c>
      <c r="V68" s="56">
        <f t="shared" si="16"/>
        <v>2.8009342096756387E-2</v>
      </c>
      <c r="W68" s="88">
        <f t="shared" si="10"/>
        <v>3.287088250417269E-3</v>
      </c>
      <c r="X68" s="88">
        <f t="shared" si="11"/>
        <v>7.8452324469312944E-4</v>
      </c>
      <c r="Z68" s="53">
        <f t="shared" si="12"/>
        <v>45261</v>
      </c>
      <c r="AA68" s="56">
        <f t="shared" si="13"/>
        <v>0.90214156186115546</v>
      </c>
      <c r="AB68" s="56">
        <f t="shared" si="14"/>
        <v>0.54857636750574246</v>
      </c>
    </row>
    <row r="69" spans="1:28" ht="17.5" customHeight="1">
      <c r="A69" s="133">
        <f>+'Stock Historical Yahoo'!A49</f>
        <v>45292</v>
      </c>
      <c r="B69" s="134">
        <f>+'Stock Historical Yahoo'!B49</f>
        <v>129.979996</v>
      </c>
      <c r="C69" s="134">
        <f>+'Stock Historical Yahoo'!C49</f>
        <v>133.429993</v>
      </c>
      <c r="D69" s="134">
        <f>+'Stock Historical Yahoo'!D49</f>
        <v>124.400002</v>
      </c>
      <c r="E69" s="134">
        <f>+'Stock Historical Yahoo'!E49</f>
        <v>128.36999499999999</v>
      </c>
      <c r="F69" s="132">
        <f t="shared" si="2"/>
        <v>-1.56430406980127E-2</v>
      </c>
      <c r="G69" s="76">
        <f t="shared" si="3"/>
        <v>0.88649852116314276</v>
      </c>
      <c r="I69" s="134">
        <f>+'S&amp;P ETF Yahoo'!B49</f>
        <v>472.16000400000001</v>
      </c>
      <c r="J69" s="134">
        <f>+'S&amp;P ETF Yahoo'!C49</f>
        <v>491.61999500000002</v>
      </c>
      <c r="K69" s="134">
        <f>+'S&amp;P ETF Yahoo'!D49</f>
        <v>466.42999300000002</v>
      </c>
      <c r="L69" s="134">
        <f>+'S&amp;P ETF Yahoo'!E49</f>
        <v>482.88000499999998</v>
      </c>
      <c r="M69" s="132">
        <f t="shared" si="4"/>
        <v>1.5926462796602037E-2</v>
      </c>
      <c r="N69" s="76">
        <f t="shared" si="5"/>
        <v>0.56450283030234449</v>
      </c>
      <c r="P69" s="53">
        <f t="shared" si="0"/>
        <v>45292</v>
      </c>
      <c r="Q69" s="78">
        <f t="shared" si="1"/>
        <v>128.36999499999999</v>
      </c>
      <c r="R69"/>
      <c r="S69" s="80">
        <f t="shared" si="6"/>
        <v>-1.56430406980127E-2</v>
      </c>
      <c r="T69" s="80">
        <f t="shared" si="7"/>
        <v>1.5926462796602037E-2</v>
      </c>
      <c r="U69" s="56">
        <f t="shared" si="15"/>
        <v>-3.4657760521096842E-2</v>
      </c>
      <c r="V69" s="56">
        <f t="shared" si="16"/>
        <v>2.5028420349057657E-3</v>
      </c>
      <c r="W69" s="88">
        <f t="shared" si="10"/>
        <v>-8.6742899867898733E-5</v>
      </c>
      <c r="X69" s="88">
        <f t="shared" si="11"/>
        <v>6.2642182516912343E-6</v>
      </c>
      <c r="Z69" s="53">
        <f t="shared" si="12"/>
        <v>45292</v>
      </c>
      <c r="AA69" s="56">
        <f t="shared" si="13"/>
        <v>0.88649852116314276</v>
      </c>
      <c r="AB69" s="56">
        <f t="shared" si="14"/>
        <v>0.56450283030234449</v>
      </c>
    </row>
    <row r="70" spans="1:28" ht="17.5" customHeight="1">
      <c r="A70" s="133">
        <f>+'Stock Historical Yahoo'!A50</f>
        <v>45323</v>
      </c>
      <c r="B70" s="134">
        <f>+'Stock Historical Yahoo'!B50</f>
        <v>128.71000699999999</v>
      </c>
      <c r="C70" s="134">
        <f>+'Stock Historical Yahoo'!C50</f>
        <v>153.83000200000001</v>
      </c>
      <c r="D70" s="134">
        <f>+'Stock Historical Yahoo'!D50</f>
        <v>125.449997</v>
      </c>
      <c r="E70" s="134">
        <f>+'Stock Historical Yahoo'!E50</f>
        <v>153.58999600000001</v>
      </c>
      <c r="F70" s="132">
        <f t="shared" si="2"/>
        <v>0.19646336357651206</v>
      </c>
      <c r="G70" s="76">
        <f t="shared" si="3"/>
        <v>1.0829618847396549</v>
      </c>
      <c r="I70" s="134">
        <f>+'S&amp;P ETF Yahoo'!B50</f>
        <v>484.63000499999998</v>
      </c>
      <c r="J70" s="134">
        <f>+'S&amp;P ETF Yahoo'!C50</f>
        <v>510.13000499999998</v>
      </c>
      <c r="K70" s="134">
        <f>+'S&amp;P ETF Yahoo'!D50</f>
        <v>483.79998799999998</v>
      </c>
      <c r="L70" s="134">
        <f>+'S&amp;P ETF Yahoo'!E50</f>
        <v>508.07998700000002</v>
      </c>
      <c r="M70" s="132">
        <f t="shared" si="4"/>
        <v>5.2186840910921628E-2</v>
      </c>
      <c r="N70" s="76">
        <f t="shared" si="5"/>
        <v>0.61668967121326612</v>
      </c>
      <c r="P70" s="53">
        <f t="shared" si="0"/>
        <v>45323</v>
      </c>
      <c r="Q70" s="78">
        <f t="shared" si="1"/>
        <v>153.58999600000001</v>
      </c>
      <c r="R70"/>
      <c r="S70" s="80">
        <f t="shared" si="6"/>
        <v>0.19646336357651206</v>
      </c>
      <c r="T70" s="80">
        <f t="shared" si="7"/>
        <v>5.2186840910921628E-2</v>
      </c>
      <c r="U70" s="56">
        <f t="shared" si="15"/>
        <v>0.17744864375342792</v>
      </c>
      <c r="V70" s="56">
        <f t="shared" si="16"/>
        <v>3.8763220149225355E-2</v>
      </c>
      <c r="W70" s="88">
        <f t="shared" si="10"/>
        <v>6.8784808429955893E-3</v>
      </c>
      <c r="X70" s="88">
        <f t="shared" si="11"/>
        <v>1.5025872363373105E-3</v>
      </c>
      <c r="Z70" s="53">
        <f t="shared" si="12"/>
        <v>45323</v>
      </c>
      <c r="AA70" s="56">
        <f t="shared" si="13"/>
        <v>1.0829618847396549</v>
      </c>
      <c r="AB70" s="56">
        <f t="shared" si="14"/>
        <v>0.61668967121326612</v>
      </c>
    </row>
    <row r="71" spans="1:28" ht="17.5" customHeight="1">
      <c r="A71" s="133">
        <f>+'Stock Historical Yahoo'!A51</f>
        <v>45352</v>
      </c>
      <c r="B71" s="134">
        <f>+'Stock Historical Yahoo'!B51</f>
        <v>154.520004</v>
      </c>
      <c r="C71" s="134">
        <f>+'Stock Historical Yahoo'!C51</f>
        <v>161.5</v>
      </c>
      <c r="D71" s="134">
        <f>+'Stock Historical Yahoo'!D51</f>
        <v>152.85000600000001</v>
      </c>
      <c r="E71" s="134">
        <f>+'Stock Historical Yahoo'!E51</f>
        <v>159.61999499999999</v>
      </c>
      <c r="F71" s="132">
        <f t="shared" si="2"/>
        <v>3.9260363025206191E-2</v>
      </c>
      <c r="G71" s="76">
        <f t="shared" si="3"/>
        <v>1.1222222477648611</v>
      </c>
      <c r="I71" s="134">
        <f>+'S&amp;P ETF Yahoo'!B51</f>
        <v>508.98001099999999</v>
      </c>
      <c r="J71" s="134">
        <f>+'S&amp;P ETF Yahoo'!C51</f>
        <v>524.60998500000005</v>
      </c>
      <c r="K71" s="134">
        <f>+'S&amp;P ETF Yahoo'!D51</f>
        <v>504.91000400000001</v>
      </c>
      <c r="L71" s="134">
        <f>+'S&amp;P ETF Yahoo'!E51</f>
        <v>523.07000700000003</v>
      </c>
      <c r="M71" s="132">
        <f t="shared" si="4"/>
        <v>2.9503267956901391E-2</v>
      </c>
      <c r="N71" s="76">
        <f t="shared" si="5"/>
        <v>0.64619293917016751</v>
      </c>
      <c r="P71" s="53">
        <f t="shared" si="0"/>
        <v>45352</v>
      </c>
      <c r="Q71" s="78">
        <f t="shared" si="1"/>
        <v>159.61999499999999</v>
      </c>
      <c r="R71"/>
      <c r="S71" s="80">
        <f t="shared" si="6"/>
        <v>3.9260363025206191E-2</v>
      </c>
      <c r="T71" s="80">
        <f t="shared" si="7"/>
        <v>2.9503267956901391E-2</v>
      </c>
      <c r="U71" s="56">
        <f t="shared" si="15"/>
        <v>2.0245643202122045E-2</v>
      </c>
      <c r="V71" s="56">
        <f t="shared" si="16"/>
        <v>1.6079647195205118E-2</v>
      </c>
      <c r="W71" s="88">
        <f t="shared" si="10"/>
        <v>3.2554279993012529E-4</v>
      </c>
      <c r="X71" s="88">
        <f t="shared" si="11"/>
        <v>2.5855505392226785E-4</v>
      </c>
      <c r="Z71" s="53">
        <f t="shared" si="12"/>
        <v>45352</v>
      </c>
      <c r="AA71" s="56">
        <f t="shared" si="13"/>
        <v>1.1222222477648611</v>
      </c>
      <c r="AB71" s="56">
        <f t="shared" si="14"/>
        <v>0.64619293917016751</v>
      </c>
    </row>
    <row r="72" spans="1:28" ht="17.5" customHeight="1">
      <c r="A72" s="133">
        <f>+'Stock Historical Yahoo'!A52</f>
        <v>45383</v>
      </c>
      <c r="B72" s="134">
        <f>+'Stock Historical Yahoo'!B52</f>
        <v>159.66999799999999</v>
      </c>
      <c r="C72" s="134">
        <f>+'Stock Historical Yahoo'!C52</f>
        <v>159.979996</v>
      </c>
      <c r="D72" s="134">
        <f>+'Stock Historical Yahoo'!D52</f>
        <v>145.19000199999999</v>
      </c>
      <c r="E72" s="134">
        <f>+'Stock Historical Yahoo'!E52</f>
        <v>148.78999300000001</v>
      </c>
      <c r="F72" s="132">
        <f t="shared" si="2"/>
        <v>-6.784865517631411E-2</v>
      </c>
      <c r="G72" s="76">
        <f t="shared" si="3"/>
        <v>1.0543735925885471</v>
      </c>
      <c r="I72" s="134">
        <f>+'S&amp;P ETF Yahoo'!B52</f>
        <v>523.830017</v>
      </c>
      <c r="J72" s="134">
        <f>+'S&amp;P ETF Yahoo'!C52</f>
        <v>524.38000499999998</v>
      </c>
      <c r="K72" s="134">
        <f>+'S&amp;P ETF Yahoo'!D52</f>
        <v>493.85998499999999</v>
      </c>
      <c r="L72" s="134">
        <f>+'S&amp;P ETF Yahoo'!E52</f>
        <v>501.98001099999999</v>
      </c>
      <c r="M72" s="132">
        <f t="shared" si="4"/>
        <v>-4.0319643102763592E-2</v>
      </c>
      <c r="N72" s="76">
        <f t="shared" si="5"/>
        <v>0.60587329606740392</v>
      </c>
      <c r="P72" s="53">
        <f t="shared" si="0"/>
        <v>45383</v>
      </c>
      <c r="Q72" s="78">
        <f t="shared" si="1"/>
        <v>148.78999300000001</v>
      </c>
      <c r="R72"/>
      <c r="S72" s="80">
        <f t="shared" si="6"/>
        <v>-6.784865517631411E-2</v>
      </c>
      <c r="T72" s="80">
        <f t="shared" si="7"/>
        <v>-4.0319643102763592E-2</v>
      </c>
      <c r="U72" s="56">
        <f t="shared" si="15"/>
        <v>-8.6863374999398252E-2</v>
      </c>
      <c r="V72" s="56">
        <f t="shared" si="16"/>
        <v>-5.3743263864459864E-2</v>
      </c>
      <c r="W72" s="88">
        <f t="shared" si="10"/>
        <v>4.6683212827501866E-3</v>
      </c>
      <c r="X72" s="88">
        <f t="shared" si="11"/>
        <v>2.8883384108049576E-3</v>
      </c>
      <c r="Z72" s="53">
        <f t="shared" si="12"/>
        <v>45383</v>
      </c>
      <c r="AA72" s="56">
        <f t="shared" si="13"/>
        <v>1.0543735925885471</v>
      </c>
      <c r="AB72" s="56">
        <f t="shared" si="14"/>
        <v>0.60587329606740392</v>
      </c>
    </row>
    <row r="73" spans="1:28" ht="17.5" customHeight="1">
      <c r="A73" s="133">
        <f>+'Stock Historical Yahoo'!A53</f>
        <v>45413</v>
      </c>
      <c r="B73" s="134">
        <f>+'Stock Historical Yahoo'!B53</f>
        <v>148.44000199999999</v>
      </c>
      <c r="C73" s="134">
        <f>+'Stock Historical Yahoo'!C53</f>
        <v>153.990005</v>
      </c>
      <c r="D73" s="134">
        <f>+'Stock Historical Yahoo'!D53</f>
        <v>139.679993</v>
      </c>
      <c r="E73" s="134">
        <f>+'Stock Historical Yahoo'!E53</f>
        <v>147.470001</v>
      </c>
      <c r="F73" s="132">
        <f t="shared" si="2"/>
        <v>-8.8715105995066379E-3</v>
      </c>
      <c r="G73" s="76">
        <f t="shared" si="3"/>
        <v>1.0455020819890404</v>
      </c>
      <c r="I73" s="134">
        <f>+'S&amp;P ETF Yahoo'!B53</f>
        <v>501.38000499999998</v>
      </c>
      <c r="J73" s="134">
        <f>+'S&amp;P ETF Yahoo'!C53</f>
        <v>533.07000700000003</v>
      </c>
      <c r="K73" s="134">
        <f>+'S&amp;P ETF Yahoo'!D53</f>
        <v>499.54998799999998</v>
      </c>
      <c r="L73" s="134">
        <f>+'S&amp;P ETF Yahoo'!E53</f>
        <v>527.36999500000002</v>
      </c>
      <c r="M73" s="132">
        <f t="shared" si="4"/>
        <v>5.0579671388548686E-2</v>
      </c>
      <c r="N73" s="76">
        <f t="shared" si="5"/>
        <v>0.65645296745595261</v>
      </c>
      <c r="P73" s="53">
        <f t="shared" si="0"/>
        <v>45413</v>
      </c>
      <c r="Q73" s="78">
        <f t="shared" si="1"/>
        <v>147.470001</v>
      </c>
      <c r="R73"/>
      <c r="S73" s="80">
        <f t="shared" si="6"/>
        <v>-8.8715105995066379E-3</v>
      </c>
      <c r="T73" s="80">
        <f t="shared" si="7"/>
        <v>5.0579671388548686E-2</v>
      </c>
      <c r="U73" s="56">
        <f t="shared" si="15"/>
        <v>-2.7886230422590783E-2</v>
      </c>
      <c r="V73" s="56">
        <f t="shared" si="16"/>
        <v>3.7156050626852413E-2</v>
      </c>
      <c r="W73" s="88">
        <f t="shared" si="10"/>
        <v>-1.036142189373855E-3</v>
      </c>
      <c r="X73" s="88">
        <f t="shared" si="11"/>
        <v>1.3805720981852196E-3</v>
      </c>
      <c r="Z73" s="53">
        <f t="shared" si="12"/>
        <v>45413</v>
      </c>
      <c r="AA73" s="56">
        <f t="shared" si="13"/>
        <v>1.0455020819890404</v>
      </c>
      <c r="AB73" s="56">
        <f t="shared" si="14"/>
        <v>0.65645296745595261</v>
      </c>
    </row>
    <row r="74" spans="1:28" ht="17.5" customHeight="1">
      <c r="A74" s="133">
        <f>+'Stock Historical Yahoo'!A54</f>
        <v>45444</v>
      </c>
      <c r="B74" s="134">
        <f>+'Stock Historical Yahoo'!B54</f>
        <v>148</v>
      </c>
      <c r="C74" s="134">
        <f>+'Stock Historical Yahoo'!C54</f>
        <v>151.96000699999999</v>
      </c>
      <c r="D74" s="134">
        <f>+'Stock Historical Yahoo'!D54</f>
        <v>142.13999899999999</v>
      </c>
      <c r="E74" s="134">
        <f>+'Stock Historical Yahoo'!E54</f>
        <v>151.91999799999999</v>
      </c>
      <c r="F74" s="132">
        <f t="shared" ref="F74:F81" si="17">+E74/E73-1</f>
        <v>3.0175608393737008E-2</v>
      </c>
      <c r="G74" s="76">
        <f t="shared" ref="G74:G81" si="18">+F74+G73</f>
        <v>1.0756776903827774</v>
      </c>
      <c r="I74" s="134">
        <f>+'S&amp;P ETF Yahoo'!B54</f>
        <v>529.02002000000005</v>
      </c>
      <c r="J74" s="134">
        <f>+'S&amp;P ETF Yahoo'!C54</f>
        <v>550.28002900000001</v>
      </c>
      <c r="K74" s="134">
        <f>+'S&amp;P ETF Yahoo'!D54</f>
        <v>522.59997599999997</v>
      </c>
      <c r="L74" s="134">
        <f>+'S&amp;P ETF Yahoo'!E54</f>
        <v>544.21997099999999</v>
      </c>
      <c r="M74" s="132">
        <f t="shared" ref="M74:M81" si="19">+L74/L73-1</f>
        <v>3.1950956936789732E-2</v>
      </c>
      <c r="N74" s="76">
        <f t="shared" ref="N74:N81" si="20">+M74+N73</f>
        <v>0.68840392439274234</v>
      </c>
      <c r="P74" s="53">
        <f t="shared" ref="P74:P81" si="21">+A74</f>
        <v>45444</v>
      </c>
      <c r="Q74" s="78">
        <f t="shared" ref="Q74:Q81" si="22">+E74</f>
        <v>151.91999799999999</v>
      </c>
      <c r="R74"/>
      <c r="S74" s="80">
        <f t="shared" ref="S74:S81" si="23">+F74</f>
        <v>3.0175608393737008E-2</v>
      </c>
      <c r="T74" s="80">
        <f t="shared" ref="T74:T81" si="24">+M74</f>
        <v>3.1950956936789732E-2</v>
      </c>
      <c r="U74" s="56">
        <f t="shared" si="15"/>
        <v>1.1160888570652863E-2</v>
      </c>
      <c r="V74" s="56">
        <f t="shared" si="16"/>
        <v>1.8527336175093459E-2</v>
      </c>
      <c r="W74" s="88">
        <f t="shared" ref="W74:W81" si="25">+V74*U74</f>
        <v>2.0678153456124391E-4</v>
      </c>
      <c r="X74" s="88">
        <f t="shared" ref="X74:X81" si="26">+V74^2</f>
        <v>3.432621857449267E-4</v>
      </c>
      <c r="Z74" s="53">
        <f t="shared" ref="Z74:Z81" si="27">+A74</f>
        <v>45444</v>
      </c>
      <c r="AA74" s="56">
        <f t="shared" ref="AA74:AA81" si="28">+G74</f>
        <v>1.0756776903827774</v>
      </c>
      <c r="AB74" s="56">
        <f t="shared" ref="AB74:AB81" si="29">+N74</f>
        <v>0.68840392439274234</v>
      </c>
    </row>
    <row r="75" spans="1:28" ht="17.5" customHeight="1">
      <c r="A75" s="133">
        <f>+'Stock Historical Yahoo'!A55</f>
        <v>45474</v>
      </c>
      <c r="B75" s="134">
        <f>+'Stock Historical Yahoo'!B55</f>
        <v>152.66999799999999</v>
      </c>
      <c r="C75" s="134">
        <f>+'Stock Historical Yahoo'!C55</f>
        <v>162.240005</v>
      </c>
      <c r="D75" s="134">
        <f>+'Stock Historical Yahoo'!D55</f>
        <v>145.33999600000001</v>
      </c>
      <c r="E75" s="134">
        <f>+'Stock Historical Yahoo'!E55</f>
        <v>147.33000200000001</v>
      </c>
      <c r="F75" s="132">
        <f t="shared" si="17"/>
        <v>-3.0213244210284818E-2</v>
      </c>
      <c r="G75" s="76">
        <f t="shared" si="18"/>
        <v>1.0454644461724927</v>
      </c>
      <c r="I75" s="134">
        <f>+'S&amp;P ETF Yahoo'!B55</f>
        <v>545.63000499999998</v>
      </c>
      <c r="J75" s="134">
        <f>+'S&amp;P ETF Yahoo'!C55</f>
        <v>565.15997300000004</v>
      </c>
      <c r="K75" s="134">
        <f>+'S&amp;P ETF Yahoo'!D55</f>
        <v>537.45001200000002</v>
      </c>
      <c r="L75" s="134">
        <f>+'S&amp;P ETF Yahoo'!E55</f>
        <v>550.80999799999995</v>
      </c>
      <c r="M75" s="132">
        <f t="shared" si="19"/>
        <v>1.2109123793988763E-2</v>
      </c>
      <c r="N75" s="76">
        <f t="shared" si="20"/>
        <v>0.7005130481867311</v>
      </c>
      <c r="P75" s="53">
        <f t="shared" si="21"/>
        <v>45474</v>
      </c>
      <c r="Q75" s="78">
        <f t="shared" si="22"/>
        <v>147.33000200000001</v>
      </c>
      <c r="R75"/>
      <c r="S75" s="80">
        <f t="shared" si="23"/>
        <v>-3.0213244210284818E-2</v>
      </c>
      <c r="T75" s="80">
        <f t="shared" si="24"/>
        <v>1.2109123793988763E-2</v>
      </c>
      <c r="U75" s="56">
        <f t="shared" si="15"/>
        <v>-4.9227964033368959E-2</v>
      </c>
      <c r="V75" s="56">
        <f t="shared" si="16"/>
        <v>-1.3144969677075079E-3</v>
      </c>
      <c r="W75" s="88">
        <f t="shared" si="25"/>
        <v>6.4710009448277754E-5</v>
      </c>
      <c r="X75" s="88">
        <f t="shared" si="26"/>
        <v>1.7279022781122331E-6</v>
      </c>
      <c r="Z75" s="53">
        <f t="shared" si="27"/>
        <v>45474</v>
      </c>
      <c r="AA75" s="56">
        <f t="shared" si="28"/>
        <v>1.0454644461724927</v>
      </c>
      <c r="AB75" s="56">
        <f t="shared" si="29"/>
        <v>0.7005130481867311</v>
      </c>
    </row>
    <row r="76" spans="1:28" ht="17.5" customHeight="1">
      <c r="A76" s="133">
        <f>+'Stock Historical Yahoo'!A56</f>
        <v>45505</v>
      </c>
      <c r="B76" s="134">
        <f>+'Stock Historical Yahoo'!B56</f>
        <v>146.35000600000001</v>
      </c>
      <c r="C76" s="134">
        <f>+'Stock Historical Yahoo'!C56</f>
        <v>152.35000600000001</v>
      </c>
      <c r="D76" s="134">
        <f>+'Stock Historical Yahoo'!D56</f>
        <v>128.91000399999999</v>
      </c>
      <c r="E76" s="134">
        <f>+'Stock Historical Yahoo'!E56</f>
        <v>151.91999799999999</v>
      </c>
      <c r="F76" s="132">
        <f t="shared" si="17"/>
        <v>3.1154523435084069E-2</v>
      </c>
      <c r="G76" s="76">
        <f t="shared" si="18"/>
        <v>1.0766189696075767</v>
      </c>
      <c r="I76" s="134">
        <f>+'S&amp;P ETF Yahoo'!B56</f>
        <v>552.57000700000003</v>
      </c>
      <c r="J76" s="134">
        <f>+'S&amp;P ETF Yahoo'!C56</f>
        <v>564.20001200000002</v>
      </c>
      <c r="K76" s="134">
        <f>+'S&amp;P ETF Yahoo'!D56</f>
        <v>510.26998900000001</v>
      </c>
      <c r="L76" s="134">
        <f>+'S&amp;P ETF Yahoo'!E56</f>
        <v>563.67999299999997</v>
      </c>
      <c r="M76" s="132">
        <f t="shared" si="19"/>
        <v>2.3365579867342889E-2</v>
      </c>
      <c r="N76" s="76">
        <f t="shared" si="20"/>
        <v>0.72387862805407399</v>
      </c>
      <c r="P76" s="53">
        <f t="shared" si="21"/>
        <v>45505</v>
      </c>
      <c r="Q76" s="78">
        <f t="shared" si="22"/>
        <v>151.91999799999999</v>
      </c>
      <c r="R76"/>
      <c r="S76" s="80">
        <f t="shared" si="23"/>
        <v>3.1154523435084069E-2</v>
      </c>
      <c r="T76" s="80">
        <f t="shared" si="24"/>
        <v>2.3365579867342889E-2</v>
      </c>
      <c r="U76" s="56">
        <f t="shared" si="15"/>
        <v>1.2139803611999924E-2</v>
      </c>
      <c r="V76" s="56">
        <f t="shared" si="16"/>
        <v>9.9419591056466184E-3</v>
      </c>
      <c r="W76" s="88">
        <f t="shared" si="25"/>
        <v>1.2069343106108435E-4</v>
      </c>
      <c r="X76" s="88">
        <f t="shared" si="26"/>
        <v>9.8842550858349712E-5</v>
      </c>
      <c r="Z76" s="53">
        <f t="shared" si="27"/>
        <v>45505</v>
      </c>
      <c r="AA76" s="56">
        <f t="shared" si="28"/>
        <v>1.0766189696075767</v>
      </c>
      <c r="AB76" s="56">
        <f t="shared" si="29"/>
        <v>0.72387862805407399</v>
      </c>
    </row>
    <row r="77" spans="1:28" ht="17.5" customHeight="1">
      <c r="A77" s="133">
        <f>+'Stock Historical Yahoo'!A57</f>
        <v>45536</v>
      </c>
      <c r="B77" s="134">
        <f>+'Stock Historical Yahoo'!B57</f>
        <v>151.11000100000001</v>
      </c>
      <c r="C77" s="134">
        <f>+'Stock Historical Yahoo'!C57</f>
        <v>160.36000100000001</v>
      </c>
      <c r="D77" s="134">
        <f>+'Stock Historical Yahoo'!D57</f>
        <v>140.520004</v>
      </c>
      <c r="E77" s="134">
        <f>+'Stock Historical Yahoo'!E57</f>
        <v>152.199997</v>
      </c>
      <c r="F77" s="132">
        <f t="shared" si="17"/>
        <v>1.8430687446429062E-3</v>
      </c>
      <c r="G77" s="76">
        <f t="shared" si="18"/>
        <v>1.0784620383522197</v>
      </c>
      <c r="I77" s="134">
        <f>+'S&amp;P ETF Yahoo'!B57</f>
        <v>558.34997599999997</v>
      </c>
      <c r="J77" s="134">
        <f>+'S&amp;P ETF Yahoo'!C57</f>
        <v>574.71002199999998</v>
      </c>
      <c r="K77" s="134">
        <f>+'S&amp;P ETF Yahoo'!D57</f>
        <v>539.44000200000005</v>
      </c>
      <c r="L77" s="134">
        <f>+'S&amp;P ETF Yahoo'!E57</f>
        <v>573.76000999999997</v>
      </c>
      <c r="M77" s="132">
        <f t="shared" si="19"/>
        <v>1.7882516898200418E-2</v>
      </c>
      <c r="N77" s="76">
        <f t="shared" si="20"/>
        <v>0.74176114495227441</v>
      </c>
      <c r="P77" s="53">
        <f t="shared" si="21"/>
        <v>45536</v>
      </c>
      <c r="Q77" s="78">
        <f t="shared" si="22"/>
        <v>152.199997</v>
      </c>
      <c r="R77"/>
      <c r="S77" s="80">
        <f t="shared" si="23"/>
        <v>1.8430687446429062E-3</v>
      </c>
      <c r="T77" s="80">
        <f t="shared" si="24"/>
        <v>1.7882516898200418E-2</v>
      </c>
      <c r="U77" s="56">
        <f t="shared" si="15"/>
        <v>-1.7171651078441239E-2</v>
      </c>
      <c r="V77" s="56">
        <f t="shared" si="16"/>
        <v>4.4588961365041469E-3</v>
      </c>
      <c r="W77" s="88">
        <f t="shared" si="25"/>
        <v>-7.6566608651058914E-5</v>
      </c>
      <c r="X77" s="88">
        <f t="shared" si="26"/>
        <v>1.9881754756131608E-5</v>
      </c>
      <c r="Z77" s="53">
        <f t="shared" si="27"/>
        <v>45536</v>
      </c>
      <c r="AA77" s="56">
        <f t="shared" si="28"/>
        <v>1.0784620383522197</v>
      </c>
      <c r="AB77" s="56">
        <f t="shared" si="29"/>
        <v>0.74176114495227441</v>
      </c>
    </row>
    <row r="78" spans="1:28" ht="17.5" customHeight="1">
      <c r="A78" s="133">
        <f>+'Stock Historical Yahoo'!A58</f>
        <v>45566</v>
      </c>
      <c r="B78" s="134">
        <f>+'Stock Historical Yahoo'!B58</f>
        <v>152.46000699999999</v>
      </c>
      <c r="C78" s="134">
        <f>+'Stock Historical Yahoo'!C58</f>
        <v>158.85000600000001</v>
      </c>
      <c r="D78" s="134">
        <f>+'Stock Historical Yahoo'!D58</f>
        <v>145.320007</v>
      </c>
      <c r="E78" s="134">
        <f>+'Stock Historical Yahoo'!E58</f>
        <v>145.449997</v>
      </c>
      <c r="F78" s="132">
        <f t="shared" si="17"/>
        <v>-4.4349540953013245E-2</v>
      </c>
      <c r="G78" s="76">
        <f t="shared" si="18"/>
        <v>1.0341124973992064</v>
      </c>
      <c r="I78" s="134">
        <f>+'S&amp;P ETF Yahoo'!B58</f>
        <v>573.40002400000003</v>
      </c>
      <c r="J78" s="134">
        <f>+'S&amp;P ETF Yahoo'!C58</f>
        <v>586.11999500000002</v>
      </c>
      <c r="K78" s="134">
        <f>+'S&amp;P ETF Yahoo'!D58</f>
        <v>565.27002000000005</v>
      </c>
      <c r="L78" s="134">
        <f>+'S&amp;P ETF Yahoo'!E58</f>
        <v>568.64001499999995</v>
      </c>
      <c r="M78" s="132">
        <f t="shared" si="19"/>
        <v>-8.9235828757044944E-3</v>
      </c>
      <c r="N78" s="76">
        <f t="shared" si="20"/>
        <v>0.73283756207656991</v>
      </c>
      <c r="P78" s="53">
        <f t="shared" si="21"/>
        <v>45566</v>
      </c>
      <c r="Q78" s="78">
        <f t="shared" si="22"/>
        <v>145.449997</v>
      </c>
      <c r="R78"/>
      <c r="S78" s="80">
        <f t="shared" si="23"/>
        <v>-4.4349540953013245E-2</v>
      </c>
      <c r="T78" s="80">
        <f t="shared" si="24"/>
        <v>-8.9235828757044944E-3</v>
      </c>
      <c r="U78" s="56">
        <f t="shared" si="15"/>
        <v>-6.3364260776097386E-2</v>
      </c>
      <c r="V78" s="56">
        <f t="shared" si="16"/>
        <v>-2.2347203637400767E-2</v>
      </c>
      <c r="W78" s="88">
        <f t="shared" si="25"/>
        <v>1.4160140388968143E-3</v>
      </c>
      <c r="X78" s="88">
        <f t="shared" si="26"/>
        <v>4.9939751041145806E-4</v>
      </c>
      <c r="Z78" s="53">
        <f t="shared" si="27"/>
        <v>45566</v>
      </c>
      <c r="AA78" s="56">
        <f t="shared" si="28"/>
        <v>1.0341124973992064</v>
      </c>
      <c r="AB78" s="56">
        <f t="shared" si="29"/>
        <v>0.73283756207656991</v>
      </c>
    </row>
    <row r="79" spans="1:28" ht="17.5" customHeight="1">
      <c r="A79" s="133">
        <f>+'Stock Historical Yahoo'!A59</f>
        <v>45597</v>
      </c>
      <c r="B79" s="134">
        <f>+'Stock Historical Yahoo'!B59</f>
        <v>145.41999799999999</v>
      </c>
      <c r="C79" s="134">
        <f>+'Stock Historical Yahoo'!C59</f>
        <v>161.83999600000001</v>
      </c>
      <c r="D79" s="134">
        <f>+'Stock Historical Yahoo'!D59</f>
        <v>141.53999300000001</v>
      </c>
      <c r="E79" s="134">
        <f>+'Stock Historical Yahoo'!E59</f>
        <v>157.94000199999999</v>
      </c>
      <c r="F79" s="132">
        <f t="shared" si="17"/>
        <v>8.5871469629524855E-2</v>
      </c>
      <c r="G79" s="76">
        <f t="shared" si="18"/>
        <v>1.1199839670287313</v>
      </c>
      <c r="I79" s="134">
        <f>+'S&amp;P ETF Yahoo'!B59</f>
        <v>571.32000700000003</v>
      </c>
      <c r="J79" s="134">
        <f>+'S&amp;P ETF Yahoo'!C59</f>
        <v>603.34997599999997</v>
      </c>
      <c r="K79" s="134">
        <f>+'S&amp;P ETF Yahoo'!D59</f>
        <v>567.89001499999995</v>
      </c>
      <c r="L79" s="134">
        <f>+'S&amp;P ETF Yahoo'!E59</f>
        <v>602.54998799999998</v>
      </c>
      <c r="M79" s="132">
        <f t="shared" si="19"/>
        <v>5.9633462481531563E-2</v>
      </c>
      <c r="N79" s="76">
        <f t="shared" si="20"/>
        <v>0.79247102455810148</v>
      </c>
      <c r="P79" s="53">
        <f t="shared" si="21"/>
        <v>45597</v>
      </c>
      <c r="Q79" s="78">
        <f t="shared" si="22"/>
        <v>157.94000199999999</v>
      </c>
      <c r="R79"/>
      <c r="S79" s="80">
        <f t="shared" si="23"/>
        <v>8.5871469629524855E-2</v>
      </c>
      <c r="T79" s="80">
        <f t="shared" si="24"/>
        <v>5.9633462481531563E-2</v>
      </c>
      <c r="U79" s="56">
        <f t="shared" si="15"/>
        <v>6.6856749806440713E-2</v>
      </c>
      <c r="V79" s="56">
        <f t="shared" si="16"/>
        <v>4.620984171983529E-2</v>
      </c>
      <c r="W79" s="88">
        <f t="shared" si="25"/>
        <v>3.0894398264582541E-3</v>
      </c>
      <c r="X79" s="88">
        <f t="shared" si="26"/>
        <v>2.1353494717722302E-3</v>
      </c>
      <c r="Z79" s="53">
        <f t="shared" si="27"/>
        <v>45597</v>
      </c>
      <c r="AA79" s="56">
        <f t="shared" si="28"/>
        <v>1.1199839670287313</v>
      </c>
      <c r="AB79" s="56">
        <f t="shared" si="29"/>
        <v>0.79247102455810148</v>
      </c>
    </row>
    <row r="80" spans="1:28" ht="17.5" customHeight="1">
      <c r="A80" s="133">
        <f>+'Stock Historical Yahoo'!A60</f>
        <v>45627</v>
      </c>
      <c r="B80" s="134">
        <f>+'Stock Historical Yahoo'!B60</f>
        <v>157.86999499999999</v>
      </c>
      <c r="C80" s="134">
        <f>+'Stock Historical Yahoo'!C60</f>
        <v>168.199997</v>
      </c>
      <c r="D80" s="134">
        <f>+'Stock Historical Yahoo'!D60</f>
        <v>151.05999800000001</v>
      </c>
      <c r="E80" s="134">
        <f>+'Stock Historical Yahoo'!E60</f>
        <v>156.979996</v>
      </c>
      <c r="F80" s="132">
        <f t="shared" si="17"/>
        <v>-6.0782954783044074E-3</v>
      </c>
      <c r="G80" s="76">
        <f t="shared" si="18"/>
        <v>1.1139056715504267</v>
      </c>
      <c r="I80" s="134">
        <f>+'S&amp;P ETF Yahoo'!B60</f>
        <v>602.96997099999999</v>
      </c>
      <c r="J80" s="134">
        <f>+'S&amp;P ETF Yahoo'!C60</f>
        <v>609.07000700000003</v>
      </c>
      <c r="K80" s="134">
        <f>+'S&amp;P ETF Yahoo'!D60</f>
        <v>580.90997300000004</v>
      </c>
      <c r="L80" s="134">
        <f>+'S&amp;P ETF Yahoo'!E60</f>
        <v>586.080017</v>
      </c>
      <c r="M80" s="132">
        <f t="shared" si="19"/>
        <v>-2.7333783632902509E-2</v>
      </c>
      <c r="N80" s="76">
        <f t="shared" si="20"/>
        <v>0.76513724092519897</v>
      </c>
      <c r="P80" s="53">
        <f t="shared" si="21"/>
        <v>45627</v>
      </c>
      <c r="Q80" s="78">
        <f t="shared" si="22"/>
        <v>156.979996</v>
      </c>
      <c r="R80"/>
      <c r="S80" s="80">
        <f t="shared" si="23"/>
        <v>-6.0782954783044074E-3</v>
      </c>
      <c r="T80" s="80">
        <f t="shared" si="24"/>
        <v>-2.7333783632902509E-2</v>
      </c>
      <c r="U80" s="56">
        <f t="shared" si="15"/>
        <v>-2.5093015301388553E-2</v>
      </c>
      <c r="V80" s="56">
        <f t="shared" si="16"/>
        <v>-4.0757404394598781E-2</v>
      </c>
      <c r="W80" s="88">
        <f t="shared" si="25"/>
        <v>1.0227261721185482E-3</v>
      </c>
      <c r="X80" s="88">
        <f t="shared" si="26"/>
        <v>1.6611660129848601E-3</v>
      </c>
      <c r="Z80" s="53">
        <f t="shared" si="27"/>
        <v>45627</v>
      </c>
      <c r="AA80" s="56">
        <f t="shared" si="28"/>
        <v>1.1139056715504267</v>
      </c>
      <c r="AB80" s="56">
        <f t="shared" si="29"/>
        <v>0.76513724092519897</v>
      </c>
    </row>
    <row r="81" spans="1:28" ht="17.5" customHeight="1">
      <c r="A81" s="133">
        <f>+'Stock Historical Yahoo'!A61</f>
        <v>45658</v>
      </c>
      <c r="B81" s="134">
        <f>+'Stock Historical Yahoo'!B61</f>
        <v>158.300003</v>
      </c>
      <c r="C81" s="134">
        <f>+'Stock Historical Yahoo'!C61</f>
        <v>161.259995</v>
      </c>
      <c r="D81" s="134">
        <f>+'Stock Historical Yahoo'!D61</f>
        <v>150</v>
      </c>
      <c r="E81" s="134">
        <f>+'Stock Historical Yahoo'!E61</f>
        <v>158.229996</v>
      </c>
      <c r="F81" s="132">
        <f t="shared" si="17"/>
        <v>7.9627980115377639E-3</v>
      </c>
      <c r="G81" s="76">
        <f t="shared" si="18"/>
        <v>1.1218684695619645</v>
      </c>
      <c r="I81" s="134">
        <f>+'S&amp;P ETF Yahoo'!B61</f>
        <v>589.39001499999995</v>
      </c>
      <c r="J81" s="134">
        <f>+'S&amp;P ETF Yahoo'!C61</f>
        <v>610.78002900000001</v>
      </c>
      <c r="K81" s="134">
        <f>+'S&amp;P ETF Yahoo'!D61</f>
        <v>575.34997599999997</v>
      </c>
      <c r="L81" s="134">
        <f>+'S&amp;P ETF Yahoo'!E61</f>
        <v>601.82000700000003</v>
      </c>
      <c r="M81" s="132">
        <f t="shared" si="19"/>
        <v>2.6856384014880996E-2</v>
      </c>
      <c r="N81" s="76">
        <f t="shared" si="20"/>
        <v>0.79199362494007997</v>
      </c>
      <c r="P81" s="53">
        <f t="shared" si="21"/>
        <v>45658</v>
      </c>
      <c r="Q81" s="78">
        <f t="shared" si="22"/>
        <v>158.229996</v>
      </c>
      <c r="R81"/>
      <c r="S81" s="80">
        <f t="shared" si="23"/>
        <v>7.9627980115377639E-3</v>
      </c>
      <c r="T81" s="80">
        <f t="shared" si="24"/>
        <v>2.6856384014880996E-2</v>
      </c>
      <c r="U81" s="56">
        <f t="shared" si="15"/>
        <v>-1.1051921811546381E-2</v>
      </c>
      <c r="V81" s="56">
        <f t="shared" si="16"/>
        <v>1.3432763253184725E-2</v>
      </c>
      <c r="W81" s="88">
        <f t="shared" si="25"/>
        <v>-1.4845784918721101E-4</v>
      </c>
      <c r="X81" s="88">
        <f t="shared" si="26"/>
        <v>1.8043912861610988E-4</v>
      </c>
      <c r="Z81" s="53">
        <f t="shared" si="27"/>
        <v>45658</v>
      </c>
      <c r="AA81" s="56">
        <f t="shared" si="28"/>
        <v>1.1218684695619645</v>
      </c>
      <c r="AB81" s="56">
        <f t="shared" si="29"/>
        <v>0.79199362494007997</v>
      </c>
    </row>
    <row r="82" spans="1:28" ht="17.5" customHeight="1">
      <c r="A82" s="133"/>
      <c r="B82" s="134"/>
      <c r="C82" s="134"/>
      <c r="D82" s="134"/>
      <c r="E82" s="134"/>
      <c r="F82" s="132"/>
      <c r="G82" s="76"/>
      <c r="I82" s="134"/>
      <c r="J82" s="134"/>
      <c r="K82" s="134"/>
      <c r="L82" s="134"/>
      <c r="M82" s="132"/>
      <c r="N82" s="76"/>
      <c r="P82" s="53"/>
      <c r="R82"/>
      <c r="S82" s="80"/>
      <c r="T82" s="80"/>
      <c r="U82" s="56"/>
      <c r="V82" s="56"/>
      <c r="W82" s="88"/>
      <c r="X82" s="88"/>
      <c r="Z82" s="53"/>
      <c r="AA82" s="56"/>
      <c r="AB82" s="56"/>
    </row>
    <row r="83" spans="1:28" ht="17.5" customHeight="1">
      <c r="A83" s="53"/>
      <c r="F83" s="76"/>
      <c r="G83" s="76"/>
      <c r="I83" s="61"/>
      <c r="J83" s="61"/>
      <c r="K83" s="61"/>
      <c r="L83" s="61"/>
      <c r="M83" s="76"/>
      <c r="N83" s="76"/>
      <c r="P83" s="53"/>
      <c r="R83"/>
      <c r="S83" s="80"/>
      <c r="T83" s="80"/>
      <c r="U83" s="56"/>
      <c r="V83" s="56"/>
      <c r="W83" s="88"/>
      <c r="X83" s="88"/>
      <c r="Z83" s="53"/>
      <c r="AA83" s="56"/>
      <c r="AB83" s="56"/>
    </row>
    <row r="84" spans="1:28" ht="15" thickBot="1">
      <c r="F84" s="78"/>
      <c r="G84" s="78"/>
      <c r="H84" s="61"/>
      <c r="I84" s="61"/>
      <c r="J84" s="61"/>
      <c r="K84" s="61"/>
      <c r="L84" s="61"/>
      <c r="M84" s="78"/>
      <c r="N84" s="78"/>
      <c r="O84" s="61"/>
      <c r="P84" s="61"/>
      <c r="R84"/>
      <c r="S84" s="80"/>
      <c r="T84" s="80"/>
      <c r="U84" s="56"/>
      <c r="V84" s="56"/>
      <c r="W84" s="88"/>
      <c r="X84" s="88"/>
      <c r="AA84" s="56"/>
      <c r="AB84" s="56"/>
    </row>
    <row r="85" spans="1:28" ht="15" thickBot="1">
      <c r="E85" s="79" t="s">
        <v>165</v>
      </c>
      <c r="F85" s="80">
        <f>AVERAGE(F22:F82)</f>
        <v>1.9014719823084145E-2</v>
      </c>
      <c r="G85" s="80"/>
      <c r="L85" s="79" t="s">
        <v>165</v>
      </c>
      <c r="M85" s="80">
        <f>AVERAGE(M22:M82)</f>
        <v>1.3423620761696271E-2</v>
      </c>
      <c r="N85" s="80"/>
      <c r="R85" s="79" t="s">
        <v>165</v>
      </c>
      <c r="S85" s="86">
        <f>AVERAGE(S22:S82)</f>
        <v>1.9014719823084145E-2</v>
      </c>
      <c r="T85" s="87">
        <f>AVERAGE(T22:T82)</f>
        <v>1.3423620761696271E-2</v>
      </c>
      <c r="V85" s="50" t="s">
        <v>253</v>
      </c>
      <c r="W85" s="89">
        <f>SUM(W22:W82)</f>
        <v>0.23431452647837273</v>
      </c>
      <c r="X85" s="89">
        <f>SUM(X22:X82)</f>
        <v>0.15720823706646744</v>
      </c>
      <c r="AA85" s="56"/>
      <c r="AB85" s="56"/>
    </row>
    <row r="86" spans="1:28" ht="15" thickBot="1">
      <c r="E86" s="79" t="s">
        <v>243</v>
      </c>
      <c r="F86" s="81">
        <f>STDEV(F22:F82)</f>
        <v>0.1159943444513174</v>
      </c>
      <c r="G86" s="81"/>
      <c r="L86" s="79" t="s">
        <v>243</v>
      </c>
      <c r="M86" s="81">
        <f>STDEV(M22:M82)</f>
        <v>5.2062336155550851E-2</v>
      </c>
      <c r="N86" s="81"/>
      <c r="R86" s="79" t="s">
        <v>243</v>
      </c>
      <c r="S86" s="84">
        <f>STDEV(S22:S84)</f>
        <v>0.1159943444513174</v>
      </c>
      <c r="T86" s="85">
        <f>STDEV(T22:T84)</f>
        <v>5.2062336155550851E-2</v>
      </c>
      <c r="W86" s="36" t="s">
        <v>158</v>
      </c>
      <c r="X86" s="90">
        <f>+W85/X85</f>
        <v>1.490472324165208</v>
      </c>
    </row>
    <row r="87" spans="1:28">
      <c r="L87">
        <f>SLOPE(F23:F81,M23:M81)</f>
        <v>1.490472324165208</v>
      </c>
    </row>
    <row r="106" spans="18:19">
      <c r="R106" s="80"/>
      <c r="S106" s="80"/>
    </row>
  </sheetData>
  <phoneticPr fontId="23" type="noConversion"/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379D1-DFDD-4912-9968-E93B8036C55B}">
  <sheetPr>
    <tabColor rgb="FFFF0000"/>
  </sheetPr>
  <dimension ref="A1:BG15"/>
  <sheetViews>
    <sheetView workbookViewId="0">
      <selection activeCell="D25" sqref="D25"/>
    </sheetView>
  </sheetViews>
  <sheetFormatPr defaultRowHeight="14.5"/>
  <cols>
    <col min="1" max="1" width="13.54296875" customWidth="1"/>
    <col min="2" max="8" width="13.7265625" customWidth="1"/>
    <col min="9" max="9" width="17.453125" customWidth="1"/>
    <col min="10" max="10" width="13.7265625" customWidth="1"/>
    <col min="11" max="13" width="14.1796875" bestFit="1" customWidth="1"/>
    <col min="14" max="14" width="13.54296875" bestFit="1" customWidth="1"/>
    <col min="15" max="18" width="12.453125" bestFit="1" customWidth="1"/>
    <col min="19" max="19" width="13.54296875" bestFit="1" customWidth="1"/>
    <col min="20" max="26" width="12.453125" bestFit="1" customWidth="1"/>
    <col min="27" max="27" width="13.54296875" bestFit="1" customWidth="1"/>
    <col min="28" max="38" width="12.453125" bestFit="1" customWidth="1"/>
    <col min="39" max="39" width="13.54296875" bestFit="1" customWidth="1"/>
    <col min="40" max="40" width="12.453125" bestFit="1" customWidth="1"/>
    <col min="41" max="41" width="13.54296875" bestFit="1" customWidth="1"/>
    <col min="42" max="59" width="12.453125" bestFit="1" customWidth="1"/>
  </cols>
  <sheetData>
    <row r="1" spans="1:59">
      <c r="B1" s="370">
        <v>45714</v>
      </c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</row>
    <row r="2" spans="1:59" s="34" customFormat="1">
      <c r="B2" s="284" t="s">
        <v>125</v>
      </c>
      <c r="C2" s="284" t="s">
        <v>110</v>
      </c>
      <c r="D2" s="284" t="s">
        <v>550</v>
      </c>
      <c r="E2" s="284" t="s">
        <v>161</v>
      </c>
      <c r="F2" s="284" t="s">
        <v>552</v>
      </c>
      <c r="G2" s="284" t="s">
        <v>551</v>
      </c>
      <c r="H2" s="284" t="s">
        <v>645</v>
      </c>
      <c r="I2" s="284" t="s">
        <v>554</v>
      </c>
      <c r="J2" s="284" t="s">
        <v>553</v>
      </c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80"/>
      <c r="W2" s="280"/>
      <c r="X2" s="280"/>
      <c r="Y2" s="280"/>
      <c r="Z2" s="280"/>
      <c r="AA2" s="280"/>
      <c r="AB2" s="280"/>
      <c r="AC2" s="280"/>
      <c r="AD2" s="280"/>
      <c r="AE2" s="280"/>
      <c r="AF2" s="280"/>
      <c r="AG2" s="280"/>
      <c r="AH2" s="280"/>
      <c r="AI2" s="280"/>
      <c r="AJ2" s="280"/>
      <c r="AK2" s="280"/>
      <c r="AL2" s="280"/>
      <c r="AM2" s="280"/>
      <c r="AN2" s="280"/>
      <c r="AO2" s="280"/>
      <c r="AP2" s="280"/>
      <c r="AQ2" s="280"/>
      <c r="AR2" s="280"/>
      <c r="AS2" s="280"/>
      <c r="AT2" s="280"/>
      <c r="AU2" s="280"/>
      <c r="AV2" s="280"/>
      <c r="AW2" s="280"/>
      <c r="AX2" s="280"/>
      <c r="AY2" s="280"/>
      <c r="AZ2" s="280"/>
      <c r="BA2" s="280"/>
      <c r="BB2" s="280"/>
      <c r="BC2" s="280"/>
      <c r="BD2" s="280"/>
      <c r="BE2" s="280"/>
      <c r="BF2" s="280"/>
      <c r="BG2" s="280"/>
    </row>
    <row r="3" spans="1:59" s="34" customFormat="1" ht="15" thickBot="1">
      <c r="B3" s="285"/>
      <c r="C3" s="285"/>
      <c r="D3" s="285"/>
      <c r="E3" s="285"/>
      <c r="F3" s="285"/>
      <c r="G3" s="285"/>
      <c r="H3" s="285"/>
      <c r="I3" s="285" t="s">
        <v>163</v>
      </c>
      <c r="J3" s="285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X3" s="280"/>
      <c r="Y3" s="280"/>
      <c r="Z3" s="280"/>
      <c r="AA3" s="280"/>
      <c r="AB3" s="280"/>
      <c r="AC3" s="280"/>
      <c r="AD3" s="280"/>
      <c r="AE3" s="280"/>
      <c r="AF3" s="280"/>
      <c r="AG3" s="280"/>
      <c r="AH3" s="280"/>
      <c r="AI3" s="280"/>
      <c r="AJ3" s="280"/>
      <c r="AK3" s="280"/>
      <c r="AL3" s="280"/>
      <c r="AM3" s="280"/>
      <c r="AN3" s="280"/>
      <c r="AO3" s="280"/>
      <c r="AP3" s="280"/>
      <c r="AQ3" s="280"/>
      <c r="AR3" s="280"/>
      <c r="AS3" s="280"/>
      <c r="AT3" s="280"/>
      <c r="AU3" s="280"/>
      <c r="AV3" s="280"/>
      <c r="AW3" s="280"/>
      <c r="AX3" s="280"/>
      <c r="AY3" s="280"/>
      <c r="AZ3" s="280"/>
      <c r="BA3" s="280"/>
      <c r="BB3" s="280"/>
      <c r="BC3" s="280"/>
      <c r="BD3" s="280"/>
      <c r="BE3" s="280"/>
      <c r="BF3" s="280"/>
      <c r="BG3" s="280"/>
    </row>
    <row r="4" spans="1:59" ht="15" thickTop="1">
      <c r="A4" t="s">
        <v>555</v>
      </c>
      <c r="B4" s="366">
        <v>139.82</v>
      </c>
      <c r="C4" s="366">
        <v>146.44</v>
      </c>
      <c r="D4" s="366">
        <v>259.95999999999998</v>
      </c>
      <c r="E4" s="366">
        <v>125.31</v>
      </c>
      <c r="F4" s="366">
        <v>20.87</v>
      </c>
      <c r="G4" s="366">
        <v>282.16000000000003</v>
      </c>
      <c r="H4" s="366">
        <v>13.34</v>
      </c>
      <c r="I4" s="366">
        <v>12.34</v>
      </c>
      <c r="J4" s="366">
        <v>107.5</v>
      </c>
      <c r="K4" s="281"/>
      <c r="L4" s="281"/>
      <c r="M4" s="281"/>
    </row>
    <row r="5" spans="1:59">
      <c r="A5" t="s">
        <v>158</v>
      </c>
      <c r="B5" s="654">
        <f>+'Technical Analysis'!J18</f>
        <v>1.490472324165208</v>
      </c>
      <c r="C5" s="629">
        <v>1.24</v>
      </c>
      <c r="D5" s="629">
        <v>1.31</v>
      </c>
      <c r="E5" s="629">
        <v>0.94</v>
      </c>
      <c r="F5" s="629">
        <v>1.48</v>
      </c>
      <c r="G5" s="629">
        <v>1.59</v>
      </c>
      <c r="H5" s="629">
        <v>1.54</v>
      </c>
      <c r="I5" s="629">
        <v>2.0099999999999998</v>
      </c>
      <c r="J5" s="629">
        <v>1.32</v>
      </c>
    </row>
    <row r="6" spans="1:59">
      <c r="A6" t="s">
        <v>556</v>
      </c>
      <c r="B6" s="368">
        <v>93.16</v>
      </c>
      <c r="C6" s="368">
        <v>46.91</v>
      </c>
      <c r="D6" s="368">
        <v>243.78</v>
      </c>
      <c r="E6" s="368">
        <v>165.39</v>
      </c>
      <c r="F6" s="368">
        <v>24.5</v>
      </c>
      <c r="G6" s="368">
        <v>282.16000000000003</v>
      </c>
      <c r="H6" s="368">
        <v>123.17</v>
      </c>
      <c r="I6" s="368">
        <v>209.44</v>
      </c>
      <c r="J6" s="368">
        <v>77.790000000000006</v>
      </c>
      <c r="K6" s="282"/>
      <c r="L6" s="282"/>
      <c r="M6" s="282"/>
    </row>
    <row r="7" spans="1:59">
      <c r="A7" t="s">
        <v>562</v>
      </c>
      <c r="B7" s="35">
        <f>+B6*B4</f>
        <v>13025.631199999998</v>
      </c>
      <c r="C7" s="35">
        <f t="shared" ref="C7:J7" si="0">+C6*C4</f>
        <v>6869.500399999999</v>
      </c>
      <c r="D7" s="35">
        <f t="shared" si="0"/>
        <v>63373.048799999997</v>
      </c>
      <c r="E7" s="35">
        <f>+E6*E4</f>
        <v>20725.0209</v>
      </c>
      <c r="F7" s="35">
        <f>+F6*F4</f>
        <v>511.315</v>
      </c>
      <c r="G7" s="35">
        <f t="shared" si="0"/>
        <v>79614.265600000013</v>
      </c>
      <c r="H7" s="35">
        <f t="shared" ref="H7" si="1">+H6*H4</f>
        <v>1643.0878</v>
      </c>
      <c r="I7" s="35">
        <f>+I6*I4</f>
        <v>2584.4895999999999</v>
      </c>
      <c r="J7" s="35">
        <f t="shared" si="0"/>
        <v>8362.4250000000011</v>
      </c>
      <c r="K7" s="35"/>
      <c r="L7" s="35"/>
      <c r="M7" s="35"/>
    </row>
    <row r="8" spans="1:59">
      <c r="A8" t="s">
        <v>557</v>
      </c>
      <c r="B8" s="35">
        <f>+B7+B9-B10</f>
        <v>15424.631199999996</v>
      </c>
      <c r="C8" s="35">
        <f t="shared" ref="C8:J8" si="2">+C7+C9-C10</f>
        <v>8730.9403999999995</v>
      </c>
      <c r="D8" s="35">
        <f t="shared" si="2"/>
        <v>74033.04879999999</v>
      </c>
      <c r="E8" s="35">
        <f>+E7+E9-E10</f>
        <v>23485.0209</v>
      </c>
      <c r="F8" s="35">
        <f>+F7+F9-F10</f>
        <v>843.89499999999998</v>
      </c>
      <c r="G8" s="35">
        <f t="shared" si="2"/>
        <v>94568.265600000013</v>
      </c>
      <c r="H8" s="35">
        <f t="shared" ref="H8" si="3">+H7+H9-H10</f>
        <v>2511.9478000000004</v>
      </c>
      <c r="I8" s="35">
        <f>+I7+I9-I10</f>
        <v>6972.4895999999999</v>
      </c>
      <c r="J8" s="35">
        <f t="shared" si="2"/>
        <v>10749.425000000001</v>
      </c>
      <c r="K8" s="35"/>
      <c r="L8" s="35"/>
      <c r="M8" s="35"/>
    </row>
    <row r="9" spans="1:59">
      <c r="A9" t="s">
        <v>559</v>
      </c>
      <c r="B9" s="372">
        <f>'Valuation Analysis'!F31/1000</f>
        <v>3782</v>
      </c>
      <c r="C9" s="369">
        <v>1920</v>
      </c>
      <c r="D9" s="369">
        <v>11960</v>
      </c>
      <c r="E9" s="369">
        <v>3770</v>
      </c>
      <c r="F9" s="369">
        <v>368.33</v>
      </c>
      <c r="G9" s="369">
        <v>15350</v>
      </c>
      <c r="H9" s="369">
        <v>1080</v>
      </c>
      <c r="I9" s="369">
        <v>4790</v>
      </c>
      <c r="J9" s="369">
        <v>2490</v>
      </c>
      <c r="K9" s="35"/>
      <c r="L9" s="35"/>
      <c r="M9" s="35"/>
    </row>
    <row r="10" spans="1:59">
      <c r="A10" t="s">
        <v>560</v>
      </c>
      <c r="B10" s="372">
        <f>'Valuation Analysis'!G31/1000</f>
        <v>1383</v>
      </c>
      <c r="C10" s="369">
        <v>58.56</v>
      </c>
      <c r="D10" s="369">
        <v>1300</v>
      </c>
      <c r="E10" s="369">
        <v>1010</v>
      </c>
      <c r="F10" s="369">
        <v>35.75</v>
      </c>
      <c r="G10" s="369">
        <v>396</v>
      </c>
      <c r="H10" s="369">
        <v>211.14</v>
      </c>
      <c r="I10" s="369">
        <v>402</v>
      </c>
      <c r="J10" s="369">
        <v>103</v>
      </c>
      <c r="K10" s="35"/>
      <c r="L10" s="35"/>
      <c r="M10" s="35"/>
      <c r="N10" s="91"/>
    </row>
    <row r="11" spans="1:59">
      <c r="A11" t="s">
        <v>558</v>
      </c>
      <c r="B11" s="372">
        <f>'Valuation Analysis'!I64/1000</f>
        <v>749</v>
      </c>
      <c r="C11" s="369">
        <v>473.37</v>
      </c>
      <c r="D11" s="369">
        <v>2460</v>
      </c>
      <c r="E11" s="369">
        <v>1180</v>
      </c>
      <c r="F11" s="369">
        <v>83.99</v>
      </c>
      <c r="G11" s="369">
        <v>4260</v>
      </c>
      <c r="H11" s="369">
        <v>235.05</v>
      </c>
      <c r="I11" s="369">
        <v>606</v>
      </c>
      <c r="J11" s="369">
        <v>593</v>
      </c>
      <c r="K11" s="35"/>
      <c r="L11" s="35"/>
      <c r="M11" s="35"/>
    </row>
    <row r="12" spans="1:59">
      <c r="A12" t="s">
        <v>561</v>
      </c>
      <c r="B12" s="283">
        <f>+B8/B11</f>
        <v>20.593633110814412</v>
      </c>
      <c r="C12" s="283">
        <f t="shared" ref="C12:J12" si="4">+C8/C11</f>
        <v>18.444219954792231</v>
      </c>
      <c r="D12" s="283">
        <f t="shared" si="4"/>
        <v>30.09473528455284</v>
      </c>
      <c r="E12" s="283">
        <f>+E8/E11</f>
        <v>19.902560084745762</v>
      </c>
      <c r="F12" s="283">
        <f>+F8/F11</f>
        <v>10.047565186331706</v>
      </c>
      <c r="G12" s="283">
        <f t="shared" si="4"/>
        <v>22.199123380281694</v>
      </c>
      <c r="H12" s="283">
        <f t="shared" si="4"/>
        <v>10.686865773239738</v>
      </c>
      <c r="I12" s="283">
        <f>+I8/I11</f>
        <v>11.505758415841584</v>
      </c>
      <c r="J12" s="283">
        <f t="shared" si="4"/>
        <v>18.127192242833054</v>
      </c>
    </row>
    <row r="13" spans="1:59">
      <c r="B13" s="283"/>
      <c r="C13" s="283"/>
      <c r="D13" s="283"/>
      <c r="E13" s="283"/>
      <c r="F13" s="283"/>
      <c r="G13" s="283"/>
      <c r="H13" s="283"/>
      <c r="I13" s="283"/>
      <c r="J13" s="283"/>
    </row>
    <row r="14" spans="1:59">
      <c r="A14" t="s">
        <v>593</v>
      </c>
      <c r="B14" s="366">
        <v>0.6</v>
      </c>
    </row>
    <row r="15" spans="1:59">
      <c r="A15" t="s">
        <v>583</v>
      </c>
      <c r="B15" s="366">
        <v>162.35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9E235-FCEB-41F7-88FF-6B4043BB11A7}">
  <sheetPr>
    <tabColor rgb="FFFF0000"/>
  </sheetPr>
  <dimension ref="A1:G62"/>
  <sheetViews>
    <sheetView workbookViewId="0">
      <selection activeCell="J14" sqref="J14"/>
    </sheetView>
  </sheetViews>
  <sheetFormatPr defaultRowHeight="14.5"/>
  <cols>
    <col min="1" max="1" width="10" customWidth="1"/>
    <col min="2" max="6" width="10" style="61" customWidth="1"/>
    <col min="7" max="7" width="15.90625" style="43" customWidth="1"/>
  </cols>
  <sheetData>
    <row r="1" spans="1:7">
      <c r="A1" t="s">
        <v>237</v>
      </c>
      <c r="B1" s="61" t="s">
        <v>238</v>
      </c>
      <c r="C1" s="61" t="s">
        <v>239</v>
      </c>
      <c r="D1" s="61" t="s">
        <v>240</v>
      </c>
      <c r="E1" s="61" t="s">
        <v>241</v>
      </c>
      <c r="F1" s="61" t="s">
        <v>492</v>
      </c>
      <c r="G1" s="43" t="s">
        <v>499</v>
      </c>
    </row>
    <row r="2" spans="1:7">
      <c r="A2" s="53">
        <v>43862</v>
      </c>
      <c r="B2" s="61">
        <v>323.35000600000001</v>
      </c>
      <c r="C2" s="61">
        <v>339.07998700000002</v>
      </c>
      <c r="D2" s="61">
        <v>285.540009</v>
      </c>
      <c r="E2" s="61">
        <v>296.26001000000002</v>
      </c>
      <c r="F2" s="61">
        <v>274.66982999999999</v>
      </c>
      <c r="G2" s="43">
        <v>2110214900</v>
      </c>
    </row>
    <row r="3" spans="1:7">
      <c r="A3" s="53">
        <v>43891</v>
      </c>
      <c r="B3" s="61">
        <v>298.209991</v>
      </c>
      <c r="C3" s="61">
        <v>313.83999599999999</v>
      </c>
      <c r="D3" s="61">
        <v>218.259995</v>
      </c>
      <c r="E3" s="61">
        <v>257.75</v>
      </c>
      <c r="F3" s="61">
        <v>238.966309</v>
      </c>
      <c r="G3" s="43">
        <v>5926017600</v>
      </c>
    </row>
    <row r="4" spans="1:7">
      <c r="A4" s="53">
        <v>43922</v>
      </c>
      <c r="B4" s="61">
        <v>247.979996</v>
      </c>
      <c r="C4" s="61">
        <v>294.88000499999998</v>
      </c>
      <c r="D4" s="61">
        <v>243.89999399999999</v>
      </c>
      <c r="E4" s="61">
        <v>290.48001099999999</v>
      </c>
      <c r="F4" s="61">
        <v>270.89471400000002</v>
      </c>
      <c r="G4" s="43">
        <v>2819312300</v>
      </c>
    </row>
    <row r="5" spans="1:7">
      <c r="A5" s="53">
        <v>43952</v>
      </c>
      <c r="B5" s="61">
        <v>285.30999800000001</v>
      </c>
      <c r="C5" s="61">
        <v>306.83999599999999</v>
      </c>
      <c r="D5" s="61">
        <v>272.98998999999998</v>
      </c>
      <c r="E5" s="61">
        <v>304.32000699999998</v>
      </c>
      <c r="F5" s="61">
        <v>283.80157500000001</v>
      </c>
      <c r="G5" s="43">
        <v>1910460500</v>
      </c>
    </row>
    <row r="6" spans="1:7">
      <c r="A6" s="53">
        <v>43983</v>
      </c>
      <c r="B6" s="61">
        <v>303.61999500000002</v>
      </c>
      <c r="C6" s="61">
        <v>323.41000400000001</v>
      </c>
      <c r="D6" s="61">
        <v>296.73998999999998</v>
      </c>
      <c r="E6" s="61">
        <v>308.35998499999999</v>
      </c>
      <c r="F6" s="61">
        <v>287.56915300000003</v>
      </c>
      <c r="G6" s="43">
        <v>2358674500</v>
      </c>
    </row>
    <row r="7" spans="1:7">
      <c r="A7" s="53">
        <v>44013</v>
      </c>
      <c r="B7" s="61">
        <v>309.57000699999998</v>
      </c>
      <c r="C7" s="61">
        <v>327.23001099999999</v>
      </c>
      <c r="D7" s="61">
        <v>309.07000699999998</v>
      </c>
      <c r="E7" s="61">
        <v>326.51998900000001</v>
      </c>
      <c r="F7" s="61">
        <v>305.84475700000002</v>
      </c>
      <c r="G7" s="43">
        <v>1505145300</v>
      </c>
    </row>
    <row r="8" spans="1:7">
      <c r="A8" s="53">
        <v>44044</v>
      </c>
      <c r="B8" s="61">
        <v>328.32000699999998</v>
      </c>
      <c r="C8" s="61">
        <v>351.29998799999998</v>
      </c>
      <c r="D8" s="61">
        <v>327.73001099999999</v>
      </c>
      <c r="E8" s="61">
        <v>349.30999800000001</v>
      </c>
      <c r="F8" s="61">
        <v>327.19164999999998</v>
      </c>
      <c r="G8" s="43">
        <v>1045563300</v>
      </c>
    </row>
    <row r="9" spans="1:7">
      <c r="A9" s="53">
        <v>44075</v>
      </c>
      <c r="B9" s="61">
        <v>350.209991</v>
      </c>
      <c r="C9" s="61">
        <v>358.75</v>
      </c>
      <c r="D9" s="61">
        <v>319.79998799999998</v>
      </c>
      <c r="E9" s="61">
        <v>334.89001500000001</v>
      </c>
      <c r="F9" s="61">
        <v>313.68481400000002</v>
      </c>
      <c r="G9" s="43">
        <v>1814712700</v>
      </c>
    </row>
    <row r="10" spans="1:7">
      <c r="A10" s="53">
        <v>44105</v>
      </c>
      <c r="B10" s="61">
        <v>337.69000199999999</v>
      </c>
      <c r="C10" s="61">
        <v>354.01998900000001</v>
      </c>
      <c r="D10" s="61">
        <v>322.60000600000001</v>
      </c>
      <c r="E10" s="61">
        <v>326.540009</v>
      </c>
      <c r="F10" s="61">
        <v>307.08789100000001</v>
      </c>
      <c r="G10" s="43">
        <v>1629016100</v>
      </c>
    </row>
    <row r="11" spans="1:7">
      <c r="A11" s="53">
        <v>44136</v>
      </c>
      <c r="B11" s="61">
        <v>330.20001200000002</v>
      </c>
      <c r="C11" s="61">
        <v>364.38000499999998</v>
      </c>
      <c r="D11" s="61">
        <v>327.23998999999998</v>
      </c>
      <c r="E11" s="61">
        <v>362.05999800000001</v>
      </c>
      <c r="F11" s="61">
        <v>340.49191300000001</v>
      </c>
      <c r="G11" s="43">
        <v>1535244300</v>
      </c>
    </row>
    <row r="12" spans="1:7">
      <c r="A12" s="53">
        <v>44166</v>
      </c>
      <c r="B12" s="61">
        <v>365.57000699999998</v>
      </c>
      <c r="C12" s="61">
        <v>378.459991</v>
      </c>
      <c r="D12" s="61">
        <v>362.02999899999998</v>
      </c>
      <c r="E12" s="61">
        <v>373.88000499999998</v>
      </c>
      <c r="F12" s="61">
        <v>351.60788000000002</v>
      </c>
      <c r="G12" s="43">
        <v>1344541500</v>
      </c>
    </row>
    <row r="13" spans="1:7">
      <c r="A13" s="53">
        <v>44197</v>
      </c>
      <c r="B13" s="61">
        <v>375.30999800000001</v>
      </c>
      <c r="C13" s="61">
        <v>385.85000600000001</v>
      </c>
      <c r="D13" s="61">
        <v>364.82000699999998</v>
      </c>
      <c r="E13" s="61">
        <v>370.07000699999998</v>
      </c>
      <c r="F13" s="61">
        <v>349.50830100000002</v>
      </c>
      <c r="G13" s="43">
        <v>1402265400</v>
      </c>
    </row>
    <row r="14" spans="1:7">
      <c r="A14" s="53">
        <v>44228</v>
      </c>
      <c r="B14" s="61">
        <v>373.72000100000002</v>
      </c>
      <c r="C14" s="61">
        <v>394.17001299999998</v>
      </c>
      <c r="D14" s="61">
        <v>370.38000499999998</v>
      </c>
      <c r="E14" s="61">
        <v>380.35998499999999</v>
      </c>
      <c r="F14" s="61">
        <v>359.226563</v>
      </c>
      <c r="G14" s="43">
        <v>1307806200</v>
      </c>
    </row>
    <row r="15" spans="1:7">
      <c r="A15" s="53">
        <v>44256</v>
      </c>
      <c r="B15" s="61">
        <v>385.58999599999999</v>
      </c>
      <c r="C15" s="61">
        <v>398.11999500000002</v>
      </c>
      <c r="D15" s="61">
        <v>371.88000499999998</v>
      </c>
      <c r="E15" s="61">
        <v>396.32998700000002</v>
      </c>
      <c r="F15" s="61">
        <v>374.30920400000002</v>
      </c>
      <c r="G15" s="43">
        <v>2401715800</v>
      </c>
    </row>
    <row r="16" spans="1:7">
      <c r="A16" s="53">
        <v>44287</v>
      </c>
      <c r="B16" s="61">
        <v>398.39999399999999</v>
      </c>
      <c r="C16" s="61">
        <v>420.72000100000002</v>
      </c>
      <c r="D16" s="61">
        <v>398.17999300000002</v>
      </c>
      <c r="E16" s="61">
        <v>417.29998799999998</v>
      </c>
      <c r="F16" s="61">
        <v>395.404877</v>
      </c>
      <c r="G16" s="43">
        <v>1462106600</v>
      </c>
    </row>
    <row r="17" spans="1:7">
      <c r="A17" s="53">
        <v>44317</v>
      </c>
      <c r="B17" s="61">
        <v>419.42999300000002</v>
      </c>
      <c r="C17" s="61">
        <v>422.82000699999998</v>
      </c>
      <c r="D17" s="61">
        <v>404</v>
      </c>
      <c r="E17" s="61">
        <v>420.040009</v>
      </c>
      <c r="F17" s="61">
        <v>398.00116000000003</v>
      </c>
      <c r="G17" s="43">
        <v>1547235900</v>
      </c>
    </row>
    <row r="18" spans="1:7">
      <c r="A18" s="53">
        <v>44348</v>
      </c>
      <c r="B18" s="61">
        <v>422.57000699999998</v>
      </c>
      <c r="C18" s="61">
        <v>428.77999899999998</v>
      </c>
      <c r="D18" s="61">
        <v>414.70001200000002</v>
      </c>
      <c r="E18" s="61">
        <v>428.05999800000001</v>
      </c>
      <c r="F18" s="61">
        <v>405.60031099999998</v>
      </c>
      <c r="G18" s="43">
        <v>1282152400</v>
      </c>
    </row>
    <row r="19" spans="1:7">
      <c r="A19" s="53">
        <v>44378</v>
      </c>
      <c r="B19" s="61">
        <v>428.86999500000002</v>
      </c>
      <c r="C19" s="61">
        <v>441.79998799999998</v>
      </c>
      <c r="D19" s="61">
        <v>421.97000100000002</v>
      </c>
      <c r="E19" s="61">
        <v>438.51001000000002</v>
      </c>
      <c r="F19" s="61">
        <v>416.86142000000001</v>
      </c>
      <c r="G19" s="43">
        <v>1422104700</v>
      </c>
    </row>
    <row r="20" spans="1:7">
      <c r="A20" s="53">
        <v>44409</v>
      </c>
      <c r="B20" s="61">
        <v>440.33999599999999</v>
      </c>
      <c r="C20" s="61">
        <v>453.07000699999998</v>
      </c>
      <c r="D20" s="61">
        <v>436.10000600000001</v>
      </c>
      <c r="E20" s="61">
        <v>451.55999800000001</v>
      </c>
      <c r="F20" s="61">
        <v>429.26718099999999</v>
      </c>
      <c r="G20" s="43">
        <v>1254001400</v>
      </c>
    </row>
    <row r="21" spans="1:7">
      <c r="A21" s="53">
        <v>44440</v>
      </c>
      <c r="B21" s="61">
        <v>452.55999800000001</v>
      </c>
      <c r="C21" s="61">
        <v>454.04998799999998</v>
      </c>
      <c r="D21" s="61">
        <v>428.77999899999998</v>
      </c>
      <c r="E21" s="61">
        <v>429.14001500000001</v>
      </c>
      <c r="F21" s="61">
        <v>407.95400999999998</v>
      </c>
      <c r="G21" s="43">
        <v>1745559600</v>
      </c>
    </row>
    <row r="22" spans="1:7">
      <c r="A22" s="53">
        <v>44470</v>
      </c>
      <c r="B22" s="61">
        <v>430.98001099999999</v>
      </c>
      <c r="C22" s="61">
        <v>459.55999800000001</v>
      </c>
      <c r="D22" s="61">
        <v>426.35998499999999</v>
      </c>
      <c r="E22" s="61">
        <v>459.25</v>
      </c>
      <c r="F22" s="61">
        <v>437.97622699999999</v>
      </c>
      <c r="G22" s="43">
        <v>1508665200</v>
      </c>
    </row>
    <row r="23" spans="1:7">
      <c r="A23" s="53">
        <v>44501</v>
      </c>
      <c r="B23" s="61">
        <v>460.29998799999998</v>
      </c>
      <c r="C23" s="61">
        <v>473.540009</v>
      </c>
      <c r="D23" s="61">
        <v>455.29998799999998</v>
      </c>
      <c r="E23" s="61">
        <v>455.55999800000001</v>
      </c>
      <c r="F23" s="61">
        <v>434.45706200000001</v>
      </c>
      <c r="G23" s="43">
        <v>1335351500</v>
      </c>
    </row>
    <row r="24" spans="1:7">
      <c r="A24" s="53">
        <v>44531</v>
      </c>
      <c r="B24" s="61">
        <v>461.64001500000001</v>
      </c>
      <c r="C24" s="61">
        <v>479</v>
      </c>
      <c r="D24" s="61">
        <v>448.92001299999998</v>
      </c>
      <c r="E24" s="61">
        <v>474.959991</v>
      </c>
      <c r="F24" s="61">
        <v>452.95843500000001</v>
      </c>
      <c r="G24" s="43">
        <v>1927433900</v>
      </c>
    </row>
    <row r="25" spans="1:7">
      <c r="A25" s="53">
        <v>44562</v>
      </c>
      <c r="B25" s="61">
        <v>476.29998799999998</v>
      </c>
      <c r="C25" s="61">
        <v>479.98001099999999</v>
      </c>
      <c r="D25" s="61">
        <v>420.76001000000002</v>
      </c>
      <c r="E25" s="61">
        <v>449.91000400000001</v>
      </c>
      <c r="F25" s="61">
        <v>430.57620200000002</v>
      </c>
      <c r="G25" s="43">
        <v>2485167800</v>
      </c>
    </row>
    <row r="26" spans="1:7">
      <c r="A26" s="53">
        <v>44593</v>
      </c>
      <c r="B26" s="61">
        <v>450.67999300000002</v>
      </c>
      <c r="C26" s="61">
        <v>458.11999500000002</v>
      </c>
      <c r="D26" s="61">
        <v>410.64001500000001</v>
      </c>
      <c r="E26" s="61">
        <v>436.63000499999998</v>
      </c>
      <c r="F26" s="61">
        <v>417.86688199999998</v>
      </c>
      <c r="G26" s="43">
        <v>2297975100</v>
      </c>
    </row>
    <row r="27" spans="1:7">
      <c r="A27" s="53">
        <v>44621</v>
      </c>
      <c r="B27" s="61">
        <v>435.040009</v>
      </c>
      <c r="C27" s="61">
        <v>462.07000699999998</v>
      </c>
      <c r="D27" s="61">
        <v>415.11999500000002</v>
      </c>
      <c r="E27" s="61">
        <v>451.64001500000001</v>
      </c>
      <c r="F27" s="61">
        <v>432.231964</v>
      </c>
      <c r="G27" s="43">
        <v>2380929500</v>
      </c>
    </row>
    <row r="28" spans="1:7">
      <c r="A28" s="53">
        <v>44652</v>
      </c>
      <c r="B28" s="61">
        <v>453.30999800000001</v>
      </c>
      <c r="C28" s="61">
        <v>457.82998700000002</v>
      </c>
      <c r="D28" s="61">
        <v>411.209991</v>
      </c>
      <c r="E28" s="61">
        <v>412</v>
      </c>
      <c r="F28" s="61">
        <v>395.52023300000002</v>
      </c>
      <c r="G28" s="43">
        <v>1856757400</v>
      </c>
    </row>
    <row r="29" spans="1:7">
      <c r="A29" s="53">
        <v>44682</v>
      </c>
      <c r="B29" s="61">
        <v>412.07000699999998</v>
      </c>
      <c r="C29" s="61">
        <v>429.66000400000001</v>
      </c>
      <c r="D29" s="61">
        <v>380.540009</v>
      </c>
      <c r="E29" s="61">
        <v>412.92999300000002</v>
      </c>
      <c r="F29" s="61">
        <v>396.41305499999999</v>
      </c>
      <c r="G29" s="43">
        <v>2418478100</v>
      </c>
    </row>
    <row r="30" spans="1:7">
      <c r="A30" s="53">
        <v>44713</v>
      </c>
      <c r="B30" s="61">
        <v>415.17001299999998</v>
      </c>
      <c r="C30" s="61">
        <v>417.44000199999999</v>
      </c>
      <c r="D30" s="61">
        <v>362.17001299999998</v>
      </c>
      <c r="E30" s="61">
        <v>377.25</v>
      </c>
      <c r="F30" s="61">
        <v>362.16021699999999</v>
      </c>
      <c r="G30" s="43">
        <v>1958611900</v>
      </c>
    </row>
    <row r="31" spans="1:7">
      <c r="A31" s="53">
        <v>44743</v>
      </c>
      <c r="B31" s="61">
        <v>376.55999800000001</v>
      </c>
      <c r="C31" s="61">
        <v>413.02999899999998</v>
      </c>
      <c r="D31" s="61">
        <v>371.040009</v>
      </c>
      <c r="E31" s="61">
        <v>411.98998999999998</v>
      </c>
      <c r="F31" s="61">
        <v>397.21911599999999</v>
      </c>
      <c r="G31" s="43">
        <v>1437748400</v>
      </c>
    </row>
    <row r="32" spans="1:7">
      <c r="A32" s="53">
        <v>44774</v>
      </c>
      <c r="B32" s="61">
        <v>409.14999399999999</v>
      </c>
      <c r="C32" s="61">
        <v>431.73001099999999</v>
      </c>
      <c r="D32" s="61">
        <v>395.040009</v>
      </c>
      <c r="E32" s="61">
        <v>395.17999300000002</v>
      </c>
      <c r="F32" s="61">
        <v>381.01181000000003</v>
      </c>
      <c r="G32" s="43">
        <v>1443394400</v>
      </c>
    </row>
    <row r="33" spans="1:7">
      <c r="A33" s="53">
        <v>44805</v>
      </c>
      <c r="B33" s="61">
        <v>392.89001500000001</v>
      </c>
      <c r="C33" s="61">
        <v>411.73001099999999</v>
      </c>
      <c r="D33" s="61">
        <v>357.040009</v>
      </c>
      <c r="E33" s="61">
        <v>357.17999300000002</v>
      </c>
      <c r="F33" s="61">
        <v>344.37417599999998</v>
      </c>
      <c r="G33" s="43">
        <v>1998908600</v>
      </c>
    </row>
    <row r="34" spans="1:7">
      <c r="A34" s="53">
        <v>44835</v>
      </c>
      <c r="B34" s="61">
        <v>361.07998700000002</v>
      </c>
      <c r="C34" s="61">
        <v>389.51998900000001</v>
      </c>
      <c r="D34" s="61">
        <v>348.10998499999999</v>
      </c>
      <c r="E34" s="61">
        <v>386.209991</v>
      </c>
      <c r="F34" s="61">
        <v>373.893036</v>
      </c>
      <c r="G34" s="43">
        <v>2024732000</v>
      </c>
    </row>
    <row r="35" spans="1:7">
      <c r="A35" s="53">
        <v>44866</v>
      </c>
      <c r="B35" s="61">
        <v>390.14001500000001</v>
      </c>
      <c r="C35" s="61">
        <v>407.67999300000002</v>
      </c>
      <c r="D35" s="61">
        <v>368.790009</v>
      </c>
      <c r="E35" s="61">
        <v>407.67999300000002</v>
      </c>
      <c r="F35" s="61">
        <v>394.67834499999998</v>
      </c>
      <c r="G35" s="43">
        <v>1745985300</v>
      </c>
    </row>
    <row r="36" spans="1:7">
      <c r="A36" s="53">
        <v>44896</v>
      </c>
      <c r="B36" s="61">
        <v>408.76998900000001</v>
      </c>
      <c r="C36" s="61">
        <v>410.48998999999998</v>
      </c>
      <c r="D36" s="61">
        <v>374.76998900000001</v>
      </c>
      <c r="E36" s="61">
        <v>382.42999300000002</v>
      </c>
      <c r="F36" s="61">
        <v>370.23358200000001</v>
      </c>
      <c r="G36" s="43">
        <v>1735973600</v>
      </c>
    </row>
    <row r="37" spans="1:7">
      <c r="A37" s="53">
        <v>44927</v>
      </c>
      <c r="B37" s="61">
        <v>384.36999500000002</v>
      </c>
      <c r="C37" s="61">
        <v>408.16000400000001</v>
      </c>
      <c r="D37" s="61">
        <v>377.82998700000002</v>
      </c>
      <c r="E37" s="61">
        <v>406.48001099999999</v>
      </c>
      <c r="F37" s="61">
        <v>395.32360799999998</v>
      </c>
      <c r="G37" s="43">
        <v>1575450100</v>
      </c>
    </row>
    <row r="38" spans="1:7">
      <c r="A38" s="53">
        <v>44958</v>
      </c>
      <c r="B38" s="61">
        <v>405.209991</v>
      </c>
      <c r="C38" s="61">
        <v>418.30999800000001</v>
      </c>
      <c r="D38" s="61">
        <v>393.64001500000001</v>
      </c>
      <c r="E38" s="61">
        <v>396.26001000000002</v>
      </c>
      <c r="F38" s="61">
        <v>385.38415500000002</v>
      </c>
      <c r="G38" s="43">
        <v>1603094700</v>
      </c>
    </row>
    <row r="39" spans="1:7">
      <c r="A39" s="53">
        <v>44986</v>
      </c>
      <c r="B39" s="61">
        <v>395.41000400000001</v>
      </c>
      <c r="C39" s="61">
        <v>409.70001200000002</v>
      </c>
      <c r="D39" s="61">
        <v>380.64999399999999</v>
      </c>
      <c r="E39" s="61">
        <v>409.39001500000001</v>
      </c>
      <c r="F39" s="61">
        <v>398.15377799999999</v>
      </c>
      <c r="G39" s="43">
        <v>2515995800</v>
      </c>
    </row>
    <row r="40" spans="1:7">
      <c r="A40" s="53">
        <v>45017</v>
      </c>
      <c r="B40" s="61">
        <v>408.85000600000001</v>
      </c>
      <c r="C40" s="61">
        <v>415.94000199999999</v>
      </c>
      <c r="D40" s="61">
        <v>403.77999899999998</v>
      </c>
      <c r="E40" s="61">
        <v>415.92999300000002</v>
      </c>
      <c r="F40" s="61">
        <v>406.05807499999997</v>
      </c>
      <c r="G40" s="43">
        <v>1395683000</v>
      </c>
    </row>
    <row r="41" spans="1:7">
      <c r="A41" s="53">
        <v>45047</v>
      </c>
      <c r="B41" s="61">
        <v>415.47000100000002</v>
      </c>
      <c r="C41" s="61">
        <v>422.57998700000002</v>
      </c>
      <c r="D41" s="61">
        <v>403.73998999999998</v>
      </c>
      <c r="E41" s="61">
        <v>417.85000600000001</v>
      </c>
      <c r="F41" s="61">
        <v>407.93249500000002</v>
      </c>
      <c r="G41" s="43">
        <v>1780705600</v>
      </c>
    </row>
    <row r="42" spans="1:7">
      <c r="A42" s="53">
        <v>45078</v>
      </c>
      <c r="B42" s="61">
        <v>418.08999599999999</v>
      </c>
      <c r="C42" s="61">
        <v>444.29998799999998</v>
      </c>
      <c r="D42" s="61">
        <v>416.790009</v>
      </c>
      <c r="E42" s="61">
        <v>443.27999899999998</v>
      </c>
      <c r="F42" s="61">
        <v>432.75891100000001</v>
      </c>
      <c r="G42" s="43">
        <v>1749755000</v>
      </c>
    </row>
    <row r="43" spans="1:7">
      <c r="A43" s="53">
        <v>45108</v>
      </c>
      <c r="B43" s="61">
        <v>442.92001299999998</v>
      </c>
      <c r="C43" s="61">
        <v>459.44000199999999</v>
      </c>
      <c r="D43" s="61">
        <v>437.05999800000001</v>
      </c>
      <c r="E43" s="61">
        <v>457.790009</v>
      </c>
      <c r="F43" s="61">
        <v>448.58471700000001</v>
      </c>
      <c r="G43" s="43">
        <v>1374632400</v>
      </c>
    </row>
    <row r="44" spans="1:7">
      <c r="A44" s="53">
        <v>45139</v>
      </c>
      <c r="B44" s="61">
        <v>456.26998900000001</v>
      </c>
      <c r="C44" s="61">
        <v>457.25</v>
      </c>
      <c r="D44" s="61">
        <v>433.01001000000002</v>
      </c>
      <c r="E44" s="61">
        <v>450.35000600000001</v>
      </c>
      <c r="F44" s="61">
        <v>441.29431199999999</v>
      </c>
      <c r="G44" s="43">
        <v>1754764700</v>
      </c>
    </row>
    <row r="45" spans="1:7">
      <c r="A45" s="53">
        <v>45170</v>
      </c>
      <c r="B45" s="61">
        <v>453.17001299999998</v>
      </c>
      <c r="C45" s="61">
        <v>453.67001299999998</v>
      </c>
      <c r="D45" s="61">
        <v>422.290009</v>
      </c>
      <c r="E45" s="61">
        <v>427.48001099999999</v>
      </c>
      <c r="F45" s="61">
        <v>418.884186</v>
      </c>
      <c r="G45" s="43">
        <v>1588673200</v>
      </c>
    </row>
    <row r="46" spans="1:7">
      <c r="A46" s="53">
        <v>45200</v>
      </c>
      <c r="B46" s="61">
        <v>426.61999500000002</v>
      </c>
      <c r="C46" s="61">
        <v>438.14001500000001</v>
      </c>
      <c r="D46" s="61">
        <v>409.209991</v>
      </c>
      <c r="E46" s="61">
        <v>418.20001200000002</v>
      </c>
      <c r="F46" s="61">
        <v>411.236267</v>
      </c>
      <c r="G46" s="43">
        <v>1999149700</v>
      </c>
    </row>
    <row r="47" spans="1:7">
      <c r="A47" s="53">
        <v>45231</v>
      </c>
      <c r="B47" s="61">
        <v>419.20001200000002</v>
      </c>
      <c r="C47" s="61">
        <v>458.32000699999998</v>
      </c>
      <c r="D47" s="61">
        <v>418.64999399999999</v>
      </c>
      <c r="E47" s="61">
        <v>456.39999399999999</v>
      </c>
      <c r="F47" s="61">
        <v>448.80017099999998</v>
      </c>
      <c r="G47" s="43">
        <v>1499960600</v>
      </c>
    </row>
    <row r="48" spans="1:7">
      <c r="A48" s="53">
        <v>45261</v>
      </c>
      <c r="B48" s="61">
        <v>455.76998900000001</v>
      </c>
      <c r="C48" s="61">
        <v>477.54998799999998</v>
      </c>
      <c r="D48" s="61">
        <v>454.30999800000001</v>
      </c>
      <c r="E48" s="61">
        <v>475.30999800000001</v>
      </c>
      <c r="F48" s="61">
        <v>467.39523300000002</v>
      </c>
      <c r="G48" s="43">
        <v>1643108100</v>
      </c>
    </row>
    <row r="49" spans="1:7">
      <c r="A49" s="53">
        <v>45292</v>
      </c>
      <c r="B49" s="61">
        <v>472.16000400000001</v>
      </c>
      <c r="C49" s="61">
        <v>491.61999500000002</v>
      </c>
      <c r="D49" s="61">
        <v>466.42999300000002</v>
      </c>
      <c r="E49" s="61">
        <v>482.88000499999998</v>
      </c>
      <c r="F49" s="61">
        <v>476.76437399999998</v>
      </c>
      <c r="G49" s="43">
        <v>1700630800</v>
      </c>
    </row>
    <row r="50" spans="1:7">
      <c r="A50" s="53">
        <v>45323</v>
      </c>
      <c r="B50" s="61">
        <v>484.63000499999998</v>
      </c>
      <c r="C50" s="61">
        <v>510.13000499999998</v>
      </c>
      <c r="D50" s="61">
        <v>483.79998799999998</v>
      </c>
      <c r="E50" s="61">
        <v>508.07998700000002</v>
      </c>
      <c r="F50" s="61">
        <v>501.64520299999998</v>
      </c>
      <c r="G50" s="43">
        <v>1393465400</v>
      </c>
    </row>
    <row r="51" spans="1:7">
      <c r="A51" s="53">
        <v>45352</v>
      </c>
      <c r="B51" s="61">
        <v>508.98001099999999</v>
      </c>
      <c r="C51" s="61">
        <v>524.60998500000005</v>
      </c>
      <c r="D51" s="61">
        <v>504.91000400000001</v>
      </c>
      <c r="E51" s="61">
        <v>523.07000700000003</v>
      </c>
      <c r="F51" s="61">
        <v>516.44537400000002</v>
      </c>
      <c r="G51" s="43">
        <v>1473246900</v>
      </c>
    </row>
    <row r="52" spans="1:7">
      <c r="A52" s="53">
        <v>45383</v>
      </c>
      <c r="B52" s="61">
        <v>523.830017</v>
      </c>
      <c r="C52" s="61">
        <v>524.38000499999998</v>
      </c>
      <c r="D52" s="61">
        <v>493.85998499999999</v>
      </c>
      <c r="E52" s="61">
        <v>501.98001099999999</v>
      </c>
      <c r="F52" s="61">
        <v>497.16244499999999</v>
      </c>
      <c r="G52" s="43">
        <v>1592974000</v>
      </c>
    </row>
    <row r="53" spans="1:7">
      <c r="A53" s="53">
        <v>45413</v>
      </c>
      <c r="B53" s="61">
        <v>501.38000499999998</v>
      </c>
      <c r="C53" s="61">
        <v>533.07000700000003</v>
      </c>
      <c r="D53" s="61">
        <v>499.54998799999998</v>
      </c>
      <c r="E53" s="61">
        <v>527.36999500000002</v>
      </c>
      <c r="F53" s="61">
        <v>522.30877699999996</v>
      </c>
      <c r="G53" s="43">
        <v>1153264400</v>
      </c>
    </row>
    <row r="54" spans="1:7">
      <c r="A54" s="53">
        <v>45444</v>
      </c>
      <c r="B54" s="61">
        <v>529.02002000000005</v>
      </c>
      <c r="C54" s="61">
        <v>550.28002900000001</v>
      </c>
      <c r="D54" s="61">
        <v>522.59997599999997</v>
      </c>
      <c r="E54" s="61">
        <v>544.21997099999999</v>
      </c>
      <c r="F54" s="61">
        <v>538.99700900000005</v>
      </c>
      <c r="G54" s="43">
        <v>888923200</v>
      </c>
    </row>
    <row r="55" spans="1:7">
      <c r="A55" s="53">
        <v>45474</v>
      </c>
      <c r="B55" s="61">
        <v>545.63000499999998</v>
      </c>
      <c r="C55" s="61">
        <v>565.15997300000004</v>
      </c>
      <c r="D55" s="61">
        <v>537.45001200000002</v>
      </c>
      <c r="E55" s="61">
        <v>550.80999799999995</v>
      </c>
      <c r="F55" s="61">
        <v>547.28375200000005</v>
      </c>
      <c r="G55" s="43">
        <v>1038465500</v>
      </c>
    </row>
    <row r="56" spans="1:7">
      <c r="A56" s="53">
        <v>45505</v>
      </c>
      <c r="B56" s="61">
        <v>552.57000700000003</v>
      </c>
      <c r="C56" s="61">
        <v>564.20001200000002</v>
      </c>
      <c r="D56" s="61">
        <v>510.26998900000001</v>
      </c>
      <c r="E56" s="61">
        <v>563.67999299999997</v>
      </c>
      <c r="F56" s="61">
        <v>560.07128899999998</v>
      </c>
      <c r="G56" s="43">
        <v>1244599000</v>
      </c>
    </row>
    <row r="57" spans="1:7">
      <c r="A57" s="53">
        <v>45536</v>
      </c>
      <c r="B57" s="61">
        <v>558.34997599999997</v>
      </c>
      <c r="C57" s="61">
        <v>574.71002199999998</v>
      </c>
      <c r="D57" s="61">
        <v>539.44000200000005</v>
      </c>
      <c r="E57" s="61">
        <v>573.76000999999997</v>
      </c>
      <c r="F57" s="61">
        <v>570.08679199999995</v>
      </c>
      <c r="G57" s="43">
        <v>1045061400</v>
      </c>
    </row>
    <row r="58" spans="1:7">
      <c r="A58" s="53">
        <v>45566</v>
      </c>
      <c r="B58" s="61">
        <v>573.40002400000003</v>
      </c>
      <c r="C58" s="61">
        <v>586.11999500000002</v>
      </c>
      <c r="D58" s="61">
        <v>565.27002000000005</v>
      </c>
      <c r="E58" s="61">
        <v>568.64001499999995</v>
      </c>
      <c r="F58" s="61">
        <v>566.73260500000004</v>
      </c>
      <c r="G58" s="43">
        <v>976068800</v>
      </c>
    </row>
    <row r="59" spans="1:7">
      <c r="A59" s="53">
        <v>45597</v>
      </c>
      <c r="B59" s="61">
        <v>571.32000700000003</v>
      </c>
      <c r="C59" s="61">
        <v>603.34997599999997</v>
      </c>
      <c r="D59" s="61">
        <v>567.89001499999995</v>
      </c>
      <c r="E59" s="61">
        <v>602.54998799999998</v>
      </c>
      <c r="F59" s="61">
        <v>600.52880900000002</v>
      </c>
      <c r="G59" s="43">
        <v>901843000</v>
      </c>
    </row>
    <row r="60" spans="1:7">
      <c r="A60" s="53">
        <v>45627</v>
      </c>
      <c r="B60" s="61">
        <v>602.96997099999999</v>
      </c>
      <c r="C60" s="61">
        <v>609.07000700000003</v>
      </c>
      <c r="D60" s="61">
        <v>580.90997300000004</v>
      </c>
      <c r="E60" s="61">
        <v>586.080017</v>
      </c>
      <c r="F60" s="61">
        <v>584.11407499999996</v>
      </c>
      <c r="G60" s="43">
        <v>1059516700</v>
      </c>
    </row>
    <row r="61" spans="1:7">
      <c r="A61" s="53">
        <v>45658</v>
      </c>
      <c r="B61" s="61">
        <v>589.39001499999995</v>
      </c>
      <c r="C61" s="61">
        <v>610.78002900000001</v>
      </c>
      <c r="D61" s="61">
        <v>575.34997599999997</v>
      </c>
      <c r="E61" s="61">
        <v>601.82000700000003</v>
      </c>
      <c r="F61" s="61">
        <v>601.82000700000003</v>
      </c>
      <c r="G61" s="43">
        <v>995501600</v>
      </c>
    </row>
    <row r="62" spans="1:7">
      <c r="A62" s="53">
        <v>45689</v>
      </c>
      <c r="B62" s="61" t="s">
        <v>636</v>
      </c>
      <c r="C62" s="61" t="s">
        <v>636</v>
      </c>
      <c r="D62" s="61" t="s">
        <v>636</v>
      </c>
      <c r="E62" s="61" t="s">
        <v>636</v>
      </c>
      <c r="F62" s="61" t="s">
        <v>636</v>
      </c>
      <c r="G62" s="43" t="s">
        <v>636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2064F-496F-4672-A27B-C24FAFADFE9A}">
  <sheetPr>
    <tabColor rgb="FFFF0000"/>
  </sheetPr>
  <dimension ref="A1:S58"/>
  <sheetViews>
    <sheetView workbookViewId="0">
      <selection activeCell="A19" sqref="A19"/>
    </sheetView>
  </sheetViews>
  <sheetFormatPr defaultRowHeight="14.5"/>
  <cols>
    <col min="1" max="1" width="49.36328125" bestFit="1" customWidth="1"/>
    <col min="2" max="16" width="12.453125" bestFit="1" customWidth="1"/>
    <col min="17" max="17" width="13.1796875" bestFit="1" customWidth="1"/>
    <col min="18" max="19" width="12.453125" bestFit="1" customWidth="1"/>
  </cols>
  <sheetData>
    <row r="1" spans="1:19">
      <c r="A1" t="s">
        <v>258</v>
      </c>
      <c r="B1" s="53">
        <v>45657</v>
      </c>
      <c r="C1" s="53">
        <v>45291</v>
      </c>
      <c r="D1" s="53">
        <v>44926</v>
      </c>
      <c r="E1" s="53">
        <v>44561</v>
      </c>
      <c r="F1" s="53">
        <v>44196</v>
      </c>
      <c r="G1" s="53">
        <v>43830</v>
      </c>
      <c r="H1" s="53">
        <v>43465</v>
      </c>
      <c r="I1" s="53">
        <v>43100</v>
      </c>
      <c r="J1" s="53">
        <v>42735</v>
      </c>
      <c r="K1" s="53">
        <v>42369</v>
      </c>
      <c r="L1" s="53">
        <v>42004</v>
      </c>
      <c r="M1" s="53">
        <v>41639</v>
      </c>
      <c r="N1" s="53">
        <v>41274</v>
      </c>
      <c r="O1" s="53">
        <v>40908</v>
      </c>
      <c r="P1" s="53">
        <v>40543</v>
      </c>
      <c r="Q1" s="53">
        <v>40178</v>
      </c>
      <c r="R1" s="53">
        <v>39813</v>
      </c>
      <c r="S1" s="53">
        <v>39447</v>
      </c>
    </row>
    <row r="2" spans="1:19">
      <c r="A2" t="s">
        <v>259</v>
      </c>
      <c r="B2" s="41">
        <v>6648000000</v>
      </c>
      <c r="C2" s="41">
        <v>6667000000</v>
      </c>
      <c r="D2" s="41">
        <v>5891000000</v>
      </c>
      <c r="E2" s="41">
        <v>3028000000</v>
      </c>
      <c r="F2" s="41">
        <v>2066000000</v>
      </c>
      <c r="G2" s="41">
        <v>5020000000</v>
      </c>
      <c r="H2" s="41">
        <v>4454000000</v>
      </c>
      <c r="I2" s="41">
        <v>4462000000</v>
      </c>
      <c r="J2" s="41">
        <v>4265000000</v>
      </c>
      <c r="K2" s="41">
        <v>4328000000</v>
      </c>
      <c r="L2" s="41">
        <v>4415000000</v>
      </c>
      <c r="M2" s="41">
        <v>4184000000</v>
      </c>
      <c r="N2" s="41">
        <v>3949000000</v>
      </c>
      <c r="O2" s="41">
        <v>3698000000</v>
      </c>
      <c r="P2" s="41">
        <v>3527000000</v>
      </c>
      <c r="Q2" s="41">
        <v>3330000000</v>
      </c>
      <c r="R2" s="41">
        <v>3837000000</v>
      </c>
      <c r="S2" s="41">
        <v>3738000000</v>
      </c>
    </row>
    <row r="3" spans="1:19">
      <c r="A3" t="s">
        <v>260</v>
      </c>
      <c r="B3" s="41">
        <v>3296000000</v>
      </c>
      <c r="C3" s="41">
        <v>3356000000</v>
      </c>
      <c r="D3" s="41">
        <v>3029000000</v>
      </c>
      <c r="E3" s="41">
        <v>1371000000</v>
      </c>
      <c r="F3" s="41">
        <v>752000000</v>
      </c>
      <c r="G3" s="41">
        <v>2456000000</v>
      </c>
      <c r="H3" s="41">
        <v>2470000000</v>
      </c>
      <c r="I3" s="41">
        <v>2682000000</v>
      </c>
      <c r="J3" s="41">
        <v>2538000000</v>
      </c>
      <c r="K3" s="41">
        <v>2506000000</v>
      </c>
      <c r="L3" s="41">
        <v>2633000000</v>
      </c>
      <c r="M3" s="41">
        <v>2484000000</v>
      </c>
      <c r="N3" s="41">
        <v>2328000000</v>
      </c>
      <c r="O3" s="41">
        <v>2167000000</v>
      </c>
      <c r="P3" s="41">
        <v>2114000000</v>
      </c>
      <c r="Q3" s="41">
        <v>3330000000</v>
      </c>
      <c r="R3" s="41">
        <v>3837000000</v>
      </c>
      <c r="S3" s="41">
        <v>3738000000</v>
      </c>
    </row>
    <row r="4" spans="1:19">
      <c r="A4" t="s">
        <v>261</v>
      </c>
      <c r="B4" s="41">
        <v>5351000000</v>
      </c>
      <c r="C4" s="41">
        <v>5361000000</v>
      </c>
      <c r="D4" s="41">
        <v>4603000000</v>
      </c>
      <c r="E4" s="41">
        <v>2603000000</v>
      </c>
      <c r="F4" s="41">
        <v>2067000000</v>
      </c>
      <c r="G4" s="41">
        <v>4077000000</v>
      </c>
      <c r="H4" s="41">
        <v>3475000000</v>
      </c>
      <c r="I4" s="41">
        <v>3477000000</v>
      </c>
      <c r="J4" s="41">
        <v>3356000000</v>
      </c>
      <c r="K4" s="41">
        <v>3377000000</v>
      </c>
      <c r="L4" s="41">
        <v>3433000000</v>
      </c>
      <c r="M4" s="41">
        <v>3283000000</v>
      </c>
      <c r="N4" s="41">
        <v>3121000000</v>
      </c>
      <c r="O4" s="41">
        <v>2957000000</v>
      </c>
      <c r="P4" s="41">
        <v>2864000000</v>
      </c>
      <c r="Q4" s="41">
        <v>2751000000</v>
      </c>
      <c r="R4" s="41">
        <v>2934000000</v>
      </c>
      <c r="S4" s="41">
        <v>2847000000</v>
      </c>
    </row>
    <row r="5" spans="1:19">
      <c r="A5" t="s">
        <v>262</v>
      </c>
      <c r="B5" s="41">
        <v>1297000000</v>
      </c>
      <c r="C5" s="41">
        <v>1306000000</v>
      </c>
      <c r="D5" s="41">
        <v>1288000000</v>
      </c>
      <c r="E5" s="41">
        <v>425000000</v>
      </c>
      <c r="F5" s="41">
        <v>-1000000</v>
      </c>
      <c r="G5" s="41">
        <v>943000000</v>
      </c>
      <c r="H5" s="41">
        <v>979000000</v>
      </c>
      <c r="I5" s="41">
        <v>985000000</v>
      </c>
      <c r="J5" s="41">
        <v>909000000</v>
      </c>
      <c r="K5" s="41">
        <v>951000000</v>
      </c>
      <c r="L5" s="41">
        <v>982000000</v>
      </c>
      <c r="M5" s="41">
        <v>901000000</v>
      </c>
      <c r="N5" s="41">
        <v>828000000</v>
      </c>
      <c r="O5" s="41">
        <v>741000000</v>
      </c>
      <c r="P5" s="41">
        <v>663000000</v>
      </c>
      <c r="Q5" s="41">
        <v>579000000</v>
      </c>
      <c r="R5" s="41">
        <v>903000000</v>
      </c>
      <c r="S5" s="41">
        <v>891000000</v>
      </c>
    </row>
    <row r="6" spans="1:19">
      <c r="A6" t="s">
        <v>263</v>
      </c>
      <c r="B6" s="41">
        <v>881000000</v>
      </c>
      <c r="C6" s="41">
        <v>975000000</v>
      </c>
      <c r="D6" s="41">
        <v>861000000</v>
      </c>
      <c r="E6" s="41">
        <v>698000000</v>
      </c>
      <c r="F6" s="41">
        <v>631000000</v>
      </c>
      <c r="G6" s="41">
        <v>746000000</v>
      </c>
      <c r="H6" s="41">
        <v>647000000</v>
      </c>
      <c r="I6" s="41">
        <v>725000000</v>
      </c>
      <c r="J6" s="41">
        <v>641000000</v>
      </c>
      <c r="K6" s="41">
        <v>628000000</v>
      </c>
      <c r="L6" s="41">
        <v>703000000</v>
      </c>
      <c r="M6" s="41">
        <v>668000000</v>
      </c>
      <c r="N6" s="41">
        <v>669000000</v>
      </c>
      <c r="O6" s="41">
        <v>588000000</v>
      </c>
      <c r="P6" s="41">
        <v>555000000</v>
      </c>
      <c r="Q6" s="41">
        <v>530000000</v>
      </c>
      <c r="R6" s="41">
        <v>539000000</v>
      </c>
      <c r="S6" s="41">
        <v>506000000</v>
      </c>
    </row>
    <row r="7" spans="1:19">
      <c r="A7" t="s">
        <v>264</v>
      </c>
      <c r="B7" s="41">
        <v>548000000</v>
      </c>
      <c r="C7" s="41">
        <v>578000000</v>
      </c>
      <c r="D7" s="41">
        <v>435000000</v>
      </c>
      <c r="E7" s="41">
        <v>366000000</v>
      </c>
      <c r="F7" s="41">
        <v>321000000</v>
      </c>
      <c r="G7" s="41">
        <v>417000000</v>
      </c>
      <c r="H7" s="41">
        <v>320000000</v>
      </c>
      <c r="I7" s="41">
        <v>377000000</v>
      </c>
      <c r="J7" s="41">
        <v>315000000</v>
      </c>
      <c r="K7" s="41">
        <v>308000000</v>
      </c>
      <c r="L7" s="41">
        <v>349000000</v>
      </c>
      <c r="M7" s="41">
        <v>323000000</v>
      </c>
      <c r="N7" s="41">
        <v>316000000</v>
      </c>
      <c r="O7" s="41">
        <v>283000000</v>
      </c>
      <c r="P7" s="41">
        <v>276000000</v>
      </c>
      <c r="Q7" s="41">
        <v>261000000</v>
      </c>
      <c r="R7" s="41">
        <v>290000000</v>
      </c>
      <c r="S7" s="41">
        <v>292000000</v>
      </c>
    </row>
    <row r="8" spans="1:19">
      <c r="A8" t="s">
        <v>643</v>
      </c>
      <c r="B8" s="41">
        <v>548000000</v>
      </c>
      <c r="C8" s="41">
        <v>578000000</v>
      </c>
      <c r="D8" s="41">
        <v>435000000</v>
      </c>
    </row>
    <row r="9" spans="1:19">
      <c r="A9" t="s">
        <v>644</v>
      </c>
      <c r="B9" s="41">
        <v>548000000</v>
      </c>
      <c r="C9" s="41">
        <v>578000000</v>
      </c>
      <c r="D9" s="41">
        <v>435000000</v>
      </c>
    </row>
    <row r="10" spans="1:19">
      <c r="A10" t="s">
        <v>265</v>
      </c>
      <c r="B10" s="41">
        <v>333000000</v>
      </c>
      <c r="C10" s="41">
        <v>397000000</v>
      </c>
      <c r="D10" s="41">
        <v>426000000</v>
      </c>
      <c r="E10" s="41">
        <v>310000000</v>
      </c>
      <c r="F10" s="41">
        <v>310000000</v>
      </c>
      <c r="G10" s="41">
        <v>329000000</v>
      </c>
      <c r="H10" s="41">
        <v>327000000</v>
      </c>
      <c r="I10" s="41">
        <v>348000000</v>
      </c>
      <c r="J10" s="41">
        <v>326000000</v>
      </c>
      <c r="K10" s="41">
        <v>320000000</v>
      </c>
      <c r="L10" s="41">
        <v>354000000</v>
      </c>
      <c r="M10" s="41">
        <v>345000000</v>
      </c>
      <c r="N10" s="41">
        <v>353000000</v>
      </c>
      <c r="O10" s="41">
        <v>305000000</v>
      </c>
      <c r="P10" s="41">
        <v>279000000</v>
      </c>
      <c r="Q10" s="41">
        <v>269000000</v>
      </c>
      <c r="R10" s="41">
        <v>249000000</v>
      </c>
      <c r="S10" s="41">
        <v>214000000</v>
      </c>
    </row>
    <row r="11" spans="1:19">
      <c r="A11" t="s">
        <v>266</v>
      </c>
      <c r="B11" s="41">
        <v>333000000</v>
      </c>
      <c r="C11" s="41">
        <v>397000000</v>
      </c>
      <c r="D11" s="41">
        <v>426000000</v>
      </c>
      <c r="E11" s="41">
        <v>310000000</v>
      </c>
      <c r="F11" s="41">
        <v>310000000</v>
      </c>
      <c r="G11" s="41">
        <v>329000000</v>
      </c>
      <c r="H11" s="41">
        <v>327000000</v>
      </c>
      <c r="I11" s="41">
        <v>348000000</v>
      </c>
      <c r="J11" s="41">
        <v>326000000</v>
      </c>
      <c r="K11" s="41">
        <v>320000000</v>
      </c>
      <c r="L11" s="41">
        <v>354000000</v>
      </c>
      <c r="M11" s="41">
        <v>345000000</v>
      </c>
      <c r="N11" s="41">
        <v>353000000</v>
      </c>
      <c r="O11" s="41">
        <v>305000000</v>
      </c>
      <c r="P11" s="41">
        <v>279000000</v>
      </c>
      <c r="Q11" s="41">
        <v>269000000</v>
      </c>
      <c r="R11" s="41">
        <v>249000000</v>
      </c>
      <c r="S11" s="41">
        <v>214000000</v>
      </c>
    </row>
    <row r="12" spans="1:19">
      <c r="A12" t="s">
        <v>590</v>
      </c>
      <c r="C12" s="41">
        <v>-17000000</v>
      </c>
      <c r="D12" s="41">
        <v>-16000000</v>
      </c>
      <c r="E12" s="41">
        <v>22000000</v>
      </c>
    </row>
    <row r="13" spans="1:19">
      <c r="A13" t="s">
        <v>267</v>
      </c>
      <c r="B13" s="41">
        <v>416000000</v>
      </c>
      <c r="C13" s="41">
        <v>331000000</v>
      </c>
      <c r="D13" s="41">
        <v>427000000</v>
      </c>
      <c r="E13" s="41">
        <v>-273000000</v>
      </c>
      <c r="F13" s="41">
        <v>-632000000</v>
      </c>
      <c r="G13" s="41">
        <v>197000000</v>
      </c>
      <c r="H13" s="41">
        <v>332000000</v>
      </c>
      <c r="I13" s="41">
        <v>260000000</v>
      </c>
      <c r="J13" s="41">
        <v>268000000</v>
      </c>
      <c r="K13" s="41">
        <v>323000000</v>
      </c>
      <c r="L13" s="41">
        <v>279000000</v>
      </c>
      <c r="M13" s="41">
        <v>233000000</v>
      </c>
      <c r="N13" s="41">
        <v>159000000</v>
      </c>
      <c r="O13" s="41">
        <v>153000000</v>
      </c>
      <c r="P13" s="41">
        <v>108000000</v>
      </c>
      <c r="Q13" s="41">
        <v>49000000</v>
      </c>
      <c r="R13" s="41">
        <v>364000000</v>
      </c>
      <c r="S13" s="41">
        <v>385000000</v>
      </c>
    </row>
    <row r="14" spans="1:19">
      <c r="A14" t="s">
        <v>268</v>
      </c>
      <c r="B14" s="41">
        <v>-57000000</v>
      </c>
      <c r="C14" s="41">
        <v>-71000000</v>
      </c>
      <c r="D14" s="41">
        <v>-106000000</v>
      </c>
      <c r="E14" s="41">
        <v>-135000000</v>
      </c>
      <c r="F14" s="41">
        <v>-98000000</v>
      </c>
      <c r="G14" s="41">
        <v>-50000000</v>
      </c>
      <c r="H14" s="41">
        <v>-48000000</v>
      </c>
      <c r="I14" s="41">
        <v>30000000</v>
      </c>
      <c r="J14" s="41">
        <v>-48000000</v>
      </c>
      <c r="K14" s="41">
        <v>-60000000</v>
      </c>
      <c r="L14" s="41">
        <v>-60000000</v>
      </c>
      <c r="M14" s="41">
        <v>-48000000</v>
      </c>
      <c r="N14" s="41">
        <v>-47000000</v>
      </c>
      <c r="O14" s="41">
        <v>-34000000</v>
      </c>
      <c r="P14" s="41">
        <v>-33000000</v>
      </c>
      <c r="Q14" s="41">
        <v>-56000000</v>
      </c>
      <c r="R14" s="41">
        <v>-75000000</v>
      </c>
      <c r="S14" s="41">
        <v>-43000000</v>
      </c>
    </row>
    <row r="15" spans="1:19">
      <c r="A15" t="s">
        <v>269</v>
      </c>
      <c r="B15" s="41">
        <v>123000000</v>
      </c>
      <c r="C15" s="41">
        <v>74000000</v>
      </c>
      <c r="D15" s="41">
        <v>44000000</v>
      </c>
      <c r="E15" s="41">
        <v>28000000</v>
      </c>
      <c r="F15" s="41">
        <v>30000000</v>
      </c>
      <c r="G15" s="41">
        <v>25000000</v>
      </c>
      <c r="H15" s="41">
        <v>28000000</v>
      </c>
      <c r="I15" s="41">
        <v>110000000</v>
      </c>
      <c r="J15" s="41">
        <v>28000000</v>
      </c>
      <c r="K15" s="41">
        <v>8000000</v>
      </c>
      <c r="L15" s="41">
        <v>11000000</v>
      </c>
      <c r="M15" s="41">
        <v>17000000</v>
      </c>
      <c r="N15" s="41">
        <v>23000000</v>
      </c>
      <c r="O15" s="41">
        <v>23000000</v>
      </c>
      <c r="P15" s="41">
        <v>21000000</v>
      </c>
    </row>
    <row r="16" spans="1:19">
      <c r="A16" t="s">
        <v>270</v>
      </c>
      <c r="B16" s="41">
        <v>180000000</v>
      </c>
      <c r="C16" s="41">
        <v>145000000</v>
      </c>
      <c r="D16" s="41">
        <v>150000000</v>
      </c>
      <c r="E16" s="41">
        <v>163000000</v>
      </c>
      <c r="F16" s="41">
        <v>128000000</v>
      </c>
      <c r="G16" s="41">
        <v>75000000</v>
      </c>
      <c r="H16" s="41">
        <v>76000000</v>
      </c>
      <c r="I16" s="41">
        <v>80000000</v>
      </c>
      <c r="J16" s="41">
        <v>76000000</v>
      </c>
      <c r="K16" s="41">
        <v>68000000</v>
      </c>
      <c r="L16" s="41">
        <v>71000000</v>
      </c>
      <c r="M16" s="41">
        <v>65000000</v>
      </c>
      <c r="N16" s="41">
        <v>70000000</v>
      </c>
      <c r="O16" s="41">
        <v>57000000</v>
      </c>
      <c r="P16" s="41">
        <v>54000000</v>
      </c>
      <c r="Q16" s="41">
        <v>56000000</v>
      </c>
      <c r="R16" s="41">
        <v>75000000</v>
      </c>
      <c r="S16" s="41">
        <v>43000000</v>
      </c>
    </row>
    <row r="17" spans="1:19">
      <c r="A17" t="s">
        <v>271</v>
      </c>
      <c r="G17" s="41">
        <v>-18000000</v>
      </c>
      <c r="H17" s="41">
        <v>-11000000</v>
      </c>
      <c r="I17" s="41">
        <v>-10000000</v>
      </c>
      <c r="J17" s="41">
        <v>-3000000</v>
      </c>
    </row>
    <row r="18" spans="1:19">
      <c r="A18" t="s">
        <v>272</v>
      </c>
      <c r="B18" s="41">
        <v>1204000000</v>
      </c>
      <c r="C18" s="41">
        <v>50000000</v>
      </c>
      <c r="D18" s="41">
        <v>42000000</v>
      </c>
      <c r="E18" s="41">
        <v>452000000</v>
      </c>
      <c r="F18" s="41">
        <v>-230000000</v>
      </c>
      <c r="G18" s="41">
        <v>859000000</v>
      </c>
      <c r="H18" s="41">
        <v>667000000</v>
      </c>
      <c r="I18" s="41">
        <v>432000000</v>
      </c>
      <c r="J18" s="41">
        <v>62000000</v>
      </c>
      <c r="K18" s="41">
        <v>-69000000</v>
      </c>
      <c r="L18" s="41">
        <v>306000000</v>
      </c>
      <c r="M18" s="41">
        <v>136000000</v>
      </c>
      <c r="N18" s="41">
        <v>-17000000</v>
      </c>
      <c r="O18" s="41">
        <v>-36000000</v>
      </c>
      <c r="P18" s="41">
        <v>13000000</v>
      </c>
      <c r="Q18" s="41">
        <v>-44000000</v>
      </c>
      <c r="R18" s="41">
        <v>-85000000</v>
      </c>
      <c r="S18" s="41">
        <v>132000000</v>
      </c>
    </row>
    <row r="19" spans="1:19">
      <c r="A19" t="s">
        <v>273</v>
      </c>
      <c r="B19" s="41">
        <v>1354000000</v>
      </c>
      <c r="C19" s="41">
        <v>99000000</v>
      </c>
      <c r="D19" s="41">
        <v>121000000</v>
      </c>
      <c r="E19" s="41">
        <v>477000000</v>
      </c>
      <c r="F19" s="41">
        <v>11000000</v>
      </c>
      <c r="G19" s="41">
        <v>811000000</v>
      </c>
      <c r="H19" s="41">
        <v>711000000</v>
      </c>
      <c r="I19" s="41">
        <v>239000000</v>
      </c>
      <c r="J19" s="41">
        <v>7000000</v>
      </c>
      <c r="K19" s="41">
        <v>-1000000</v>
      </c>
      <c r="L19" s="41">
        <v>323000000</v>
      </c>
      <c r="M19" s="41">
        <v>204000000</v>
      </c>
      <c r="N19" s="41">
        <v>36000000</v>
      </c>
      <c r="O19" s="41">
        <v>-18000000</v>
      </c>
      <c r="P19" s="41">
        <v>63000000</v>
      </c>
      <c r="Q19" s="41">
        <v>29000000</v>
      </c>
      <c r="R19" s="41">
        <v>-36000000</v>
      </c>
      <c r="S19" s="41">
        <v>15000000</v>
      </c>
    </row>
    <row r="20" spans="1:19">
      <c r="A20" t="s">
        <v>274</v>
      </c>
      <c r="B20" s="41">
        <v>31000000</v>
      </c>
      <c r="C20" s="41">
        <v>-1000000</v>
      </c>
      <c r="D20" s="41">
        <v>5000000</v>
      </c>
      <c r="E20" s="41">
        <v>28000000</v>
      </c>
      <c r="F20" s="41">
        <v>-70000000</v>
      </c>
      <c r="G20" s="41">
        <v>-10000000</v>
      </c>
      <c r="H20" s="41">
        <v>8000000</v>
      </c>
      <c r="I20" s="41">
        <v>219000000</v>
      </c>
      <c r="J20" s="41">
        <v>67000000</v>
      </c>
      <c r="K20" s="41">
        <v>-64000000</v>
      </c>
      <c r="L20" s="41">
        <v>25000000</v>
      </c>
      <c r="M20" s="41">
        <v>-1000000</v>
      </c>
      <c r="N20" s="41">
        <v>-22000000</v>
      </c>
      <c r="O20" s="41">
        <v>4000000</v>
      </c>
      <c r="P20" s="41">
        <v>-40000000</v>
      </c>
      <c r="Q20" s="41">
        <v>-13000000</v>
      </c>
      <c r="R20" s="41">
        <v>14000000</v>
      </c>
      <c r="S20" s="41">
        <v>11000000</v>
      </c>
    </row>
    <row r="21" spans="1:19">
      <c r="A21" t="s">
        <v>275</v>
      </c>
      <c r="B21" s="41">
        <v>-202000000</v>
      </c>
      <c r="C21" s="41">
        <v>-47000000</v>
      </c>
      <c r="D21" s="41">
        <v>-81000000</v>
      </c>
      <c r="E21" s="41">
        <v>-42000000</v>
      </c>
      <c r="F21" s="41">
        <v>-140000000</v>
      </c>
      <c r="G21" s="41">
        <v>52000000</v>
      </c>
      <c r="H21" s="41">
        <v>-42000000</v>
      </c>
      <c r="I21" s="41">
        <v>20000000</v>
      </c>
      <c r="J21" s="41">
        <v>19000000</v>
      </c>
      <c r="K21" s="41">
        <v>7000000</v>
      </c>
      <c r="L21" s="41">
        <v>-31000000</v>
      </c>
      <c r="M21" s="41">
        <v>-58000000</v>
      </c>
      <c r="N21" s="41">
        <v>-27000000</v>
      </c>
      <c r="O21" s="41">
        <v>-11000000</v>
      </c>
      <c r="P21" s="41">
        <v>-9000000</v>
      </c>
      <c r="Q21" s="41">
        <v>-60000000</v>
      </c>
      <c r="R21" s="41">
        <v>-63000000</v>
      </c>
      <c r="S21" s="41">
        <v>106000000</v>
      </c>
    </row>
    <row r="22" spans="1:19">
      <c r="A22" t="s">
        <v>276</v>
      </c>
      <c r="B22" s="41">
        <v>8000000</v>
      </c>
      <c r="C22" s="41">
        <v>55000000</v>
      </c>
      <c r="D22" s="41">
        <v>74000000</v>
      </c>
      <c r="E22" s="41">
        <v>49000000</v>
      </c>
      <c r="F22" s="41">
        <v>72000000</v>
      </c>
      <c r="G22" s="41">
        <v>-29000000</v>
      </c>
      <c r="H22" s="41">
        <v>10000000</v>
      </c>
      <c r="I22" s="41">
        <v>4000000</v>
      </c>
      <c r="J22" s="41">
        <v>4000000</v>
      </c>
      <c r="K22">
        <v>0</v>
      </c>
      <c r="L22" s="41">
        <v>13000000</v>
      </c>
      <c r="M22" s="41">
        <v>10000000</v>
      </c>
      <c r="N22" s="41">
        <v>23000000</v>
      </c>
      <c r="O22" s="41">
        <v>5000000</v>
      </c>
      <c r="P22">
        <v>0</v>
      </c>
    </row>
    <row r="23" spans="1:19">
      <c r="A23" t="s">
        <v>277</v>
      </c>
      <c r="B23" s="41">
        <v>213000000</v>
      </c>
      <c r="C23" s="41">
        <v>30000000</v>
      </c>
      <c r="D23" s="41">
        <v>38000000</v>
      </c>
      <c r="E23" s="41">
        <v>8000000</v>
      </c>
      <c r="F23" s="41">
        <v>62000000</v>
      </c>
      <c r="G23" s="41">
        <v>18000000</v>
      </c>
      <c r="H23" s="41">
        <v>25000000</v>
      </c>
      <c r="I23">
        <v>0</v>
      </c>
      <c r="J23">
        <v>0</v>
      </c>
      <c r="K23" s="41">
        <v>5000000</v>
      </c>
      <c r="L23" s="41">
        <v>17000000</v>
      </c>
      <c r="M23" s="41">
        <v>22000000</v>
      </c>
      <c r="N23">
        <v>0</v>
      </c>
      <c r="O23" s="41">
        <v>6000000</v>
      </c>
      <c r="P23" s="41">
        <v>44000000</v>
      </c>
      <c r="Q23" s="41">
        <v>12000000</v>
      </c>
      <c r="R23" s="41">
        <v>86000000</v>
      </c>
      <c r="S23" s="41">
        <v>61000000</v>
      </c>
    </row>
    <row r="24" spans="1:19">
      <c r="A24" t="s">
        <v>278</v>
      </c>
      <c r="B24" s="41">
        <v>4000000</v>
      </c>
      <c r="C24" s="41">
        <v>-17000000</v>
      </c>
      <c r="D24" s="41">
        <v>-16000000</v>
      </c>
      <c r="E24" s="41">
        <v>22000000</v>
      </c>
      <c r="F24" s="41">
        <v>29000000</v>
      </c>
      <c r="G24">
        <v>0</v>
      </c>
      <c r="H24" s="41">
        <v>22000000</v>
      </c>
      <c r="I24">
        <v>0</v>
      </c>
      <c r="J24">
        <v>0</v>
      </c>
      <c r="L24">
        <v>0</v>
      </c>
      <c r="M24">
        <v>0</v>
      </c>
      <c r="N24" s="41">
        <v>4000000</v>
      </c>
      <c r="O24">
        <v>0</v>
      </c>
      <c r="P24">
        <v>0</v>
      </c>
    </row>
    <row r="25" spans="1:19">
      <c r="A25" t="s">
        <v>279</v>
      </c>
      <c r="B25" s="41">
        <v>-23000000</v>
      </c>
      <c r="C25" s="41">
        <v>-21000000</v>
      </c>
      <c r="D25" s="41">
        <v>-15000000</v>
      </c>
      <c r="E25" s="41">
        <v>-15000000</v>
      </c>
      <c r="F25" s="41">
        <v>-23000000</v>
      </c>
      <c r="G25" s="41">
        <v>-25000000</v>
      </c>
      <c r="H25" s="41">
        <v>-15000000</v>
      </c>
      <c r="I25" s="41">
        <v>-24000000</v>
      </c>
      <c r="J25" s="41">
        <v>-23000000</v>
      </c>
      <c r="K25" s="41">
        <v>-12000000</v>
      </c>
      <c r="L25" s="41">
        <v>14000000</v>
      </c>
      <c r="M25" s="41">
        <v>55000000</v>
      </c>
      <c r="O25" s="41">
        <v>9000000</v>
      </c>
      <c r="P25" s="41">
        <v>-35000000</v>
      </c>
      <c r="Q25" s="41">
        <v>48000000</v>
      </c>
      <c r="R25" s="41">
        <v>-23000000</v>
      </c>
      <c r="S25" s="41">
        <v>-145000000</v>
      </c>
    </row>
    <row r="26" spans="1:19">
      <c r="A26" t="s">
        <v>280</v>
      </c>
      <c r="E26">
        <v>0</v>
      </c>
      <c r="F26">
        <v>0</v>
      </c>
      <c r="G26" s="41">
        <v>16000000</v>
      </c>
      <c r="H26">
        <v>0</v>
      </c>
      <c r="I26">
        <v>0</v>
      </c>
      <c r="J26" s="41">
        <v>-6000000</v>
      </c>
      <c r="K26">
        <v>0</v>
      </c>
      <c r="L26">
        <v>0</v>
      </c>
      <c r="M26" s="41">
        <v>29000000</v>
      </c>
      <c r="N26">
        <v>0</v>
      </c>
      <c r="O26">
        <v>0</v>
      </c>
      <c r="P26" s="41">
        <v>26000000</v>
      </c>
      <c r="Q26">
        <v>0</v>
      </c>
      <c r="R26">
        <v>0</v>
      </c>
      <c r="S26" s="41">
        <v>22000000</v>
      </c>
    </row>
    <row r="27" spans="1:19">
      <c r="A27" t="s">
        <v>281</v>
      </c>
      <c r="B27" s="41">
        <v>21000000</v>
      </c>
      <c r="C27" s="41">
        <v>-1000000</v>
      </c>
      <c r="D27" s="41">
        <v>-3000000</v>
      </c>
      <c r="E27" s="41">
        <v>-11000000</v>
      </c>
      <c r="F27" s="41">
        <v>-31000000</v>
      </c>
      <c r="G27" s="41">
        <v>6000000</v>
      </c>
      <c r="H27" s="41">
        <v>-10000000</v>
      </c>
      <c r="I27" s="41">
        <v>-46000000</v>
      </c>
      <c r="J27" s="41">
        <v>-31000000</v>
      </c>
      <c r="K27" s="41">
        <v>-11000000</v>
      </c>
      <c r="L27" s="41">
        <v>-11000000</v>
      </c>
      <c r="M27" s="41">
        <v>-9000000</v>
      </c>
      <c r="N27" s="41">
        <v>-4000000</v>
      </c>
      <c r="O27" s="41">
        <v>-11000000</v>
      </c>
      <c r="P27" s="41">
        <v>-1000000</v>
      </c>
    </row>
    <row r="28" spans="1:19">
      <c r="A28" t="s">
        <v>282</v>
      </c>
      <c r="B28" s="41">
        <v>1563000000</v>
      </c>
      <c r="C28" s="41">
        <v>310000000</v>
      </c>
      <c r="D28" s="41">
        <v>363000000</v>
      </c>
      <c r="E28" s="41">
        <v>44000000</v>
      </c>
      <c r="F28" s="41">
        <v>-960000000</v>
      </c>
      <c r="G28" s="41">
        <v>1006000000</v>
      </c>
      <c r="H28" s="41">
        <v>951000000</v>
      </c>
      <c r="I28" s="41">
        <v>722000000</v>
      </c>
      <c r="J28" s="41">
        <v>282000000</v>
      </c>
      <c r="K28" s="41">
        <v>194000000</v>
      </c>
      <c r="L28" s="41">
        <v>525000000</v>
      </c>
      <c r="M28" s="41">
        <v>321000000</v>
      </c>
      <c r="N28" s="41">
        <v>95000000</v>
      </c>
      <c r="O28" s="41">
        <v>83000000</v>
      </c>
      <c r="P28" s="41">
        <v>88000000</v>
      </c>
      <c r="Q28" s="41">
        <v>-51000000</v>
      </c>
      <c r="R28" s="41">
        <v>204000000</v>
      </c>
      <c r="S28" s="41">
        <v>474000000</v>
      </c>
    </row>
    <row r="29" spans="1:19">
      <c r="A29" t="s">
        <v>283</v>
      </c>
      <c r="B29" s="41">
        <v>267000000</v>
      </c>
      <c r="C29" s="41">
        <v>90000000</v>
      </c>
      <c r="D29" s="41">
        <v>-92000000</v>
      </c>
      <c r="E29" s="41">
        <v>266000000</v>
      </c>
      <c r="F29" s="41">
        <v>-257000000</v>
      </c>
      <c r="G29" s="41">
        <v>240000000</v>
      </c>
      <c r="H29" s="41">
        <v>182000000</v>
      </c>
      <c r="I29" s="41">
        <v>332000000</v>
      </c>
      <c r="J29" s="41">
        <v>76000000</v>
      </c>
      <c r="K29" s="41">
        <v>70000000</v>
      </c>
      <c r="L29" s="41">
        <v>179000000</v>
      </c>
      <c r="M29" s="41">
        <v>116000000</v>
      </c>
      <c r="N29" s="41">
        <v>8000000</v>
      </c>
      <c r="O29" s="41">
        <v>-28000000</v>
      </c>
      <c r="P29" s="41">
        <v>37000000</v>
      </c>
      <c r="Q29" s="41">
        <v>-8000000</v>
      </c>
      <c r="R29" s="41">
        <v>90000000</v>
      </c>
      <c r="S29" s="41">
        <v>208000000</v>
      </c>
    </row>
    <row r="30" spans="1:19">
      <c r="A30" t="s">
        <v>284</v>
      </c>
      <c r="B30" s="41">
        <v>1296000000</v>
      </c>
      <c r="C30" s="41">
        <v>220000000</v>
      </c>
      <c r="D30" s="41">
        <v>455000000</v>
      </c>
      <c r="E30" s="41">
        <v>-222000000</v>
      </c>
      <c r="F30" s="41">
        <v>-703000000</v>
      </c>
      <c r="G30" s="41">
        <v>766000000</v>
      </c>
      <c r="H30" s="41">
        <v>769000000</v>
      </c>
      <c r="I30" s="41">
        <v>389000000</v>
      </c>
      <c r="J30" s="41">
        <v>206000000</v>
      </c>
      <c r="K30" s="41">
        <v>124000000</v>
      </c>
      <c r="L30" s="41">
        <v>344000000</v>
      </c>
      <c r="M30" s="41">
        <v>207000000</v>
      </c>
      <c r="N30" s="41">
        <v>88000000</v>
      </c>
      <c r="O30" s="41">
        <v>113000000</v>
      </c>
      <c r="P30" s="41">
        <v>66000000</v>
      </c>
      <c r="Q30" s="41">
        <v>-43000000</v>
      </c>
      <c r="R30" s="41">
        <v>168000000</v>
      </c>
      <c r="S30" s="41">
        <v>271000000</v>
      </c>
    </row>
    <row r="31" spans="1:19">
      <c r="A31" t="s">
        <v>285</v>
      </c>
      <c r="B31" s="41">
        <v>1296000000</v>
      </c>
      <c r="C31" s="41">
        <v>220000000</v>
      </c>
      <c r="D31" s="41">
        <v>455000000</v>
      </c>
      <c r="E31" s="41">
        <v>-222000000</v>
      </c>
      <c r="F31" s="41">
        <v>-703000000</v>
      </c>
      <c r="G31" s="41">
        <v>766000000</v>
      </c>
      <c r="H31" s="41">
        <v>769000000</v>
      </c>
      <c r="I31" s="41">
        <v>389000000</v>
      </c>
      <c r="J31" s="41">
        <v>206000000</v>
      </c>
      <c r="K31" s="41">
        <v>124000000</v>
      </c>
      <c r="L31" s="41">
        <v>344000000</v>
      </c>
      <c r="M31" s="41">
        <v>207000000</v>
      </c>
      <c r="N31" s="41">
        <v>88000000</v>
      </c>
      <c r="O31" s="41">
        <v>113000000</v>
      </c>
      <c r="P31" s="41">
        <v>66000000</v>
      </c>
      <c r="Q31" s="41">
        <v>-43000000</v>
      </c>
      <c r="R31" s="41">
        <v>168000000</v>
      </c>
      <c r="S31" s="41">
        <v>271000000</v>
      </c>
    </row>
    <row r="32" spans="1:19">
      <c r="A32" t="s">
        <v>286</v>
      </c>
      <c r="B32" s="41">
        <v>1296000000</v>
      </c>
      <c r="C32" s="41">
        <v>220000000</v>
      </c>
      <c r="D32" s="41">
        <v>455000000</v>
      </c>
      <c r="E32" s="41">
        <v>-222000000</v>
      </c>
      <c r="F32" s="41">
        <v>-703000000</v>
      </c>
      <c r="G32" s="41">
        <v>766000000</v>
      </c>
      <c r="H32" s="41">
        <v>769000000</v>
      </c>
      <c r="I32" s="41">
        <v>390000000</v>
      </c>
      <c r="J32" s="41">
        <v>206000000</v>
      </c>
      <c r="K32" s="41">
        <v>124000000</v>
      </c>
      <c r="L32" s="41">
        <v>346000000</v>
      </c>
      <c r="M32" s="41">
        <v>205000000</v>
      </c>
      <c r="N32" s="41">
        <v>87000000</v>
      </c>
      <c r="O32" s="41">
        <v>111000000</v>
      </c>
      <c r="P32" s="41">
        <v>55000000</v>
      </c>
      <c r="Q32" s="41">
        <v>-46000000</v>
      </c>
      <c r="R32" s="41">
        <v>170000000</v>
      </c>
      <c r="S32" s="41">
        <v>270000000</v>
      </c>
    </row>
    <row r="33" spans="1:19">
      <c r="A33" t="s">
        <v>287</v>
      </c>
      <c r="B33" s="41">
        <v>1296000000</v>
      </c>
      <c r="C33" s="41">
        <v>220000000</v>
      </c>
      <c r="D33" s="41">
        <v>455000000</v>
      </c>
      <c r="E33" s="41">
        <v>-222000000</v>
      </c>
      <c r="F33" s="41">
        <v>-703000000</v>
      </c>
      <c r="G33" s="41">
        <v>766000000</v>
      </c>
      <c r="H33" s="41">
        <v>769000000</v>
      </c>
      <c r="I33" s="41">
        <v>390000000</v>
      </c>
      <c r="J33" s="41">
        <v>206000000</v>
      </c>
      <c r="K33" s="41">
        <v>124000000</v>
      </c>
      <c r="L33" s="41">
        <v>346000000</v>
      </c>
      <c r="M33" s="41">
        <v>205000000</v>
      </c>
      <c r="N33" s="41">
        <v>87000000</v>
      </c>
      <c r="O33" s="41">
        <v>111000000</v>
      </c>
      <c r="P33" s="41">
        <v>51000000</v>
      </c>
      <c r="Q33" s="41">
        <v>-43000000</v>
      </c>
      <c r="R33" s="41">
        <v>114000000</v>
      </c>
      <c r="S33" s="41">
        <v>266000000</v>
      </c>
    </row>
    <row r="34" spans="1:19">
      <c r="A34" t="s">
        <v>288</v>
      </c>
      <c r="N34">
        <v>0</v>
      </c>
      <c r="O34">
        <v>0</v>
      </c>
      <c r="P34" s="41">
        <v>4000000</v>
      </c>
      <c r="Q34" s="41">
        <v>-3000000</v>
      </c>
      <c r="R34" s="41">
        <v>56000000</v>
      </c>
      <c r="S34" s="41">
        <v>5000000</v>
      </c>
    </row>
    <row r="35" spans="1:19">
      <c r="A35" t="s">
        <v>289</v>
      </c>
      <c r="R35">
        <v>0</v>
      </c>
      <c r="S35">
        <v>0</v>
      </c>
    </row>
    <row r="36" spans="1:19">
      <c r="A36" t="s">
        <v>290</v>
      </c>
      <c r="R36" s="41">
        <v>-2000000</v>
      </c>
      <c r="S36" s="41">
        <v>-1000000</v>
      </c>
    </row>
    <row r="37" spans="1:19">
      <c r="A37" t="s">
        <v>291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 s="41">
        <v>-1000000</v>
      </c>
      <c r="J37">
        <v>0</v>
      </c>
      <c r="K37">
        <v>0</v>
      </c>
      <c r="L37" s="41">
        <v>-2000000</v>
      </c>
      <c r="M37" s="41">
        <v>2000000</v>
      </c>
      <c r="N37" s="41">
        <v>1000000</v>
      </c>
      <c r="O37" s="41">
        <v>2000000</v>
      </c>
      <c r="P37" s="41">
        <v>11000000</v>
      </c>
      <c r="Q37" s="41">
        <v>3000000</v>
      </c>
      <c r="R37" s="41">
        <v>-2000000</v>
      </c>
      <c r="S37" s="41">
        <v>-1000000</v>
      </c>
    </row>
    <row r="38" spans="1:19">
      <c r="A38" t="s">
        <v>292</v>
      </c>
      <c r="B38" s="41">
        <v>1296000000</v>
      </c>
      <c r="C38" s="41">
        <v>220000000</v>
      </c>
      <c r="D38" s="41">
        <v>455000000</v>
      </c>
      <c r="E38" s="41">
        <v>-222000000</v>
      </c>
      <c r="F38" s="41">
        <v>-703000000</v>
      </c>
      <c r="G38" s="41">
        <v>766000000</v>
      </c>
      <c r="H38" s="41">
        <v>769000000</v>
      </c>
      <c r="I38" s="41">
        <v>389000000</v>
      </c>
      <c r="J38" s="41">
        <v>206000000</v>
      </c>
      <c r="K38" s="41">
        <v>124000000</v>
      </c>
      <c r="L38" s="41">
        <v>344000000</v>
      </c>
      <c r="M38" s="41">
        <v>207000000</v>
      </c>
      <c r="N38" s="41">
        <v>88000000</v>
      </c>
      <c r="O38" s="41">
        <v>113000000</v>
      </c>
      <c r="P38" s="41">
        <v>66000000</v>
      </c>
      <c r="Q38" s="41">
        <v>-43000000</v>
      </c>
      <c r="R38" s="41">
        <v>168000000</v>
      </c>
      <c r="S38" s="41">
        <v>271000000</v>
      </c>
    </row>
    <row r="39" spans="1:19">
      <c r="A39" t="s">
        <v>293</v>
      </c>
      <c r="B39">
        <v>12.99</v>
      </c>
      <c r="C39">
        <v>2.1</v>
      </c>
      <c r="D39">
        <v>4.17</v>
      </c>
      <c r="E39">
        <v>-2.13</v>
      </c>
      <c r="F39">
        <v>-6.93</v>
      </c>
      <c r="G39">
        <v>7.33</v>
      </c>
      <c r="H39">
        <v>6.79</v>
      </c>
      <c r="I39">
        <v>1.99</v>
      </c>
      <c r="J39">
        <v>1.55</v>
      </c>
      <c r="K39">
        <v>0.87</v>
      </c>
      <c r="L39">
        <v>2.25</v>
      </c>
      <c r="M39">
        <v>1.3</v>
      </c>
      <c r="N39">
        <v>0.53</v>
      </c>
      <c r="O39">
        <v>0.67</v>
      </c>
      <c r="P39">
        <v>0.38</v>
      </c>
      <c r="Q39">
        <v>-0.28000000000000003</v>
      </c>
      <c r="R39">
        <v>1.31</v>
      </c>
      <c r="S39">
        <v>2.0099999999999998</v>
      </c>
    </row>
    <row r="40" spans="1:19">
      <c r="A40" t="s">
        <v>294</v>
      </c>
      <c r="B40">
        <v>12.65</v>
      </c>
      <c r="C40">
        <v>2.0499999999999998</v>
      </c>
      <c r="D40">
        <v>4.09</v>
      </c>
      <c r="E40">
        <v>-2.13</v>
      </c>
      <c r="F40">
        <v>-6.93</v>
      </c>
      <c r="G40">
        <v>7.21</v>
      </c>
      <c r="H40">
        <v>6.68</v>
      </c>
      <c r="I40">
        <v>1.97</v>
      </c>
      <c r="J40">
        <v>1.53</v>
      </c>
      <c r="K40">
        <v>0.86</v>
      </c>
      <c r="L40">
        <v>2.23</v>
      </c>
      <c r="M40">
        <v>1.3</v>
      </c>
      <c r="N40">
        <v>0.53</v>
      </c>
      <c r="O40">
        <v>0.67</v>
      </c>
      <c r="P40">
        <v>0.38</v>
      </c>
      <c r="Q40">
        <v>-0.28000000000000003</v>
      </c>
      <c r="R40">
        <v>1.31</v>
      </c>
      <c r="S40">
        <v>2.0099999999999998</v>
      </c>
    </row>
    <row r="41" spans="1:19">
      <c r="A41" t="s">
        <v>295</v>
      </c>
      <c r="B41" s="41">
        <v>99791270</v>
      </c>
      <c r="C41" s="41">
        <v>104861037</v>
      </c>
      <c r="D41" s="41">
        <v>109093790</v>
      </c>
      <c r="E41" s="41">
        <v>104000000</v>
      </c>
      <c r="F41" s="41">
        <v>101300000</v>
      </c>
      <c r="G41" s="41">
        <v>104600000</v>
      </c>
      <c r="H41" s="41">
        <v>113300000</v>
      </c>
      <c r="I41" s="41">
        <v>124800000</v>
      </c>
      <c r="J41" s="41">
        <v>132930578</v>
      </c>
      <c r="K41" s="41">
        <v>142800000</v>
      </c>
      <c r="L41" s="41">
        <v>153100000</v>
      </c>
      <c r="M41" s="41">
        <v>158500000</v>
      </c>
      <c r="N41" s="41">
        <v>165017485</v>
      </c>
      <c r="O41" s="41">
        <v>168800000</v>
      </c>
      <c r="P41" s="41">
        <v>174115200</v>
      </c>
      <c r="Q41" s="41">
        <v>153571429</v>
      </c>
      <c r="R41" s="41">
        <v>128037015</v>
      </c>
      <c r="S41" s="41">
        <v>134585000</v>
      </c>
    </row>
    <row r="42" spans="1:19">
      <c r="A42" t="s">
        <v>296</v>
      </c>
      <c r="B42" s="41">
        <v>102424100</v>
      </c>
      <c r="C42" s="41">
        <v>107726961</v>
      </c>
      <c r="D42" s="41">
        <v>111264939</v>
      </c>
      <c r="E42" s="41">
        <v>104000000</v>
      </c>
      <c r="F42" s="41">
        <v>101300000</v>
      </c>
      <c r="G42" s="41">
        <v>106300000</v>
      </c>
      <c r="H42" s="41">
        <v>115100000</v>
      </c>
      <c r="I42" s="41">
        <v>126300000</v>
      </c>
      <c r="J42" s="41">
        <v>133939331</v>
      </c>
      <c r="K42" s="41">
        <v>144000000</v>
      </c>
      <c r="L42" s="41">
        <v>154400000</v>
      </c>
      <c r="M42" s="41">
        <v>159200000</v>
      </c>
      <c r="N42" s="41">
        <v>165377328</v>
      </c>
      <c r="O42" s="41">
        <v>169200000</v>
      </c>
      <c r="P42" s="41">
        <v>174354202</v>
      </c>
      <c r="Q42" s="41">
        <v>153571429</v>
      </c>
      <c r="R42" s="41">
        <v>128061147</v>
      </c>
      <c r="S42" s="41">
        <v>134634000</v>
      </c>
    </row>
    <row r="43" spans="1:19">
      <c r="A43" t="s">
        <v>297</v>
      </c>
      <c r="B43" s="41">
        <v>6232000000</v>
      </c>
      <c r="C43" s="41">
        <v>6336000000</v>
      </c>
      <c r="D43" s="41">
        <v>5464000000</v>
      </c>
      <c r="E43" s="41">
        <v>3301000000</v>
      </c>
      <c r="F43" s="41">
        <v>2698000000</v>
      </c>
      <c r="G43" s="41">
        <v>4823000000</v>
      </c>
      <c r="H43" s="41">
        <v>4122000000</v>
      </c>
      <c r="I43" s="41">
        <v>4202000000</v>
      </c>
      <c r="J43" s="41">
        <v>3997000000</v>
      </c>
      <c r="K43" s="41">
        <v>4005000000</v>
      </c>
      <c r="L43" s="41">
        <v>4136000000</v>
      </c>
      <c r="M43" s="41">
        <v>3951000000</v>
      </c>
      <c r="N43" s="41">
        <v>3790000000</v>
      </c>
      <c r="O43" s="41">
        <v>3545000000</v>
      </c>
      <c r="P43" s="41">
        <v>3419000000</v>
      </c>
      <c r="Q43" s="41">
        <v>3281000000</v>
      </c>
      <c r="R43" s="41">
        <v>3473000000</v>
      </c>
      <c r="S43" s="41">
        <v>3353000000</v>
      </c>
    </row>
    <row r="44" spans="1:19">
      <c r="A44" t="s">
        <v>298</v>
      </c>
      <c r="B44" s="41">
        <v>1296000000</v>
      </c>
      <c r="C44" s="41">
        <v>220000000</v>
      </c>
      <c r="D44" s="41">
        <v>455000000</v>
      </c>
      <c r="E44" s="41">
        <v>-222000000</v>
      </c>
      <c r="F44" s="41">
        <v>-703000000</v>
      </c>
      <c r="G44" s="41">
        <v>766000000</v>
      </c>
      <c r="H44" s="41">
        <v>769000000</v>
      </c>
      <c r="I44" s="41">
        <v>389000000</v>
      </c>
      <c r="J44" s="41">
        <v>206000000</v>
      </c>
      <c r="K44" s="41">
        <v>124000000</v>
      </c>
      <c r="L44" s="41">
        <v>344000000</v>
      </c>
      <c r="M44" s="41">
        <v>207000000</v>
      </c>
      <c r="N44" s="41">
        <v>88000000</v>
      </c>
      <c r="O44" s="41">
        <v>113000000</v>
      </c>
      <c r="P44" s="41">
        <v>66000000</v>
      </c>
      <c r="Q44" s="41">
        <v>-43000000</v>
      </c>
      <c r="R44" s="41">
        <v>168000000</v>
      </c>
      <c r="S44" s="41">
        <v>272000000</v>
      </c>
    </row>
    <row r="45" spans="1:19">
      <c r="A45" t="s">
        <v>299</v>
      </c>
      <c r="B45" s="41">
        <v>340992000</v>
      </c>
      <c r="C45" s="41">
        <v>183028000</v>
      </c>
      <c r="D45" s="41">
        <v>423400000</v>
      </c>
      <c r="E45" s="41">
        <v>-539550000</v>
      </c>
      <c r="F45" s="41">
        <v>-608572000</v>
      </c>
      <c r="G45" s="41">
        <v>109257000</v>
      </c>
      <c r="H45" s="41">
        <v>119401000</v>
      </c>
      <c r="I45" s="41">
        <v>233600000</v>
      </c>
      <c r="J45" s="41">
        <v>187020000</v>
      </c>
      <c r="K45" s="41">
        <v>120172000</v>
      </c>
      <c r="L45" s="41">
        <v>151572000</v>
      </c>
      <c r="M45" s="41">
        <v>113852000</v>
      </c>
      <c r="N45" s="41">
        <v>79747000</v>
      </c>
      <c r="O45" s="41">
        <v>131850000</v>
      </c>
      <c r="P45" s="41">
        <v>26900000</v>
      </c>
      <c r="Q45" s="91">
        <v>-13862745.097999999</v>
      </c>
      <c r="R45" s="41">
        <v>176350000</v>
      </c>
      <c r="S45" s="41">
        <v>188350000</v>
      </c>
    </row>
    <row r="46" spans="1:19">
      <c r="A46" t="s">
        <v>300</v>
      </c>
      <c r="B46" s="41">
        <v>123000000</v>
      </c>
      <c r="C46" s="41">
        <v>74000000</v>
      </c>
      <c r="D46" s="41">
        <v>44000000</v>
      </c>
      <c r="E46" s="41">
        <v>28000000</v>
      </c>
      <c r="F46" s="41">
        <v>30000000</v>
      </c>
      <c r="G46" s="41">
        <v>25000000</v>
      </c>
      <c r="H46" s="41">
        <v>28000000</v>
      </c>
      <c r="I46" s="41">
        <v>110000000</v>
      </c>
      <c r="J46" s="41">
        <v>28000000</v>
      </c>
      <c r="K46" s="41">
        <v>8000000</v>
      </c>
      <c r="L46" s="41">
        <v>11000000</v>
      </c>
      <c r="M46" s="41">
        <v>17000000</v>
      </c>
      <c r="N46" s="41">
        <v>23000000</v>
      </c>
      <c r="O46" s="41">
        <v>23000000</v>
      </c>
      <c r="P46" s="41">
        <v>21000000</v>
      </c>
    </row>
    <row r="47" spans="1:19">
      <c r="A47" t="s">
        <v>301</v>
      </c>
      <c r="B47" s="41">
        <v>180000000</v>
      </c>
      <c r="C47" s="41">
        <v>145000000</v>
      </c>
      <c r="D47" s="41">
        <v>150000000</v>
      </c>
      <c r="E47" s="41">
        <v>163000000</v>
      </c>
      <c r="F47" s="41">
        <v>128000000</v>
      </c>
      <c r="G47" s="41">
        <v>75000000</v>
      </c>
      <c r="H47" s="41">
        <v>76000000</v>
      </c>
      <c r="I47" s="41">
        <v>80000000</v>
      </c>
      <c r="J47" s="41">
        <v>76000000</v>
      </c>
      <c r="K47" s="41">
        <v>68000000</v>
      </c>
      <c r="L47" s="41">
        <v>71000000</v>
      </c>
      <c r="M47" s="41">
        <v>65000000</v>
      </c>
      <c r="N47" s="41">
        <v>70000000</v>
      </c>
      <c r="O47" s="41">
        <v>57000000</v>
      </c>
      <c r="P47" s="41">
        <v>54000000</v>
      </c>
      <c r="Q47" s="41">
        <v>56000000</v>
      </c>
      <c r="R47" s="41">
        <v>75000000</v>
      </c>
      <c r="S47" s="41">
        <v>43000000</v>
      </c>
    </row>
    <row r="48" spans="1:19">
      <c r="A48" t="s">
        <v>302</v>
      </c>
      <c r="B48" s="41">
        <v>-57000000</v>
      </c>
      <c r="C48" s="41">
        <v>-71000000</v>
      </c>
      <c r="D48" s="41">
        <v>-106000000</v>
      </c>
      <c r="E48" s="41">
        <v>-135000000</v>
      </c>
      <c r="F48" s="41">
        <v>-98000000</v>
      </c>
      <c r="G48" s="41">
        <v>-50000000</v>
      </c>
      <c r="H48" s="41">
        <v>-48000000</v>
      </c>
      <c r="I48" s="41">
        <v>30000000</v>
      </c>
      <c r="J48" s="41">
        <v>-48000000</v>
      </c>
      <c r="K48" s="41">
        <v>-60000000</v>
      </c>
      <c r="L48" s="41">
        <v>-60000000</v>
      </c>
      <c r="M48" s="41">
        <v>-48000000</v>
      </c>
      <c r="N48" s="41">
        <v>-47000000</v>
      </c>
      <c r="O48" s="41">
        <v>-34000000</v>
      </c>
      <c r="P48" s="41">
        <v>-33000000</v>
      </c>
      <c r="Q48" s="41">
        <v>-56000000</v>
      </c>
      <c r="R48" s="41">
        <v>-75000000</v>
      </c>
      <c r="S48" s="41">
        <v>-43000000</v>
      </c>
    </row>
    <row r="49" spans="1:19">
      <c r="A49" t="s">
        <v>303</v>
      </c>
      <c r="B49" s="41">
        <v>1743000000</v>
      </c>
      <c r="C49" s="41">
        <v>455000000</v>
      </c>
      <c r="D49" s="41">
        <v>513000000</v>
      </c>
      <c r="E49" s="41">
        <v>207000000</v>
      </c>
      <c r="F49" s="41">
        <v>-832000000</v>
      </c>
      <c r="G49" s="41">
        <v>1081000000</v>
      </c>
      <c r="H49" s="41">
        <v>1027000000</v>
      </c>
      <c r="I49" s="41">
        <v>802000000</v>
      </c>
      <c r="J49" s="41">
        <v>358000000</v>
      </c>
      <c r="K49" s="41">
        <v>262000000</v>
      </c>
      <c r="L49" s="41">
        <v>596000000</v>
      </c>
      <c r="M49" s="41">
        <v>386000000</v>
      </c>
      <c r="N49" s="41">
        <v>165000000</v>
      </c>
      <c r="O49" s="41">
        <v>140000000</v>
      </c>
      <c r="P49" s="41">
        <v>142000000</v>
      </c>
      <c r="Q49" s="41">
        <v>5000000</v>
      </c>
      <c r="R49" s="41">
        <v>279000000</v>
      </c>
      <c r="S49" s="41">
        <v>517000000</v>
      </c>
    </row>
    <row r="50" spans="1:19">
      <c r="A50" t="s">
        <v>103</v>
      </c>
      <c r="B50" s="41">
        <v>2112000000</v>
      </c>
      <c r="C50" s="41">
        <v>894000000</v>
      </c>
      <c r="D50" s="41">
        <v>974000000</v>
      </c>
      <c r="E50" s="41">
        <v>544000000</v>
      </c>
      <c r="F50" s="41">
        <v>-491000000</v>
      </c>
      <c r="G50" s="41">
        <v>1445000000</v>
      </c>
      <c r="H50" s="41">
        <v>1354000000</v>
      </c>
      <c r="I50" s="41">
        <v>1150000000</v>
      </c>
      <c r="J50" s="41">
        <v>684000000</v>
      </c>
      <c r="K50" s="41">
        <v>582000000</v>
      </c>
      <c r="L50" s="41">
        <v>950000000</v>
      </c>
      <c r="M50" s="41">
        <v>731000000</v>
      </c>
      <c r="N50" s="41">
        <v>518000000</v>
      </c>
      <c r="O50" s="41">
        <v>445000000</v>
      </c>
      <c r="P50" s="41">
        <v>421000000</v>
      </c>
      <c r="Q50" s="41">
        <v>274000000</v>
      </c>
      <c r="R50" s="41">
        <v>528000000</v>
      </c>
      <c r="S50" s="41">
        <v>731000000</v>
      </c>
    </row>
    <row r="51" spans="1:19">
      <c r="A51" t="s">
        <v>304</v>
      </c>
      <c r="B51" s="41">
        <v>5315000000</v>
      </c>
      <c r="C51" s="41">
        <v>5319000000</v>
      </c>
      <c r="D51" s="41">
        <v>4568000000</v>
      </c>
      <c r="E51" s="41">
        <v>2576000000</v>
      </c>
      <c r="F51" s="41">
        <v>2036000000</v>
      </c>
      <c r="G51" s="41">
        <v>4042000000</v>
      </c>
      <c r="H51" s="41">
        <v>3475000000</v>
      </c>
      <c r="I51" s="41">
        <v>3477000000</v>
      </c>
      <c r="J51" s="41">
        <v>3356000000</v>
      </c>
      <c r="K51" s="41">
        <v>3377000000</v>
      </c>
      <c r="L51" s="41">
        <v>3433000000</v>
      </c>
      <c r="M51" s="41">
        <v>3283000000</v>
      </c>
      <c r="N51" s="41">
        <v>3121000000</v>
      </c>
      <c r="O51" s="41">
        <v>2957000000</v>
      </c>
      <c r="P51" s="41">
        <v>2864000000</v>
      </c>
      <c r="Q51" s="41">
        <v>2751000000</v>
      </c>
      <c r="R51" s="41">
        <v>2934000000</v>
      </c>
      <c r="S51" s="41">
        <v>2847000000</v>
      </c>
    </row>
    <row r="52" spans="1:19">
      <c r="A52" t="s">
        <v>305</v>
      </c>
      <c r="B52" s="41">
        <v>369000000</v>
      </c>
      <c r="C52" s="41">
        <v>439000000</v>
      </c>
      <c r="D52" s="41">
        <v>461000000</v>
      </c>
      <c r="E52" s="41">
        <v>337000000</v>
      </c>
      <c r="F52" s="41">
        <v>341000000</v>
      </c>
      <c r="G52" s="41">
        <v>364000000</v>
      </c>
      <c r="H52" s="41">
        <v>327000000</v>
      </c>
      <c r="I52" s="41">
        <v>348000000</v>
      </c>
      <c r="J52" s="41">
        <v>326000000</v>
      </c>
      <c r="K52" s="41">
        <v>320000000</v>
      </c>
      <c r="L52" s="41">
        <v>354000000</v>
      </c>
      <c r="M52" s="41">
        <v>345000000</v>
      </c>
      <c r="N52" s="41">
        <v>353000000</v>
      </c>
      <c r="O52" s="41">
        <v>305000000</v>
      </c>
      <c r="P52" s="41">
        <v>279000000</v>
      </c>
      <c r="Q52" s="41">
        <v>269000000</v>
      </c>
      <c r="R52" s="41">
        <v>249000000</v>
      </c>
      <c r="S52" s="41">
        <v>214000000</v>
      </c>
    </row>
    <row r="53" spans="1:19">
      <c r="A53" t="s">
        <v>306</v>
      </c>
      <c r="B53" s="41">
        <v>1296000000</v>
      </c>
      <c r="C53" s="41">
        <v>220000000</v>
      </c>
      <c r="D53" s="41">
        <v>455000000</v>
      </c>
      <c r="E53" s="41">
        <v>-222000000</v>
      </c>
      <c r="F53" s="41">
        <v>-703000000</v>
      </c>
      <c r="G53" s="41">
        <v>766000000</v>
      </c>
      <c r="H53" s="41">
        <v>769000000</v>
      </c>
      <c r="I53" s="41">
        <v>389000000</v>
      </c>
      <c r="J53" s="41">
        <v>206000000</v>
      </c>
      <c r="K53" s="41">
        <v>124000000</v>
      </c>
      <c r="L53" s="41">
        <v>344000000</v>
      </c>
      <c r="M53" s="41">
        <v>207000000</v>
      </c>
      <c r="N53" s="41">
        <v>88000000</v>
      </c>
      <c r="O53" s="41">
        <v>113000000</v>
      </c>
      <c r="P53" s="41">
        <v>62000000</v>
      </c>
      <c r="Q53" s="41">
        <v>-40000000</v>
      </c>
      <c r="R53" s="41">
        <v>112000000</v>
      </c>
      <c r="S53" s="41">
        <v>267000000</v>
      </c>
    </row>
    <row r="54" spans="1:19">
      <c r="A54" t="s">
        <v>307</v>
      </c>
      <c r="B54" s="41">
        <v>1152000000</v>
      </c>
      <c r="C54" s="41">
        <v>52000000</v>
      </c>
      <c r="D54" s="41">
        <v>40000000</v>
      </c>
      <c r="E54" s="41">
        <v>435000000</v>
      </c>
      <c r="F54" s="41">
        <v>-129000000</v>
      </c>
      <c r="G54" s="41">
        <v>863000000</v>
      </c>
      <c r="H54" s="41">
        <v>669000000</v>
      </c>
      <c r="I54" s="41">
        <v>259000000</v>
      </c>
      <c r="J54" s="41">
        <v>26000000</v>
      </c>
      <c r="K54" s="41">
        <v>6000000</v>
      </c>
      <c r="L54" s="41">
        <v>292000000</v>
      </c>
      <c r="M54" s="41">
        <v>146000000</v>
      </c>
      <c r="N54" s="41">
        <v>9000000</v>
      </c>
      <c r="O54" s="41">
        <v>-29000000</v>
      </c>
      <c r="P54" s="41">
        <v>54000000</v>
      </c>
      <c r="Q54" s="41">
        <v>-31000000</v>
      </c>
      <c r="R54" s="41">
        <v>-99000000</v>
      </c>
      <c r="S54" s="41">
        <v>121000000</v>
      </c>
    </row>
    <row r="55" spans="1:19">
      <c r="A55" t="s">
        <v>308</v>
      </c>
      <c r="B55" s="41">
        <v>1152000000</v>
      </c>
      <c r="C55" s="41">
        <v>52000000</v>
      </c>
      <c r="D55" s="41">
        <v>40000000</v>
      </c>
      <c r="E55" s="41">
        <v>435000000</v>
      </c>
      <c r="F55" s="41">
        <v>-129000000</v>
      </c>
      <c r="G55" s="41">
        <v>863000000</v>
      </c>
      <c r="H55" s="41">
        <v>669000000</v>
      </c>
      <c r="I55" s="41">
        <v>259000000</v>
      </c>
      <c r="J55" s="41">
        <v>26000000</v>
      </c>
      <c r="K55" s="41">
        <v>6000000</v>
      </c>
      <c r="L55" s="41">
        <v>292000000</v>
      </c>
      <c r="M55" s="41">
        <v>146000000</v>
      </c>
      <c r="N55" s="41">
        <v>9000000</v>
      </c>
      <c r="O55" s="41">
        <v>-29000000</v>
      </c>
      <c r="P55" s="41">
        <v>54000000</v>
      </c>
      <c r="Q55" s="41">
        <v>-31000000</v>
      </c>
      <c r="R55" s="41">
        <v>-99000000</v>
      </c>
      <c r="S55" s="41">
        <v>121000000</v>
      </c>
    </row>
    <row r="56" spans="1:19">
      <c r="A56" t="s">
        <v>309</v>
      </c>
      <c r="B56" s="41">
        <v>960000000</v>
      </c>
      <c r="C56" s="41">
        <v>842000000</v>
      </c>
      <c r="D56" s="41">
        <v>934000000</v>
      </c>
      <c r="E56" s="41">
        <v>109000000</v>
      </c>
      <c r="F56" s="41">
        <v>-362000000</v>
      </c>
      <c r="G56" s="41">
        <v>582000000</v>
      </c>
      <c r="H56" s="41">
        <v>685000000</v>
      </c>
      <c r="I56" s="41">
        <v>891000000</v>
      </c>
      <c r="J56" s="41">
        <v>658000000</v>
      </c>
      <c r="K56" s="41">
        <v>576000000</v>
      </c>
      <c r="L56" s="41">
        <v>658000000</v>
      </c>
      <c r="M56" s="41">
        <v>585000000</v>
      </c>
      <c r="N56" s="41">
        <v>509000000</v>
      </c>
      <c r="O56" s="41">
        <v>474000000</v>
      </c>
      <c r="P56" s="41">
        <v>367000000</v>
      </c>
      <c r="Q56" s="41">
        <v>305000000</v>
      </c>
      <c r="R56" s="41">
        <v>627000000</v>
      </c>
      <c r="S56" s="41">
        <v>610000000</v>
      </c>
    </row>
    <row r="57" spans="1:19">
      <c r="A57" t="s">
        <v>310</v>
      </c>
      <c r="B57">
        <v>0.17100000000000001</v>
      </c>
      <c r="C57">
        <v>0.28899999999999998</v>
      </c>
      <c r="D57">
        <v>0.21</v>
      </c>
      <c r="E57">
        <v>0.27</v>
      </c>
      <c r="F57">
        <v>0.26800000000000002</v>
      </c>
      <c r="G57">
        <v>0.23899999999999999</v>
      </c>
      <c r="H57">
        <v>2.9000000000000001E-2</v>
      </c>
      <c r="I57">
        <v>0.4</v>
      </c>
      <c r="J57">
        <v>0.27</v>
      </c>
      <c r="K57">
        <v>0.36199999999999999</v>
      </c>
      <c r="L57">
        <v>0.34100000000000003</v>
      </c>
      <c r="M57">
        <v>0.36199999999999999</v>
      </c>
      <c r="N57">
        <v>8.3000000000000004E-2</v>
      </c>
      <c r="O57">
        <v>0.35</v>
      </c>
      <c r="P57">
        <v>0.35</v>
      </c>
      <c r="Q57">
        <v>0.157</v>
      </c>
      <c r="R57">
        <v>0.35</v>
      </c>
      <c r="S57">
        <v>0.35</v>
      </c>
    </row>
    <row r="58" spans="1:19">
      <c r="A58" t="s">
        <v>311</v>
      </c>
      <c r="B58" s="41">
        <v>196992000</v>
      </c>
      <c r="C58" s="41">
        <v>15028000</v>
      </c>
      <c r="D58" s="41">
        <v>8400000</v>
      </c>
      <c r="E58" s="41">
        <v>117450000</v>
      </c>
      <c r="F58" s="41">
        <v>-34572000</v>
      </c>
      <c r="G58" s="41">
        <v>206257000</v>
      </c>
      <c r="H58" s="41">
        <v>19401000</v>
      </c>
      <c r="I58" s="41">
        <v>103600000</v>
      </c>
      <c r="J58" s="41">
        <v>7020000</v>
      </c>
      <c r="K58" s="41">
        <v>2172000</v>
      </c>
      <c r="L58" s="41">
        <v>99572000</v>
      </c>
      <c r="M58" s="41">
        <v>52852000</v>
      </c>
      <c r="N58" s="41">
        <v>747000</v>
      </c>
      <c r="O58" s="41">
        <v>-10150000</v>
      </c>
      <c r="P58" s="41">
        <v>18900000</v>
      </c>
      <c r="Q58" s="91">
        <v>-4862745.0980000002</v>
      </c>
      <c r="R58" s="41">
        <v>-34650000</v>
      </c>
      <c r="S58" s="41">
        <v>42350000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99EFE-3EEB-4FED-9CA7-42023775A597}">
  <sheetPr>
    <tabColor rgb="FFFF0000"/>
  </sheetPr>
  <dimension ref="A1:S92"/>
  <sheetViews>
    <sheetView workbookViewId="0">
      <selection sqref="A1:XFD1048576"/>
    </sheetView>
  </sheetViews>
  <sheetFormatPr defaultRowHeight="14.5"/>
  <cols>
    <col min="1" max="1" width="52.08984375" bestFit="1" customWidth="1"/>
    <col min="2" max="5" width="13.54296875" bestFit="1" customWidth="1"/>
    <col min="6" max="19" width="13.1796875" bestFit="1" customWidth="1"/>
  </cols>
  <sheetData>
    <row r="1" spans="1:19">
      <c r="A1" t="s">
        <v>258</v>
      </c>
      <c r="B1" s="53">
        <v>45657</v>
      </c>
      <c r="C1" s="53">
        <v>45291</v>
      </c>
      <c r="D1" s="53">
        <v>44926</v>
      </c>
      <c r="E1" s="53">
        <v>44561</v>
      </c>
      <c r="F1" s="53">
        <v>44196</v>
      </c>
      <c r="G1" s="53">
        <v>43830</v>
      </c>
      <c r="H1" s="53">
        <v>43465</v>
      </c>
      <c r="I1" s="53">
        <v>43100</v>
      </c>
      <c r="J1" s="53">
        <v>42735</v>
      </c>
      <c r="K1" s="53">
        <v>42369</v>
      </c>
      <c r="L1" s="53">
        <v>42004</v>
      </c>
      <c r="M1" s="53">
        <v>41639</v>
      </c>
      <c r="N1" s="53">
        <v>41274</v>
      </c>
      <c r="O1" s="53">
        <v>40908</v>
      </c>
      <c r="P1" s="53">
        <v>40543</v>
      </c>
      <c r="Q1" s="53">
        <v>40178</v>
      </c>
      <c r="R1" s="53">
        <v>39813</v>
      </c>
      <c r="S1" s="53">
        <v>39447</v>
      </c>
    </row>
    <row r="2" spans="1:19">
      <c r="A2" t="s">
        <v>312</v>
      </c>
      <c r="B2" s="41">
        <v>13324000000</v>
      </c>
      <c r="C2" s="41">
        <v>12833000000</v>
      </c>
      <c r="D2" s="41">
        <v>12312000000</v>
      </c>
      <c r="E2" s="41">
        <v>12603000000</v>
      </c>
      <c r="F2" s="41">
        <v>9129000000</v>
      </c>
      <c r="G2" s="41">
        <v>8417000000</v>
      </c>
      <c r="H2" s="41">
        <v>7643000000</v>
      </c>
      <c r="I2" s="41">
        <v>7572000000</v>
      </c>
      <c r="J2" s="41">
        <v>7749000000</v>
      </c>
      <c r="K2" s="41">
        <v>7591000000</v>
      </c>
      <c r="L2" s="41">
        <v>8143000000</v>
      </c>
      <c r="M2" s="41">
        <v>8177000000</v>
      </c>
      <c r="N2" s="41">
        <v>7630000000</v>
      </c>
      <c r="O2" s="41">
        <v>7507000000</v>
      </c>
      <c r="P2" s="41">
        <v>7243000000</v>
      </c>
      <c r="Q2" s="41">
        <v>7155000000</v>
      </c>
      <c r="R2" s="41">
        <v>6119000000</v>
      </c>
      <c r="S2" s="41">
        <v>6248000000</v>
      </c>
    </row>
    <row r="3" spans="1:19">
      <c r="A3" t="s">
        <v>313</v>
      </c>
      <c r="B3" s="41">
        <v>2733000000</v>
      </c>
      <c r="C3" s="41">
        <v>2130000000</v>
      </c>
      <c r="D3" s="41">
        <v>2250000000</v>
      </c>
      <c r="E3" s="41">
        <v>2062000000</v>
      </c>
      <c r="F3" s="41">
        <v>2563000000</v>
      </c>
      <c r="G3" s="41">
        <v>1706000000</v>
      </c>
      <c r="H3" s="41">
        <v>1345000000</v>
      </c>
      <c r="I3" s="41">
        <v>1327000000</v>
      </c>
      <c r="J3" s="41">
        <v>1139000000</v>
      </c>
      <c r="K3" s="41">
        <v>1124000000</v>
      </c>
      <c r="L3" s="41">
        <v>1709000000</v>
      </c>
      <c r="M3" s="41">
        <v>1163000000</v>
      </c>
      <c r="N3" s="41">
        <v>1758000000</v>
      </c>
      <c r="O3" s="41">
        <v>1591000000</v>
      </c>
      <c r="P3" s="41">
        <v>2165000000</v>
      </c>
      <c r="Q3" s="41">
        <v>2009000000</v>
      </c>
      <c r="R3" s="41">
        <v>1057000000</v>
      </c>
      <c r="S3" s="41">
        <v>1065000000</v>
      </c>
    </row>
    <row r="4" spans="1:19">
      <c r="A4" t="s">
        <v>314</v>
      </c>
      <c r="B4" s="41">
        <v>1383000000</v>
      </c>
      <c r="C4" s="41">
        <v>896000000</v>
      </c>
      <c r="D4" s="41">
        <v>1149000000</v>
      </c>
      <c r="E4" s="41">
        <v>1187000000</v>
      </c>
      <c r="F4" s="41">
        <v>1882000000</v>
      </c>
      <c r="G4" s="41">
        <v>961000000</v>
      </c>
      <c r="H4" s="41">
        <v>686000000</v>
      </c>
      <c r="I4" s="41">
        <v>552000000</v>
      </c>
      <c r="J4" s="41">
        <v>538000000</v>
      </c>
      <c r="K4" s="41">
        <v>503000000</v>
      </c>
      <c r="L4" s="41">
        <v>815000000</v>
      </c>
      <c r="M4" s="41">
        <v>484000000</v>
      </c>
      <c r="N4" s="41">
        <v>927000000</v>
      </c>
      <c r="O4" s="41">
        <v>1122000000</v>
      </c>
      <c r="P4" s="41">
        <v>1634000000</v>
      </c>
      <c r="Q4" s="41">
        <v>1431000000</v>
      </c>
      <c r="R4" s="41">
        <v>428000000</v>
      </c>
      <c r="S4" s="41">
        <v>409000000</v>
      </c>
    </row>
    <row r="5" spans="1:19">
      <c r="A5" t="s">
        <v>315</v>
      </c>
      <c r="B5" s="41">
        <v>1011000000</v>
      </c>
      <c r="C5" s="41">
        <v>881000000</v>
      </c>
      <c r="D5" s="41">
        <v>991000000</v>
      </c>
      <c r="E5" s="41">
        <v>960000000</v>
      </c>
      <c r="F5" s="41">
        <v>1207000000</v>
      </c>
      <c r="G5" s="41">
        <v>893000000</v>
      </c>
      <c r="H5" s="41">
        <v>570000000</v>
      </c>
      <c r="I5" s="41">
        <v>503000000</v>
      </c>
      <c r="J5" s="41">
        <v>482000000</v>
      </c>
      <c r="K5" s="41">
        <v>457000000</v>
      </c>
      <c r="L5" s="41">
        <v>685000000</v>
      </c>
      <c r="M5" s="41">
        <v>454000000</v>
      </c>
      <c r="N5" s="41">
        <v>413000000</v>
      </c>
      <c r="O5" s="41">
        <v>534000000</v>
      </c>
      <c r="P5" s="41">
        <v>1110000000</v>
      </c>
      <c r="Q5" s="41">
        <v>1327000000</v>
      </c>
      <c r="R5" s="41">
        <v>428000000</v>
      </c>
      <c r="S5" s="41">
        <v>409000000</v>
      </c>
    </row>
    <row r="6" spans="1:19">
      <c r="A6" t="s">
        <v>316</v>
      </c>
      <c r="B6" s="41">
        <v>372000000</v>
      </c>
      <c r="C6" s="41">
        <v>15000000</v>
      </c>
      <c r="D6" s="41">
        <v>158000000</v>
      </c>
      <c r="E6" s="41">
        <v>227000000</v>
      </c>
      <c r="F6" s="41">
        <v>675000000</v>
      </c>
      <c r="G6" s="41">
        <v>68000000</v>
      </c>
      <c r="H6" s="41">
        <v>116000000</v>
      </c>
      <c r="I6" s="41">
        <v>49000000</v>
      </c>
      <c r="J6" s="41">
        <v>56000000</v>
      </c>
      <c r="K6" s="41">
        <v>46000000</v>
      </c>
      <c r="L6" s="41">
        <v>130000000</v>
      </c>
      <c r="M6" s="41">
        <v>30000000</v>
      </c>
      <c r="N6" s="41">
        <v>514000000</v>
      </c>
      <c r="O6" s="41">
        <v>588000000</v>
      </c>
      <c r="P6" s="41">
        <v>524000000</v>
      </c>
      <c r="Q6" s="41">
        <v>104000000</v>
      </c>
    </row>
    <row r="7" spans="1:19">
      <c r="A7" t="s">
        <v>317</v>
      </c>
      <c r="B7" s="41">
        <v>1121000000</v>
      </c>
      <c r="C7" s="41">
        <v>883000000</v>
      </c>
      <c r="D7" s="41">
        <v>834000000</v>
      </c>
      <c r="E7" s="41">
        <v>633000000</v>
      </c>
      <c r="F7" s="41">
        <v>316000000</v>
      </c>
      <c r="G7" s="41">
        <v>421000000</v>
      </c>
      <c r="H7" s="41">
        <v>427000000</v>
      </c>
      <c r="I7" s="41">
        <v>350000000</v>
      </c>
      <c r="J7" s="41">
        <v>304000000</v>
      </c>
      <c r="K7" s="41">
        <v>298000000</v>
      </c>
      <c r="L7" s="41">
        <v>274000000</v>
      </c>
      <c r="M7" s="41">
        <v>273000000</v>
      </c>
      <c r="N7" s="41">
        <v>531000000</v>
      </c>
      <c r="O7" s="41">
        <v>225000000</v>
      </c>
      <c r="P7" s="41">
        <v>272000000</v>
      </c>
      <c r="Q7" s="41">
        <v>306000000</v>
      </c>
      <c r="R7" s="41">
        <v>353000000</v>
      </c>
      <c r="S7" s="41">
        <v>391000000</v>
      </c>
    </row>
    <row r="8" spans="1:19">
      <c r="A8" t="s">
        <v>318</v>
      </c>
      <c r="B8" s="41">
        <v>1121000000</v>
      </c>
      <c r="C8" s="41">
        <v>883000000</v>
      </c>
      <c r="D8" s="41">
        <v>834000000</v>
      </c>
      <c r="E8" s="41">
        <v>633000000</v>
      </c>
      <c r="F8" s="41">
        <v>316000000</v>
      </c>
      <c r="G8" s="41">
        <v>421000000</v>
      </c>
      <c r="H8" s="41">
        <v>427000000</v>
      </c>
      <c r="I8" s="41">
        <v>350000000</v>
      </c>
      <c r="J8" s="41">
        <v>304000000</v>
      </c>
      <c r="K8" s="41">
        <v>298000000</v>
      </c>
      <c r="L8" s="41">
        <v>274000000</v>
      </c>
      <c r="M8" s="41">
        <v>273000000</v>
      </c>
      <c r="N8" s="41">
        <v>531000000</v>
      </c>
      <c r="O8" s="41">
        <v>225000000</v>
      </c>
    </row>
    <row r="9" spans="1:19">
      <c r="A9" t="s">
        <v>319</v>
      </c>
      <c r="B9" s="41">
        <v>1183000000</v>
      </c>
      <c r="C9" s="41">
        <v>933000000</v>
      </c>
      <c r="D9" s="41">
        <v>897000000</v>
      </c>
      <c r="E9" s="41">
        <v>686000000</v>
      </c>
      <c r="F9" s="41">
        <v>372000000</v>
      </c>
      <c r="G9" s="41">
        <v>453000000</v>
      </c>
      <c r="H9" s="41">
        <v>453000000</v>
      </c>
      <c r="I9" s="41">
        <v>371000000</v>
      </c>
      <c r="J9" s="41">
        <v>322000000</v>
      </c>
      <c r="K9" s="41">
        <v>313000000</v>
      </c>
      <c r="L9" s="41">
        <v>287000000</v>
      </c>
      <c r="M9" s="41">
        <v>284000000</v>
      </c>
      <c r="N9" s="41">
        <v>542000000</v>
      </c>
      <c r="O9" s="41">
        <v>235000000</v>
      </c>
    </row>
    <row r="10" spans="1:19">
      <c r="A10" t="s">
        <v>320</v>
      </c>
      <c r="B10" s="41">
        <v>-62000000</v>
      </c>
      <c r="C10" s="41">
        <v>-50000000</v>
      </c>
      <c r="D10" s="41">
        <v>-63000000</v>
      </c>
      <c r="E10" s="41">
        <v>-53000000</v>
      </c>
      <c r="F10" s="41">
        <v>-56000000</v>
      </c>
      <c r="G10" s="41">
        <v>-32000000</v>
      </c>
      <c r="H10" s="41">
        <v>-26000000</v>
      </c>
      <c r="I10" s="41">
        <v>-21000000</v>
      </c>
      <c r="J10" s="41">
        <v>-18000000</v>
      </c>
      <c r="K10" s="41">
        <v>-15000000</v>
      </c>
      <c r="L10" s="41">
        <v>-13000000</v>
      </c>
      <c r="M10" s="41">
        <v>-11000000</v>
      </c>
      <c r="N10" s="41">
        <v>-11000000</v>
      </c>
      <c r="O10" s="41">
        <v>-10000000</v>
      </c>
    </row>
    <row r="11" spans="1:19">
      <c r="A11" t="s">
        <v>321</v>
      </c>
      <c r="B11" s="41">
        <v>8000000</v>
      </c>
      <c r="C11" s="41">
        <v>9000000</v>
      </c>
      <c r="D11" s="41">
        <v>9000000</v>
      </c>
      <c r="E11" s="41">
        <v>10000000</v>
      </c>
      <c r="F11" s="41">
        <v>9000000</v>
      </c>
      <c r="G11" s="41">
        <v>12000000</v>
      </c>
      <c r="H11" s="41">
        <v>14000000</v>
      </c>
      <c r="I11" s="41">
        <v>14000000</v>
      </c>
      <c r="J11" s="41">
        <v>28000000</v>
      </c>
      <c r="K11" s="41">
        <v>12000000</v>
      </c>
      <c r="L11" s="41">
        <v>17000000</v>
      </c>
      <c r="M11" s="41">
        <v>77000000</v>
      </c>
      <c r="N11" s="41">
        <v>80000000</v>
      </c>
      <c r="O11" s="41">
        <v>87000000</v>
      </c>
      <c r="P11" s="41">
        <v>100000000</v>
      </c>
      <c r="Q11" s="41">
        <v>133000000</v>
      </c>
      <c r="R11" s="41">
        <v>170000000</v>
      </c>
      <c r="S11" s="41">
        <v>150000000</v>
      </c>
    </row>
    <row r="12" spans="1:19">
      <c r="A12" t="s">
        <v>322</v>
      </c>
      <c r="B12" s="41">
        <v>46000000</v>
      </c>
      <c r="C12" s="41">
        <v>51000000</v>
      </c>
      <c r="D12" s="41">
        <v>39000000</v>
      </c>
      <c r="E12" s="41">
        <v>26000000</v>
      </c>
      <c r="F12" s="41">
        <v>281000000</v>
      </c>
      <c r="G12" s="41">
        <v>28000000</v>
      </c>
      <c r="H12" s="41">
        <v>36000000</v>
      </c>
      <c r="I12" s="41">
        <v>24000000</v>
      </c>
      <c r="J12" s="41">
        <v>40000000</v>
      </c>
      <c r="K12" s="41">
        <v>63000000</v>
      </c>
      <c r="L12" s="41">
        <v>47000000</v>
      </c>
      <c r="M12" s="41">
        <v>12000000</v>
      </c>
      <c r="N12" s="41">
        <v>12000000</v>
      </c>
      <c r="O12" s="41">
        <v>29000000</v>
      </c>
      <c r="P12" s="41">
        <v>6000000</v>
      </c>
      <c r="Q12" s="41">
        <v>85000000</v>
      </c>
      <c r="R12" s="41">
        <v>18000000</v>
      </c>
      <c r="S12" s="41">
        <v>3000000</v>
      </c>
    </row>
    <row r="13" spans="1:19">
      <c r="A13" t="s">
        <v>323</v>
      </c>
      <c r="B13" s="41">
        <v>1000000</v>
      </c>
      <c r="C13" s="41">
        <v>34000000</v>
      </c>
      <c r="D13" s="41">
        <v>39000000</v>
      </c>
      <c r="E13" s="41">
        <v>57000000</v>
      </c>
      <c r="F13" s="41">
        <v>11000000</v>
      </c>
      <c r="G13" s="41">
        <v>150000000</v>
      </c>
      <c r="H13" s="41">
        <v>33000000</v>
      </c>
      <c r="I13" s="41">
        <v>234000000</v>
      </c>
      <c r="J13" s="41">
        <v>76000000</v>
      </c>
      <c r="K13" s="41">
        <v>96000000</v>
      </c>
      <c r="L13" s="41">
        <v>359000000</v>
      </c>
      <c r="M13" s="41">
        <v>184000000</v>
      </c>
      <c r="N13" s="41">
        <v>72000000</v>
      </c>
      <c r="O13" s="41">
        <v>27000000</v>
      </c>
      <c r="P13" s="41">
        <v>106000000</v>
      </c>
      <c r="Q13" s="41">
        <v>11000000</v>
      </c>
      <c r="R13" s="41">
        <v>37000000</v>
      </c>
      <c r="S13" s="41">
        <v>20000000</v>
      </c>
    </row>
    <row r="14" spans="1:19">
      <c r="A14" t="s">
        <v>324</v>
      </c>
      <c r="L14" s="41">
        <v>26000000</v>
      </c>
      <c r="M14" s="41">
        <v>11000000</v>
      </c>
      <c r="N14" s="41">
        <v>19000000</v>
      </c>
      <c r="O14" s="41">
        <v>23000000</v>
      </c>
      <c r="P14" s="41">
        <v>29000000</v>
      </c>
      <c r="Q14" s="41">
        <v>23000000</v>
      </c>
      <c r="R14" s="41">
        <v>51000000</v>
      </c>
      <c r="S14" s="41">
        <v>25000000</v>
      </c>
    </row>
    <row r="15" spans="1:19">
      <c r="A15" t="s">
        <v>325</v>
      </c>
      <c r="L15" s="41">
        <v>26000000</v>
      </c>
      <c r="M15" s="41">
        <v>11000000</v>
      </c>
      <c r="N15" s="41">
        <v>19000000</v>
      </c>
      <c r="O15" s="41">
        <v>23000000</v>
      </c>
      <c r="P15" s="41">
        <v>29000000</v>
      </c>
      <c r="Q15" s="41">
        <v>23000000</v>
      </c>
      <c r="R15" s="41">
        <v>51000000</v>
      </c>
      <c r="S15" s="41">
        <v>25000000</v>
      </c>
    </row>
    <row r="16" spans="1:19">
      <c r="A16" t="s">
        <v>326</v>
      </c>
      <c r="B16">
        <v>0</v>
      </c>
      <c r="C16" s="41">
        <v>62000000</v>
      </c>
      <c r="D16">
        <v>0</v>
      </c>
      <c r="L16" s="41">
        <v>63000000</v>
      </c>
      <c r="M16">
        <v>0</v>
      </c>
      <c r="N16" s="41">
        <v>34000000</v>
      </c>
      <c r="O16">
        <v>0</v>
      </c>
    </row>
    <row r="17" spans="1:19">
      <c r="A17" t="s">
        <v>327</v>
      </c>
      <c r="B17" s="41">
        <v>174000000</v>
      </c>
      <c r="C17" s="41">
        <v>195000000</v>
      </c>
      <c r="D17" s="41">
        <v>180000000</v>
      </c>
      <c r="E17" s="41">
        <v>149000000</v>
      </c>
      <c r="F17" s="41">
        <v>64000000</v>
      </c>
      <c r="G17" s="41">
        <v>134000000</v>
      </c>
      <c r="H17" s="41">
        <v>149000000</v>
      </c>
      <c r="I17" s="41">
        <v>153000000</v>
      </c>
      <c r="J17" s="41">
        <v>153000000</v>
      </c>
      <c r="K17" s="41">
        <v>152000000</v>
      </c>
      <c r="L17" s="41">
        <v>108000000</v>
      </c>
      <c r="M17" s="41">
        <v>122000000</v>
      </c>
      <c r="N17" s="41">
        <v>83000000</v>
      </c>
      <c r="O17" s="41">
        <v>78000000</v>
      </c>
      <c r="P17" s="41">
        <v>18000000</v>
      </c>
      <c r="Q17" s="41">
        <v>20000000</v>
      </c>
      <c r="S17" s="41">
        <v>67000000</v>
      </c>
    </row>
    <row r="18" spans="1:19">
      <c r="A18" t="s">
        <v>328</v>
      </c>
      <c r="B18" s="41">
        <v>10591000000</v>
      </c>
      <c r="C18" s="41">
        <v>10703000000</v>
      </c>
      <c r="D18" s="41">
        <v>10062000000</v>
      </c>
      <c r="E18" s="41">
        <v>10541000000</v>
      </c>
      <c r="F18" s="41">
        <v>6566000000</v>
      </c>
      <c r="G18" s="41">
        <v>6711000000</v>
      </c>
      <c r="H18" s="41">
        <v>6298000000</v>
      </c>
      <c r="I18" s="41">
        <v>6245000000</v>
      </c>
      <c r="J18" s="41">
        <v>6610000000</v>
      </c>
      <c r="K18" s="41">
        <v>6467000000</v>
      </c>
      <c r="L18" s="41">
        <v>6434000000</v>
      </c>
      <c r="M18" s="41">
        <v>7014000000</v>
      </c>
      <c r="N18" s="41">
        <v>5872000000</v>
      </c>
      <c r="O18" s="41">
        <v>5916000000</v>
      </c>
      <c r="P18" s="41">
        <v>5078000000</v>
      </c>
      <c r="Q18" s="41">
        <v>5146000000</v>
      </c>
      <c r="R18" s="41">
        <v>5062000000</v>
      </c>
      <c r="S18" s="41">
        <v>5183000000</v>
      </c>
    </row>
    <row r="19" spans="1:19">
      <c r="A19" t="s">
        <v>329</v>
      </c>
      <c r="B19" s="41">
        <v>2017000000</v>
      </c>
      <c r="C19" s="41">
        <v>2709000000</v>
      </c>
      <c r="D19" s="41">
        <v>2769000000</v>
      </c>
      <c r="E19" s="41">
        <v>3294000000</v>
      </c>
      <c r="F19" s="41">
        <v>3600000000</v>
      </c>
      <c r="G19" s="41">
        <v>3949000000</v>
      </c>
      <c r="H19" s="41">
        <v>3608000000</v>
      </c>
      <c r="I19" s="41">
        <v>4034000000</v>
      </c>
      <c r="J19" s="41">
        <v>4270000000</v>
      </c>
      <c r="K19" s="41">
        <v>4031000000</v>
      </c>
      <c r="L19" s="41">
        <v>4186000000</v>
      </c>
      <c r="M19" s="41">
        <v>4671000000</v>
      </c>
      <c r="N19" s="41">
        <v>4139000000</v>
      </c>
      <c r="O19" s="41">
        <v>4043000000</v>
      </c>
      <c r="P19" s="41">
        <v>3453000000</v>
      </c>
      <c r="Q19" s="41">
        <v>3585000000</v>
      </c>
      <c r="R19" s="41">
        <v>3495000000</v>
      </c>
      <c r="S19" s="41">
        <v>3495000000</v>
      </c>
    </row>
    <row r="20" spans="1:19">
      <c r="A20" t="s">
        <v>330</v>
      </c>
      <c r="B20" s="41">
        <v>3545000000</v>
      </c>
      <c r="C20" s="41">
        <v>4958000000</v>
      </c>
      <c r="D20" s="41">
        <v>4950000000</v>
      </c>
      <c r="E20" s="41">
        <v>5612000000</v>
      </c>
      <c r="F20" s="41">
        <v>5948000000</v>
      </c>
      <c r="G20" s="41">
        <v>6098000000</v>
      </c>
      <c r="H20" s="41">
        <v>5847000000</v>
      </c>
      <c r="I20" s="41">
        <v>6332000000</v>
      </c>
      <c r="J20" s="41">
        <v>6634000000</v>
      </c>
      <c r="K20" s="41">
        <v>6252000000</v>
      </c>
      <c r="L20" s="41">
        <v>6208000000</v>
      </c>
      <c r="M20" s="41">
        <v>7016000000</v>
      </c>
      <c r="N20" s="41">
        <v>6351000000</v>
      </c>
      <c r="O20" s="41">
        <v>6083000000</v>
      </c>
      <c r="P20" s="41">
        <v>5437000000</v>
      </c>
      <c r="Q20" s="41">
        <v>5499000000</v>
      </c>
      <c r="R20" s="41">
        <v>5211000000</v>
      </c>
      <c r="S20" s="41">
        <v>5211000000</v>
      </c>
    </row>
    <row r="21" spans="1:19">
      <c r="A21" t="s">
        <v>331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</row>
    <row r="22" spans="1:19">
      <c r="A22" t="s">
        <v>332</v>
      </c>
      <c r="B22" s="41">
        <v>482000000</v>
      </c>
      <c r="C22" s="41">
        <v>564000000</v>
      </c>
      <c r="D22" s="41">
        <v>557000000</v>
      </c>
      <c r="E22" s="41">
        <v>676000000</v>
      </c>
      <c r="F22" s="41">
        <v>658000000</v>
      </c>
      <c r="G22" s="41">
        <v>690000000</v>
      </c>
      <c r="H22" s="41">
        <v>713000000</v>
      </c>
      <c r="I22" s="41">
        <v>916000000</v>
      </c>
      <c r="J22" s="41">
        <v>901000000</v>
      </c>
      <c r="K22" s="41">
        <v>674000000</v>
      </c>
      <c r="L22" s="41">
        <v>710000000</v>
      </c>
      <c r="M22" s="41">
        <v>672000000</v>
      </c>
      <c r="N22" s="41">
        <v>688000000</v>
      </c>
      <c r="O22" s="41">
        <v>666000000</v>
      </c>
      <c r="P22" s="41">
        <v>621000000</v>
      </c>
      <c r="Q22" s="41">
        <v>557000000</v>
      </c>
      <c r="R22" s="41">
        <v>560000000</v>
      </c>
      <c r="S22" s="41">
        <v>560000000</v>
      </c>
    </row>
    <row r="23" spans="1:19">
      <c r="A23" t="s">
        <v>333</v>
      </c>
      <c r="B23" s="41">
        <v>1591000000</v>
      </c>
      <c r="C23" s="41">
        <v>2645000000</v>
      </c>
      <c r="D23" s="41">
        <v>2658000000</v>
      </c>
      <c r="E23" s="41">
        <v>3065000000</v>
      </c>
      <c r="F23" s="41">
        <v>3381000000</v>
      </c>
      <c r="G23" s="41">
        <v>3285000000</v>
      </c>
      <c r="H23" s="41">
        <v>3583000000</v>
      </c>
      <c r="I23" s="41">
        <v>3880000000</v>
      </c>
      <c r="J23" s="41">
        <v>4125000000</v>
      </c>
      <c r="K23" s="41">
        <v>3898000000</v>
      </c>
      <c r="L23" s="41">
        <v>3948000000</v>
      </c>
      <c r="M23" s="41">
        <v>4628000000</v>
      </c>
      <c r="N23" s="41">
        <v>4062000000</v>
      </c>
      <c r="O23" s="41">
        <v>3878000000</v>
      </c>
      <c r="P23" s="41">
        <v>3365000000</v>
      </c>
      <c r="Q23" s="41">
        <v>3310000000</v>
      </c>
      <c r="R23" s="41">
        <v>3158000000</v>
      </c>
      <c r="S23" s="41">
        <v>3158000000</v>
      </c>
    </row>
    <row r="24" spans="1:19">
      <c r="A24" t="s">
        <v>334</v>
      </c>
      <c r="B24" s="41">
        <v>891000000</v>
      </c>
      <c r="C24" s="41">
        <v>1166000000</v>
      </c>
      <c r="D24" s="41">
        <v>1136000000</v>
      </c>
      <c r="E24" s="41">
        <v>1186000000</v>
      </c>
      <c r="F24" s="41">
        <v>1216000000</v>
      </c>
      <c r="G24" s="41">
        <v>1183000000</v>
      </c>
      <c r="H24" s="41">
        <v>1178000000</v>
      </c>
      <c r="I24" s="41">
        <v>1204000000</v>
      </c>
      <c r="J24" s="41">
        <v>1316000000</v>
      </c>
      <c r="K24" s="41">
        <v>1209000000</v>
      </c>
      <c r="L24" s="41">
        <v>1173000000</v>
      </c>
      <c r="M24" s="41">
        <v>1376000000</v>
      </c>
      <c r="N24" s="41">
        <v>1288000000</v>
      </c>
      <c r="O24" s="41">
        <v>1243000000</v>
      </c>
      <c r="P24" s="41">
        <v>1106000000</v>
      </c>
      <c r="Q24" s="41">
        <v>1123000000</v>
      </c>
      <c r="R24" s="41">
        <v>1057000000</v>
      </c>
      <c r="S24" s="41">
        <v>1057000000</v>
      </c>
    </row>
    <row r="25" spans="1:19">
      <c r="A25" t="s">
        <v>335</v>
      </c>
      <c r="B25" s="41">
        <v>328000000</v>
      </c>
      <c r="C25" s="41">
        <v>369000000</v>
      </c>
      <c r="D25" s="41">
        <v>385000000</v>
      </c>
      <c r="E25" s="41">
        <v>446000000</v>
      </c>
      <c r="F25" s="41">
        <v>474000000</v>
      </c>
      <c r="G25" s="41">
        <v>493000000</v>
      </c>
    </row>
    <row r="26" spans="1:19">
      <c r="A26" t="s">
        <v>336</v>
      </c>
      <c r="B26" s="41">
        <v>44000000</v>
      </c>
      <c r="C26" s="41">
        <v>23000000</v>
      </c>
      <c r="D26" s="41">
        <v>30000000</v>
      </c>
      <c r="E26" s="41">
        <v>47000000</v>
      </c>
      <c r="F26" s="41">
        <v>32000000</v>
      </c>
      <c r="G26" s="41">
        <v>253000000</v>
      </c>
      <c r="H26" s="41">
        <v>158000000</v>
      </c>
      <c r="I26" s="41">
        <v>122000000</v>
      </c>
      <c r="J26" s="41">
        <v>90000000</v>
      </c>
      <c r="K26" s="41">
        <v>251000000</v>
      </c>
      <c r="L26" s="41">
        <v>151000000</v>
      </c>
      <c r="M26" s="41">
        <v>86000000</v>
      </c>
      <c r="N26" s="41">
        <v>65000000</v>
      </c>
      <c r="O26" s="41">
        <v>56000000</v>
      </c>
      <c r="P26" s="41">
        <v>84000000</v>
      </c>
      <c r="Q26" s="41">
        <v>246000000</v>
      </c>
      <c r="R26" s="41">
        <v>202000000</v>
      </c>
      <c r="S26" s="41">
        <v>202000000</v>
      </c>
    </row>
    <row r="27" spans="1:19">
      <c r="A27" t="s">
        <v>337</v>
      </c>
      <c r="B27" s="41">
        <v>209000000</v>
      </c>
      <c r="C27" s="41">
        <v>191000000</v>
      </c>
      <c r="D27" s="41">
        <v>184000000</v>
      </c>
      <c r="E27" s="41">
        <v>192000000</v>
      </c>
      <c r="F27" s="41">
        <v>187000000</v>
      </c>
      <c r="G27" s="41">
        <v>194000000</v>
      </c>
      <c r="H27" s="41">
        <v>215000000</v>
      </c>
      <c r="I27" s="41">
        <v>210000000</v>
      </c>
      <c r="J27" s="41">
        <v>202000000</v>
      </c>
      <c r="K27" s="41">
        <v>220000000</v>
      </c>
      <c r="L27" s="41">
        <v>226000000</v>
      </c>
      <c r="M27" s="41">
        <v>254000000</v>
      </c>
      <c r="N27" s="41">
        <v>248000000</v>
      </c>
      <c r="O27" s="41">
        <v>240000000</v>
      </c>
      <c r="P27" s="41">
        <v>261000000</v>
      </c>
      <c r="Q27" s="41">
        <v>263000000</v>
      </c>
      <c r="R27" s="41">
        <v>234000000</v>
      </c>
      <c r="S27" s="41">
        <v>234000000</v>
      </c>
    </row>
    <row r="28" spans="1:19">
      <c r="A28" t="s">
        <v>338</v>
      </c>
      <c r="B28" s="41">
        <v>-1528000000</v>
      </c>
      <c r="C28" s="41">
        <v>-2249000000</v>
      </c>
      <c r="D28" s="41">
        <v>-2181000000</v>
      </c>
      <c r="E28" s="41">
        <v>-2318000000</v>
      </c>
      <c r="F28" s="41">
        <v>-2348000000</v>
      </c>
      <c r="G28" s="41">
        <v>-2149000000</v>
      </c>
      <c r="H28" s="41">
        <v>-2239000000</v>
      </c>
      <c r="I28" s="41">
        <v>-2298000000</v>
      </c>
      <c r="J28" s="41">
        <v>-2364000000</v>
      </c>
      <c r="K28" s="41">
        <v>-2221000000</v>
      </c>
      <c r="L28" s="41">
        <v>-2022000000</v>
      </c>
      <c r="M28" s="41">
        <v>-2345000000</v>
      </c>
      <c r="N28" s="41">
        <v>-2212000000</v>
      </c>
      <c r="O28" s="41">
        <v>-2040000000</v>
      </c>
      <c r="P28" s="41">
        <v>-1984000000</v>
      </c>
      <c r="Q28" s="41">
        <v>-1914000000</v>
      </c>
      <c r="R28" s="41">
        <v>-1716000000</v>
      </c>
      <c r="S28" s="41">
        <v>-1716000000</v>
      </c>
    </row>
    <row r="29" spans="1:19">
      <c r="A29" t="s">
        <v>339</v>
      </c>
      <c r="B29" s="41">
        <v>4708000000</v>
      </c>
      <c r="C29" s="41">
        <v>4875000000</v>
      </c>
      <c r="D29" s="41">
        <v>4769000000</v>
      </c>
      <c r="E29" s="41">
        <v>4942000000</v>
      </c>
      <c r="F29" s="41">
        <v>673000000</v>
      </c>
      <c r="G29" s="41">
        <v>763000000</v>
      </c>
      <c r="H29" s="41">
        <v>911000000</v>
      </c>
      <c r="I29" s="41">
        <v>455000000</v>
      </c>
      <c r="J29" s="41">
        <v>724000000</v>
      </c>
      <c r="K29" s="41">
        <v>676000000</v>
      </c>
      <c r="L29" s="41">
        <v>685000000</v>
      </c>
      <c r="M29" s="41">
        <v>738000000</v>
      </c>
      <c r="N29" s="41">
        <v>521000000</v>
      </c>
      <c r="O29" s="41">
        <v>461000000</v>
      </c>
      <c r="P29" s="41">
        <v>382000000</v>
      </c>
      <c r="Q29" s="41">
        <v>397000000</v>
      </c>
      <c r="R29" s="41">
        <v>376000000</v>
      </c>
      <c r="S29" s="41">
        <v>562000000</v>
      </c>
    </row>
    <row r="30" spans="1:19">
      <c r="A30" t="s">
        <v>340</v>
      </c>
      <c r="B30" s="41">
        <v>2541000000</v>
      </c>
      <c r="C30" s="41">
        <v>3205000000</v>
      </c>
      <c r="D30" s="41">
        <v>3101000000</v>
      </c>
      <c r="E30" s="41">
        <v>2965000000</v>
      </c>
      <c r="F30" s="41">
        <v>288000000</v>
      </c>
      <c r="G30" s="41">
        <v>326000000</v>
      </c>
      <c r="H30" s="41">
        <v>283000000</v>
      </c>
      <c r="I30" s="41">
        <v>150000000</v>
      </c>
      <c r="J30" s="41">
        <v>125000000</v>
      </c>
      <c r="K30" s="41">
        <v>129000000</v>
      </c>
      <c r="L30" s="41">
        <v>133000000</v>
      </c>
      <c r="M30" s="41">
        <v>147000000</v>
      </c>
      <c r="N30" s="41">
        <v>133000000</v>
      </c>
      <c r="O30" s="41">
        <v>102000000</v>
      </c>
      <c r="P30" s="41">
        <v>102000000</v>
      </c>
      <c r="Q30" s="41">
        <v>113000000</v>
      </c>
      <c r="R30" s="41">
        <v>120000000</v>
      </c>
      <c r="S30" s="41">
        <v>203000000</v>
      </c>
    </row>
    <row r="31" spans="1:19">
      <c r="A31" t="s">
        <v>341</v>
      </c>
      <c r="B31" s="41">
        <v>2167000000</v>
      </c>
      <c r="C31" s="41">
        <v>1670000000</v>
      </c>
      <c r="D31" s="41">
        <v>1668000000</v>
      </c>
      <c r="E31" s="41">
        <v>1977000000</v>
      </c>
      <c r="F31" s="41">
        <v>385000000</v>
      </c>
      <c r="G31" s="41">
        <v>437000000</v>
      </c>
      <c r="H31" s="41">
        <v>628000000</v>
      </c>
      <c r="I31" s="41">
        <v>305000000</v>
      </c>
      <c r="J31" s="41">
        <v>599000000</v>
      </c>
      <c r="K31" s="41">
        <v>547000000</v>
      </c>
      <c r="L31" s="41">
        <v>552000000</v>
      </c>
      <c r="M31" s="41">
        <v>591000000</v>
      </c>
      <c r="N31" s="41">
        <v>388000000</v>
      </c>
      <c r="O31" s="41">
        <v>359000000</v>
      </c>
      <c r="P31" s="41">
        <v>280000000</v>
      </c>
      <c r="Q31" s="41">
        <v>284000000</v>
      </c>
      <c r="R31" s="41">
        <v>256000000</v>
      </c>
      <c r="S31" s="41">
        <v>359000000</v>
      </c>
    </row>
    <row r="32" spans="1:19">
      <c r="A32" t="s">
        <v>342</v>
      </c>
      <c r="B32" s="41">
        <v>1341000000</v>
      </c>
      <c r="C32" s="41">
        <v>993000000</v>
      </c>
      <c r="D32" s="41">
        <v>833000000</v>
      </c>
      <c r="E32" s="41">
        <v>954000000</v>
      </c>
      <c r="F32" s="41">
        <v>980000000</v>
      </c>
      <c r="G32" s="41">
        <v>843000000</v>
      </c>
      <c r="H32" s="41">
        <v>735000000</v>
      </c>
      <c r="I32" s="41">
        <v>750000000</v>
      </c>
      <c r="J32" s="41">
        <v>186000000</v>
      </c>
      <c r="K32" s="41">
        <v>327000000</v>
      </c>
      <c r="L32" s="41">
        <v>334000000</v>
      </c>
      <c r="M32" s="41">
        <v>329000000</v>
      </c>
      <c r="N32" s="41">
        <v>283000000</v>
      </c>
      <c r="O32" s="41">
        <v>280000000</v>
      </c>
      <c r="P32" s="41">
        <v>245000000</v>
      </c>
      <c r="Q32" s="41">
        <v>223000000</v>
      </c>
      <c r="R32" s="41">
        <v>204000000</v>
      </c>
      <c r="S32" s="41">
        <v>324000000</v>
      </c>
    </row>
    <row r="33" spans="1:19">
      <c r="A33" t="s">
        <v>343</v>
      </c>
      <c r="B33" s="41">
        <v>189000000</v>
      </c>
      <c r="C33" s="41">
        <v>211000000</v>
      </c>
      <c r="D33" s="41">
        <v>178000000</v>
      </c>
      <c r="E33" s="41">
        <v>216000000</v>
      </c>
      <c r="F33" s="41">
        <v>260000000</v>
      </c>
      <c r="G33" s="41">
        <v>232000000</v>
      </c>
      <c r="H33" s="41">
        <v>233000000</v>
      </c>
      <c r="I33" s="41">
        <v>212000000</v>
      </c>
    </row>
    <row r="34" spans="1:19">
      <c r="A34" t="s">
        <v>344</v>
      </c>
      <c r="B34" s="41">
        <v>827000000</v>
      </c>
      <c r="C34" s="41">
        <v>686000000</v>
      </c>
      <c r="D34" s="41">
        <v>578000000</v>
      </c>
      <c r="E34" s="41">
        <v>673000000</v>
      </c>
      <c r="F34" s="41">
        <v>627000000</v>
      </c>
      <c r="G34" s="41">
        <v>546000000</v>
      </c>
      <c r="H34" s="41">
        <v>390000000</v>
      </c>
      <c r="I34" s="41">
        <v>429000000</v>
      </c>
    </row>
    <row r="35" spans="1:19">
      <c r="A35" t="s">
        <v>345</v>
      </c>
      <c r="B35" s="41">
        <v>827000000</v>
      </c>
      <c r="C35" s="41">
        <v>686000000</v>
      </c>
      <c r="D35" s="41">
        <v>578000000</v>
      </c>
      <c r="E35" s="41">
        <v>673000000</v>
      </c>
      <c r="F35" s="41">
        <v>627000000</v>
      </c>
      <c r="G35" s="41">
        <v>546000000</v>
      </c>
      <c r="H35" s="41">
        <v>390000000</v>
      </c>
      <c r="I35" s="41">
        <v>429000000</v>
      </c>
    </row>
    <row r="36" spans="1:19">
      <c r="A36" t="s">
        <v>346</v>
      </c>
      <c r="B36" s="41">
        <v>325000000</v>
      </c>
      <c r="C36" s="41">
        <v>96000000</v>
      </c>
      <c r="D36" s="41">
        <v>77000000</v>
      </c>
      <c r="E36" s="41">
        <v>65000000</v>
      </c>
      <c r="F36" s="41">
        <v>93000000</v>
      </c>
      <c r="G36" s="41">
        <v>65000000</v>
      </c>
      <c r="H36" s="41">
        <v>112000000</v>
      </c>
      <c r="I36" s="41">
        <v>109000000</v>
      </c>
    </row>
    <row r="37" spans="1:19">
      <c r="A37" t="s">
        <v>347</v>
      </c>
      <c r="G37" s="41">
        <v>35000000</v>
      </c>
      <c r="H37" s="41">
        <v>13000000</v>
      </c>
      <c r="I37" s="41">
        <v>19000000</v>
      </c>
      <c r="J37" s="41">
        <v>19000000</v>
      </c>
      <c r="K37" s="41">
        <v>20000000</v>
      </c>
      <c r="L37" s="41">
        <v>40000000</v>
      </c>
      <c r="M37" s="41">
        <v>119000000</v>
      </c>
      <c r="N37" s="41">
        <v>126000000</v>
      </c>
      <c r="O37" s="41">
        <v>360000000</v>
      </c>
    </row>
    <row r="38" spans="1:19">
      <c r="A38" t="s">
        <v>348</v>
      </c>
      <c r="B38" s="41">
        <v>368000000</v>
      </c>
      <c r="C38" s="41">
        <v>73000000</v>
      </c>
      <c r="D38" s="41">
        <v>60000000</v>
      </c>
      <c r="E38" s="41">
        <v>41000000</v>
      </c>
      <c r="F38" s="41">
        <v>29000000</v>
      </c>
      <c r="G38" s="41">
        <v>35000000</v>
      </c>
      <c r="H38" s="41">
        <v>13000000</v>
      </c>
      <c r="I38" s="41">
        <v>19000000</v>
      </c>
      <c r="J38" s="41">
        <v>19000000</v>
      </c>
      <c r="K38" s="41">
        <v>20000000</v>
      </c>
      <c r="L38" s="41">
        <v>40000000</v>
      </c>
      <c r="M38" s="41">
        <v>119000000</v>
      </c>
      <c r="N38" s="41">
        <v>126000000</v>
      </c>
      <c r="O38" s="41">
        <v>360000000</v>
      </c>
      <c r="Q38" s="41">
        <v>385000000</v>
      </c>
      <c r="R38" s="41">
        <v>410000000</v>
      </c>
      <c r="S38" s="41">
        <v>160000000</v>
      </c>
    </row>
    <row r="39" spans="1:19">
      <c r="A39" t="s">
        <v>349</v>
      </c>
      <c r="B39" s="41">
        <v>466000000</v>
      </c>
      <c r="C39" s="41">
        <v>552000000</v>
      </c>
      <c r="D39" s="41">
        <v>363000000</v>
      </c>
      <c r="E39" s="41">
        <v>28000000</v>
      </c>
      <c r="F39" s="41">
        <v>207000000</v>
      </c>
      <c r="G39" s="41">
        <v>144000000</v>
      </c>
      <c r="H39" s="41">
        <v>180000000</v>
      </c>
      <c r="I39" s="41">
        <v>141000000</v>
      </c>
      <c r="J39" s="41">
        <v>313000000</v>
      </c>
      <c r="K39" s="41">
        <v>301000000</v>
      </c>
      <c r="L39" s="41">
        <v>196000000</v>
      </c>
      <c r="M39" s="41">
        <v>198000000</v>
      </c>
      <c r="N39" s="41">
        <v>183000000</v>
      </c>
      <c r="O39" s="41">
        <v>197000000</v>
      </c>
      <c r="P39" s="41">
        <v>62000000</v>
      </c>
      <c r="Q39" s="41">
        <v>74000000</v>
      </c>
      <c r="R39" s="41">
        <v>126000000</v>
      </c>
      <c r="S39" s="41">
        <v>151000000</v>
      </c>
    </row>
    <row r="40" spans="1:19">
      <c r="A40" t="s">
        <v>350</v>
      </c>
      <c r="B40" s="41">
        <v>466000000</v>
      </c>
      <c r="C40" s="41">
        <v>358000000</v>
      </c>
      <c r="D40" s="41">
        <v>257000000</v>
      </c>
      <c r="E40" s="41">
        <v>14000000</v>
      </c>
      <c r="F40" s="41">
        <v>207000000</v>
      </c>
      <c r="G40" s="41">
        <v>144000000</v>
      </c>
      <c r="H40" s="41">
        <v>180000000</v>
      </c>
      <c r="I40" s="41">
        <v>141000000</v>
      </c>
      <c r="J40" s="41">
        <v>313000000</v>
      </c>
      <c r="K40" s="41">
        <v>301000000</v>
      </c>
      <c r="L40" s="41">
        <v>196000000</v>
      </c>
      <c r="M40" s="41">
        <v>198000000</v>
      </c>
      <c r="N40" s="41">
        <v>183000000</v>
      </c>
      <c r="O40" s="41">
        <v>197000000</v>
      </c>
      <c r="P40" s="41">
        <v>62000000</v>
      </c>
      <c r="Q40" s="41">
        <v>74000000</v>
      </c>
      <c r="R40" s="41">
        <v>126000000</v>
      </c>
      <c r="S40" s="41">
        <v>151000000</v>
      </c>
    </row>
    <row r="41" spans="1:19">
      <c r="A41" t="s">
        <v>351</v>
      </c>
      <c r="B41" s="41">
        <v>1691000000</v>
      </c>
      <c r="C41" s="41">
        <v>1501000000</v>
      </c>
      <c r="D41" s="41">
        <v>1268000000</v>
      </c>
      <c r="E41" s="41">
        <v>1282000000</v>
      </c>
      <c r="F41" s="41">
        <v>1077000000</v>
      </c>
      <c r="G41" s="41">
        <v>977000000</v>
      </c>
      <c r="H41" s="41">
        <v>851000000</v>
      </c>
      <c r="I41" s="41">
        <v>846000000</v>
      </c>
      <c r="J41" s="41">
        <v>1098000000</v>
      </c>
      <c r="K41" s="41">
        <v>1112000000</v>
      </c>
      <c r="L41" s="41">
        <v>993000000</v>
      </c>
      <c r="M41" s="41">
        <v>959000000</v>
      </c>
      <c r="N41" s="41">
        <v>620000000</v>
      </c>
      <c r="O41" s="41">
        <v>575000000</v>
      </c>
      <c r="P41" s="41">
        <v>936000000</v>
      </c>
      <c r="Q41" s="41">
        <v>867000000</v>
      </c>
      <c r="R41" s="41">
        <v>451000000</v>
      </c>
      <c r="S41" s="41">
        <v>491000000</v>
      </c>
    </row>
    <row r="42" spans="1:19">
      <c r="A42" t="s">
        <v>352</v>
      </c>
      <c r="B42" s="41">
        <v>9498000000</v>
      </c>
      <c r="C42" s="41">
        <v>9266000000</v>
      </c>
      <c r="D42" s="41">
        <v>8610000000</v>
      </c>
      <c r="E42" s="41">
        <v>9037000000</v>
      </c>
      <c r="F42" s="41">
        <v>5915000000</v>
      </c>
      <c r="G42" s="41">
        <v>4450000000</v>
      </c>
      <c r="H42" s="41">
        <v>3966000000</v>
      </c>
      <c r="I42" s="41">
        <v>3719000000</v>
      </c>
      <c r="J42" s="41">
        <v>3841000000</v>
      </c>
      <c r="K42" s="41">
        <v>3596000000</v>
      </c>
      <c r="L42" s="41">
        <v>3512000000</v>
      </c>
      <c r="M42" s="41">
        <v>3400000000</v>
      </c>
      <c r="N42" s="41">
        <v>2809000000</v>
      </c>
      <c r="O42" s="41">
        <v>2679000000</v>
      </c>
      <c r="P42" s="41">
        <v>2112000000</v>
      </c>
      <c r="Q42" s="41">
        <v>2115000000</v>
      </c>
      <c r="R42" s="41">
        <v>2527000000</v>
      </c>
      <c r="S42" s="41">
        <v>2779000000</v>
      </c>
    </row>
    <row r="43" spans="1:19">
      <c r="A43" t="s">
        <v>353</v>
      </c>
      <c r="B43" s="41">
        <v>3274000000</v>
      </c>
      <c r="C43" s="41">
        <v>3578000000</v>
      </c>
      <c r="D43" s="41">
        <v>3287000000</v>
      </c>
      <c r="E43" s="41">
        <v>2232000000</v>
      </c>
      <c r="F43" s="41">
        <v>984000000</v>
      </c>
      <c r="G43" s="41">
        <v>1086000000</v>
      </c>
      <c r="H43" s="41">
        <v>1061000000</v>
      </c>
      <c r="I43" s="41">
        <v>992000000</v>
      </c>
      <c r="J43" s="41">
        <v>924000000</v>
      </c>
      <c r="K43" s="41">
        <v>1107000000</v>
      </c>
      <c r="L43" s="41">
        <v>730000000</v>
      </c>
      <c r="M43" s="41">
        <v>871000000</v>
      </c>
      <c r="N43" s="41">
        <v>618000000</v>
      </c>
      <c r="O43" s="41">
        <v>568000000</v>
      </c>
      <c r="P43" s="41">
        <v>596000000</v>
      </c>
      <c r="Q43" s="41">
        <v>495000000</v>
      </c>
      <c r="R43" s="41">
        <v>653000000</v>
      </c>
      <c r="S43" s="41">
        <v>697000000</v>
      </c>
    </row>
    <row r="44" spans="1:19">
      <c r="A44" t="s">
        <v>354</v>
      </c>
      <c r="B44" s="41">
        <v>1040000000</v>
      </c>
      <c r="C44" s="41">
        <v>961000000</v>
      </c>
      <c r="D44" s="41">
        <v>915000000</v>
      </c>
      <c r="E44" s="41">
        <v>822000000</v>
      </c>
      <c r="F44" s="41">
        <v>302000000</v>
      </c>
      <c r="G44" s="41">
        <v>454000000</v>
      </c>
      <c r="H44" s="41">
        <v>512000000</v>
      </c>
      <c r="I44" s="41">
        <v>488000000</v>
      </c>
      <c r="J44" s="41">
        <v>676000000</v>
      </c>
      <c r="K44" s="41">
        <v>657000000</v>
      </c>
      <c r="L44" s="41">
        <v>598000000</v>
      </c>
      <c r="M44" s="41">
        <v>544000000</v>
      </c>
      <c r="N44" s="41">
        <v>476000000</v>
      </c>
      <c r="O44" s="41">
        <v>450000000</v>
      </c>
      <c r="P44" s="41">
        <v>539000000</v>
      </c>
      <c r="Q44" s="41">
        <v>483000000</v>
      </c>
      <c r="R44" s="41">
        <v>615000000</v>
      </c>
      <c r="S44" s="41">
        <v>663000000</v>
      </c>
    </row>
    <row r="45" spans="1:19">
      <c r="A45" t="s">
        <v>355</v>
      </c>
      <c r="B45" s="41">
        <v>475000000</v>
      </c>
      <c r="C45" s="41">
        <v>493000000</v>
      </c>
      <c r="D45" s="41">
        <v>500000000</v>
      </c>
      <c r="E45" s="41">
        <v>523000000</v>
      </c>
      <c r="F45" s="41">
        <v>102000000</v>
      </c>
      <c r="G45" s="41">
        <v>150000000</v>
      </c>
      <c r="H45" s="41">
        <v>151000000</v>
      </c>
      <c r="I45" s="41">
        <v>136000000</v>
      </c>
      <c r="J45" s="41">
        <v>162000000</v>
      </c>
      <c r="K45" s="41">
        <v>141000000</v>
      </c>
      <c r="L45" s="41">
        <v>130000000</v>
      </c>
      <c r="M45" s="41">
        <v>133000000</v>
      </c>
      <c r="N45" s="41">
        <v>138000000</v>
      </c>
      <c r="O45" s="41">
        <v>144000000</v>
      </c>
      <c r="P45" s="41">
        <v>145000000</v>
      </c>
      <c r="Q45" s="41">
        <v>196000000</v>
      </c>
      <c r="R45" s="41">
        <v>341000000</v>
      </c>
      <c r="S45" s="41">
        <v>357000000</v>
      </c>
    </row>
    <row r="46" spans="1:19">
      <c r="A46" t="s">
        <v>356</v>
      </c>
      <c r="B46" s="41">
        <v>475000000</v>
      </c>
      <c r="C46" s="41">
        <v>493000000</v>
      </c>
      <c r="D46" s="41">
        <v>500000000</v>
      </c>
      <c r="E46" s="41">
        <v>523000000</v>
      </c>
      <c r="F46" s="41">
        <v>102000000</v>
      </c>
      <c r="G46" s="41">
        <v>150000000</v>
      </c>
      <c r="H46" s="41">
        <v>151000000</v>
      </c>
      <c r="I46" s="41">
        <v>136000000</v>
      </c>
      <c r="J46" s="41">
        <v>162000000</v>
      </c>
      <c r="K46" s="41">
        <v>141000000</v>
      </c>
      <c r="L46" s="41">
        <v>130000000</v>
      </c>
      <c r="M46" s="41">
        <v>133000000</v>
      </c>
      <c r="N46" s="41">
        <v>138000000</v>
      </c>
      <c r="O46" s="41">
        <v>144000000</v>
      </c>
      <c r="P46" s="41">
        <v>145000000</v>
      </c>
      <c r="Q46" s="41">
        <v>196000000</v>
      </c>
      <c r="R46" s="41">
        <v>318000000</v>
      </c>
      <c r="S46" s="41">
        <v>303000000</v>
      </c>
    </row>
    <row r="47" spans="1:19">
      <c r="A47" t="s">
        <v>357</v>
      </c>
      <c r="Q47" s="41">
        <v>5000000</v>
      </c>
      <c r="R47" s="41">
        <v>23000000</v>
      </c>
      <c r="S47" s="41">
        <v>54000000</v>
      </c>
    </row>
    <row r="48" spans="1:19">
      <c r="A48" t="s">
        <v>358</v>
      </c>
      <c r="Q48" s="41">
        <v>5000000</v>
      </c>
      <c r="R48" s="41">
        <v>23000000</v>
      </c>
      <c r="S48" s="41">
        <v>54000000</v>
      </c>
    </row>
    <row r="49" spans="1:19">
      <c r="A49" t="s">
        <v>359</v>
      </c>
      <c r="B49" s="41">
        <v>565000000</v>
      </c>
      <c r="C49" s="41">
        <v>468000000</v>
      </c>
      <c r="D49" s="41">
        <v>415000000</v>
      </c>
      <c r="E49" s="41">
        <v>299000000</v>
      </c>
      <c r="F49" s="41">
        <v>200000000</v>
      </c>
      <c r="G49" s="41">
        <v>304000000</v>
      </c>
      <c r="H49" s="41">
        <v>361000000</v>
      </c>
      <c r="I49" s="41">
        <v>352000000</v>
      </c>
      <c r="J49" s="41">
        <v>514000000</v>
      </c>
      <c r="K49" s="41">
        <v>516000000</v>
      </c>
      <c r="L49" s="41">
        <v>468000000</v>
      </c>
      <c r="M49" s="41">
        <v>411000000</v>
      </c>
      <c r="N49" s="41">
        <v>338000000</v>
      </c>
      <c r="O49" s="41">
        <v>306000000</v>
      </c>
      <c r="P49" s="41">
        <v>394000000</v>
      </c>
      <c r="Q49" s="41">
        <v>287000000</v>
      </c>
      <c r="R49" s="41">
        <v>274000000</v>
      </c>
      <c r="S49" s="41">
        <v>306000000</v>
      </c>
    </row>
    <row r="50" spans="1:19">
      <c r="A50" t="s">
        <v>360</v>
      </c>
      <c r="B50" s="41">
        <v>192000000</v>
      </c>
      <c r="C50" s="41">
        <v>210000000</v>
      </c>
      <c r="D50" s="41">
        <v>235000000</v>
      </c>
      <c r="E50" s="41">
        <v>187000000</v>
      </c>
      <c r="F50" s="41">
        <v>111000000</v>
      </c>
      <c r="G50" s="41">
        <v>144000000</v>
      </c>
      <c r="H50" s="41">
        <v>150000000</v>
      </c>
      <c r="I50" s="41">
        <v>145000000</v>
      </c>
      <c r="J50" s="41">
        <v>129000000</v>
      </c>
      <c r="K50" s="41">
        <v>122000000</v>
      </c>
      <c r="L50" s="41">
        <v>120000000</v>
      </c>
      <c r="M50" s="41">
        <v>133000000</v>
      </c>
      <c r="N50" s="41">
        <v>137000000</v>
      </c>
      <c r="O50" s="41">
        <v>114000000</v>
      </c>
    </row>
    <row r="51" spans="1:19">
      <c r="A51" t="s">
        <v>361</v>
      </c>
      <c r="B51" s="41">
        <v>489000000</v>
      </c>
      <c r="C51" s="41">
        <v>792000000</v>
      </c>
      <c r="D51" s="41">
        <v>699000000</v>
      </c>
      <c r="E51" s="41">
        <v>45000000</v>
      </c>
      <c r="F51" s="41">
        <v>289000000</v>
      </c>
      <c r="G51" s="41">
        <v>43000000</v>
      </c>
      <c r="H51" s="41">
        <v>11000000</v>
      </c>
      <c r="I51" s="41">
        <v>11000000</v>
      </c>
      <c r="J51" s="41">
        <v>119000000</v>
      </c>
      <c r="K51" s="41">
        <v>328000000</v>
      </c>
      <c r="L51" s="41">
        <v>9000000</v>
      </c>
      <c r="M51" s="41">
        <v>194000000</v>
      </c>
      <c r="N51" s="41">
        <v>4000000</v>
      </c>
      <c r="O51" s="41">
        <v>4000000</v>
      </c>
      <c r="P51" s="41">
        <v>57000000</v>
      </c>
      <c r="Q51" s="41">
        <v>12000000</v>
      </c>
      <c r="R51" s="41">
        <v>38000000</v>
      </c>
      <c r="S51" s="41">
        <v>26000000</v>
      </c>
    </row>
    <row r="52" spans="1:19">
      <c r="A52" t="s">
        <v>362</v>
      </c>
      <c r="B52" s="41">
        <v>456000000</v>
      </c>
      <c r="C52" s="41">
        <v>751000000</v>
      </c>
      <c r="D52" s="41">
        <v>660000000</v>
      </c>
      <c r="E52" s="41">
        <v>10000000</v>
      </c>
      <c r="F52" s="41">
        <v>260000000</v>
      </c>
      <c r="G52" s="41">
        <v>11000000</v>
      </c>
      <c r="H52" s="41">
        <v>11000000</v>
      </c>
      <c r="I52" s="41">
        <v>11000000</v>
      </c>
      <c r="J52" s="41">
        <v>119000000</v>
      </c>
      <c r="K52" s="41">
        <v>328000000</v>
      </c>
      <c r="L52" s="41">
        <v>9000000</v>
      </c>
      <c r="M52" s="41">
        <v>194000000</v>
      </c>
      <c r="N52" s="41">
        <v>4000000</v>
      </c>
      <c r="O52" s="41">
        <v>4000000</v>
      </c>
      <c r="P52" s="41">
        <v>57000000</v>
      </c>
      <c r="Q52" s="41">
        <v>12000000</v>
      </c>
      <c r="R52" s="41">
        <v>38000000</v>
      </c>
      <c r="S52" s="41">
        <v>26000000</v>
      </c>
    </row>
    <row r="53" spans="1:19">
      <c r="A53" t="s">
        <v>363</v>
      </c>
      <c r="B53" s="41">
        <v>456000000</v>
      </c>
      <c r="C53" s="41">
        <v>751000000</v>
      </c>
      <c r="D53" s="41">
        <v>660000000</v>
      </c>
      <c r="E53" s="41">
        <v>10000000</v>
      </c>
      <c r="F53" s="41">
        <v>260000000</v>
      </c>
      <c r="G53" s="41">
        <v>11000000</v>
      </c>
      <c r="H53" s="41">
        <v>11000000</v>
      </c>
    </row>
    <row r="54" spans="1:19">
      <c r="A54" t="s">
        <v>364</v>
      </c>
      <c r="B54" s="41">
        <v>33000000</v>
      </c>
      <c r="C54" s="41">
        <v>41000000</v>
      </c>
      <c r="D54" s="41">
        <v>39000000</v>
      </c>
      <c r="E54" s="41">
        <v>35000000</v>
      </c>
      <c r="F54" s="41">
        <v>29000000</v>
      </c>
      <c r="G54" s="41">
        <v>32000000</v>
      </c>
      <c r="H54">
        <v>0</v>
      </c>
    </row>
    <row r="55" spans="1:19">
      <c r="A55" t="s">
        <v>365</v>
      </c>
      <c r="B55" s="41">
        <v>1553000000</v>
      </c>
      <c r="C55" s="41">
        <v>1598000000</v>
      </c>
      <c r="D55" s="41">
        <v>1438000000</v>
      </c>
      <c r="E55" s="41">
        <v>1178000000</v>
      </c>
      <c r="F55" s="41">
        <v>282000000</v>
      </c>
      <c r="G55" s="41">
        <v>445000000</v>
      </c>
      <c r="H55" s="41">
        <v>388000000</v>
      </c>
      <c r="I55" s="41">
        <v>348000000</v>
      </c>
    </row>
    <row r="56" spans="1:19">
      <c r="A56" t="s">
        <v>366</v>
      </c>
      <c r="B56" s="41">
        <v>1553000000</v>
      </c>
      <c r="C56" s="41">
        <v>1598000000</v>
      </c>
      <c r="D56" s="41">
        <v>1438000000</v>
      </c>
      <c r="E56" s="41">
        <v>1178000000</v>
      </c>
      <c r="F56" s="41">
        <v>282000000</v>
      </c>
      <c r="G56" s="41">
        <v>445000000</v>
      </c>
      <c r="H56" s="41">
        <v>388000000</v>
      </c>
      <c r="I56" s="41">
        <v>348000000</v>
      </c>
    </row>
    <row r="57" spans="1:19">
      <c r="A57" t="s">
        <v>367</v>
      </c>
      <c r="C57" s="41">
        <v>17000000</v>
      </c>
      <c r="L57" s="41">
        <v>3000000</v>
      </c>
      <c r="N57" s="41">
        <v>1000000</v>
      </c>
      <c r="S57" s="41">
        <v>8000000</v>
      </c>
    </row>
    <row r="58" spans="1:19">
      <c r="A58" t="s">
        <v>368</v>
      </c>
      <c r="B58" s="41">
        <v>6224000000</v>
      </c>
      <c r="C58" s="41">
        <v>5688000000</v>
      </c>
      <c r="D58" s="41">
        <v>5323000000</v>
      </c>
      <c r="E58" s="41">
        <v>6805000000</v>
      </c>
      <c r="F58" s="41">
        <v>4931000000</v>
      </c>
      <c r="G58" s="41">
        <v>3364000000</v>
      </c>
      <c r="H58" s="41">
        <v>2905000000</v>
      </c>
      <c r="I58" s="41">
        <v>2727000000</v>
      </c>
      <c r="J58" s="41">
        <v>2917000000</v>
      </c>
      <c r="K58" s="41">
        <v>2489000000</v>
      </c>
      <c r="L58" s="41">
        <v>2782000000</v>
      </c>
      <c r="M58" s="41">
        <v>2529000000</v>
      </c>
      <c r="N58" s="41">
        <v>2191000000</v>
      </c>
      <c r="O58" s="41">
        <v>2111000000</v>
      </c>
      <c r="P58" s="41">
        <v>1516000000</v>
      </c>
      <c r="Q58" s="41">
        <v>1620000000</v>
      </c>
      <c r="R58" s="41">
        <v>1874000000</v>
      </c>
      <c r="S58" s="41">
        <v>2082000000</v>
      </c>
    </row>
    <row r="59" spans="1:19">
      <c r="A59" t="s">
        <v>369</v>
      </c>
      <c r="J59" s="41">
        <v>296000000</v>
      </c>
      <c r="K59" s="41">
        <v>280000000</v>
      </c>
      <c r="L59" s="41">
        <v>284000000</v>
      </c>
      <c r="M59" s="41">
        <v>262000000</v>
      </c>
      <c r="N59" s="41">
        <v>267000000</v>
      </c>
      <c r="O59" s="41">
        <v>237000000</v>
      </c>
    </row>
    <row r="60" spans="1:19">
      <c r="A60" t="s">
        <v>370</v>
      </c>
      <c r="B60" s="41">
        <v>3571000000</v>
      </c>
      <c r="C60" s="41">
        <v>2578000000</v>
      </c>
      <c r="D60" s="41">
        <v>2751000000</v>
      </c>
      <c r="E60" s="41">
        <v>4317000000</v>
      </c>
      <c r="F60" s="41">
        <v>3361000000</v>
      </c>
      <c r="G60" s="41">
        <v>2005000000</v>
      </c>
      <c r="H60" s="41">
        <v>1623000000</v>
      </c>
      <c r="I60" s="41">
        <v>1440000000</v>
      </c>
      <c r="J60" s="41">
        <v>1445000000</v>
      </c>
      <c r="K60" s="41">
        <v>1042000000</v>
      </c>
      <c r="L60" s="41">
        <v>1381000000</v>
      </c>
      <c r="M60" s="41">
        <v>1289000000</v>
      </c>
      <c r="N60" s="41">
        <v>1229000000</v>
      </c>
      <c r="O60" s="41">
        <v>1221000000</v>
      </c>
      <c r="P60" s="41">
        <v>1516000000</v>
      </c>
      <c r="Q60" s="41">
        <v>1620000000</v>
      </c>
      <c r="R60" s="41">
        <v>1874000000</v>
      </c>
      <c r="S60" s="41">
        <v>794000000</v>
      </c>
    </row>
    <row r="61" spans="1:19">
      <c r="A61" t="s">
        <v>371</v>
      </c>
      <c r="B61" s="41">
        <v>3326000000</v>
      </c>
      <c r="C61" s="41">
        <v>2305000000</v>
      </c>
      <c r="D61" s="41">
        <v>2453000000</v>
      </c>
      <c r="E61" s="41">
        <v>3968000000</v>
      </c>
      <c r="F61" s="41">
        <v>2984000000</v>
      </c>
      <c r="G61" s="41">
        <v>1612000000</v>
      </c>
      <c r="H61" s="41">
        <v>1623000000</v>
      </c>
      <c r="I61" s="41">
        <v>1440000000</v>
      </c>
      <c r="J61" s="41">
        <v>1445000000</v>
      </c>
      <c r="K61" s="41">
        <v>1042000000</v>
      </c>
      <c r="L61" s="41">
        <v>1381000000</v>
      </c>
      <c r="M61" s="41">
        <v>1289000000</v>
      </c>
      <c r="N61" s="41">
        <v>1229000000</v>
      </c>
      <c r="O61" s="41">
        <v>1221000000</v>
      </c>
      <c r="P61" s="41">
        <v>1516000000</v>
      </c>
      <c r="Q61" s="41">
        <v>1620000000</v>
      </c>
      <c r="R61" s="41">
        <v>1874000000</v>
      </c>
      <c r="S61" s="41">
        <v>794000000</v>
      </c>
    </row>
    <row r="62" spans="1:19">
      <c r="A62" t="s">
        <v>372</v>
      </c>
      <c r="B62" s="41">
        <v>245000000</v>
      </c>
      <c r="C62" s="41">
        <v>273000000</v>
      </c>
      <c r="D62" s="41">
        <v>298000000</v>
      </c>
      <c r="E62" s="41">
        <v>349000000</v>
      </c>
      <c r="F62" s="41">
        <v>377000000</v>
      </c>
      <c r="G62" s="41">
        <v>393000000</v>
      </c>
      <c r="H62">
        <v>0</v>
      </c>
    </row>
    <row r="63" spans="1:19">
      <c r="A63" t="s">
        <v>373</v>
      </c>
      <c r="B63" s="41">
        <v>1600000000</v>
      </c>
      <c r="C63" s="41">
        <v>2314000000</v>
      </c>
      <c r="D63" s="41">
        <v>1987000000</v>
      </c>
      <c r="E63" s="41">
        <v>1985000000</v>
      </c>
      <c r="F63" s="41">
        <v>1218000000</v>
      </c>
      <c r="G63" s="41">
        <v>972000000</v>
      </c>
      <c r="H63" s="41">
        <v>863000000</v>
      </c>
      <c r="I63" s="41">
        <v>888000000</v>
      </c>
      <c r="J63" s="41">
        <v>772000000</v>
      </c>
      <c r="K63" s="41">
        <v>759000000</v>
      </c>
      <c r="L63" s="41">
        <v>790000000</v>
      </c>
      <c r="M63" s="41">
        <v>604000000</v>
      </c>
      <c r="N63" s="41">
        <v>453000000</v>
      </c>
      <c r="O63" s="41">
        <v>312000000</v>
      </c>
    </row>
    <row r="64" spans="1:19">
      <c r="A64" t="s">
        <v>374</v>
      </c>
      <c r="B64" s="41">
        <v>171000000</v>
      </c>
      <c r="C64" s="41">
        <v>66000000</v>
      </c>
      <c r="D64" s="41">
        <v>72000000</v>
      </c>
      <c r="E64" s="41">
        <v>93000000</v>
      </c>
      <c r="F64" s="41">
        <v>48000000</v>
      </c>
      <c r="G64" s="41">
        <v>47000000</v>
      </c>
      <c r="H64" s="41">
        <v>54000000</v>
      </c>
      <c r="I64" s="41">
        <v>62000000</v>
      </c>
      <c r="J64" s="41">
        <v>57000000</v>
      </c>
      <c r="K64" s="41">
        <v>59000000</v>
      </c>
      <c r="L64" s="41">
        <v>66000000</v>
      </c>
      <c r="M64" s="41">
        <v>74000000</v>
      </c>
      <c r="N64" s="41">
        <v>80000000</v>
      </c>
      <c r="O64" s="41">
        <v>5000000</v>
      </c>
    </row>
    <row r="65" spans="1:19">
      <c r="A65" t="s">
        <v>375</v>
      </c>
      <c r="B65" s="41">
        <v>843000000</v>
      </c>
      <c r="C65" s="41">
        <v>1759000000</v>
      </c>
      <c r="D65" s="41">
        <v>1495000000</v>
      </c>
      <c r="E65" s="41">
        <v>1349000000</v>
      </c>
      <c r="F65" s="41">
        <v>659000000</v>
      </c>
      <c r="G65" s="41">
        <v>475000000</v>
      </c>
      <c r="H65" s="41">
        <v>442000000</v>
      </c>
      <c r="I65" s="41">
        <v>424000000</v>
      </c>
      <c r="J65" s="41">
        <v>363000000</v>
      </c>
      <c r="K65" s="41">
        <v>367000000</v>
      </c>
      <c r="L65" s="41">
        <v>383000000</v>
      </c>
      <c r="M65" s="41">
        <v>192000000</v>
      </c>
      <c r="N65" s="41">
        <v>93000000</v>
      </c>
      <c r="O65" s="41">
        <v>57000000</v>
      </c>
    </row>
    <row r="66" spans="1:19">
      <c r="A66" t="s">
        <v>376</v>
      </c>
      <c r="B66" s="41">
        <v>464000000</v>
      </c>
      <c r="C66" s="41">
        <v>407000000</v>
      </c>
      <c r="D66" s="41">
        <v>339000000</v>
      </c>
      <c r="E66" s="41">
        <v>281000000</v>
      </c>
      <c r="F66" s="41">
        <v>166000000</v>
      </c>
      <c r="G66" s="41">
        <v>147000000</v>
      </c>
      <c r="H66" s="41">
        <v>131000000</v>
      </c>
      <c r="I66" s="41">
        <v>107000000</v>
      </c>
      <c r="J66" s="41">
        <v>100000000</v>
      </c>
      <c r="K66" s="41">
        <v>127000000</v>
      </c>
      <c r="L66" s="41">
        <v>62000000</v>
      </c>
      <c r="M66" s="41">
        <v>90000000</v>
      </c>
      <c r="N66" s="41">
        <v>91000000</v>
      </c>
      <c r="O66" s="41">
        <v>198000000</v>
      </c>
    </row>
    <row r="67" spans="1:19">
      <c r="A67" t="s">
        <v>377</v>
      </c>
      <c r="B67" s="41">
        <v>83000000</v>
      </c>
      <c r="C67" s="41">
        <v>73000000</v>
      </c>
      <c r="D67" s="41">
        <v>68000000</v>
      </c>
      <c r="E67" s="41">
        <v>66000000</v>
      </c>
      <c r="F67" s="41">
        <v>67000000</v>
      </c>
      <c r="G67" s="41">
        <v>80000000</v>
      </c>
      <c r="H67" s="41">
        <v>78000000</v>
      </c>
      <c r="I67" s="41">
        <v>69000000</v>
      </c>
      <c r="J67" s="41">
        <v>20000000</v>
      </c>
      <c r="K67" s="41">
        <v>20000000</v>
      </c>
      <c r="L67" s="41">
        <v>19000000</v>
      </c>
      <c r="M67" s="41">
        <v>18000000</v>
      </c>
      <c r="N67" s="41">
        <v>20000000</v>
      </c>
      <c r="O67" s="41">
        <v>20000000</v>
      </c>
    </row>
    <row r="68" spans="1:19">
      <c r="A68" t="s">
        <v>378</v>
      </c>
      <c r="J68" s="41">
        <v>20000000</v>
      </c>
      <c r="K68" s="41">
        <v>20000000</v>
      </c>
      <c r="L68" s="41">
        <v>19000000</v>
      </c>
      <c r="M68" s="41">
        <v>18000000</v>
      </c>
      <c r="N68" s="41">
        <v>20000000</v>
      </c>
      <c r="O68" s="41">
        <v>20000000</v>
      </c>
    </row>
    <row r="69" spans="1:19">
      <c r="A69" t="s">
        <v>379</v>
      </c>
      <c r="B69" s="41">
        <v>506000000</v>
      </c>
      <c r="C69" s="41">
        <v>316000000</v>
      </c>
      <c r="D69" s="41">
        <v>178000000</v>
      </c>
      <c r="E69" s="41">
        <v>156000000</v>
      </c>
      <c r="F69" s="41">
        <v>119000000</v>
      </c>
      <c r="G69" s="41">
        <v>160000000</v>
      </c>
      <c r="H69" s="41">
        <v>210000000</v>
      </c>
      <c r="I69" s="41">
        <v>223000000</v>
      </c>
      <c r="J69" s="41">
        <v>600000000</v>
      </c>
      <c r="K69" s="41">
        <v>261000000</v>
      </c>
      <c r="L69" s="41">
        <v>246000000</v>
      </c>
      <c r="M69" s="41">
        <v>266000000</v>
      </c>
      <c r="N69" s="41">
        <v>131000000</v>
      </c>
      <c r="O69" s="41">
        <v>123000000</v>
      </c>
      <c r="R69" s="41">
        <v>1209000000</v>
      </c>
      <c r="S69" s="41">
        <v>1288000000</v>
      </c>
    </row>
    <row r="70" spans="1:19">
      <c r="A70" t="s">
        <v>380</v>
      </c>
      <c r="B70" s="41">
        <v>3826000000</v>
      </c>
      <c r="C70" s="41">
        <v>3567000000</v>
      </c>
      <c r="D70" s="41">
        <v>3702000000</v>
      </c>
      <c r="E70" s="41">
        <v>3566000000</v>
      </c>
      <c r="F70" s="41">
        <v>3214000000</v>
      </c>
      <c r="G70" s="41">
        <v>3967000000</v>
      </c>
      <c r="H70" s="41">
        <v>3677000000</v>
      </c>
      <c r="I70" s="41">
        <v>3853000000</v>
      </c>
      <c r="J70" s="41">
        <v>3908000000</v>
      </c>
      <c r="K70" s="41">
        <v>3995000000</v>
      </c>
      <c r="L70" s="41">
        <v>4631000000</v>
      </c>
      <c r="M70" s="41">
        <v>4777000000</v>
      </c>
      <c r="N70" s="41">
        <v>4821000000</v>
      </c>
      <c r="O70" s="41">
        <v>4828000000</v>
      </c>
      <c r="P70" s="41">
        <v>5131000000</v>
      </c>
      <c r="Q70" s="41">
        <v>5040000000</v>
      </c>
      <c r="R70" s="41">
        <v>3592000000</v>
      </c>
      <c r="S70" s="41">
        <v>3469000000</v>
      </c>
    </row>
    <row r="71" spans="1:19">
      <c r="A71" t="s">
        <v>381</v>
      </c>
      <c r="B71" s="41">
        <v>3547000000</v>
      </c>
      <c r="C71" s="41">
        <v>3564000000</v>
      </c>
      <c r="D71" s="41">
        <v>3699000000</v>
      </c>
      <c r="E71" s="41">
        <v>3563000000</v>
      </c>
      <c r="F71" s="41">
        <v>3211000000</v>
      </c>
      <c r="G71" s="41">
        <v>3962000000</v>
      </c>
      <c r="H71" s="41">
        <v>3670000000</v>
      </c>
      <c r="I71" s="41">
        <v>3837000000</v>
      </c>
      <c r="J71" s="41">
        <v>3903000000</v>
      </c>
      <c r="K71" s="41">
        <v>3991000000</v>
      </c>
      <c r="L71" s="41">
        <v>4627000000</v>
      </c>
      <c r="M71" s="41">
        <v>4769000000</v>
      </c>
      <c r="N71" s="41">
        <v>4811000000</v>
      </c>
      <c r="O71" s="41">
        <v>4818000000</v>
      </c>
      <c r="P71" s="41">
        <v>5118000000</v>
      </c>
      <c r="Q71" s="41">
        <v>5016000000</v>
      </c>
      <c r="R71" s="41">
        <v>3564000000</v>
      </c>
      <c r="S71" s="41">
        <v>3434000000</v>
      </c>
    </row>
    <row r="72" spans="1:19">
      <c r="A72" t="s">
        <v>382</v>
      </c>
      <c r="B72" s="41">
        <v>1000000</v>
      </c>
      <c r="C72" s="41">
        <v>1000000</v>
      </c>
      <c r="D72" s="41">
        <v>1000000</v>
      </c>
      <c r="E72" s="41">
        <v>1000000</v>
      </c>
      <c r="F72" s="41">
        <v>1000000</v>
      </c>
      <c r="G72" s="41">
        <v>1000000</v>
      </c>
      <c r="H72" s="41">
        <v>1000000</v>
      </c>
      <c r="I72" s="41">
        <v>1000000</v>
      </c>
      <c r="J72" s="41">
        <v>1000000</v>
      </c>
      <c r="K72" s="41">
        <v>1000000</v>
      </c>
      <c r="L72" s="41">
        <v>2000000</v>
      </c>
      <c r="M72" s="41">
        <v>2000000</v>
      </c>
      <c r="N72" s="41">
        <v>2000000</v>
      </c>
      <c r="O72" s="41">
        <v>2000000</v>
      </c>
      <c r="P72" s="41">
        <v>2000000</v>
      </c>
      <c r="Q72" s="41">
        <v>2000000</v>
      </c>
      <c r="R72" s="41">
        <v>1000000</v>
      </c>
      <c r="S72" s="41">
        <v>1000000</v>
      </c>
    </row>
    <row r="73" spans="1:19">
      <c r="A73" t="s">
        <v>383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</row>
    <row r="74" spans="1:19">
      <c r="A74" t="s">
        <v>384</v>
      </c>
      <c r="B74" s="41">
        <v>1000000</v>
      </c>
      <c r="C74" s="41">
        <v>1000000</v>
      </c>
      <c r="D74" s="41">
        <v>1000000</v>
      </c>
      <c r="E74" s="41">
        <v>1000000</v>
      </c>
      <c r="F74" s="41">
        <v>1000000</v>
      </c>
      <c r="G74" s="41">
        <v>1000000</v>
      </c>
      <c r="H74" s="41">
        <v>1000000</v>
      </c>
      <c r="I74" s="41">
        <v>1000000</v>
      </c>
      <c r="J74" s="41">
        <v>1000000</v>
      </c>
      <c r="K74" s="41">
        <v>1000000</v>
      </c>
      <c r="L74" s="41">
        <v>2000000</v>
      </c>
      <c r="M74" s="41">
        <v>2000000</v>
      </c>
      <c r="N74" s="41">
        <v>2000000</v>
      </c>
      <c r="O74" s="41">
        <v>2000000</v>
      </c>
      <c r="P74" s="41">
        <v>2000000</v>
      </c>
      <c r="Q74" s="41">
        <v>2000000</v>
      </c>
      <c r="R74" s="41">
        <v>1000000</v>
      </c>
      <c r="S74" s="41">
        <v>1000000</v>
      </c>
    </row>
    <row r="75" spans="1:19">
      <c r="A75" t="s">
        <v>385</v>
      </c>
      <c r="B75">
        <v>0</v>
      </c>
      <c r="C75">
        <v>0</v>
      </c>
      <c r="D75" s="41">
        <v>318000000</v>
      </c>
      <c r="E75" s="41">
        <v>640000000</v>
      </c>
      <c r="F75" s="41">
        <v>13000000</v>
      </c>
      <c r="G75">
        <v>0</v>
      </c>
      <c r="H75" s="41">
        <v>50000000</v>
      </c>
      <c r="I75" s="41">
        <v>967000000</v>
      </c>
      <c r="J75" s="41">
        <v>1686000000</v>
      </c>
      <c r="K75" s="41">
        <v>1931000000</v>
      </c>
      <c r="L75" s="41">
        <v>2621000000</v>
      </c>
      <c r="M75" s="41">
        <v>3015000000</v>
      </c>
      <c r="N75" s="41">
        <v>3263000000</v>
      </c>
      <c r="O75" s="41">
        <v>3380000000</v>
      </c>
      <c r="P75" s="41">
        <v>3751000000</v>
      </c>
      <c r="Q75" s="41">
        <v>3731000000</v>
      </c>
      <c r="R75" s="41">
        <v>2242000000</v>
      </c>
      <c r="S75" s="41">
        <v>3325000000</v>
      </c>
    </row>
    <row r="76" spans="1:19">
      <c r="A76" t="s">
        <v>386</v>
      </c>
      <c r="B76" s="41">
        <v>3815000000</v>
      </c>
      <c r="C76" s="41">
        <v>3738000000</v>
      </c>
      <c r="D76" s="41">
        <v>3622000000</v>
      </c>
      <c r="E76" s="41">
        <v>3167000000</v>
      </c>
      <c r="F76" s="41">
        <v>3389000000</v>
      </c>
      <c r="G76" s="41">
        <v>4170000000</v>
      </c>
      <c r="H76" s="41">
        <v>3819000000</v>
      </c>
      <c r="I76" s="41">
        <v>3054000000</v>
      </c>
      <c r="J76" s="41">
        <v>2493000000</v>
      </c>
      <c r="K76" s="41">
        <v>2289000000</v>
      </c>
      <c r="L76" s="41">
        <v>2165000000</v>
      </c>
      <c r="M76" s="41">
        <v>1821000000</v>
      </c>
      <c r="N76" s="41">
        <v>1614000000</v>
      </c>
      <c r="O76" s="41">
        <v>1517000000</v>
      </c>
      <c r="P76" s="41">
        <v>1404000000</v>
      </c>
      <c r="Q76" s="41">
        <v>1338000000</v>
      </c>
      <c r="R76" s="41">
        <v>1381000000</v>
      </c>
      <c r="S76" s="41">
        <v>1213000000</v>
      </c>
    </row>
    <row r="77" spans="1:19">
      <c r="A77" t="s">
        <v>387</v>
      </c>
      <c r="K77">
        <v>0</v>
      </c>
      <c r="L77" s="41">
        <v>1000000</v>
      </c>
      <c r="M77" s="41">
        <v>1000000</v>
      </c>
      <c r="N77" s="41">
        <v>1000000</v>
      </c>
      <c r="O77" s="41">
        <v>1000000</v>
      </c>
      <c r="P77" s="41">
        <v>1000000</v>
      </c>
      <c r="Q77" s="41">
        <v>2000000</v>
      </c>
      <c r="R77">
        <v>0</v>
      </c>
      <c r="S77" s="41">
        <v>1101000000</v>
      </c>
    </row>
    <row r="78" spans="1:19">
      <c r="A78" t="s">
        <v>388</v>
      </c>
      <c r="B78" s="41">
        <v>-269000000</v>
      </c>
      <c r="C78" s="41">
        <v>-175000000</v>
      </c>
      <c r="D78" s="41">
        <v>-242000000</v>
      </c>
      <c r="E78" s="41">
        <v>-245000000</v>
      </c>
      <c r="F78" s="41">
        <v>-192000000</v>
      </c>
      <c r="G78" s="41">
        <v>-209000000</v>
      </c>
      <c r="H78" s="41">
        <v>-200000000</v>
      </c>
      <c r="I78" s="41">
        <v>-185000000</v>
      </c>
      <c r="J78" s="41">
        <v>-277000000</v>
      </c>
      <c r="K78" s="41">
        <v>-230000000</v>
      </c>
      <c r="L78" s="41">
        <v>-160000000</v>
      </c>
      <c r="M78" s="41">
        <v>-68000000</v>
      </c>
      <c r="N78" s="41">
        <v>-67000000</v>
      </c>
      <c r="O78" s="41">
        <v>-80000000</v>
      </c>
      <c r="P78" s="41">
        <v>-38000000</v>
      </c>
      <c r="Q78" s="41">
        <v>-53000000</v>
      </c>
      <c r="R78" s="41">
        <v>-60000000</v>
      </c>
      <c r="S78" s="41">
        <v>-4000000</v>
      </c>
    </row>
    <row r="79" spans="1:19">
      <c r="A79" t="s">
        <v>389</v>
      </c>
      <c r="B79" s="41">
        <v>-269000000</v>
      </c>
      <c r="C79" s="41">
        <v>-175000000</v>
      </c>
      <c r="D79" s="41">
        <v>-242000000</v>
      </c>
      <c r="E79" s="41">
        <v>-245000000</v>
      </c>
      <c r="F79" s="41">
        <v>-192000000</v>
      </c>
      <c r="G79" s="41">
        <v>-209000000</v>
      </c>
      <c r="H79" s="41">
        <v>-200000000</v>
      </c>
      <c r="I79" s="41">
        <v>-185000000</v>
      </c>
      <c r="J79" s="41">
        <v>-277000000</v>
      </c>
      <c r="K79" s="41">
        <v>-230000000</v>
      </c>
      <c r="L79" s="41">
        <v>-160000000</v>
      </c>
      <c r="M79" s="41">
        <v>-68000000</v>
      </c>
      <c r="N79" s="41">
        <v>-67000000</v>
      </c>
      <c r="O79" s="41">
        <v>-80000000</v>
      </c>
    </row>
    <row r="80" spans="1:19">
      <c r="A80" t="s">
        <v>390</v>
      </c>
      <c r="B80" s="41">
        <v>279000000</v>
      </c>
      <c r="C80" s="41">
        <v>3000000</v>
      </c>
      <c r="D80" s="41">
        <v>3000000</v>
      </c>
      <c r="E80" s="41">
        <v>3000000</v>
      </c>
      <c r="F80" s="41">
        <v>3000000</v>
      </c>
      <c r="G80" s="41">
        <v>5000000</v>
      </c>
      <c r="H80" s="41">
        <v>7000000</v>
      </c>
      <c r="I80" s="41">
        <v>16000000</v>
      </c>
      <c r="J80" s="41">
        <v>5000000</v>
      </c>
      <c r="K80" s="41">
        <v>4000000</v>
      </c>
      <c r="L80" s="41">
        <v>4000000</v>
      </c>
      <c r="M80" s="41">
        <v>8000000</v>
      </c>
      <c r="N80" s="41">
        <v>10000000</v>
      </c>
      <c r="O80" s="41">
        <v>10000000</v>
      </c>
      <c r="P80" s="41">
        <v>13000000</v>
      </c>
      <c r="Q80" s="41">
        <v>24000000</v>
      </c>
      <c r="R80" s="41">
        <v>28000000</v>
      </c>
      <c r="S80" s="41">
        <v>35000000</v>
      </c>
    </row>
    <row r="81" spans="1:19">
      <c r="A81" t="s">
        <v>391</v>
      </c>
      <c r="B81" s="41">
        <v>6873000000</v>
      </c>
      <c r="C81" s="41">
        <v>5869000000</v>
      </c>
      <c r="D81" s="41">
        <v>6152000000</v>
      </c>
      <c r="E81" s="41">
        <v>7531000000</v>
      </c>
      <c r="F81" s="41">
        <v>6195000000</v>
      </c>
      <c r="G81" s="41">
        <v>5574000000</v>
      </c>
      <c r="H81" s="41">
        <v>5293000000</v>
      </c>
      <c r="I81" s="41">
        <v>5277000000</v>
      </c>
      <c r="J81" s="41">
        <v>5348000000</v>
      </c>
      <c r="K81" s="41">
        <v>5033000000</v>
      </c>
      <c r="L81" s="41">
        <v>6008000000</v>
      </c>
      <c r="M81" s="41">
        <v>6058000000</v>
      </c>
      <c r="N81" s="41">
        <v>6040000000</v>
      </c>
      <c r="O81" s="41">
        <v>6039000000</v>
      </c>
      <c r="P81" s="41">
        <v>6634000000</v>
      </c>
      <c r="Q81" s="41">
        <v>6636000000</v>
      </c>
      <c r="R81" s="41">
        <v>5438000000</v>
      </c>
      <c r="S81" s="41">
        <v>4228000000</v>
      </c>
    </row>
    <row r="82" spans="1:19">
      <c r="A82" t="s">
        <v>392</v>
      </c>
      <c r="B82" s="41">
        <v>3547000000</v>
      </c>
      <c r="C82" s="41">
        <v>3564000000</v>
      </c>
      <c r="D82" s="41">
        <v>3699000000</v>
      </c>
      <c r="E82" s="41">
        <v>3563000000</v>
      </c>
      <c r="F82" s="41">
        <v>3211000000</v>
      </c>
      <c r="G82" s="41">
        <v>3962000000</v>
      </c>
      <c r="H82" s="41">
        <v>3670000000</v>
      </c>
      <c r="I82" s="41">
        <v>3837000000</v>
      </c>
      <c r="J82" s="41">
        <v>3903000000</v>
      </c>
      <c r="K82" s="41">
        <v>3991000000</v>
      </c>
      <c r="L82" s="41">
        <v>4627000000</v>
      </c>
      <c r="M82" s="41">
        <v>4769000000</v>
      </c>
      <c r="N82" s="41">
        <v>4811000000</v>
      </c>
      <c r="O82" s="41">
        <v>4818000000</v>
      </c>
      <c r="P82" s="41">
        <v>5118000000</v>
      </c>
      <c r="Q82" s="41">
        <v>5016000000</v>
      </c>
      <c r="R82" s="41">
        <v>3564000000</v>
      </c>
      <c r="S82" s="41">
        <v>3434000000</v>
      </c>
    </row>
    <row r="83" spans="1:19">
      <c r="A83" t="s">
        <v>393</v>
      </c>
      <c r="B83" s="41">
        <v>278000000</v>
      </c>
      <c r="C83" s="41">
        <v>314000000</v>
      </c>
      <c r="D83" s="41">
        <v>337000000</v>
      </c>
      <c r="E83" s="41">
        <v>384000000</v>
      </c>
      <c r="F83" s="41">
        <v>406000000</v>
      </c>
      <c r="G83" s="41">
        <v>425000000</v>
      </c>
      <c r="H83">
        <v>0</v>
      </c>
    </row>
    <row r="84" spans="1:19">
      <c r="A84" t="s">
        <v>394</v>
      </c>
      <c r="B84" s="41">
        <v>-1161000000</v>
      </c>
      <c r="C84" s="41">
        <v>-1311000000</v>
      </c>
      <c r="D84" s="41">
        <v>-1070000000</v>
      </c>
      <c r="E84" s="41">
        <v>-1379000000</v>
      </c>
      <c r="F84" s="41">
        <v>2538000000</v>
      </c>
      <c r="G84" s="41">
        <v>3199000000</v>
      </c>
      <c r="H84" s="41">
        <v>2759000000</v>
      </c>
      <c r="I84" s="41">
        <v>3382000000</v>
      </c>
      <c r="J84" s="41">
        <v>3179000000</v>
      </c>
      <c r="K84" s="41">
        <v>3315000000</v>
      </c>
      <c r="L84" s="41">
        <v>3942000000</v>
      </c>
      <c r="M84" s="41">
        <v>4031000000</v>
      </c>
      <c r="N84" s="41">
        <v>4290000000</v>
      </c>
      <c r="O84" s="41">
        <v>4357000000</v>
      </c>
      <c r="P84" s="41">
        <v>4736000000</v>
      </c>
      <c r="Q84" s="41">
        <v>4619000000</v>
      </c>
      <c r="R84" s="41">
        <v>3188000000</v>
      </c>
      <c r="S84" s="41">
        <v>2872000000</v>
      </c>
    </row>
    <row r="85" spans="1:19">
      <c r="A85" t="s">
        <v>395</v>
      </c>
      <c r="B85" s="41">
        <v>-541000000</v>
      </c>
      <c r="C85" s="41">
        <v>-1448000000</v>
      </c>
      <c r="D85" s="41">
        <v>-1037000000</v>
      </c>
      <c r="E85" s="41">
        <v>-170000000</v>
      </c>
      <c r="F85" s="41">
        <v>1579000000</v>
      </c>
      <c r="G85" s="41">
        <v>620000000</v>
      </c>
      <c r="H85" s="41">
        <v>284000000</v>
      </c>
      <c r="I85" s="41">
        <v>335000000</v>
      </c>
      <c r="J85" s="41">
        <v>215000000</v>
      </c>
      <c r="K85" s="41">
        <v>17000000</v>
      </c>
      <c r="L85" s="41">
        <v>979000000</v>
      </c>
      <c r="M85" s="41">
        <v>292000000</v>
      </c>
      <c r="N85" s="41">
        <v>1140000000</v>
      </c>
      <c r="O85" s="41">
        <v>1023000000</v>
      </c>
      <c r="P85" s="41">
        <v>1569000000</v>
      </c>
      <c r="Q85" s="41">
        <v>1514000000</v>
      </c>
      <c r="R85" s="41">
        <v>404000000</v>
      </c>
      <c r="S85" s="41">
        <v>368000000</v>
      </c>
    </row>
    <row r="86" spans="1:19">
      <c r="A86" t="s">
        <v>396</v>
      </c>
      <c r="B86" s="41">
        <v>7329000000</v>
      </c>
      <c r="C86" s="41">
        <v>6620000000</v>
      </c>
      <c r="D86" s="41">
        <v>6812000000</v>
      </c>
      <c r="E86" s="41">
        <v>7541000000</v>
      </c>
      <c r="F86" s="41">
        <v>6455000000</v>
      </c>
      <c r="G86" s="41">
        <v>5585000000</v>
      </c>
      <c r="H86" s="41">
        <v>5304000000</v>
      </c>
      <c r="I86" s="41">
        <v>5288000000</v>
      </c>
      <c r="J86" s="41">
        <v>5467000000</v>
      </c>
      <c r="K86" s="41">
        <v>5361000000</v>
      </c>
      <c r="L86" s="41">
        <v>6017000000</v>
      </c>
      <c r="M86" s="41">
        <v>6252000000</v>
      </c>
      <c r="N86" s="41">
        <v>6044000000</v>
      </c>
      <c r="O86" s="41">
        <v>6043000000</v>
      </c>
      <c r="P86" s="41">
        <v>6691000000</v>
      </c>
      <c r="Q86" s="41">
        <v>6648000000</v>
      </c>
      <c r="R86" s="41">
        <v>5476000000</v>
      </c>
      <c r="S86" s="41">
        <v>4254000000</v>
      </c>
    </row>
    <row r="87" spans="1:19">
      <c r="A87" t="s">
        <v>397</v>
      </c>
      <c r="B87" s="41">
        <v>-1161000000</v>
      </c>
      <c r="C87" s="41">
        <v>-1311000000</v>
      </c>
      <c r="D87" s="41">
        <v>-1070000000</v>
      </c>
      <c r="E87" s="41">
        <v>-1379000000</v>
      </c>
      <c r="F87" s="41">
        <v>2538000000</v>
      </c>
      <c r="G87" s="41">
        <v>3199000000</v>
      </c>
      <c r="H87" s="41">
        <v>2759000000</v>
      </c>
      <c r="I87" s="41">
        <v>3382000000</v>
      </c>
      <c r="J87" s="41">
        <v>3179000000</v>
      </c>
      <c r="K87" s="41">
        <v>3315000000</v>
      </c>
      <c r="L87" s="41">
        <v>3942000000</v>
      </c>
      <c r="M87" s="41">
        <v>4031000000</v>
      </c>
      <c r="N87" s="41">
        <v>4290000000</v>
      </c>
      <c r="O87" s="41">
        <v>4357000000</v>
      </c>
      <c r="P87" s="41">
        <v>4736000000</v>
      </c>
      <c r="Q87" s="41">
        <v>4619000000</v>
      </c>
      <c r="R87" s="41">
        <v>3188000000</v>
      </c>
      <c r="S87" s="41">
        <v>2872000000</v>
      </c>
    </row>
    <row r="88" spans="1:19">
      <c r="A88" t="s">
        <v>398</v>
      </c>
      <c r="B88" s="41">
        <v>4060000000</v>
      </c>
      <c r="C88" s="41">
        <v>3370000000</v>
      </c>
      <c r="D88" s="41">
        <v>3450000000</v>
      </c>
      <c r="E88" s="41">
        <v>4362000000</v>
      </c>
      <c r="F88" s="41">
        <v>3650000000</v>
      </c>
      <c r="G88" s="41">
        <v>2048000000</v>
      </c>
      <c r="H88" s="41">
        <v>1634000000</v>
      </c>
      <c r="I88" s="41">
        <v>1451000000</v>
      </c>
      <c r="J88" s="41">
        <v>1564000000</v>
      </c>
      <c r="K88" s="41">
        <v>1370000000</v>
      </c>
      <c r="L88" s="41">
        <v>1390000000</v>
      </c>
      <c r="M88" s="41">
        <v>1483000000</v>
      </c>
      <c r="N88" s="41">
        <v>1233000000</v>
      </c>
      <c r="O88" s="41">
        <v>1225000000</v>
      </c>
      <c r="P88" s="41">
        <v>1573000000</v>
      </c>
      <c r="Q88" s="41">
        <v>1632000000</v>
      </c>
      <c r="R88" s="41">
        <v>1912000000</v>
      </c>
      <c r="S88" s="41">
        <v>820000000</v>
      </c>
    </row>
    <row r="89" spans="1:19">
      <c r="A89" t="s">
        <v>399</v>
      </c>
      <c r="B89" s="41">
        <v>2771000000</v>
      </c>
      <c r="C89" s="41">
        <v>2175000000</v>
      </c>
      <c r="D89" s="41">
        <v>2122000000</v>
      </c>
      <c r="E89" s="41">
        <v>3018000000</v>
      </c>
      <c r="F89" s="41">
        <v>2037000000</v>
      </c>
      <c r="G89" s="41">
        <v>730000000</v>
      </c>
      <c r="H89" s="41">
        <v>1064000000</v>
      </c>
      <c r="I89" s="41">
        <v>948000000</v>
      </c>
      <c r="J89" s="41">
        <v>1082000000</v>
      </c>
      <c r="K89" s="41">
        <v>913000000</v>
      </c>
      <c r="L89" s="41">
        <v>705000000</v>
      </c>
      <c r="M89" s="41">
        <v>1029000000</v>
      </c>
      <c r="N89" s="41">
        <v>820000000</v>
      </c>
      <c r="O89" s="41">
        <v>691000000</v>
      </c>
      <c r="P89" s="41">
        <v>463000000</v>
      </c>
      <c r="Q89" s="41">
        <v>305000000</v>
      </c>
      <c r="R89" s="41">
        <v>1484000000</v>
      </c>
      <c r="S89" s="41">
        <v>411000000</v>
      </c>
    </row>
    <row r="90" spans="1:19">
      <c r="A90" t="s">
        <v>400</v>
      </c>
      <c r="B90" s="41">
        <v>96144669</v>
      </c>
      <c r="C90" s="41">
        <v>103032941</v>
      </c>
      <c r="D90" s="41">
        <v>106400536</v>
      </c>
      <c r="E90" s="41">
        <v>109975321</v>
      </c>
      <c r="F90" s="41">
        <v>101289159</v>
      </c>
      <c r="G90" s="41">
        <v>101572453</v>
      </c>
      <c r="H90" s="41">
        <v>106623645</v>
      </c>
      <c r="I90" s="41">
        <v>118984986</v>
      </c>
      <c r="J90" s="41">
        <v>130815270</v>
      </c>
      <c r="K90" s="41">
        <v>136233649</v>
      </c>
      <c r="L90" s="41">
        <v>149118226</v>
      </c>
      <c r="M90" s="41">
        <v>156147880</v>
      </c>
      <c r="N90" s="41">
        <v>162102393</v>
      </c>
      <c r="O90" s="41">
        <v>165198512</v>
      </c>
      <c r="P90" s="41">
        <v>173989470</v>
      </c>
      <c r="Q90" s="41">
        <v>173942263</v>
      </c>
      <c r="R90" s="41">
        <v>168039995</v>
      </c>
      <c r="S90" s="41">
        <v>168039995</v>
      </c>
    </row>
    <row r="91" spans="1:19">
      <c r="A91" t="s">
        <v>401</v>
      </c>
      <c r="B91" s="41">
        <v>96144669</v>
      </c>
      <c r="C91" s="41">
        <v>103032941</v>
      </c>
      <c r="D91" s="41">
        <v>106400536</v>
      </c>
      <c r="E91" s="41">
        <v>109975321</v>
      </c>
      <c r="F91" s="41">
        <v>101289159</v>
      </c>
      <c r="G91" s="41">
        <v>101572453</v>
      </c>
      <c r="H91" s="41">
        <v>106623645</v>
      </c>
      <c r="I91" s="41">
        <v>118984986</v>
      </c>
      <c r="J91" s="41">
        <v>130815270</v>
      </c>
      <c r="K91" s="41">
        <v>136233649</v>
      </c>
      <c r="L91" s="41">
        <v>149081953</v>
      </c>
      <c r="M91" s="41">
        <v>156111607</v>
      </c>
      <c r="N91" s="41">
        <v>162066120</v>
      </c>
      <c r="O91" s="41">
        <v>165162239</v>
      </c>
      <c r="P91" s="41">
        <v>173953197</v>
      </c>
      <c r="Q91" s="41">
        <v>173875185</v>
      </c>
      <c r="R91" s="41">
        <v>168039995</v>
      </c>
      <c r="S91" s="41">
        <v>168039995</v>
      </c>
    </row>
    <row r="92" spans="1:19">
      <c r="A92" t="s">
        <v>402</v>
      </c>
      <c r="C92">
        <v>0</v>
      </c>
      <c r="L92" s="41">
        <v>36273</v>
      </c>
      <c r="M92" s="41">
        <v>36273</v>
      </c>
      <c r="N92" s="41">
        <v>36273</v>
      </c>
      <c r="O92" s="41">
        <v>36273</v>
      </c>
      <c r="P92" s="41">
        <v>36273</v>
      </c>
      <c r="Q92" s="41">
        <v>67078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Historical Analysis</vt:lpstr>
      <vt:lpstr>Projections</vt:lpstr>
      <vt:lpstr>Valuation Analysis</vt:lpstr>
      <vt:lpstr>DCF</vt:lpstr>
      <vt:lpstr>Technical Analysis</vt:lpstr>
      <vt:lpstr>Yahoo Input Val</vt:lpstr>
      <vt:lpstr>S&amp;P ETF Yahoo</vt:lpstr>
      <vt:lpstr>Income Stat Yahoo Input</vt:lpstr>
      <vt:lpstr>Balance Sheet Yahoo Input</vt:lpstr>
      <vt:lpstr>Cash Flow Yahoo Input</vt:lpstr>
      <vt:lpstr>Balance Sheet - Quarterly</vt:lpstr>
      <vt:lpstr>Stock Historical Yahoo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dcterms:created xsi:type="dcterms:W3CDTF">2020-10-05T00:37:32Z</dcterms:created>
  <dcterms:modified xsi:type="dcterms:W3CDTF">2025-04-01T09:53:45Z</dcterms:modified>
</cp:coreProperties>
</file>