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CSD^0A/CSD^0A Publications/TM - CREDIT ANALYST'S SURVIVAL MANUAL/Case Study/"/>
    </mc:Choice>
  </mc:AlternateContent>
  <xr:revisionPtr revIDLastSave="622" documentId="8_{B3842CEC-37C2-44A2-83D3-3E59F79010CB}" xr6:coauthVersionLast="47" xr6:coauthVersionMax="47" xr10:uidLastSave="{87B08A8D-97D0-4B86-B72C-D8411CCFC19B}"/>
  <bookViews>
    <workbookView xWindow="-110" yWindow="-110" windowWidth="19420" windowHeight="10300" xr2:uid="{ED33CBAD-C7E4-4213-88DF-0DE2E18DB980}"/>
  </bookViews>
  <sheets>
    <sheet name="Transaction S&amp;U" sheetId="1" r:id="rId1"/>
    <sheet name="Proforma Cap" sheetId="2" r:id="rId2"/>
    <sheet name="Assumptions" sheetId="3" r:id="rId3"/>
    <sheet name="Debt Schedule" sheetId="4" r:id="rId4"/>
    <sheet name="Income Statement" sheetId="5" r:id="rId5"/>
    <sheet name="Cash Flow Statement" sheetId="7" r:id="rId6"/>
    <sheet name="Balance Sheet" sheetId="6" r:id="rId7"/>
    <sheet name="Ratio &amp; Cov Analysis" sheetId="8" r:id="rId8"/>
  </sheets>
  <externalReferences>
    <externalReference r:id="rId9"/>
  </externalReferences>
  <definedNames>
    <definedName name="Case_Choice">Assumptions!$Q$6</definedName>
    <definedName name="Multiple">'[1]HSE 10K Financials'!$N$2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7" l="1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6" i="6"/>
  <c r="A6" i="7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6" i="4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7" i="3"/>
  <c r="A7" i="2"/>
  <c r="A8" i="2"/>
  <c r="A9" i="2"/>
  <c r="A10" i="2"/>
  <c r="A11" i="2"/>
  <c r="A12" i="2"/>
  <c r="A13" i="2"/>
  <c r="A14" i="2"/>
  <c r="A15" i="2"/>
  <c r="A16" i="2"/>
  <c r="A17" i="2"/>
  <c r="A18" i="2"/>
  <c r="A6" i="2"/>
  <c r="A9" i="1"/>
  <c r="A10" i="1"/>
  <c r="A11" i="1"/>
  <c r="A12" i="1"/>
  <c r="A13" i="1"/>
  <c r="A14" i="1"/>
  <c r="A15" i="1"/>
  <c r="A16" i="1"/>
  <c r="A17" i="1"/>
  <c r="A18" i="1"/>
  <c r="A19" i="1"/>
  <c r="A8" i="1"/>
  <c r="AA27" i="3"/>
  <c r="AB27" i="3" s="1"/>
  <c r="AC27" i="3" s="1"/>
  <c r="AD27" i="3" s="1"/>
  <c r="AE27" i="3" s="1"/>
  <c r="AF27" i="3" s="1"/>
  <c r="Z27" i="3"/>
  <c r="V17" i="3"/>
  <c r="AF17" i="3"/>
  <c r="AF14" i="3"/>
  <c r="AE14" i="3"/>
  <c r="AF11" i="3"/>
  <c r="AE11" i="3"/>
  <c r="P7" i="7"/>
  <c r="P10" i="7"/>
  <c r="P16" i="7"/>
  <c r="P17" i="7"/>
  <c r="P19" i="7"/>
  <c r="P35" i="7"/>
  <c r="P40" i="7" s="1"/>
  <c r="P43" i="7" s="1"/>
  <c r="P36" i="7"/>
  <c r="P37" i="7"/>
  <c r="P38" i="7"/>
  <c r="P39" i="7"/>
  <c r="P7" i="5"/>
  <c r="P26" i="5"/>
  <c r="P27" i="5"/>
  <c r="P31" i="5" s="1"/>
  <c r="P28" i="5"/>
  <c r="P29" i="5"/>
  <c r="P30" i="5"/>
  <c r="AF20" i="3"/>
  <c r="AF21" i="3"/>
  <c r="AF22" i="3"/>
  <c r="AF23" i="3"/>
  <c r="AF30" i="3"/>
  <c r="AF31" i="3"/>
  <c r="AF32" i="3"/>
  <c r="AF33" i="3"/>
  <c r="V7" i="3"/>
  <c r="AF7" i="3" s="1"/>
  <c r="V9" i="3"/>
  <c r="V12" i="3" s="1"/>
  <c r="V13" i="3"/>
  <c r="V16" i="3"/>
  <c r="V20" i="3"/>
  <c r="V21" i="3"/>
  <c r="V22" i="3"/>
  <c r="V23" i="3"/>
  <c r="V26" i="3"/>
  <c r="V27" i="3"/>
  <c r="V30" i="3"/>
  <c r="V31" i="3"/>
  <c r="V32" i="3"/>
  <c r="V33" i="3"/>
  <c r="L17" i="3"/>
  <c r="L14" i="3"/>
  <c r="L11" i="3"/>
  <c r="L10" i="3"/>
  <c r="L8" i="3"/>
  <c r="D19" i="1"/>
  <c r="J10" i="7"/>
  <c r="K10" i="7"/>
  <c r="L10" i="7"/>
  <c r="M10" i="7"/>
  <c r="N10" i="7"/>
  <c r="O10" i="7"/>
  <c r="J32" i="6"/>
  <c r="J34" i="6" s="1"/>
  <c r="K32" i="6"/>
  <c r="K34" i="6" s="1"/>
  <c r="L32" i="6"/>
  <c r="M32" i="6" s="1"/>
  <c r="I32" i="6"/>
  <c r="I46" i="7"/>
  <c r="I19" i="7"/>
  <c r="J19" i="7"/>
  <c r="K19" i="7"/>
  <c r="L19" i="7"/>
  <c r="M19" i="7"/>
  <c r="N19" i="7"/>
  <c r="O19" i="7"/>
  <c r="I16" i="7"/>
  <c r="J16" i="7"/>
  <c r="K16" i="7"/>
  <c r="L16" i="7"/>
  <c r="M16" i="7"/>
  <c r="N16" i="7"/>
  <c r="O16" i="7"/>
  <c r="I17" i="7"/>
  <c r="J17" i="7"/>
  <c r="K17" i="7"/>
  <c r="L17" i="7"/>
  <c r="M17" i="7"/>
  <c r="N17" i="7"/>
  <c r="O17" i="7"/>
  <c r="I41" i="6"/>
  <c r="J41" i="6" s="1"/>
  <c r="K41" i="6" s="1"/>
  <c r="L41" i="6" s="1"/>
  <c r="M41" i="6" s="1"/>
  <c r="N41" i="6" s="1"/>
  <c r="O41" i="6" s="1"/>
  <c r="P41" i="6" s="1"/>
  <c r="J40" i="6"/>
  <c r="K40" i="6" s="1"/>
  <c r="L40" i="6" s="1"/>
  <c r="M40" i="6" s="1"/>
  <c r="N40" i="6" s="1"/>
  <c r="O40" i="6" s="1"/>
  <c r="P40" i="6" s="1"/>
  <c r="I40" i="6"/>
  <c r="J30" i="6"/>
  <c r="K30" i="6"/>
  <c r="L30" i="6"/>
  <c r="M30" i="6"/>
  <c r="N30" i="6"/>
  <c r="O30" i="6"/>
  <c r="P30" i="6"/>
  <c r="J31" i="6"/>
  <c r="K31" i="6"/>
  <c r="L31" i="6"/>
  <c r="M31" i="6"/>
  <c r="N31" i="6"/>
  <c r="O31" i="6"/>
  <c r="P31" i="6"/>
  <c r="J33" i="6"/>
  <c r="K33" i="6"/>
  <c r="L33" i="6"/>
  <c r="M33" i="6"/>
  <c r="N33" i="6"/>
  <c r="O33" i="6"/>
  <c r="P33" i="6"/>
  <c r="I34" i="6"/>
  <c r="I33" i="6"/>
  <c r="I31" i="6"/>
  <c r="I30" i="6"/>
  <c r="K25" i="6"/>
  <c r="L25" i="6" s="1"/>
  <c r="M25" i="6" s="1"/>
  <c r="N25" i="6" s="1"/>
  <c r="O25" i="6" s="1"/>
  <c r="P25" i="6" s="1"/>
  <c r="J25" i="6"/>
  <c r="I25" i="6"/>
  <c r="J20" i="6"/>
  <c r="K20" i="6"/>
  <c r="L20" i="6"/>
  <c r="M20" i="6" s="1"/>
  <c r="N20" i="6" s="1"/>
  <c r="O20" i="6" s="1"/>
  <c r="P20" i="6" s="1"/>
  <c r="I20" i="6"/>
  <c r="J16" i="6"/>
  <c r="K16" i="6" s="1"/>
  <c r="L16" i="6" s="1"/>
  <c r="M16" i="6" s="1"/>
  <c r="N16" i="6" s="1"/>
  <c r="O16" i="6" s="1"/>
  <c r="I16" i="6"/>
  <c r="J15" i="6"/>
  <c r="K15" i="6" s="1"/>
  <c r="L15" i="6" s="1"/>
  <c r="M15" i="6" s="1"/>
  <c r="N15" i="6" s="1"/>
  <c r="O15" i="6" s="1"/>
  <c r="P15" i="6" s="1"/>
  <c r="I15" i="6"/>
  <c r="J11" i="6"/>
  <c r="K11" i="6" s="1"/>
  <c r="L11" i="6" s="1"/>
  <c r="M11" i="6" s="1"/>
  <c r="N11" i="6" s="1"/>
  <c r="O11" i="6" s="1"/>
  <c r="P11" i="6" s="1"/>
  <c r="I11" i="6"/>
  <c r="H45" i="6"/>
  <c r="H43" i="6"/>
  <c r="H41" i="6"/>
  <c r="H42" i="6"/>
  <c r="H40" i="6"/>
  <c r="H37" i="6"/>
  <c r="H36" i="6"/>
  <c r="H34" i="6"/>
  <c r="H29" i="6"/>
  <c r="H30" i="6"/>
  <c r="H31" i="6"/>
  <c r="H32" i="6"/>
  <c r="H33" i="6"/>
  <c r="H28" i="6"/>
  <c r="H26" i="6"/>
  <c r="H25" i="6"/>
  <c r="H24" i="6"/>
  <c r="H20" i="6"/>
  <c r="H21" i="6" s="1"/>
  <c r="H46" i="6" s="1"/>
  <c r="H19" i="6"/>
  <c r="H16" i="6"/>
  <c r="H17" i="6"/>
  <c r="H18" i="6"/>
  <c r="H15" i="6"/>
  <c r="H13" i="6"/>
  <c r="H10" i="6"/>
  <c r="H11" i="6"/>
  <c r="H12" i="6"/>
  <c r="H9" i="6"/>
  <c r="E45" i="6"/>
  <c r="E15" i="6"/>
  <c r="E42" i="6"/>
  <c r="E41" i="6"/>
  <c r="E40" i="6"/>
  <c r="E16" i="6"/>
  <c r="F45" i="6"/>
  <c r="F40" i="6"/>
  <c r="F33" i="6"/>
  <c r="F31" i="6"/>
  <c r="F30" i="6"/>
  <c r="E28" i="6"/>
  <c r="C45" i="6"/>
  <c r="C43" i="6"/>
  <c r="C37" i="6"/>
  <c r="C34" i="6"/>
  <c r="C28" i="6"/>
  <c r="C26" i="6"/>
  <c r="C21" i="6"/>
  <c r="C46" i="6" s="1"/>
  <c r="C19" i="6"/>
  <c r="C13" i="6"/>
  <c r="P7" i="6"/>
  <c r="P7" i="8" s="1"/>
  <c r="I7" i="7"/>
  <c r="H22" i="5"/>
  <c r="H20" i="5"/>
  <c r="L55" i="4"/>
  <c r="M55" i="4"/>
  <c r="N55" i="4"/>
  <c r="O55" i="4"/>
  <c r="P55" i="4"/>
  <c r="Q55" i="4"/>
  <c r="K55" i="4"/>
  <c r="J51" i="4"/>
  <c r="J24" i="4"/>
  <c r="J33" i="4"/>
  <c r="H12" i="5"/>
  <c r="H13" i="5" s="1"/>
  <c r="O7" i="5"/>
  <c r="O7" i="6" s="1"/>
  <c r="O7" i="8" s="1"/>
  <c r="N7" i="5"/>
  <c r="N7" i="6" s="1"/>
  <c r="N7" i="8" s="1"/>
  <c r="M7" i="5"/>
  <c r="M7" i="6" s="1"/>
  <c r="M7" i="8" s="1"/>
  <c r="L7" i="5"/>
  <c r="L7" i="6" s="1"/>
  <c r="L7" i="8" s="1"/>
  <c r="K7" i="5"/>
  <c r="K7" i="6" s="1"/>
  <c r="K7" i="8" s="1"/>
  <c r="J7" i="5"/>
  <c r="J7" i="6" s="1"/>
  <c r="J7" i="8" s="1"/>
  <c r="I7" i="5"/>
  <c r="I7" i="6" s="1"/>
  <c r="I7" i="8" s="1"/>
  <c r="H7" i="5"/>
  <c r="H7" i="6" s="1"/>
  <c r="O31" i="3"/>
  <c r="E31" i="3" s="1"/>
  <c r="O27" i="3"/>
  <c r="P27" i="3" s="1"/>
  <c r="F27" i="3" s="1"/>
  <c r="C16" i="1"/>
  <c r="E16" i="1" s="1"/>
  <c r="D12" i="2"/>
  <c r="E18" i="2"/>
  <c r="C13" i="1"/>
  <c r="C11" i="1"/>
  <c r="J7" i="4"/>
  <c r="K7" i="4"/>
  <c r="L7" i="4"/>
  <c r="M7" i="4"/>
  <c r="N7" i="4"/>
  <c r="O7" i="4"/>
  <c r="P7" i="4"/>
  <c r="I7" i="4"/>
  <c r="X34" i="3"/>
  <c r="K8" i="3"/>
  <c r="J8" i="3"/>
  <c r="I8" i="3"/>
  <c r="H8" i="3"/>
  <c r="G8" i="3"/>
  <c r="F8" i="3"/>
  <c r="E8" i="3"/>
  <c r="X5" i="3"/>
  <c r="O7" i="3"/>
  <c r="Y7" i="3" s="1"/>
  <c r="P7" i="3"/>
  <c r="Z7" i="3" s="1"/>
  <c r="Q7" i="3"/>
  <c r="AA7" i="3" s="1"/>
  <c r="R7" i="3"/>
  <c r="AB7" i="3" s="1"/>
  <c r="S7" i="3"/>
  <c r="AC7" i="3" s="1"/>
  <c r="T7" i="3"/>
  <c r="AD7" i="3" s="1"/>
  <c r="U7" i="3"/>
  <c r="AE7" i="3" s="1"/>
  <c r="N7" i="3"/>
  <c r="X7" i="3" s="1"/>
  <c r="N33" i="3"/>
  <c r="X33" i="3" s="1"/>
  <c r="Y33" i="3" s="1"/>
  <c r="Z33" i="3" s="1"/>
  <c r="AA33" i="3" s="1"/>
  <c r="AB33" i="3" s="1"/>
  <c r="AC33" i="3" s="1"/>
  <c r="AD33" i="3" s="1"/>
  <c r="AE33" i="3" s="1"/>
  <c r="N32" i="3"/>
  <c r="X32" i="3" s="1"/>
  <c r="Y32" i="3" s="1"/>
  <c r="Z32" i="3" s="1"/>
  <c r="AA32" i="3" s="1"/>
  <c r="AB32" i="3" s="1"/>
  <c r="AC32" i="3" s="1"/>
  <c r="AD32" i="3" s="1"/>
  <c r="AE32" i="3" s="1"/>
  <c r="N31" i="3"/>
  <c r="X31" i="3" s="1"/>
  <c r="Y31" i="3" s="1"/>
  <c r="Z31" i="3" s="1"/>
  <c r="AA31" i="3" s="1"/>
  <c r="AB31" i="3" s="1"/>
  <c r="AC31" i="3" s="1"/>
  <c r="AD31" i="3" s="1"/>
  <c r="AE31" i="3" s="1"/>
  <c r="N30" i="3"/>
  <c r="X30" i="3" s="1"/>
  <c r="Y30" i="3" s="1"/>
  <c r="Z30" i="3" s="1"/>
  <c r="AA30" i="3" s="1"/>
  <c r="AB30" i="3" s="1"/>
  <c r="AC30" i="3" s="1"/>
  <c r="AD30" i="3" s="1"/>
  <c r="AE30" i="3" s="1"/>
  <c r="N27" i="3"/>
  <c r="X27" i="3" s="1"/>
  <c r="Y27" i="3" s="1"/>
  <c r="N26" i="3"/>
  <c r="X26" i="3" s="1"/>
  <c r="Y26" i="3" s="1"/>
  <c r="AE26" i="3" s="1"/>
  <c r="AF26" i="3" s="1"/>
  <c r="N23" i="3"/>
  <c r="X23" i="3" s="1"/>
  <c r="Y23" i="3" s="1"/>
  <c r="Z23" i="3" s="1"/>
  <c r="AA23" i="3" s="1"/>
  <c r="AB23" i="3" s="1"/>
  <c r="AC23" i="3" s="1"/>
  <c r="AD23" i="3" s="1"/>
  <c r="AE23" i="3" s="1"/>
  <c r="N20" i="3"/>
  <c r="X20" i="3" s="1"/>
  <c r="N16" i="3"/>
  <c r="O16" i="3" s="1"/>
  <c r="P16" i="3" s="1"/>
  <c r="N13" i="3"/>
  <c r="O13" i="3" s="1"/>
  <c r="P13" i="3" s="1"/>
  <c r="Q13" i="3" s="1"/>
  <c r="N9" i="3"/>
  <c r="X9" i="3" s="1"/>
  <c r="Y9" i="3" s="1"/>
  <c r="Z9" i="3" s="1"/>
  <c r="N5" i="3"/>
  <c r="B2" i="3"/>
  <c r="B2" i="8" s="1"/>
  <c r="K17" i="3"/>
  <c r="J17" i="3"/>
  <c r="I17" i="3"/>
  <c r="H17" i="3"/>
  <c r="G17" i="3"/>
  <c r="F17" i="3"/>
  <c r="E17" i="3"/>
  <c r="E16" i="3" s="1"/>
  <c r="K14" i="3"/>
  <c r="J14" i="3"/>
  <c r="I14" i="3"/>
  <c r="H14" i="3"/>
  <c r="G14" i="3"/>
  <c r="F14" i="3"/>
  <c r="E14" i="3"/>
  <c r="E13" i="3" s="1"/>
  <c r="E11" i="3"/>
  <c r="F11" i="3"/>
  <c r="G11" i="3"/>
  <c r="H11" i="3"/>
  <c r="I11" i="3"/>
  <c r="J11" i="3"/>
  <c r="K11" i="3"/>
  <c r="F10" i="3"/>
  <c r="G10" i="3"/>
  <c r="H10" i="3"/>
  <c r="I10" i="3"/>
  <c r="J10" i="3"/>
  <c r="K10" i="3"/>
  <c r="E10" i="3"/>
  <c r="E9" i="3" s="1"/>
  <c r="D11" i="3"/>
  <c r="D12" i="3" s="1"/>
  <c r="O9" i="3"/>
  <c r="P9" i="3" s="1"/>
  <c r="I43" i="7"/>
  <c r="I40" i="7"/>
  <c r="J35" i="7"/>
  <c r="K35" i="7"/>
  <c r="L35" i="7"/>
  <c r="M35" i="7"/>
  <c r="N35" i="7"/>
  <c r="O35" i="7"/>
  <c r="J38" i="7"/>
  <c r="K38" i="7"/>
  <c r="L38" i="7"/>
  <c r="M38" i="7"/>
  <c r="N38" i="7"/>
  <c r="O38" i="7"/>
  <c r="J39" i="7"/>
  <c r="K39" i="7"/>
  <c r="L39" i="7"/>
  <c r="M39" i="7"/>
  <c r="N39" i="7"/>
  <c r="O39" i="7"/>
  <c r="I39" i="7"/>
  <c r="I38" i="7"/>
  <c r="I37" i="7"/>
  <c r="I36" i="7"/>
  <c r="I35" i="7"/>
  <c r="J26" i="5"/>
  <c r="K26" i="5"/>
  <c r="L26" i="5"/>
  <c r="M26" i="5"/>
  <c r="N26" i="5"/>
  <c r="O26" i="5"/>
  <c r="J29" i="5"/>
  <c r="K29" i="5"/>
  <c r="L29" i="5"/>
  <c r="M29" i="5"/>
  <c r="N29" i="5"/>
  <c r="O29" i="5"/>
  <c r="I29" i="5"/>
  <c r="J55" i="4"/>
  <c r="I49" i="4"/>
  <c r="J49" i="4" s="1"/>
  <c r="M32" i="4"/>
  <c r="L37" i="7" s="1"/>
  <c r="Q32" i="4"/>
  <c r="I31" i="4"/>
  <c r="L32" i="4" s="1"/>
  <c r="O23" i="4"/>
  <c r="N36" i="7" s="1"/>
  <c r="I22" i="4"/>
  <c r="K23" i="4" s="1"/>
  <c r="J13" i="4"/>
  <c r="K13" i="4" s="1"/>
  <c r="L13" i="4" s="1"/>
  <c r="M13" i="4" s="1"/>
  <c r="N13" i="4" s="1"/>
  <c r="O13" i="4" s="1"/>
  <c r="P13" i="4" s="1"/>
  <c r="Q13" i="4" s="1"/>
  <c r="J9" i="4"/>
  <c r="K9" i="4" s="1"/>
  <c r="E15" i="2"/>
  <c r="F13" i="2"/>
  <c r="G13" i="2" s="1"/>
  <c r="F10" i="2"/>
  <c r="G10" i="2" s="1"/>
  <c r="F11" i="2"/>
  <c r="G11" i="2" s="1"/>
  <c r="F9" i="2"/>
  <c r="F8" i="2"/>
  <c r="E12" i="2"/>
  <c r="L10" i="1"/>
  <c r="D10" i="1"/>
  <c r="L9" i="1"/>
  <c r="E13" i="1"/>
  <c r="E12" i="1"/>
  <c r="E10" i="1"/>
  <c r="E9" i="1"/>
  <c r="D18" i="3"/>
  <c r="H8" i="5" s="1"/>
  <c r="B2" i="6" l="1"/>
  <c r="B2" i="7"/>
  <c r="B2" i="4"/>
  <c r="B2" i="5"/>
  <c r="V15" i="3"/>
  <c r="V18" i="3" s="1"/>
  <c r="P16" i="6"/>
  <c r="O20" i="3"/>
  <c r="E20" i="3" s="1"/>
  <c r="O26" i="3"/>
  <c r="E26" i="3" s="1"/>
  <c r="D21" i="3"/>
  <c r="N21" i="3" s="1"/>
  <c r="X21" i="3" s="1"/>
  <c r="D22" i="3"/>
  <c r="N22" i="3" s="1"/>
  <c r="X22" i="3" s="1"/>
  <c r="P31" i="3"/>
  <c r="O23" i="3"/>
  <c r="O30" i="3"/>
  <c r="O7" i="7"/>
  <c r="N7" i="7"/>
  <c r="E27" i="3"/>
  <c r="P20" i="3"/>
  <c r="Q20" i="3" s="1"/>
  <c r="R20" i="3" s="1"/>
  <c r="O32" i="3"/>
  <c r="M7" i="7"/>
  <c r="O33" i="3"/>
  <c r="L7" i="7"/>
  <c r="K7" i="7"/>
  <c r="J7" i="7"/>
  <c r="N32" i="6"/>
  <c r="O32" i="6" s="1"/>
  <c r="P32" i="6" s="1"/>
  <c r="P34" i="6" s="1"/>
  <c r="M34" i="6"/>
  <c r="N34" i="6"/>
  <c r="L34" i="6"/>
  <c r="J19" i="4"/>
  <c r="J16" i="4" s="1"/>
  <c r="I26" i="5" s="1"/>
  <c r="J26" i="4"/>
  <c r="H16" i="5"/>
  <c r="H17" i="5" s="1"/>
  <c r="Q27" i="3"/>
  <c r="D8" i="1"/>
  <c r="D9" i="1"/>
  <c r="D11" i="1"/>
  <c r="D13" i="1"/>
  <c r="D12" i="1"/>
  <c r="D16" i="1"/>
  <c r="L11" i="1"/>
  <c r="O21" i="5" s="1"/>
  <c r="L21" i="5"/>
  <c r="N21" i="5"/>
  <c r="D14" i="2"/>
  <c r="I21" i="5"/>
  <c r="I10" i="7" s="1"/>
  <c r="J21" i="5"/>
  <c r="I13" i="2"/>
  <c r="I30" i="5"/>
  <c r="E11" i="1"/>
  <c r="G12" i="2"/>
  <c r="G14" i="2" s="1"/>
  <c r="K32" i="4"/>
  <c r="P32" i="4"/>
  <c r="O32" i="4"/>
  <c r="N32" i="4"/>
  <c r="J31" i="4"/>
  <c r="K31" i="4" s="1"/>
  <c r="L31" i="4" s="1"/>
  <c r="F12" i="2"/>
  <c r="F14" i="2" s="1"/>
  <c r="P23" i="4"/>
  <c r="O36" i="7" s="1"/>
  <c r="M23" i="4"/>
  <c r="L36" i="7" s="1"/>
  <c r="L40" i="7" s="1"/>
  <c r="L43" i="7" s="1"/>
  <c r="N23" i="4"/>
  <c r="M36" i="7" s="1"/>
  <c r="Q23" i="4"/>
  <c r="K37" i="7"/>
  <c r="K49" i="4"/>
  <c r="K51" i="4"/>
  <c r="J30" i="5" s="1"/>
  <c r="J37" i="7"/>
  <c r="J36" i="7"/>
  <c r="I12" i="2"/>
  <c r="N40" i="7"/>
  <c r="N43" i="7" s="1"/>
  <c r="O37" i="7"/>
  <c r="O40" i="7" s="1"/>
  <c r="O43" i="7" s="1"/>
  <c r="N37" i="7"/>
  <c r="L23" i="4"/>
  <c r="K36" i="7" s="1"/>
  <c r="K40" i="7" s="1"/>
  <c r="K43" i="7" s="1"/>
  <c r="L16" i="1"/>
  <c r="C15" i="1" s="1"/>
  <c r="F15" i="2" s="1"/>
  <c r="J22" i="4"/>
  <c r="J57" i="4" s="1"/>
  <c r="J58" i="4" s="1"/>
  <c r="I27" i="5"/>
  <c r="X13" i="3"/>
  <c r="Y13" i="3" s="1"/>
  <c r="Z13" i="3" s="1"/>
  <c r="AA13" i="3" s="1"/>
  <c r="AB13" i="3" s="1"/>
  <c r="X16" i="3"/>
  <c r="Y16" i="3" s="1"/>
  <c r="Z16" i="3" s="1"/>
  <c r="AA16" i="3" s="1"/>
  <c r="N11" i="3"/>
  <c r="F13" i="3"/>
  <c r="E12" i="3"/>
  <c r="F9" i="3"/>
  <c r="F12" i="3" s="1"/>
  <c r="F16" i="3"/>
  <c r="AA9" i="3"/>
  <c r="Z12" i="3"/>
  <c r="Y12" i="3"/>
  <c r="Q9" i="3"/>
  <c r="P12" i="3"/>
  <c r="P15" i="3" s="1"/>
  <c r="P18" i="3" s="1"/>
  <c r="R13" i="3"/>
  <c r="Q16" i="3"/>
  <c r="O12" i="3"/>
  <c r="O15" i="3" s="1"/>
  <c r="O18" i="3" s="1"/>
  <c r="K35" i="4"/>
  <c r="K33" i="4" s="1"/>
  <c r="J28" i="5" s="1"/>
  <c r="K26" i="4"/>
  <c r="K24" i="4" s="1"/>
  <c r="J27" i="5" s="1"/>
  <c r="K19" i="4"/>
  <c r="L9" i="4"/>
  <c r="J35" i="4"/>
  <c r="F20" i="3" l="1"/>
  <c r="G9" i="3"/>
  <c r="H9" i="3" s="1"/>
  <c r="P26" i="3"/>
  <c r="Y15" i="3"/>
  <c r="Y18" i="3" s="1"/>
  <c r="Z15" i="3"/>
  <c r="Z18" i="3" s="1"/>
  <c r="O22" i="3"/>
  <c r="P22" i="3" s="1"/>
  <c r="O21" i="3"/>
  <c r="G20" i="3"/>
  <c r="F15" i="3"/>
  <c r="F18" i="3" s="1"/>
  <c r="J8" i="5" s="1"/>
  <c r="P30" i="3"/>
  <c r="E30" i="3"/>
  <c r="P33" i="3"/>
  <c r="E33" i="3"/>
  <c r="E23" i="3"/>
  <c r="I34" i="5" s="1"/>
  <c r="P23" i="3"/>
  <c r="Q31" i="3"/>
  <c r="F31" i="3"/>
  <c r="E32" i="3"/>
  <c r="P32" i="3"/>
  <c r="O34" i="6"/>
  <c r="R27" i="3"/>
  <c r="G27" i="3"/>
  <c r="S20" i="3"/>
  <c r="H20" i="3"/>
  <c r="K21" i="5"/>
  <c r="M21" i="5"/>
  <c r="E14" i="2"/>
  <c r="D16" i="2"/>
  <c r="E16" i="2" s="1"/>
  <c r="E15" i="1"/>
  <c r="J31" i="5"/>
  <c r="M37" i="7"/>
  <c r="M40" i="7"/>
  <c r="M43" i="7" s="1"/>
  <c r="J54" i="4"/>
  <c r="J56" i="4" s="1"/>
  <c r="I28" i="5"/>
  <c r="D15" i="1"/>
  <c r="I31" i="5"/>
  <c r="J40" i="7"/>
  <c r="J43" i="7" s="1"/>
  <c r="L49" i="4"/>
  <c r="L51" i="4"/>
  <c r="K30" i="5" s="1"/>
  <c r="K22" i="4"/>
  <c r="I14" i="2"/>
  <c r="F16" i="2"/>
  <c r="G15" i="2"/>
  <c r="N12" i="3"/>
  <c r="N15" i="3" s="1"/>
  <c r="N18" i="3" s="1"/>
  <c r="X11" i="3"/>
  <c r="X12" i="3" s="1"/>
  <c r="X15" i="3" s="1"/>
  <c r="X18" i="3" s="1"/>
  <c r="G13" i="3"/>
  <c r="E15" i="3"/>
  <c r="E18" i="3" s="1"/>
  <c r="G12" i="3"/>
  <c r="G16" i="3"/>
  <c r="AC13" i="3"/>
  <c r="AB16" i="3"/>
  <c r="AB9" i="3"/>
  <c r="AA12" i="3"/>
  <c r="AA15" i="3" s="1"/>
  <c r="AA18" i="3" s="1"/>
  <c r="S13" i="3"/>
  <c r="R9" i="3"/>
  <c r="Q12" i="3"/>
  <c r="Q15" i="3" s="1"/>
  <c r="Q18" i="3" s="1"/>
  <c r="R16" i="3"/>
  <c r="M9" i="4"/>
  <c r="L35" i="4"/>
  <c r="L33" i="4" s="1"/>
  <c r="K28" i="5" s="1"/>
  <c r="L26" i="4"/>
  <c r="L19" i="4"/>
  <c r="K54" i="4"/>
  <c r="K56" i="4" s="1"/>
  <c r="M31" i="4"/>
  <c r="E22" i="3" l="1"/>
  <c r="G15" i="3"/>
  <c r="Q26" i="3"/>
  <c r="F26" i="3"/>
  <c r="J25" i="7" s="1"/>
  <c r="J27" i="7" s="1"/>
  <c r="G31" i="3"/>
  <c r="R31" i="3"/>
  <c r="Q30" i="3"/>
  <c r="F30" i="3"/>
  <c r="J10" i="6" s="1"/>
  <c r="H13" i="3"/>
  <c r="I13" i="3" s="1"/>
  <c r="Q32" i="3"/>
  <c r="F32" i="3"/>
  <c r="F33" i="3"/>
  <c r="Q33" i="3"/>
  <c r="Q23" i="3"/>
  <c r="F23" i="3"/>
  <c r="J34" i="5" s="1"/>
  <c r="P21" i="3"/>
  <c r="E21" i="3"/>
  <c r="F22" i="3"/>
  <c r="Q22" i="3"/>
  <c r="I8" i="5"/>
  <c r="H27" i="3"/>
  <c r="S27" i="3"/>
  <c r="T20" i="3"/>
  <c r="I20" i="3"/>
  <c r="M49" i="4"/>
  <c r="M51" i="4"/>
  <c r="L30" i="5" s="1"/>
  <c r="K57" i="4"/>
  <c r="K58" i="4" s="1"/>
  <c r="L22" i="4"/>
  <c r="I15" i="2"/>
  <c r="L24" i="4"/>
  <c r="K27" i="5" s="1"/>
  <c r="K31" i="5" s="1"/>
  <c r="G16" i="2"/>
  <c r="J19" i="5"/>
  <c r="J9" i="7" s="1"/>
  <c r="J11" i="5"/>
  <c r="H16" i="3"/>
  <c r="G18" i="3"/>
  <c r="K8" i="5" s="1"/>
  <c r="K11" i="5" s="1"/>
  <c r="I9" i="3"/>
  <c r="H12" i="3"/>
  <c r="AC9" i="3"/>
  <c r="AB12" i="3"/>
  <c r="AB15" i="3" s="1"/>
  <c r="AB18" i="3" s="1"/>
  <c r="AC16" i="3"/>
  <c r="AD13" i="3"/>
  <c r="S16" i="3"/>
  <c r="S9" i="3"/>
  <c r="R12" i="3"/>
  <c r="R15" i="3" s="1"/>
  <c r="R18" i="3" s="1"/>
  <c r="T13" i="3"/>
  <c r="L54" i="4"/>
  <c r="L56" i="4" s="1"/>
  <c r="M19" i="4"/>
  <c r="M35" i="4"/>
  <c r="M33" i="4" s="1"/>
  <c r="N9" i="4"/>
  <c r="M26" i="4"/>
  <c r="M24" i="4" s="1"/>
  <c r="L27" i="5" s="1"/>
  <c r="N31" i="4"/>
  <c r="R26" i="3" l="1"/>
  <c r="G26" i="3"/>
  <c r="K12" i="5"/>
  <c r="G23" i="3"/>
  <c r="K34" i="5" s="1"/>
  <c r="R23" i="3"/>
  <c r="R32" i="3"/>
  <c r="G32" i="3"/>
  <c r="J12" i="5"/>
  <c r="J24" i="6"/>
  <c r="I9" i="5"/>
  <c r="I10" i="6"/>
  <c r="I25" i="7"/>
  <c r="K9" i="5"/>
  <c r="K25" i="7"/>
  <c r="K27" i="7" s="1"/>
  <c r="G30" i="3"/>
  <c r="K10" i="6" s="1"/>
  <c r="R30" i="3"/>
  <c r="H31" i="3"/>
  <c r="S31" i="3"/>
  <c r="K19" i="5"/>
  <c r="K9" i="7" s="1"/>
  <c r="I15" i="5"/>
  <c r="J9" i="5"/>
  <c r="R33" i="3"/>
  <c r="G33" i="3"/>
  <c r="K24" i="6" s="1"/>
  <c r="H15" i="3"/>
  <c r="H18" i="3" s="1"/>
  <c r="L8" i="5" s="1"/>
  <c r="L11" i="5" s="1"/>
  <c r="J15" i="5"/>
  <c r="Q21" i="3"/>
  <c r="F21" i="3"/>
  <c r="K15" i="5" s="1"/>
  <c r="K16" i="5" s="1"/>
  <c r="R22" i="3"/>
  <c r="G22" i="3"/>
  <c r="I19" i="5"/>
  <c r="I11" i="5"/>
  <c r="I27" i="3"/>
  <c r="T27" i="3"/>
  <c r="J20" i="3"/>
  <c r="U20" i="3"/>
  <c r="L57" i="4"/>
  <c r="L58" i="4" s="1"/>
  <c r="M22" i="4"/>
  <c r="I16" i="2"/>
  <c r="M54" i="4"/>
  <c r="M56" i="4" s="1"/>
  <c r="L28" i="5"/>
  <c r="L31" i="5" s="1"/>
  <c r="N49" i="4"/>
  <c r="N51" i="4"/>
  <c r="M30" i="5" s="1"/>
  <c r="I16" i="3"/>
  <c r="K13" i="5"/>
  <c r="J9" i="3"/>
  <c r="I12" i="3"/>
  <c r="I15" i="3" s="1"/>
  <c r="J13" i="3"/>
  <c r="AE13" i="3"/>
  <c r="AF13" i="3" s="1"/>
  <c r="AD16" i="3"/>
  <c r="AC12" i="3"/>
  <c r="AC15" i="3" s="1"/>
  <c r="AC18" i="3" s="1"/>
  <c r="AD9" i="3"/>
  <c r="T9" i="3"/>
  <c r="S12" i="3"/>
  <c r="S15" i="3" s="1"/>
  <c r="S18" i="3" s="1"/>
  <c r="U13" i="3"/>
  <c r="T16" i="3"/>
  <c r="N26" i="4"/>
  <c r="N24" i="4" s="1"/>
  <c r="M27" i="5" s="1"/>
  <c r="N19" i="4"/>
  <c r="O9" i="4"/>
  <c r="N35" i="4"/>
  <c r="N33" i="4" s="1"/>
  <c r="M28" i="5" s="1"/>
  <c r="O31" i="4"/>
  <c r="J16" i="5" l="1"/>
  <c r="J9" i="8" s="1"/>
  <c r="S26" i="3"/>
  <c r="H26" i="3"/>
  <c r="L25" i="7" s="1"/>
  <c r="L27" i="7" s="1"/>
  <c r="K26" i="6"/>
  <c r="K18" i="7"/>
  <c r="L12" i="5"/>
  <c r="L13" i="5" s="1"/>
  <c r="K15" i="7"/>
  <c r="H33" i="3"/>
  <c r="L24" i="6" s="1"/>
  <c r="S33" i="3"/>
  <c r="J13" i="5"/>
  <c r="I15" i="7"/>
  <c r="J15" i="7"/>
  <c r="L9" i="5"/>
  <c r="L19" i="5"/>
  <c r="L9" i="7" s="1"/>
  <c r="S32" i="3"/>
  <c r="H32" i="3"/>
  <c r="G21" i="3"/>
  <c r="L15" i="5" s="1"/>
  <c r="R21" i="3"/>
  <c r="I17" i="6"/>
  <c r="I27" i="7"/>
  <c r="S23" i="3"/>
  <c r="H23" i="3"/>
  <c r="L34" i="5" s="1"/>
  <c r="I12" i="5"/>
  <c r="I13" i="5" s="1"/>
  <c r="I24" i="6"/>
  <c r="J18" i="7" s="1"/>
  <c r="I31" i="3"/>
  <c r="T31" i="3"/>
  <c r="I9" i="7"/>
  <c r="I18" i="6"/>
  <c r="J18" i="6" s="1"/>
  <c r="K20" i="3"/>
  <c r="L20" i="3"/>
  <c r="S30" i="3"/>
  <c r="H30" i="3"/>
  <c r="L10" i="6" s="1"/>
  <c r="J26" i="6"/>
  <c r="S22" i="3"/>
  <c r="H22" i="3"/>
  <c r="J11" i="8"/>
  <c r="U27" i="3"/>
  <c r="J27" i="3"/>
  <c r="M31" i="5"/>
  <c r="O49" i="4"/>
  <c r="O51" i="4"/>
  <c r="N30" i="5" s="1"/>
  <c r="M57" i="4"/>
  <c r="M58" i="4" s="1"/>
  <c r="N22" i="4"/>
  <c r="K9" i="8"/>
  <c r="K20" i="5"/>
  <c r="K22" i="5" s="1"/>
  <c r="K33" i="5" s="1"/>
  <c r="K17" i="5"/>
  <c r="K20" i="8"/>
  <c r="K14" i="8"/>
  <c r="K11" i="8"/>
  <c r="K13" i="3"/>
  <c r="L13" i="3" s="1"/>
  <c r="J16" i="3"/>
  <c r="I18" i="3"/>
  <c r="M8" i="5" s="1"/>
  <c r="K9" i="3"/>
  <c r="J12" i="3"/>
  <c r="J15" i="3" s="1"/>
  <c r="AD12" i="3"/>
  <c r="AD15" i="3" s="1"/>
  <c r="AD18" i="3" s="1"/>
  <c r="AE9" i="3"/>
  <c r="AF9" i="3" s="1"/>
  <c r="AF12" i="3" s="1"/>
  <c r="AF15" i="3" s="1"/>
  <c r="AE16" i="3"/>
  <c r="AF16" i="3" s="1"/>
  <c r="U16" i="3"/>
  <c r="U9" i="3"/>
  <c r="T12" i="3"/>
  <c r="T15" i="3" s="1"/>
  <c r="T18" i="3" s="1"/>
  <c r="N54" i="4"/>
  <c r="N56" i="4" s="1"/>
  <c r="P9" i="4"/>
  <c r="O26" i="4"/>
  <c r="O24" i="4" s="1"/>
  <c r="N27" i="5" s="1"/>
  <c r="O19" i="4"/>
  <c r="O35" i="4"/>
  <c r="O33" i="4" s="1"/>
  <c r="P31" i="4"/>
  <c r="J17" i="5" l="1"/>
  <c r="J20" i="5"/>
  <c r="J22" i="5" s="1"/>
  <c r="J33" i="5" s="1"/>
  <c r="J35" i="5" s="1"/>
  <c r="J11" i="7" s="1"/>
  <c r="J20" i="8"/>
  <c r="J14" i="8"/>
  <c r="M19" i="5"/>
  <c r="M9" i="7" s="1"/>
  <c r="AF18" i="3"/>
  <c r="L16" i="5"/>
  <c r="L20" i="5" s="1"/>
  <c r="L22" i="5" s="1"/>
  <c r="L33" i="5" s="1"/>
  <c r="K20" i="7"/>
  <c r="K12" i="3"/>
  <c r="L9" i="3"/>
  <c r="L12" i="3" s="1"/>
  <c r="L15" i="3" s="1"/>
  <c r="I26" i="3"/>
  <c r="M25" i="7" s="1"/>
  <c r="M27" i="7" s="1"/>
  <c r="T26" i="3"/>
  <c r="M11" i="5"/>
  <c r="M12" i="5" s="1"/>
  <c r="M13" i="5" s="1"/>
  <c r="AE12" i="3"/>
  <c r="AE15" i="3" s="1"/>
  <c r="AE18" i="3" s="1"/>
  <c r="L15" i="7"/>
  <c r="L18" i="7"/>
  <c r="L26" i="6"/>
  <c r="I32" i="3"/>
  <c r="T32" i="3"/>
  <c r="I16" i="5"/>
  <c r="I20" i="8" s="1"/>
  <c r="M9" i="5"/>
  <c r="I23" i="3"/>
  <c r="M34" i="5" s="1"/>
  <c r="T23" i="3"/>
  <c r="J20" i="7"/>
  <c r="I33" i="3"/>
  <c r="T33" i="3"/>
  <c r="I18" i="7"/>
  <c r="I20" i="7" s="1"/>
  <c r="I26" i="6"/>
  <c r="U12" i="3"/>
  <c r="U15" i="3" s="1"/>
  <c r="U18" i="3" s="1"/>
  <c r="K18" i="6"/>
  <c r="U31" i="3"/>
  <c r="J31" i="3"/>
  <c r="S21" i="3"/>
  <c r="H21" i="3"/>
  <c r="M15" i="5" s="1"/>
  <c r="K27" i="3"/>
  <c r="L27" i="3"/>
  <c r="T30" i="3"/>
  <c r="I30" i="3"/>
  <c r="M10" i="6" s="1"/>
  <c r="I19" i="6"/>
  <c r="J17" i="6"/>
  <c r="K17" i="6" s="1"/>
  <c r="L17" i="6" s="1"/>
  <c r="T22" i="3"/>
  <c r="I22" i="3"/>
  <c r="O54" i="4"/>
  <c r="O56" i="4" s="1"/>
  <c r="N28" i="5"/>
  <c r="N31" i="5" s="1"/>
  <c r="N57" i="4"/>
  <c r="N58" i="4" s="1"/>
  <c r="O22" i="4"/>
  <c r="P49" i="4"/>
  <c r="P51" i="4"/>
  <c r="O30" i="5" s="1"/>
  <c r="K15" i="3"/>
  <c r="K16" i="3"/>
  <c r="L16" i="3" s="1"/>
  <c r="J18" i="3"/>
  <c r="N8" i="5" s="1"/>
  <c r="L11" i="8"/>
  <c r="L9" i="8"/>
  <c r="K35" i="5"/>
  <c r="Q9" i="4"/>
  <c r="P35" i="4"/>
  <c r="P33" i="4" s="1"/>
  <c r="P26" i="4"/>
  <c r="P19" i="4"/>
  <c r="Q31" i="4"/>
  <c r="L14" i="8" l="1"/>
  <c r="L20" i="8"/>
  <c r="L17" i="5"/>
  <c r="J36" i="5"/>
  <c r="M24" i="6"/>
  <c r="M26" i="6" s="1"/>
  <c r="I23" i="8"/>
  <c r="I9" i="8"/>
  <c r="I20" i="5"/>
  <c r="I22" i="5" s="1"/>
  <c r="I33" i="5" s="1"/>
  <c r="I35" i="5" s="1"/>
  <c r="I11" i="7" s="1"/>
  <c r="I36" i="6" s="1"/>
  <c r="I17" i="5"/>
  <c r="J26" i="3"/>
  <c r="N25" i="7" s="1"/>
  <c r="N27" i="7" s="1"/>
  <c r="U26" i="3"/>
  <c r="L18" i="3"/>
  <c r="P8" i="5" s="1"/>
  <c r="I11" i="8"/>
  <c r="I17" i="8"/>
  <c r="I21" i="8"/>
  <c r="M16" i="5"/>
  <c r="M20" i="8" s="1"/>
  <c r="M17" i="6"/>
  <c r="L20" i="7"/>
  <c r="I14" i="8"/>
  <c r="I15" i="8"/>
  <c r="J19" i="6"/>
  <c r="M18" i="7"/>
  <c r="M15" i="7"/>
  <c r="J8" i="7"/>
  <c r="J12" i="7" s="1"/>
  <c r="J22" i="7" s="1"/>
  <c r="J29" i="7" s="1"/>
  <c r="J45" i="7" s="1"/>
  <c r="N9" i="5"/>
  <c r="K36" i="5"/>
  <c r="K11" i="7"/>
  <c r="T21" i="3"/>
  <c r="I21" i="3"/>
  <c r="N15" i="5" s="1"/>
  <c r="U23" i="3"/>
  <c r="J23" i="3"/>
  <c r="N34" i="5" s="1"/>
  <c r="U32" i="3"/>
  <c r="J32" i="3"/>
  <c r="N11" i="5"/>
  <c r="N19" i="5"/>
  <c r="N9" i="7" s="1"/>
  <c r="K31" i="3"/>
  <c r="L31" i="3"/>
  <c r="J30" i="3"/>
  <c r="N10" i="6" s="1"/>
  <c r="N15" i="7" s="1"/>
  <c r="U30" i="3"/>
  <c r="L18" i="6"/>
  <c r="K19" i="6"/>
  <c r="J33" i="3"/>
  <c r="U33" i="3"/>
  <c r="U22" i="3"/>
  <c r="J22" i="3"/>
  <c r="P24" i="4"/>
  <c r="O27" i="5" s="1"/>
  <c r="Q49" i="4"/>
  <c r="Q51" i="4"/>
  <c r="P54" i="4"/>
  <c r="P56" i="4" s="1"/>
  <c r="O28" i="5"/>
  <c r="O57" i="4"/>
  <c r="O58" i="4" s="1"/>
  <c r="P22" i="4"/>
  <c r="O31" i="5"/>
  <c r="K18" i="3"/>
  <c r="L35" i="5"/>
  <c r="Q26" i="4"/>
  <c r="Q19" i="4"/>
  <c r="Q35" i="4"/>
  <c r="Q33" i="4" s="1"/>
  <c r="M9" i="8" l="1"/>
  <c r="I36" i="5"/>
  <c r="M17" i="5"/>
  <c r="M20" i="5"/>
  <c r="M22" i="5" s="1"/>
  <c r="M33" i="5" s="1"/>
  <c r="M11" i="8"/>
  <c r="P11" i="5"/>
  <c r="P12" i="5" s="1"/>
  <c r="N17" i="6"/>
  <c r="M14" i="8"/>
  <c r="K26" i="3"/>
  <c r="L26" i="3"/>
  <c r="P25" i="7" s="1"/>
  <c r="P27" i="7" s="1"/>
  <c r="M20" i="7"/>
  <c r="N12" i="5"/>
  <c r="N24" i="6"/>
  <c r="J21" i="3"/>
  <c r="U21" i="3"/>
  <c r="J36" i="6"/>
  <c r="I37" i="6"/>
  <c r="O8" i="5"/>
  <c r="P9" i="5" s="1"/>
  <c r="M18" i="6"/>
  <c r="L19" i="6"/>
  <c r="I8" i="7"/>
  <c r="I12" i="7" s="1"/>
  <c r="I22" i="7" s="1"/>
  <c r="I29" i="7" s="1"/>
  <c r="I42" i="6"/>
  <c r="K22" i="3"/>
  <c r="P19" i="5" s="1"/>
  <c r="P9" i="7" s="1"/>
  <c r="L22" i="3"/>
  <c r="K33" i="3"/>
  <c r="L33" i="3"/>
  <c r="K30" i="3"/>
  <c r="L30" i="3"/>
  <c r="L36" i="5"/>
  <c r="L11" i="7"/>
  <c r="K32" i="3"/>
  <c r="L32" i="3"/>
  <c r="K8" i="7"/>
  <c r="K12" i="7" s="1"/>
  <c r="K22" i="7" s="1"/>
  <c r="K29" i="7" s="1"/>
  <c r="K45" i="7" s="1"/>
  <c r="K23" i="3"/>
  <c r="O34" i="5" s="1"/>
  <c r="L23" i="3"/>
  <c r="P34" i="5" s="1"/>
  <c r="P57" i="4"/>
  <c r="P58" i="4" s="1"/>
  <c r="Q22" i="4"/>
  <c r="Q57" i="4" s="1"/>
  <c r="Q58" i="4" s="1"/>
  <c r="Q24" i="4"/>
  <c r="M35" i="5"/>
  <c r="P13" i="5" l="1"/>
  <c r="I30" i="7"/>
  <c r="J30" i="7" s="1"/>
  <c r="K30" i="7" s="1"/>
  <c r="I45" i="7"/>
  <c r="L8" i="7"/>
  <c r="L12" i="7" s="1"/>
  <c r="L22" i="7" s="1"/>
  <c r="L29" i="7" s="1"/>
  <c r="L45" i="7" s="1"/>
  <c r="I43" i="6"/>
  <c r="I25" i="8" s="1"/>
  <c r="J42" i="6"/>
  <c r="I45" i="6"/>
  <c r="M36" i="5"/>
  <c r="M11" i="7"/>
  <c r="K21" i="3"/>
  <c r="P15" i="5" s="1"/>
  <c r="P16" i="5" s="1"/>
  <c r="L21" i="3"/>
  <c r="K36" i="6"/>
  <c r="J37" i="6"/>
  <c r="N18" i="6"/>
  <c r="M19" i="6"/>
  <c r="N26" i="6"/>
  <c r="N18" i="7"/>
  <c r="N20" i="7" s="1"/>
  <c r="O9" i="5"/>
  <c r="O10" i="6"/>
  <c r="O25" i="7"/>
  <c r="O15" i="5"/>
  <c r="O11" i="5"/>
  <c r="O19" i="5"/>
  <c r="O9" i="7" s="1"/>
  <c r="N13" i="5"/>
  <c r="N16" i="5"/>
  <c r="Q54" i="4"/>
  <c r="Q56" i="4" s="1"/>
  <c r="P17" i="5" l="1"/>
  <c r="P20" i="5"/>
  <c r="P22" i="5" s="1"/>
  <c r="P33" i="5" s="1"/>
  <c r="O18" i="6"/>
  <c r="N19" i="6"/>
  <c r="K42" i="6"/>
  <c r="J43" i="6"/>
  <c r="J25" i="8" s="1"/>
  <c r="O12" i="5"/>
  <c r="O24" i="6"/>
  <c r="P10" i="6"/>
  <c r="P15" i="7" s="1"/>
  <c r="O15" i="7"/>
  <c r="L36" i="6"/>
  <c r="K37" i="6"/>
  <c r="M8" i="7"/>
  <c r="M12" i="7" s="1"/>
  <c r="M22" i="7" s="1"/>
  <c r="M29" i="7" s="1"/>
  <c r="M45" i="7" s="1"/>
  <c r="O27" i="7"/>
  <c r="O17" i="6"/>
  <c r="N20" i="8"/>
  <c r="N20" i="5"/>
  <c r="N22" i="5" s="1"/>
  <c r="N33" i="5" s="1"/>
  <c r="N35" i="5" s="1"/>
  <c r="N9" i="8"/>
  <c r="N14" i="8"/>
  <c r="N17" i="5"/>
  <c r="N11" i="8"/>
  <c r="I47" i="7"/>
  <c r="J46" i="7" s="1"/>
  <c r="J47" i="7" s="1"/>
  <c r="K46" i="7" s="1"/>
  <c r="K47" i="7" s="1"/>
  <c r="L46" i="7" s="1"/>
  <c r="L47" i="7" s="1"/>
  <c r="M46" i="7" s="1"/>
  <c r="I9" i="6"/>
  <c r="L30" i="7"/>
  <c r="P35" i="5" l="1"/>
  <c r="P11" i="7" s="1"/>
  <c r="J45" i="6"/>
  <c r="P17" i="6"/>
  <c r="O16" i="5"/>
  <c r="O13" i="5"/>
  <c r="M30" i="7"/>
  <c r="M47" i="7"/>
  <c r="N46" i="7" s="1"/>
  <c r="M36" i="6"/>
  <c r="L37" i="6"/>
  <c r="L42" i="6"/>
  <c r="K43" i="6"/>
  <c r="K25" i="8" s="1"/>
  <c r="N36" i="5"/>
  <c r="N11" i="7"/>
  <c r="O18" i="7"/>
  <c r="O20" i="7" s="1"/>
  <c r="P24" i="6"/>
  <c r="P18" i="7" s="1"/>
  <c r="P20" i="7" s="1"/>
  <c r="O26" i="6"/>
  <c r="J15" i="8"/>
  <c r="I13" i="6"/>
  <c r="I21" i="6" s="1"/>
  <c r="I46" i="6" s="1"/>
  <c r="J9" i="6"/>
  <c r="J23" i="8"/>
  <c r="J21" i="8"/>
  <c r="J17" i="8"/>
  <c r="P18" i="6"/>
  <c r="O19" i="6"/>
  <c r="P36" i="5" l="1"/>
  <c r="P8" i="7" s="1"/>
  <c r="P12" i="7" s="1"/>
  <c r="P22" i="7" s="1"/>
  <c r="P29" i="7" s="1"/>
  <c r="P45" i="7" s="1"/>
  <c r="P19" i="6"/>
  <c r="N8" i="7"/>
  <c r="N12" i="7" s="1"/>
  <c r="N22" i="7" s="1"/>
  <c r="N29" i="7" s="1"/>
  <c r="O20" i="8"/>
  <c r="O14" i="8"/>
  <c r="O11" i="8"/>
  <c r="O9" i="8"/>
  <c r="O17" i="5"/>
  <c r="O20" i="5"/>
  <c r="O22" i="5" s="1"/>
  <c r="O33" i="5" s="1"/>
  <c r="O35" i="5" s="1"/>
  <c r="K23" i="8"/>
  <c r="K15" i="8"/>
  <c r="K21" i="8"/>
  <c r="K17" i="8"/>
  <c r="J13" i="6"/>
  <c r="J21" i="6" s="1"/>
  <c r="J46" i="6" s="1"/>
  <c r="K9" i="6"/>
  <c r="M42" i="6"/>
  <c r="L43" i="6"/>
  <c r="L25" i="8" s="1"/>
  <c r="P26" i="6"/>
  <c r="N36" i="6"/>
  <c r="M37" i="6"/>
  <c r="K45" i="6"/>
  <c r="P14" i="8"/>
  <c r="P20" i="8"/>
  <c r="P9" i="8"/>
  <c r="P11" i="8"/>
  <c r="N45" i="7" l="1"/>
  <c r="N47" i="7" s="1"/>
  <c r="O46" i="7" s="1"/>
  <c r="N30" i="7"/>
  <c r="L17" i="8"/>
  <c r="L21" i="8"/>
  <c r="L9" i="6"/>
  <c r="K13" i="6"/>
  <c r="K21" i="6" s="1"/>
  <c r="K46" i="6" s="1"/>
  <c r="L23" i="8"/>
  <c r="L15" i="8"/>
  <c r="N37" i="6"/>
  <c r="L45" i="6"/>
  <c r="O36" i="5"/>
  <c r="O11" i="7"/>
  <c r="N42" i="6"/>
  <c r="M43" i="6"/>
  <c r="M25" i="8" s="1"/>
  <c r="O8" i="7" l="1"/>
  <c r="O12" i="7" s="1"/>
  <c r="O22" i="7" s="1"/>
  <c r="O29" i="7" s="1"/>
  <c r="O42" i="6"/>
  <c r="N43" i="6"/>
  <c r="N25" i="8" s="1"/>
  <c r="M45" i="6"/>
  <c r="M23" i="8"/>
  <c r="M21" i="8"/>
  <c r="M15" i="8"/>
  <c r="L13" i="6"/>
  <c r="L21" i="6" s="1"/>
  <c r="L46" i="6" s="1"/>
  <c r="M17" i="8"/>
  <c r="M9" i="6"/>
  <c r="O36" i="6"/>
  <c r="N45" i="6" l="1"/>
  <c r="O45" i="7"/>
  <c r="O47" i="7" s="1"/>
  <c r="P46" i="7" s="1"/>
  <c r="P47" i="7" s="1"/>
  <c r="O30" i="7"/>
  <c r="P30" i="7" s="1"/>
  <c r="M13" i="6"/>
  <c r="M21" i="6" s="1"/>
  <c r="M46" i="6" s="1"/>
  <c r="N23" i="8"/>
  <c r="N9" i="6"/>
  <c r="N21" i="8"/>
  <c r="N17" i="8"/>
  <c r="N15" i="8"/>
  <c r="P36" i="6"/>
  <c r="P37" i="6" s="1"/>
  <c r="O37" i="6"/>
  <c r="P42" i="6"/>
  <c r="P43" i="6" s="1"/>
  <c r="P25" i="8" s="1"/>
  <c r="O43" i="6"/>
  <c r="O25" i="8" s="1"/>
  <c r="O45" i="6" l="1"/>
  <c r="P45" i="6"/>
  <c r="O15" i="8"/>
  <c r="O23" i="8"/>
  <c r="O17" i="8"/>
  <c r="O9" i="6"/>
  <c r="N13" i="6"/>
  <c r="N21" i="6" s="1"/>
  <c r="N46" i="6" s="1"/>
  <c r="O21" i="8"/>
  <c r="O13" i="6" l="1"/>
  <c r="O21" i="6" s="1"/>
  <c r="O46" i="6" s="1"/>
  <c r="P9" i="6"/>
  <c r="P13" i="6" s="1"/>
  <c r="P21" i="6" s="1"/>
  <c r="P46" i="6" s="1"/>
  <c r="P21" i="8"/>
  <c r="P23" i="8"/>
  <c r="P15" i="8"/>
  <c r="P17" i="8"/>
</calcChain>
</file>

<file path=xl/sharedStrings.xml><?xml version="1.0" encoding="utf-8"?>
<sst xmlns="http://schemas.openxmlformats.org/spreadsheetml/2006/main" count="253" uniqueCount="193">
  <si>
    <t>Sources</t>
  </si>
  <si>
    <t>Uses</t>
  </si>
  <si>
    <t>Cash</t>
  </si>
  <si>
    <t>Term Loan A</t>
  </si>
  <si>
    <t>Term Loan B</t>
  </si>
  <si>
    <t xml:space="preserve">   Total Bank Debt</t>
  </si>
  <si>
    <t>Transaction Fees &amp; Expenses</t>
  </si>
  <si>
    <t>Total Debt</t>
  </si>
  <si>
    <t>Cash Equity</t>
  </si>
  <si>
    <t>($ 000's)</t>
  </si>
  <si>
    <t>Historical</t>
  </si>
  <si>
    <t>PROJECTED</t>
  </si>
  <si>
    <t>Interest Rate Assumptions</t>
  </si>
  <si>
    <t>Outstanding</t>
  </si>
  <si>
    <t>Increase / (Decrease)</t>
  </si>
  <si>
    <t>Interest Payment</t>
  </si>
  <si>
    <t>Spread</t>
  </si>
  <si>
    <t>Interest rate</t>
  </si>
  <si>
    <t>HOME SUITES ("HSE")</t>
  </si>
  <si>
    <t>LBO Transaction</t>
  </si>
  <si>
    <t>TRANSACTION SOURCES &amp; USES ( $ 000's)</t>
  </si>
  <si>
    <t>Funded</t>
  </si>
  <si>
    <t>% of 
Total Cap</t>
  </si>
  <si>
    <t>Stock 
Price ($)</t>
  </si>
  <si>
    <t>Shares
Outstanding</t>
  </si>
  <si>
    <t>Amount</t>
  </si>
  <si>
    <t>Purchase Price</t>
  </si>
  <si>
    <t>Refinance Debt</t>
  </si>
  <si>
    <t>Subordinated Bonds</t>
  </si>
  <si>
    <t xml:space="preserve">   Total Debt</t>
  </si>
  <si>
    <t xml:space="preserve">   Total Sources</t>
  </si>
  <si>
    <t xml:space="preserve">   Total Uses</t>
  </si>
  <si>
    <t>Home Suites (NYSE: HSE)</t>
  </si>
  <si>
    <t>Public to Private LBO Transaction</t>
  </si>
  <si>
    <t>TRANSACTION PRO FORMA CAPITALIZATION TABLE ($ 000's)</t>
  </si>
  <si>
    <t>LBO Adj.</t>
  </si>
  <si>
    <t xml:space="preserve"> % of Capitalization</t>
  </si>
  <si>
    <t>Existing Debt</t>
  </si>
  <si>
    <t>Funded RC</t>
  </si>
  <si>
    <t xml:space="preserve">  Total Bank Debt</t>
  </si>
  <si>
    <t>Corporate Bonds</t>
  </si>
  <si>
    <t xml:space="preserve">  Total Debt</t>
  </si>
  <si>
    <t>Equity (Book Value)</t>
  </si>
  <si>
    <t xml:space="preserve">  Total Capitatlization</t>
  </si>
  <si>
    <t>Base Case</t>
  </si>
  <si>
    <t>Stress Case</t>
  </si>
  <si>
    <t>INPUT OPERATING ASSUMPTIONS</t>
  </si>
  <si>
    <t>INCOME STATEMENT ASSUMPTIONS</t>
  </si>
  <si>
    <t>Revenue Worksheet Assumptions</t>
  </si>
  <si>
    <t>Average Daily Rate (ADR)</t>
  </si>
  <si>
    <t xml:space="preserve"> ADR Price Increase %</t>
  </si>
  <si>
    <t>Occupancy Rate</t>
  </si>
  <si>
    <t>RevPar</t>
  </si>
  <si>
    <t>Number of Rooms</t>
  </si>
  <si>
    <t xml:space="preserve"> Increase %</t>
  </si>
  <si>
    <t>Revenue from Owned Hotels</t>
  </si>
  <si>
    <t>Revenue fron Frenchised Hotels</t>
  </si>
  <si>
    <t xml:space="preserve">  Growth</t>
  </si>
  <si>
    <t>Total Revenue</t>
  </si>
  <si>
    <t>Cost of Revenue as % of Revenue</t>
  </si>
  <si>
    <t>Operating Expenses (excludind D&amp;A) as % of Revenue</t>
  </si>
  <si>
    <t>Depreciation and Amortization (D&amp;A) as % of Revenue</t>
  </si>
  <si>
    <t>Tax Rate</t>
  </si>
  <si>
    <t>CASH FLOW STATEMENT ASSUMPTIONS</t>
  </si>
  <si>
    <t>Capital Expenditures as % of Revenue</t>
  </si>
  <si>
    <t>Deferred Taxes as % of Taxes</t>
  </si>
  <si>
    <t>BALANCE SHEET ASSUMPTIONS</t>
  </si>
  <si>
    <t xml:space="preserve">  Accounts Receivable Days</t>
  </si>
  <si>
    <t xml:space="preserve">  Inventory Days</t>
  </si>
  <si>
    <t xml:space="preserve">  Other Current Assets % of Revenues</t>
  </si>
  <si>
    <t xml:space="preserve">  Accounts Payable Days</t>
  </si>
  <si>
    <t xml:space="preserve">  Other Current Liabilities as % of Revenues</t>
  </si>
  <si>
    <t>INCOME STATEMENT</t>
  </si>
  <si>
    <t>REVENUE</t>
  </si>
  <si>
    <t xml:space="preserve">   Sales Growth</t>
  </si>
  <si>
    <t>Gross Profit</t>
  </si>
  <si>
    <t xml:space="preserve">   Gross Margin</t>
  </si>
  <si>
    <t>EBITDA</t>
  </si>
  <si>
    <t xml:space="preserve">   % Sales</t>
  </si>
  <si>
    <t xml:space="preserve">   Amort. of Fees</t>
  </si>
  <si>
    <t>EBIT</t>
  </si>
  <si>
    <t>INTEREST EXPENSE (INCOME):</t>
  </si>
  <si>
    <t xml:space="preserve"> Total Interest Expense</t>
  </si>
  <si>
    <t>EBT Taxes</t>
  </si>
  <si>
    <t xml:space="preserve">   Tax Rate</t>
  </si>
  <si>
    <t>Tax Expense</t>
  </si>
  <si>
    <t>NET INCOME (LOSS)</t>
  </si>
  <si>
    <t>CASH FLOW STATEMENT</t>
  </si>
  <si>
    <t xml:space="preserve">   Net Income (Loss)</t>
  </si>
  <si>
    <t xml:space="preserve">   Amortization of Fees</t>
  </si>
  <si>
    <t xml:space="preserve">   Deffered Taxes</t>
  </si>
  <si>
    <t>Cash Income (CI)</t>
  </si>
  <si>
    <t>WORKING CAPITAL ACTIVITIES:</t>
  </si>
  <si>
    <t xml:space="preserve">  Change in Accounts Receivable</t>
  </si>
  <si>
    <t xml:space="preserve">  Change in Inventory</t>
  </si>
  <si>
    <t xml:space="preserve">  Change in Other Current Assets</t>
  </si>
  <si>
    <t xml:space="preserve">  Change in Accounts Payable</t>
  </si>
  <si>
    <t xml:space="preserve">  Change in other Current Liabilities</t>
  </si>
  <si>
    <t>Total Working Capital Activities</t>
  </si>
  <si>
    <t>Operating Cash Flow (OCF)</t>
  </si>
  <si>
    <t>INVESTMENT ACTIVITIES:</t>
  </si>
  <si>
    <t xml:space="preserve">   Capital Expenditures</t>
  </si>
  <si>
    <t>Investments in the JV</t>
  </si>
  <si>
    <t>Total Investment Activivites</t>
  </si>
  <si>
    <t>Cash Available for Debt Service (CAFDS)</t>
  </si>
  <si>
    <t xml:space="preserve">  Total Debt Payments</t>
  </si>
  <si>
    <t>Equity Contribution</t>
  </si>
  <si>
    <t>Total Financing Activivites</t>
  </si>
  <si>
    <t>SUMMARY INFO &amp; CREDIT ANALYSIS</t>
  </si>
  <si>
    <t>EBITDA/ Interest</t>
  </si>
  <si>
    <t xml:space="preserve">  Covenant</t>
  </si>
  <si>
    <t>Senior Secured Debt / EBITDA</t>
  </si>
  <si>
    <t>Total Debt / EBITDA</t>
  </si>
  <si>
    <t>DEBT SCHEDULE ASSUMPTIONS</t>
  </si>
  <si>
    <t>COMMITMENT</t>
  </si>
  <si>
    <t>FUNDED AMOUNT</t>
  </si>
  <si>
    <t>Outstanding (unfunded)</t>
  </si>
  <si>
    <t>Outstanding (funded)</t>
  </si>
  <si>
    <t>Unfunded  Fee</t>
  </si>
  <si>
    <t>% Amort</t>
  </si>
  <si>
    <t>New Term Loan B (refinancing)</t>
  </si>
  <si>
    <t>Total Interest Payment</t>
  </si>
  <si>
    <t>Total Loan Principal Increase / (Decrease)</t>
  </si>
  <si>
    <t>Total Payment</t>
  </si>
  <si>
    <t>Total Senior Debt</t>
  </si>
  <si>
    <t>Total Debt Outstanding</t>
  </si>
  <si>
    <t>New Term Loan B</t>
  </si>
  <si>
    <t>COST OF SALES</t>
  </si>
  <si>
    <t xml:space="preserve">Operating Expenses (excludind D&amp;A) </t>
  </si>
  <si>
    <t xml:space="preserve">   Depreciation and Amortization</t>
  </si>
  <si>
    <t>EBITA (A as Amortization of Transaction Fees)</t>
  </si>
  <si>
    <t>Year Amort:</t>
  </si>
  <si>
    <t>Existing Debts</t>
  </si>
  <si>
    <t>BALANCE SHEET</t>
  </si>
  <si>
    <t>Pre-
Transaction</t>
  </si>
  <si>
    <t>Debit</t>
  </si>
  <si>
    <t>Credit</t>
  </si>
  <si>
    <t>Post -
Transaction</t>
  </si>
  <si>
    <t>Current Assets</t>
  </si>
  <si>
    <t>Accounts Receivable</t>
  </si>
  <si>
    <t>Inventory</t>
  </si>
  <si>
    <t>Other Current Assets</t>
  </si>
  <si>
    <t>Total Current Assets</t>
  </si>
  <si>
    <t>Goodwill &amp; Other Intagibles</t>
  </si>
  <si>
    <t>Capitalized Fees</t>
  </si>
  <si>
    <t>LTI &amp; Other Assets</t>
  </si>
  <si>
    <t xml:space="preserve">  Total Assets</t>
  </si>
  <si>
    <t>Current Liabilities</t>
  </si>
  <si>
    <t>Accounts Payable</t>
  </si>
  <si>
    <t xml:space="preserve">Other Current Liabilities </t>
  </si>
  <si>
    <t>Total Current Liabilities</t>
  </si>
  <si>
    <t>Existing Long Term Debt</t>
  </si>
  <si>
    <t>Other Liabilities / Deferred Taxes</t>
  </si>
  <si>
    <t>Total Liabilities</t>
  </si>
  <si>
    <t>Shareholder's Equity</t>
  </si>
  <si>
    <t xml:space="preserve">  Common Stock</t>
  </si>
  <si>
    <t>Other Equity</t>
  </si>
  <si>
    <t>Retained Earnings</t>
  </si>
  <si>
    <t>Total Shareholder's Equity</t>
  </si>
  <si>
    <t>Total Liabilities &amp; Equity</t>
  </si>
  <si>
    <t>Revolver</t>
  </si>
  <si>
    <t>Accumulated CAFDS</t>
  </si>
  <si>
    <t>CAFDS as a % of Bank Debt at Transaction Closing</t>
  </si>
  <si>
    <t>CAFDS as a % of Total Debt at Transaction Closing</t>
  </si>
  <si>
    <t>FINANCING ACTIVITIES (PMTs/Borrowings):</t>
  </si>
  <si>
    <t>Net Change in Cash</t>
  </si>
  <si>
    <t>Beginning Cash</t>
  </si>
  <si>
    <t>Ending Cash</t>
  </si>
  <si>
    <t>Coverage Ratio</t>
  </si>
  <si>
    <t xml:space="preserve">  EBITDA Cushion ($ 000's)*</t>
  </si>
  <si>
    <t>Senior Leverage Ratio</t>
  </si>
  <si>
    <t>Net Senior Secured Debt / EBITDA</t>
  </si>
  <si>
    <t xml:space="preserve">  Covenant (Net Senior Secured Leverage Ratio)</t>
  </si>
  <si>
    <t>Total Leverage Ratio</t>
  </si>
  <si>
    <t>Net Total Debt / EBITDA</t>
  </si>
  <si>
    <t xml:space="preserve">  Covenant (Net Total Leverage Ratio)</t>
  </si>
  <si>
    <t>Total Debt / Total Capitalization</t>
  </si>
  <si>
    <t>* How much the EBITDA has to drop before the company violates the covenant</t>
  </si>
  <si>
    <t>Home Suites ("HSE")</t>
  </si>
  <si>
    <t>SOFR Rate/Floor=</t>
  </si>
  <si>
    <t>SOFR Rate</t>
  </si>
  <si>
    <t>SOFR Iincrease / Decrease</t>
  </si>
  <si>
    <t>Revolver ($600,000)</t>
  </si>
  <si>
    <t xml:space="preserve">  FY2022 EBITDAx</t>
  </si>
  <si>
    <t>Acquisition Target 2022 EBITDA =</t>
  </si>
  <si>
    <t>As of FYE 2022</t>
  </si>
  <si>
    <t>Acquisition Target 2022 (Covid) EBITDA =</t>
  </si>
  <si>
    <t>PF Closing (12/2022)</t>
  </si>
  <si>
    <t>Gross PP&amp;E</t>
  </si>
  <si>
    <t>Accum. Depreciation</t>
  </si>
  <si>
    <t xml:space="preserve">  Net PP&amp;E</t>
  </si>
  <si>
    <t xml:space="preserve">   Depreciation</t>
  </si>
  <si>
    <t>Transaction closing: 12/2022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</si>
</sst>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* #,##0_);_(* \(#,##0\);_(* &quot;-&quot;?_);_(@_)"/>
    <numFmt numFmtId="169" formatCode="0.00\x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2"/>
      <name val="Arial"/>
      <family val="2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color indexed="9"/>
      <name val="Calibri"/>
      <family val="2"/>
      <scheme val="minor"/>
    </font>
    <font>
      <sz val="11"/>
      <color rgb="FF0066FF"/>
      <name val="Calibri"/>
      <family val="2"/>
      <scheme val="minor"/>
    </font>
    <font>
      <sz val="11"/>
      <color indexed="12"/>
      <name val="Calibri"/>
      <family val="2"/>
      <scheme val="minor"/>
    </font>
    <font>
      <b/>
      <sz val="11"/>
      <color indexed="12"/>
      <name val="Calibri"/>
      <family val="2"/>
      <scheme val="minor"/>
    </font>
    <font>
      <sz val="11"/>
      <color rgb="FF0000FF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1" fillId="0" borderId="0" applyFont="0" applyFill="0" applyBorder="0" applyAlignment="0" applyProtection="0"/>
  </cellStyleXfs>
  <cellXfs count="300">
    <xf numFmtId="0" fontId="0" fillId="0" borderId="0" xfId="0"/>
    <xf numFmtId="0" fontId="0" fillId="0" borderId="0" xfId="0" applyAlignment="1">
      <alignment horizontal="centerContinuous"/>
    </xf>
    <xf numFmtId="166" fontId="0" fillId="0" borderId="0" xfId="2" applyNumberFormat="1" applyFont="1"/>
    <xf numFmtId="165" fontId="0" fillId="0" borderId="0" xfId="0" applyNumberFormat="1"/>
    <xf numFmtId="165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0" fontId="6" fillId="0" borderId="0" xfId="3" applyNumberFormat="1" applyFont="1" applyAlignment="1">
      <alignment horizontal="left"/>
    </xf>
    <xf numFmtId="0" fontId="7" fillId="0" borderId="0" xfId="3" applyFont="1" applyAlignment="1">
      <alignment horizontal="centerContinuous"/>
    </xf>
    <xf numFmtId="40" fontId="6" fillId="0" borderId="0" xfId="3" applyNumberFormat="1" applyFont="1" applyAlignment="1">
      <alignment horizontal="center" wrapText="1"/>
    </xf>
    <xf numFmtId="40" fontId="6" fillId="0" borderId="0" xfId="3" applyNumberFormat="1" applyFont="1" applyAlignment="1">
      <alignment horizontal="left" wrapText="1"/>
    </xf>
    <xf numFmtId="0" fontId="6" fillId="2" borderId="0" xfId="0" applyFont="1" applyFill="1" applyAlignment="1">
      <alignment horizontal="right"/>
    </xf>
    <xf numFmtId="0" fontId="8" fillId="3" borderId="0" xfId="3" applyFont="1" applyFill="1"/>
    <xf numFmtId="0" fontId="9" fillId="3" borderId="0" xfId="3" applyFont="1" applyFill="1"/>
    <xf numFmtId="0" fontId="9" fillId="3" borderId="0" xfId="0" applyFont="1" applyFill="1"/>
    <xf numFmtId="0" fontId="6" fillId="4" borderId="5" xfId="0" applyFont="1" applyFill="1" applyBorder="1" applyAlignment="1">
      <alignment vertical="center"/>
    </xf>
    <xf numFmtId="0" fontId="6" fillId="4" borderId="5" xfId="0" applyFont="1" applyFill="1" applyBorder="1" applyAlignment="1">
      <alignment horizontal="center" vertical="center" wrapText="1"/>
    </xf>
    <xf numFmtId="165" fontId="7" fillId="0" borderId="0" xfId="1" applyNumberFormat="1" applyFont="1" applyFill="1" applyBorder="1"/>
    <xf numFmtId="166" fontId="0" fillId="0" borderId="0" xfId="2" applyNumberFormat="1" applyFont="1" applyFill="1" applyBorder="1"/>
    <xf numFmtId="165" fontId="10" fillId="0" borderId="0" xfId="1" applyNumberFormat="1" applyFont="1" applyFill="1" applyBorder="1"/>
    <xf numFmtId="164" fontId="7" fillId="0" borderId="0" xfId="0" applyNumberFormat="1" applyFont="1" applyAlignment="1">
      <alignment horizontal="center"/>
    </xf>
    <xf numFmtId="44" fontId="7" fillId="0" borderId="0" xfId="4" applyFont="1" applyFill="1" applyBorder="1"/>
    <xf numFmtId="165" fontId="0" fillId="0" borderId="0" xfId="1" applyNumberFormat="1" applyFont="1" applyFill="1" applyBorder="1"/>
    <xf numFmtId="0" fontId="2" fillId="0" borderId="0" xfId="0" applyFont="1"/>
    <xf numFmtId="165" fontId="6" fillId="0" borderId="6" xfId="1" applyNumberFormat="1" applyFont="1" applyFill="1" applyBorder="1"/>
    <xf numFmtId="166" fontId="2" fillId="0" borderId="6" xfId="2" applyNumberFormat="1" applyFont="1" applyFill="1" applyBorder="1"/>
    <xf numFmtId="164" fontId="6" fillId="0" borderId="6" xfId="0" applyNumberFormat="1" applyFont="1" applyBorder="1" applyAlignment="1">
      <alignment horizontal="center"/>
    </xf>
    <xf numFmtId="0" fontId="11" fillId="0" borderId="0" xfId="0" applyFont="1" applyAlignment="1">
      <alignment horizontal="center"/>
    </xf>
    <xf numFmtId="165" fontId="11" fillId="0" borderId="0" xfId="0" applyNumberFormat="1" applyFont="1"/>
    <xf numFmtId="166" fontId="6" fillId="0" borderId="6" xfId="2" applyNumberFormat="1" applyFont="1" applyFill="1" applyBorder="1"/>
    <xf numFmtId="0" fontId="11" fillId="0" borderId="0" xfId="0" applyFont="1"/>
    <xf numFmtId="0" fontId="7" fillId="0" borderId="0" xfId="0" applyFont="1"/>
    <xf numFmtId="165" fontId="6" fillId="0" borderId="5" xfId="1" applyNumberFormat="1" applyFont="1" applyFill="1" applyBorder="1"/>
    <xf numFmtId="166" fontId="2" fillId="0" borderId="5" xfId="2" applyNumberFormat="1" applyFont="1" applyFill="1" applyBorder="1"/>
    <xf numFmtId="164" fontId="2" fillId="0" borderId="5" xfId="0" applyNumberFormat="1" applyFont="1" applyBorder="1" applyAlignment="1">
      <alignment horizontal="center"/>
    </xf>
    <xf numFmtId="0" fontId="12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5" fontId="6" fillId="0" borderId="0" xfId="4" applyNumberFormat="1" applyFont="1" applyFill="1" applyBorder="1"/>
    <xf numFmtId="10" fontId="6" fillId="0" borderId="0" xfId="2" applyNumberFormat="1" applyFont="1" applyFill="1" applyBorder="1"/>
    <xf numFmtId="0" fontId="2" fillId="0" borderId="0" xfId="0" applyFont="1" applyAlignment="1">
      <alignment horizontal="right" vertical="top"/>
    </xf>
    <xf numFmtId="41" fontId="4" fillId="0" borderId="0" xfId="1" quotePrefix="1" applyNumberFormat="1" applyFont="1" applyBorder="1"/>
    <xf numFmtId="41" fontId="0" fillId="0" borderId="0" xfId="0" applyNumberFormat="1"/>
    <xf numFmtId="41" fontId="2" fillId="0" borderId="0" xfId="0" applyNumberFormat="1" applyFont="1"/>
    <xf numFmtId="0" fontId="10" fillId="0" borderId="0" xfId="0" applyFont="1"/>
    <xf numFmtId="9" fontId="0" fillId="0" borderId="0" xfId="2" applyFont="1"/>
    <xf numFmtId="38" fontId="6" fillId="0" borderId="5" xfId="3" applyNumberFormat="1" applyFont="1" applyBorder="1"/>
    <xf numFmtId="40" fontId="6" fillId="0" borderId="0" xfId="3" applyNumberFormat="1" applyFont="1"/>
    <xf numFmtId="17" fontId="2" fillId="4" borderId="2" xfId="0" applyNumberFormat="1" applyFont="1" applyFill="1" applyBorder="1" applyAlignment="1">
      <alignment horizontal="center"/>
    </xf>
    <xf numFmtId="17" fontId="2" fillId="4" borderId="17" xfId="0" applyNumberFormat="1" applyFont="1" applyFill="1" applyBorder="1" applyAlignment="1">
      <alignment horizontal="center"/>
    </xf>
    <xf numFmtId="40" fontId="2" fillId="0" borderId="0" xfId="3" applyNumberFormat="1" applyFont="1"/>
    <xf numFmtId="40" fontId="5" fillId="0" borderId="0" xfId="3" applyNumberFormat="1" applyFont="1"/>
    <xf numFmtId="40" fontId="7" fillId="0" borderId="0" xfId="3" applyNumberFormat="1" applyFont="1"/>
    <xf numFmtId="43" fontId="0" fillId="0" borderId="0" xfId="1" applyFont="1" applyBorder="1"/>
    <xf numFmtId="166" fontId="13" fillId="0" borderId="0" xfId="1" applyNumberFormat="1" applyFont="1" applyBorder="1"/>
    <xf numFmtId="44" fontId="6" fillId="0" borderId="0" xfId="4" applyFont="1" applyBorder="1"/>
    <xf numFmtId="165" fontId="7" fillId="0" borderId="0" xfId="1" applyNumberFormat="1" applyFont="1"/>
    <xf numFmtId="165" fontId="2" fillId="0" borderId="0" xfId="1" applyNumberFormat="1" applyFont="1" applyFill="1" applyBorder="1" applyAlignment="1">
      <alignment horizontal="center"/>
    </xf>
    <xf numFmtId="165" fontId="0" fillId="0" borderId="0" xfId="1" applyNumberFormat="1" applyFont="1" applyBorder="1"/>
    <xf numFmtId="10" fontId="13" fillId="0" borderId="0" xfId="1" applyNumberFormat="1" applyFont="1" applyBorder="1"/>
    <xf numFmtId="165" fontId="6" fillId="0" borderId="0" xfId="1" applyNumberFormat="1" applyFont="1" applyBorder="1"/>
    <xf numFmtId="165" fontId="7" fillId="0" borderId="0" xfId="1" applyNumberFormat="1" applyFont="1" applyBorder="1"/>
    <xf numFmtId="43" fontId="13" fillId="0" borderId="0" xfId="1" applyFont="1" applyBorder="1"/>
    <xf numFmtId="165" fontId="2" fillId="0" borderId="0" xfId="1" applyNumberFormat="1" applyFont="1" applyBorder="1" applyAlignment="1">
      <alignment horizontal="right"/>
    </xf>
    <xf numFmtId="0" fontId="2" fillId="0" borderId="0" xfId="0" quotePrefix="1" applyFont="1"/>
    <xf numFmtId="0" fontId="6" fillId="0" borderId="0" xfId="0" applyFont="1" applyAlignment="1">
      <alignment horizontal="centerContinuous"/>
    </xf>
    <xf numFmtId="0" fontId="6" fillId="0" borderId="0" xfId="0" applyFont="1" applyAlignment="1">
      <alignment horizontal="left"/>
    </xf>
    <xf numFmtId="166" fontId="0" fillId="0" borderId="0" xfId="2" applyNumberFormat="1" applyFont="1" applyBorder="1"/>
    <xf numFmtId="167" fontId="0" fillId="0" borderId="0" xfId="1" applyNumberFormat="1" applyFont="1"/>
    <xf numFmtId="168" fontId="0" fillId="0" borderId="0" xfId="1" applyNumberFormat="1" applyFont="1" applyBorder="1"/>
    <xf numFmtId="0" fontId="2" fillId="0" borderId="0" xfId="0" applyFont="1" applyAlignment="1">
      <alignment horizontal="centerContinuous"/>
    </xf>
    <xf numFmtId="168" fontId="0" fillId="0" borderId="0" xfId="1" applyNumberFormat="1" applyFont="1"/>
    <xf numFmtId="168" fontId="0" fillId="0" borderId="0" xfId="1" applyNumberFormat="1" applyFont="1" applyFill="1" applyBorder="1"/>
    <xf numFmtId="168" fontId="2" fillId="0" borderId="0" xfId="0" applyNumberFormat="1" applyFont="1" applyAlignment="1">
      <alignment horizontal="centerContinuous"/>
    </xf>
    <xf numFmtId="0" fontId="14" fillId="0" borderId="0" xfId="0" applyFont="1"/>
    <xf numFmtId="0" fontId="13" fillId="0" borderId="0" xfId="0" applyFont="1"/>
    <xf numFmtId="168" fontId="10" fillId="0" borderId="0" xfId="1" applyNumberFormat="1" applyFont="1" applyFill="1" applyBorder="1"/>
    <xf numFmtId="0" fontId="6" fillId="0" borderId="18" xfId="0" applyFont="1" applyBorder="1" applyAlignment="1">
      <alignment horizontal="center"/>
    </xf>
    <xf numFmtId="17" fontId="6" fillId="4" borderId="2" xfId="0" applyNumberFormat="1" applyFont="1" applyFill="1" applyBorder="1" applyAlignment="1">
      <alignment horizontal="center"/>
    </xf>
    <xf numFmtId="10" fontId="10" fillId="0" borderId="0" xfId="2" applyNumberFormat="1" applyFont="1" applyBorder="1"/>
    <xf numFmtId="167" fontId="11" fillId="0" borderId="0" xfId="1" applyNumberFormat="1" applyFont="1"/>
    <xf numFmtId="10" fontId="0" fillId="0" borderId="0" xfId="2" applyNumberFormat="1" applyFont="1" applyBorder="1"/>
    <xf numFmtId="10" fontId="10" fillId="0" borderId="0" xfId="0" applyNumberFormat="1" applyFont="1"/>
    <xf numFmtId="165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2" fillId="0" borderId="0" xfId="0" quotePrefix="1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168" fontId="0" fillId="0" borderId="6" xfId="1" applyNumberFormat="1" applyFont="1" applyBorder="1"/>
    <xf numFmtId="0" fontId="0" fillId="0" borderId="4" xfId="0" applyBorder="1"/>
    <xf numFmtId="0" fontId="7" fillId="0" borderId="0" xfId="0" applyFont="1" applyAlignment="1">
      <alignment horizontal="right"/>
    </xf>
    <xf numFmtId="168" fontId="0" fillId="0" borderId="4" xfId="1" applyNumberFormat="1" applyFont="1" applyBorder="1"/>
    <xf numFmtId="165" fontId="0" fillId="0" borderId="5" xfId="1" applyNumberFormat="1" applyFont="1" applyFill="1" applyBorder="1"/>
    <xf numFmtId="0" fontId="2" fillId="0" borderId="0" xfId="0" applyFont="1" applyAlignment="1">
      <alignment horizontal="right"/>
    </xf>
    <xf numFmtId="168" fontId="0" fillId="0" borderId="0" xfId="0" applyNumberFormat="1"/>
    <xf numFmtId="168" fontId="2" fillId="0" borderId="6" xfId="1" applyNumberFormat="1" applyFont="1" applyFill="1" applyBorder="1"/>
    <xf numFmtId="168" fontId="0" fillId="0" borderId="6" xfId="1" applyNumberFormat="1" applyFont="1" applyFill="1" applyBorder="1"/>
    <xf numFmtId="165" fontId="0" fillId="0" borderId="4" xfId="1" applyNumberFormat="1" applyFont="1" applyFill="1" applyBorder="1"/>
    <xf numFmtId="168" fontId="0" fillId="0" borderId="5" xfId="1" applyNumberFormat="1" applyFont="1" applyFill="1" applyBorder="1"/>
    <xf numFmtId="0" fontId="2" fillId="0" borderId="3" xfId="0" applyFont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wrapText="1"/>
    </xf>
    <xf numFmtId="165" fontId="11" fillId="0" borderId="0" xfId="1" applyNumberFormat="1" applyFont="1" applyBorder="1"/>
    <xf numFmtId="165" fontId="6" fillId="0" borderId="0" xfId="1" applyNumberFormat="1" applyFont="1" applyBorder="1" applyAlignment="1">
      <alignment horizontal="left"/>
    </xf>
    <xf numFmtId="165" fontId="6" fillId="0" borderId="0" xfId="1" applyNumberFormat="1" applyFont="1" applyBorder="1" applyAlignment="1">
      <alignment horizontal="centerContinuous"/>
    </xf>
    <xf numFmtId="165" fontId="7" fillId="0" borderId="0" xfId="1" applyNumberFormat="1" applyFont="1" applyBorder="1" applyAlignment="1">
      <alignment horizontal="left"/>
    </xf>
    <xf numFmtId="165" fontId="7" fillId="0" borderId="0" xfId="1" applyNumberFormat="1" applyFont="1" applyBorder="1" applyAlignment="1">
      <alignment horizontal="centerContinuous"/>
    </xf>
    <xf numFmtId="165" fontId="7" fillId="0" borderId="6" xfId="1" applyNumberFormat="1" applyFont="1" applyFill="1" applyBorder="1"/>
    <xf numFmtId="165" fontId="7" fillId="0" borderId="5" xfId="1" applyNumberFormat="1" applyFont="1" applyFill="1" applyBorder="1"/>
    <xf numFmtId="0" fontId="7" fillId="0" borderId="0" xfId="3" applyFont="1" applyAlignment="1">
      <alignment horizontal="right"/>
    </xf>
    <xf numFmtId="40" fontId="6" fillId="0" borderId="0" xfId="3" applyNumberFormat="1" applyFont="1" applyAlignment="1">
      <alignment horizontal="right" wrapText="1"/>
    </xf>
    <xf numFmtId="0" fontId="0" fillId="0" borderId="0" xfId="0" applyAlignment="1">
      <alignment horizontal="right"/>
    </xf>
    <xf numFmtId="0" fontId="8" fillId="3" borderId="0" xfId="3" quotePrefix="1" applyFont="1" applyFill="1"/>
    <xf numFmtId="0" fontId="8" fillId="3" borderId="0" xfId="3" applyFont="1" applyFill="1" applyAlignment="1">
      <alignment horizontal="right"/>
    </xf>
    <xf numFmtId="17" fontId="2" fillId="5" borderId="2" xfId="0" applyNumberFormat="1" applyFont="1" applyFill="1" applyBorder="1" applyAlignment="1">
      <alignment horizontal="right"/>
    </xf>
    <xf numFmtId="0" fontId="15" fillId="0" borderId="0" xfId="0" applyFont="1"/>
    <xf numFmtId="169" fontId="0" fillId="0" borderId="0" xfId="1" applyNumberFormat="1" applyFont="1" applyFill="1" applyBorder="1" applyAlignment="1">
      <alignment horizontal="right"/>
    </xf>
    <xf numFmtId="168" fontId="0" fillId="0" borderId="0" xfId="1" applyNumberFormat="1" applyFont="1" applyFill="1" applyBorder="1" applyAlignment="1">
      <alignment horizontal="right"/>
    </xf>
    <xf numFmtId="168" fontId="0" fillId="0" borderId="0" xfId="0" applyNumberFormat="1" applyAlignment="1">
      <alignment horizontal="right"/>
    </xf>
    <xf numFmtId="166" fontId="0" fillId="0" borderId="0" xfId="2" applyNumberFormat="1" applyFont="1" applyBorder="1" applyAlignment="1">
      <alignment horizontal="right"/>
    </xf>
    <xf numFmtId="0" fontId="16" fillId="0" borderId="0" xfId="0" applyFont="1"/>
    <xf numFmtId="0" fontId="13" fillId="0" borderId="0" xfId="0" applyFont="1" applyAlignment="1">
      <alignment horizontal="right"/>
    </xf>
    <xf numFmtId="166" fontId="0" fillId="0" borderId="0" xfId="2" applyNumberFormat="1" applyFont="1" applyAlignment="1">
      <alignment horizontal="right"/>
    </xf>
    <xf numFmtId="0" fontId="14" fillId="4" borderId="7" xfId="0" applyFont="1" applyFill="1" applyBorder="1" applyAlignment="1">
      <alignment horizontal="left" wrapText="1"/>
    </xf>
    <xf numFmtId="0" fontId="6" fillId="4" borderId="7" xfId="0" applyFont="1" applyFill="1" applyBorder="1" applyAlignment="1">
      <alignment horizontal="left" wrapText="1"/>
    </xf>
    <xf numFmtId="0" fontId="6" fillId="4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center" wrapText="1"/>
    </xf>
    <xf numFmtId="164" fontId="11" fillId="0" borderId="9" xfId="1" applyNumberFormat="1" applyFont="1" applyBorder="1" applyAlignment="1">
      <alignment horizontal="center"/>
    </xf>
    <xf numFmtId="164" fontId="11" fillId="0" borderId="10" xfId="1" applyNumberFormat="1" applyFont="1" applyBorder="1" applyAlignment="1">
      <alignment horizontal="center"/>
    </xf>
    <xf numFmtId="165" fontId="7" fillId="0" borderId="0" xfId="1" applyNumberFormat="1" applyFont="1" applyBorder="1" applyAlignment="1">
      <alignment horizontal="center"/>
    </xf>
    <xf numFmtId="164" fontId="11" fillId="0" borderId="11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164" fontId="7" fillId="0" borderId="11" xfId="1" applyNumberFormat="1" applyFont="1" applyBorder="1" applyAlignment="1">
      <alignment horizontal="center"/>
    </xf>
    <xf numFmtId="41" fontId="7" fillId="0" borderId="12" xfId="1" applyNumberFormat="1" applyFont="1" applyBorder="1" applyAlignment="1">
      <alignment horizontal="center"/>
    </xf>
    <xf numFmtId="164" fontId="11" fillId="0" borderId="0" xfId="1" applyNumberFormat="1" applyFont="1" applyBorder="1" applyAlignment="1">
      <alignment horizontal="center"/>
    </xf>
    <xf numFmtId="41" fontId="11" fillId="0" borderId="0" xfId="1" quotePrefix="1" applyNumberFormat="1" applyFont="1" applyBorder="1"/>
    <xf numFmtId="164" fontId="7" fillId="0" borderId="0" xfId="1" applyNumberFormat="1" applyFont="1" applyBorder="1" applyAlignment="1">
      <alignment horizontal="center"/>
    </xf>
    <xf numFmtId="41" fontId="7" fillId="0" borderId="14" xfId="1" applyNumberFormat="1" applyFont="1" applyBorder="1" applyAlignment="1">
      <alignment horizontal="center"/>
    </xf>
    <xf numFmtId="165" fontId="7" fillId="0" borderId="4" xfId="1" applyNumberFormat="1" applyFont="1" applyBorder="1"/>
    <xf numFmtId="166" fontId="0" fillId="0" borderId="4" xfId="2" applyNumberFormat="1" applyFont="1" applyBorder="1"/>
    <xf numFmtId="164" fontId="7" fillId="0" borderId="4" xfId="1" applyNumberFormat="1" applyFont="1" applyBorder="1" applyAlignment="1">
      <alignment horizontal="center"/>
    </xf>
    <xf numFmtId="164" fontId="6" fillId="0" borderId="11" xfId="1" applyNumberFormat="1" applyFont="1" applyBorder="1" applyAlignment="1">
      <alignment horizontal="center" vertical="center"/>
    </xf>
    <xf numFmtId="164" fontId="6" fillId="0" borderId="0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center"/>
    </xf>
    <xf numFmtId="41" fontId="2" fillId="0" borderId="12" xfId="0" applyNumberFormat="1" applyFont="1" applyBorder="1" applyAlignment="1">
      <alignment horizontal="center"/>
    </xf>
    <xf numFmtId="0" fontId="2" fillId="0" borderId="5" xfId="0" applyFont="1" applyBorder="1"/>
    <xf numFmtId="41" fontId="2" fillId="0" borderId="5" xfId="0" applyNumberFormat="1" applyFont="1" applyBorder="1"/>
    <xf numFmtId="164" fontId="6" fillId="0" borderId="15" xfId="1" applyNumberFormat="1" applyFont="1" applyBorder="1" applyAlignment="1">
      <alignment horizontal="center" vertical="center"/>
    </xf>
    <xf numFmtId="41" fontId="6" fillId="0" borderId="16" xfId="1" applyNumberFormat="1" applyFont="1" applyBorder="1" applyAlignment="1">
      <alignment horizontal="center" vertical="center"/>
    </xf>
    <xf numFmtId="166" fontId="0" fillId="0" borderId="5" xfId="2" applyNumberFormat="1" applyFont="1" applyBorder="1"/>
    <xf numFmtId="164" fontId="2" fillId="0" borderId="5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43" fontId="1" fillId="0" borderId="0" xfId="1" applyFont="1" applyBorder="1"/>
    <xf numFmtId="0" fontId="6" fillId="0" borderId="0" xfId="0" applyFont="1" applyAlignment="1">
      <alignment horizontal="center"/>
    </xf>
    <xf numFmtId="0" fontId="0" fillId="2" borderId="0" xfId="0" applyFill="1"/>
    <xf numFmtId="164" fontId="0" fillId="0" borderId="0" xfId="0" applyNumberFormat="1" applyAlignment="1">
      <alignment horizontal="center"/>
    </xf>
    <xf numFmtId="164" fontId="0" fillId="0" borderId="0" xfId="0" applyNumberFormat="1"/>
    <xf numFmtId="10" fontId="0" fillId="0" borderId="0" xfId="0" applyNumberFormat="1"/>
    <xf numFmtId="0" fontId="0" fillId="0" borderId="0" xfId="0" applyAlignment="1">
      <alignment vertical="top"/>
    </xf>
    <xf numFmtId="0" fontId="0" fillId="0" borderId="8" xfId="0" applyBorder="1"/>
    <xf numFmtId="41" fontId="0" fillId="0" borderId="4" xfId="0" applyNumberFormat="1" applyBorder="1"/>
    <xf numFmtId="167" fontId="0" fillId="0" borderId="0" xfId="0" applyNumberFormat="1"/>
    <xf numFmtId="165" fontId="0" fillId="6" borderId="20" xfId="1" applyNumberFormat="1" applyFont="1" applyFill="1" applyBorder="1"/>
    <xf numFmtId="165" fontId="0" fillId="6" borderId="0" xfId="1" applyNumberFormat="1" applyFont="1" applyFill="1" applyBorder="1"/>
    <xf numFmtId="0" fontId="0" fillId="6" borderId="0" xfId="0" applyFill="1"/>
    <xf numFmtId="0" fontId="2" fillId="0" borderId="0" xfId="3" applyFont="1" applyAlignment="1">
      <alignment horizontal="center"/>
    </xf>
    <xf numFmtId="0" fontId="2" fillId="0" borderId="6" xfId="0" applyFont="1" applyBorder="1"/>
    <xf numFmtId="41" fontId="2" fillId="0" borderId="6" xfId="0" applyNumberFormat="1" applyFont="1" applyBorder="1"/>
    <xf numFmtId="164" fontId="6" fillId="0" borderId="21" xfId="1" applyNumberFormat="1" applyFont="1" applyBorder="1" applyAlignment="1">
      <alignment horizontal="center" vertical="center"/>
    </xf>
    <xf numFmtId="41" fontId="6" fillId="0" borderId="22" xfId="1" applyNumberFormat="1" applyFont="1" applyBorder="1" applyAlignment="1">
      <alignment horizontal="center"/>
    </xf>
    <xf numFmtId="166" fontId="2" fillId="0" borderId="6" xfId="2" applyNumberFormat="1" applyFont="1" applyBorder="1"/>
    <xf numFmtId="164" fontId="6" fillId="0" borderId="6" xfId="1" applyNumberFormat="1" applyFont="1" applyBorder="1" applyAlignment="1">
      <alignment horizontal="center"/>
    </xf>
    <xf numFmtId="0" fontId="2" fillId="0" borderId="0" xfId="3" applyFont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4" xfId="3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43" fontId="13" fillId="0" borderId="20" xfId="1" applyFont="1" applyBorder="1"/>
    <xf numFmtId="166" fontId="13" fillId="0" borderId="20" xfId="1" applyNumberFormat="1" applyFont="1" applyBorder="1"/>
    <xf numFmtId="44" fontId="6" fillId="0" borderId="20" xfId="4" applyFont="1" applyBorder="1"/>
    <xf numFmtId="165" fontId="0" fillId="0" borderId="20" xfId="1" applyNumberFormat="1" applyFont="1" applyBorder="1"/>
    <xf numFmtId="10" fontId="13" fillId="0" borderId="20" xfId="1" applyNumberFormat="1" applyFont="1" applyBorder="1"/>
    <xf numFmtId="38" fontId="6" fillId="0" borderId="23" xfId="3" applyNumberFormat="1" applyFont="1" applyBorder="1"/>
    <xf numFmtId="40" fontId="6" fillId="0" borderId="20" xfId="3" applyNumberFormat="1" applyFont="1" applyBorder="1"/>
    <xf numFmtId="165" fontId="7" fillId="0" borderId="20" xfId="1" applyNumberFormat="1" applyFont="1" applyBorder="1"/>
    <xf numFmtId="40" fontId="2" fillId="0" borderId="20" xfId="3" applyNumberFormat="1" applyFont="1" applyBorder="1"/>
    <xf numFmtId="165" fontId="13" fillId="0" borderId="20" xfId="1" applyNumberFormat="1" applyFont="1" applyBorder="1"/>
    <xf numFmtId="38" fontId="17" fillId="0" borderId="23" xfId="3" applyNumberFormat="1" applyFont="1" applyBorder="1"/>
    <xf numFmtId="166" fontId="7" fillId="0" borderId="20" xfId="2" applyNumberFormat="1" applyFont="1" applyBorder="1"/>
    <xf numFmtId="165" fontId="17" fillId="0" borderId="20" xfId="1" applyNumberFormat="1" applyFont="1" applyBorder="1"/>
    <xf numFmtId="166" fontId="1" fillId="0" borderId="0" xfId="1" applyNumberFormat="1" applyFont="1" applyBorder="1"/>
    <xf numFmtId="10" fontId="1" fillId="0" borderId="0" xfId="1" applyNumberFormat="1" applyFont="1" applyBorder="1"/>
    <xf numFmtId="40" fontId="5" fillId="2" borderId="0" xfId="0" applyNumberFormat="1" applyFont="1" applyFill="1" applyAlignment="1">
      <alignment horizontal="left"/>
    </xf>
    <xf numFmtId="166" fontId="7" fillId="0" borderId="0" xfId="1" applyNumberFormat="1" applyFont="1" applyBorder="1"/>
    <xf numFmtId="0" fontId="0" fillId="0" borderId="4" xfId="0" applyBorder="1" applyAlignment="1">
      <alignment horizontal="center" vertical="center"/>
    </xf>
    <xf numFmtId="0" fontId="2" fillId="6" borderId="0" xfId="3" applyFont="1" applyFill="1" applyAlignment="1">
      <alignment horizontal="center"/>
    </xf>
    <xf numFmtId="0" fontId="2" fillId="6" borderId="4" xfId="3" applyFont="1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43" fontId="0" fillId="6" borderId="20" xfId="1" applyFont="1" applyFill="1" applyBorder="1"/>
    <xf numFmtId="43" fontId="0" fillId="6" borderId="0" xfId="1" applyFont="1" applyFill="1" applyBorder="1"/>
    <xf numFmtId="166" fontId="13" fillId="6" borderId="20" xfId="1" applyNumberFormat="1" applyFont="1" applyFill="1" applyBorder="1"/>
    <xf numFmtId="166" fontId="13" fillId="6" borderId="0" xfId="1" applyNumberFormat="1" applyFont="1" applyFill="1" applyBorder="1"/>
    <xf numFmtId="44" fontId="6" fillId="6" borderId="20" xfId="4" applyFont="1" applyFill="1" applyBorder="1"/>
    <xf numFmtId="44" fontId="6" fillId="6" borderId="0" xfId="4" applyFont="1" applyFill="1" applyBorder="1"/>
    <xf numFmtId="10" fontId="13" fillId="6" borderId="20" xfId="1" applyNumberFormat="1" applyFont="1" applyFill="1" applyBorder="1"/>
    <xf numFmtId="10" fontId="13" fillId="6" borderId="0" xfId="1" applyNumberFormat="1" applyFont="1" applyFill="1" applyBorder="1"/>
    <xf numFmtId="38" fontId="6" fillId="6" borderId="23" xfId="3" applyNumberFormat="1" applyFont="1" applyFill="1" applyBorder="1"/>
    <xf numFmtId="38" fontId="6" fillId="6" borderId="5" xfId="3" applyNumberFormat="1" applyFont="1" applyFill="1" applyBorder="1"/>
    <xf numFmtId="165" fontId="6" fillId="6" borderId="20" xfId="1" applyNumberFormat="1" applyFont="1" applyFill="1" applyBorder="1"/>
    <xf numFmtId="165" fontId="6" fillId="6" borderId="0" xfId="1" applyNumberFormat="1" applyFont="1" applyFill="1" applyBorder="1"/>
    <xf numFmtId="40" fontId="6" fillId="6" borderId="20" xfId="3" applyNumberFormat="1" applyFont="1" applyFill="1" applyBorder="1"/>
    <xf numFmtId="40" fontId="6" fillId="6" borderId="0" xfId="3" applyNumberFormat="1" applyFont="1" applyFill="1"/>
    <xf numFmtId="166" fontId="7" fillId="6" borderId="20" xfId="1" applyNumberFormat="1" applyFont="1" applyFill="1" applyBorder="1"/>
    <xf numFmtId="165" fontId="7" fillId="6" borderId="20" xfId="1" applyNumberFormat="1" applyFont="1" applyFill="1" applyBorder="1"/>
    <xf numFmtId="165" fontId="7" fillId="6" borderId="0" xfId="1" applyNumberFormat="1" applyFont="1" applyFill="1" applyBorder="1"/>
    <xf numFmtId="40" fontId="2" fillId="6" borderId="20" xfId="3" applyNumberFormat="1" applyFont="1" applyFill="1" applyBorder="1"/>
    <xf numFmtId="40" fontId="2" fillId="6" borderId="0" xfId="3" applyNumberFormat="1" applyFont="1" applyFill="1"/>
    <xf numFmtId="43" fontId="7" fillId="6" borderId="20" xfId="1" applyFont="1" applyFill="1" applyBorder="1"/>
    <xf numFmtId="43" fontId="13" fillId="6" borderId="0" xfId="1" applyFont="1" applyFill="1" applyBorder="1"/>
    <xf numFmtId="43" fontId="13" fillId="6" borderId="20" xfId="1" applyFont="1" applyFill="1" applyBorder="1"/>
    <xf numFmtId="40" fontId="17" fillId="6" borderId="20" xfId="3" applyNumberFormat="1" applyFont="1" applyFill="1" applyBorder="1"/>
    <xf numFmtId="40" fontId="17" fillId="6" borderId="0" xfId="3" applyNumberFormat="1" applyFont="1" applyFill="1"/>
    <xf numFmtId="0" fontId="0" fillId="0" borderId="0" xfId="0" applyAlignment="1">
      <alignment horizontal="center" vertical="center"/>
    </xf>
    <xf numFmtId="0" fontId="8" fillId="3" borderId="0" xfId="3" applyFont="1" applyFill="1" applyAlignment="1">
      <alignment vertical="center"/>
    </xf>
    <xf numFmtId="166" fontId="1" fillId="6" borderId="20" xfId="1" applyNumberFormat="1" applyFont="1" applyFill="1" applyBorder="1"/>
    <xf numFmtId="0" fontId="0" fillId="0" borderId="4" xfId="0" applyBorder="1" applyAlignment="1"/>
    <xf numFmtId="0" fontId="2" fillId="8" borderId="0" xfId="3" applyFont="1" applyFill="1" applyAlignment="1">
      <alignment horizontal="center"/>
    </xf>
    <xf numFmtId="0" fontId="2" fillId="8" borderId="4" xfId="3" applyFont="1" applyFill="1" applyBorder="1" applyAlignment="1">
      <alignment horizontal="center"/>
    </xf>
    <xf numFmtId="0" fontId="0" fillId="8" borderId="4" xfId="0" applyFill="1" applyBorder="1" applyAlignment="1"/>
    <xf numFmtId="40" fontId="5" fillId="8" borderId="20" xfId="3" applyNumberFormat="1" applyFont="1" applyFill="1" applyBorder="1"/>
    <xf numFmtId="40" fontId="5" fillId="8" borderId="0" xfId="3" applyNumberFormat="1" applyFont="1" applyFill="1"/>
    <xf numFmtId="43" fontId="0" fillId="8" borderId="20" xfId="1" applyFont="1" applyFill="1" applyBorder="1"/>
    <xf numFmtId="43" fontId="0" fillId="8" borderId="0" xfId="1" applyFont="1" applyFill="1" applyBorder="1"/>
    <xf numFmtId="166" fontId="13" fillId="8" borderId="20" xfId="1" applyNumberFormat="1" applyFont="1" applyFill="1" applyBorder="1"/>
    <xf numFmtId="166" fontId="13" fillId="8" borderId="0" xfId="1" applyNumberFormat="1" applyFont="1" applyFill="1" applyBorder="1"/>
    <xf numFmtId="166" fontId="1" fillId="8" borderId="20" xfId="1" applyNumberFormat="1" applyFont="1" applyFill="1" applyBorder="1"/>
    <xf numFmtId="44" fontId="6" fillId="8" borderId="20" xfId="4" applyFont="1" applyFill="1" applyBorder="1"/>
    <xf numFmtId="44" fontId="6" fillId="8" borderId="0" xfId="4" applyFont="1" applyFill="1" applyBorder="1"/>
    <xf numFmtId="165" fontId="0" fillId="8" borderId="20" xfId="1" applyNumberFormat="1" applyFont="1" applyFill="1" applyBorder="1"/>
    <xf numFmtId="165" fontId="0" fillId="8" borderId="0" xfId="1" applyNumberFormat="1" applyFont="1" applyFill="1" applyBorder="1"/>
    <xf numFmtId="10" fontId="13" fillId="8" borderId="20" xfId="1" applyNumberFormat="1" applyFont="1" applyFill="1" applyBorder="1"/>
    <xf numFmtId="10" fontId="13" fillId="8" borderId="0" xfId="1" applyNumberFormat="1" applyFont="1" applyFill="1" applyBorder="1"/>
    <xf numFmtId="38" fontId="6" fillId="8" borderId="23" xfId="3" applyNumberFormat="1" applyFont="1" applyFill="1" applyBorder="1"/>
    <xf numFmtId="38" fontId="6" fillId="8" borderId="5" xfId="3" applyNumberFormat="1" applyFont="1" applyFill="1" applyBorder="1"/>
    <xf numFmtId="165" fontId="6" fillId="8" borderId="20" xfId="1" applyNumberFormat="1" applyFont="1" applyFill="1" applyBorder="1"/>
    <xf numFmtId="165" fontId="6" fillId="8" borderId="0" xfId="1" applyNumberFormat="1" applyFont="1" applyFill="1" applyBorder="1"/>
    <xf numFmtId="40" fontId="6" fillId="8" borderId="20" xfId="3" applyNumberFormat="1" applyFont="1" applyFill="1" applyBorder="1"/>
    <xf numFmtId="40" fontId="6" fillId="8" borderId="0" xfId="3" applyNumberFormat="1" applyFont="1" applyFill="1"/>
    <xf numFmtId="165" fontId="7" fillId="8" borderId="20" xfId="1" applyNumberFormat="1" applyFont="1" applyFill="1" applyBorder="1"/>
    <xf numFmtId="165" fontId="7" fillId="8" borderId="0" xfId="1" applyNumberFormat="1" applyFont="1" applyFill="1" applyBorder="1"/>
    <xf numFmtId="40" fontId="2" fillId="8" borderId="20" xfId="3" applyNumberFormat="1" applyFont="1" applyFill="1" applyBorder="1"/>
    <xf numFmtId="40" fontId="2" fillId="8" borderId="0" xfId="3" applyNumberFormat="1" applyFont="1" applyFill="1"/>
    <xf numFmtId="43" fontId="1" fillId="8" borderId="20" xfId="1" applyFont="1" applyFill="1" applyBorder="1"/>
    <xf numFmtId="43" fontId="13" fillId="8" borderId="0" xfId="1" applyFont="1" applyFill="1" applyBorder="1"/>
    <xf numFmtId="0" fontId="0" fillId="8" borderId="0" xfId="0" applyFill="1"/>
    <xf numFmtId="0" fontId="0" fillId="0" borderId="2" xfId="0" applyBorder="1" applyAlignment="1">
      <alignment horizontal="centerContinuous" vertical="center"/>
    </xf>
    <xf numFmtId="0" fontId="0" fillId="0" borderId="0" xfId="0" applyBorder="1" applyAlignment="1">
      <alignment horizontal="left"/>
    </xf>
    <xf numFmtId="0" fontId="0" fillId="0" borderId="0" xfId="0" applyBorder="1"/>
    <xf numFmtId="0" fontId="0" fillId="0" borderId="17" xfId="0" applyBorder="1" applyAlignment="1">
      <alignment horizontal="centerContinuous" vertical="center"/>
    </xf>
    <xf numFmtId="41" fontId="13" fillId="0" borderId="0" xfId="1" quotePrefix="1" applyNumberFormat="1" applyFont="1" applyBorder="1"/>
    <xf numFmtId="165" fontId="17" fillId="0" borderId="0" xfId="4" applyNumberFormat="1" applyFont="1" applyFill="1" applyBorder="1"/>
    <xf numFmtId="10" fontId="13" fillId="0" borderId="0" xfId="0" applyNumberFormat="1" applyFont="1"/>
    <xf numFmtId="165" fontId="13" fillId="0" borderId="0" xfId="1" applyNumberFormat="1" applyFont="1" applyBorder="1"/>
    <xf numFmtId="0" fontId="2" fillId="0" borderId="24" xfId="0" applyFont="1" applyBorder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Alignment="1">
      <alignment horizontal="centerContinuous"/>
    </xf>
    <xf numFmtId="0" fontId="6" fillId="0" borderId="0" xfId="0" applyFont="1" applyFill="1" applyAlignment="1">
      <alignment horizontal="left"/>
    </xf>
    <xf numFmtId="167" fontId="0" fillId="0" borderId="0" xfId="1" applyNumberFormat="1" applyFont="1" applyFill="1" applyBorder="1"/>
    <xf numFmtId="165" fontId="7" fillId="0" borderId="25" xfId="1" applyNumberFormat="1" applyFont="1" applyFill="1" applyBorder="1"/>
    <xf numFmtId="0" fontId="0" fillId="0" borderId="0" xfId="0" applyFill="1"/>
    <xf numFmtId="0" fontId="0" fillId="0" borderId="25" xfId="0" applyFill="1" applyBorder="1"/>
    <xf numFmtId="167" fontId="0" fillId="0" borderId="0" xfId="1" applyNumberFormat="1" applyFont="1" applyFill="1"/>
    <xf numFmtId="165" fontId="13" fillId="0" borderId="25" xfId="1" applyNumberFormat="1" applyFont="1" applyFill="1" applyBorder="1"/>
    <xf numFmtId="168" fontId="0" fillId="0" borderId="26" xfId="1" applyNumberFormat="1" applyFont="1" applyFill="1" applyBorder="1"/>
    <xf numFmtId="166" fontId="0" fillId="0" borderId="25" xfId="2" applyNumberFormat="1" applyFont="1" applyFill="1" applyBorder="1"/>
    <xf numFmtId="168" fontId="13" fillId="0" borderId="25" xfId="1" applyNumberFormat="1" applyFont="1" applyFill="1" applyBorder="1"/>
    <xf numFmtId="166" fontId="0" fillId="0" borderId="0" xfId="2" applyNumberFormat="1" applyFont="1" applyFill="1"/>
    <xf numFmtId="165" fontId="0" fillId="0" borderId="0" xfId="0" applyNumberFormat="1" applyBorder="1"/>
    <xf numFmtId="0" fontId="7" fillId="0" borderId="0" xfId="1" applyNumberFormat="1" applyFont="1" applyBorder="1" applyAlignment="1">
      <alignment horizontal="left"/>
    </xf>
    <xf numFmtId="165" fontId="0" fillId="0" borderId="26" xfId="1" applyNumberFormat="1" applyFont="1" applyFill="1" applyBorder="1"/>
    <xf numFmtId="165" fontId="0" fillId="0" borderId="26" xfId="1" applyNumberFormat="1" applyFont="1" applyBorder="1"/>
    <xf numFmtId="0" fontId="0" fillId="0" borderId="27" xfId="0" applyBorder="1"/>
    <xf numFmtId="165" fontId="13" fillId="0" borderId="0" xfId="1" applyNumberFormat="1" applyFont="1" applyFill="1" applyBorder="1"/>
    <xf numFmtId="165" fontId="1" fillId="0" borderId="6" xfId="1" applyNumberFormat="1" applyFont="1" applyFill="1" applyBorder="1"/>
    <xf numFmtId="43" fontId="0" fillId="0" borderId="0" xfId="1" applyFont="1"/>
    <xf numFmtId="165" fontId="0" fillId="0" borderId="20" xfId="1" applyNumberFormat="1" applyFont="1" applyFill="1" applyBorder="1"/>
    <xf numFmtId="165" fontId="7" fillId="0" borderId="18" xfId="1" applyNumberFormat="1" applyFont="1" applyFill="1" applyBorder="1"/>
    <xf numFmtId="165" fontId="1" fillId="0" borderId="18" xfId="1" applyNumberFormat="1" applyFont="1" applyFill="1" applyBorder="1"/>
    <xf numFmtId="165" fontId="7" fillId="0" borderId="23" xfId="1" applyNumberFormat="1" applyFont="1" applyFill="1" applyBorder="1"/>
    <xf numFmtId="165" fontId="1" fillId="0" borderId="28" xfId="1" applyNumberFormat="1" applyFont="1" applyFill="1" applyBorder="1"/>
    <xf numFmtId="169" fontId="13" fillId="0" borderId="0" xfId="1" applyNumberFormat="1" applyFont="1" applyFill="1" applyBorder="1" applyAlignment="1">
      <alignment horizontal="right"/>
    </xf>
    <xf numFmtId="169" fontId="13" fillId="0" borderId="0" xfId="1" applyNumberFormat="1" applyFont="1" applyFill="1" applyBorder="1"/>
    <xf numFmtId="0" fontId="0" fillId="6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7" borderId="30" xfId="0" applyFont="1" applyFill="1" applyBorder="1" applyAlignment="1">
      <alignment horizontal="center" vertical="center"/>
    </xf>
    <xf numFmtId="0" fontId="0" fillId="0" borderId="0" xfId="0" applyBorder="1" applyAlignment="1">
      <alignment horizontal="centerContinuous"/>
    </xf>
    <xf numFmtId="0" fontId="2" fillId="0" borderId="29" xfId="3" applyFont="1" applyBorder="1" applyAlignment="1">
      <alignment horizontal="center" vertical="center"/>
    </xf>
    <xf numFmtId="38" fontId="7" fillId="0" borderId="0" xfId="3" applyNumberFormat="1" applyFont="1" applyAlignment="1">
      <alignment horizontal="center" wrapText="1"/>
    </xf>
  </cellXfs>
  <cellStyles count="5">
    <cellStyle name="Comma" xfId="1" builtinId="3"/>
    <cellStyle name="Currency" xfId="4" builtinId="4"/>
    <cellStyle name="Normal" xfId="0" builtinId="0"/>
    <cellStyle name="Normal_OSK Spreads - 2006-3Q 10Q" xfId="3" xr:uid="{4BDE048F-00D0-4FDC-B622-BAB4656CBE7F}"/>
    <cellStyle name="Percent" xfId="2" builtinId="5"/>
  </cellStyles>
  <dxfs count="3"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66921b89f68d3868/Documents/TEXT%20BOOK%202%20CREDIT%20RISK%20MANAGEMENT%20and%20ANALYSIS/Jane%20Zhang%20Chapters/HSE_historicals_LBOmodel_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ansactions Sources &amp; Uses"/>
      <sheetName val="Transactions Sources &amp; Uses (H)"/>
      <sheetName val="Debt Schedule"/>
      <sheetName val="Operating Assumptions"/>
      <sheetName val="PF Cap (H)"/>
      <sheetName val="Operating Assumptions (H)"/>
      <sheetName val="Debt Schedule (H)"/>
      <sheetName val="Income Statement"/>
      <sheetName val="Income Statement (H)"/>
      <sheetName val="Balance Sheet"/>
      <sheetName val="Cash Flow Statement (H)"/>
      <sheetName val="Balance Sheet (H)"/>
      <sheetName val="Cash Flow Statement"/>
      <sheetName val="Ratio and Covenant Analysis"/>
      <sheetName val="Ratio and Covenant Analysis (H)"/>
      <sheetName val="10K Financials"/>
      <sheetName val="HSE 10K Financials"/>
      <sheetName val="Equity IRR"/>
      <sheetName val="Equity IRR (H)"/>
      <sheetName val="Yahoo CF"/>
      <sheetName val="Locations"/>
    </sheetNames>
    <sheetDataSet>
      <sheetData sheetId="0">
        <row r="8">
          <cell r="B8" t="str">
            <v>Revolver</v>
          </cell>
        </row>
      </sheetData>
      <sheetData sheetId="1">
        <row r="1">
          <cell r="B1" t="str">
            <v>HOME SUITES ("HSE")</v>
          </cell>
        </row>
      </sheetData>
      <sheetData sheetId="2"/>
      <sheetData sheetId="3">
        <row r="13">
          <cell r="C13">
            <v>61000</v>
          </cell>
        </row>
      </sheetData>
      <sheetData sheetId="4" refreshError="1"/>
      <sheetData sheetId="5">
        <row r="2">
          <cell r="B2" t="str">
            <v>Stress Case</v>
          </cell>
        </row>
      </sheetData>
      <sheetData sheetId="6"/>
      <sheetData sheetId="7">
        <row r="7">
          <cell r="H7">
            <v>44196</v>
          </cell>
        </row>
      </sheetData>
      <sheetData sheetId="8"/>
      <sheetData sheetId="9"/>
      <sheetData sheetId="10"/>
      <sheetData sheetId="11">
        <row r="29">
          <cell r="F29">
            <v>700000</v>
          </cell>
        </row>
      </sheetData>
      <sheetData sheetId="12"/>
      <sheetData sheetId="13" refreshError="1"/>
      <sheetData sheetId="14"/>
      <sheetData sheetId="15"/>
      <sheetData sheetId="16">
        <row r="1">
          <cell r="B1" t="str">
            <v>Home Suites ("HSE")</v>
          </cell>
        </row>
        <row r="2">
          <cell r="N2">
            <v>1.2</v>
          </cell>
        </row>
      </sheetData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99BD46-C4AC-44C4-9266-3A29A3C74B72}">
  <sheetPr>
    <tabColor rgb="FFFF0000"/>
  </sheetPr>
  <dimension ref="A1:S117"/>
  <sheetViews>
    <sheetView showGridLines="0" tabSelected="1" workbookViewId="0">
      <selection activeCell="M11" sqref="M11"/>
    </sheetView>
  </sheetViews>
  <sheetFormatPr defaultRowHeight="14.5" x14ac:dyDescent="0.35"/>
  <cols>
    <col min="1" max="1" width="5.90625" style="5" customWidth="1"/>
    <col min="2" max="2" width="17.6328125" customWidth="1"/>
    <col min="3" max="3" width="11.54296875" customWidth="1"/>
    <col min="4" max="4" width="8.90625" bestFit="1" customWidth="1"/>
    <col min="5" max="6" width="11.6328125" customWidth="1"/>
    <col min="7" max="7" width="5.08984375" customWidth="1"/>
    <col min="8" max="8" width="16.08984375" customWidth="1"/>
    <col min="9" max="9" width="8.1796875" customWidth="1"/>
    <col min="10" max="10" width="7.7265625" bestFit="1" customWidth="1"/>
    <col min="11" max="11" width="11.26953125" bestFit="1" customWidth="1"/>
    <col min="12" max="12" width="11" bestFit="1" customWidth="1"/>
    <col min="13" max="14" width="16.08984375" customWidth="1"/>
    <col min="15" max="19" width="15" customWidth="1"/>
    <col min="258" max="258" width="5.08984375" customWidth="1"/>
    <col min="259" max="259" width="41.7265625" customWidth="1"/>
    <col min="260" max="260" width="14.7265625" customWidth="1"/>
    <col min="261" max="261" width="14.90625" customWidth="1"/>
    <col min="262" max="263" width="11.7265625" customWidth="1"/>
    <col min="264" max="264" width="11.90625" bestFit="1" customWidth="1"/>
    <col min="266" max="266" width="10.26953125" bestFit="1" customWidth="1"/>
    <col min="267" max="267" width="11.26953125" customWidth="1"/>
    <col min="268" max="268" width="5" customWidth="1"/>
    <col min="269" max="274" width="15" customWidth="1"/>
    <col min="514" max="514" width="5.08984375" customWidth="1"/>
    <col min="515" max="515" width="41.7265625" customWidth="1"/>
    <col min="516" max="516" width="14.7265625" customWidth="1"/>
    <col min="517" max="517" width="14.90625" customWidth="1"/>
    <col min="518" max="519" width="11.7265625" customWidth="1"/>
    <col min="520" max="520" width="11.90625" bestFit="1" customWidth="1"/>
    <col min="522" max="522" width="10.26953125" bestFit="1" customWidth="1"/>
    <col min="523" max="523" width="11.26953125" customWidth="1"/>
    <col min="524" max="524" width="5" customWidth="1"/>
    <col min="525" max="530" width="15" customWidth="1"/>
    <col min="770" max="770" width="5.08984375" customWidth="1"/>
    <col min="771" max="771" width="41.7265625" customWidth="1"/>
    <col min="772" max="772" width="14.7265625" customWidth="1"/>
    <col min="773" max="773" width="14.90625" customWidth="1"/>
    <col min="774" max="775" width="11.7265625" customWidth="1"/>
    <col min="776" max="776" width="11.90625" bestFit="1" customWidth="1"/>
    <col min="778" max="778" width="10.26953125" bestFit="1" customWidth="1"/>
    <col min="779" max="779" width="11.26953125" customWidth="1"/>
    <col min="780" max="780" width="5" customWidth="1"/>
    <col min="781" max="786" width="15" customWidth="1"/>
    <col min="1026" max="1026" width="5.08984375" customWidth="1"/>
    <col min="1027" max="1027" width="41.7265625" customWidth="1"/>
    <col min="1028" max="1028" width="14.7265625" customWidth="1"/>
    <col min="1029" max="1029" width="14.90625" customWidth="1"/>
    <col min="1030" max="1031" width="11.7265625" customWidth="1"/>
    <col min="1032" max="1032" width="11.90625" bestFit="1" customWidth="1"/>
    <col min="1034" max="1034" width="10.26953125" bestFit="1" customWidth="1"/>
    <col min="1035" max="1035" width="11.26953125" customWidth="1"/>
    <col min="1036" max="1036" width="5" customWidth="1"/>
    <col min="1037" max="1042" width="15" customWidth="1"/>
    <col min="1282" max="1282" width="5.08984375" customWidth="1"/>
    <col min="1283" max="1283" width="41.7265625" customWidth="1"/>
    <col min="1284" max="1284" width="14.7265625" customWidth="1"/>
    <col min="1285" max="1285" width="14.90625" customWidth="1"/>
    <col min="1286" max="1287" width="11.7265625" customWidth="1"/>
    <col min="1288" max="1288" width="11.90625" bestFit="1" customWidth="1"/>
    <col min="1290" max="1290" width="10.26953125" bestFit="1" customWidth="1"/>
    <col min="1291" max="1291" width="11.26953125" customWidth="1"/>
    <col min="1292" max="1292" width="5" customWidth="1"/>
    <col min="1293" max="1298" width="15" customWidth="1"/>
    <col min="1538" max="1538" width="5.08984375" customWidth="1"/>
    <col min="1539" max="1539" width="41.7265625" customWidth="1"/>
    <col min="1540" max="1540" width="14.7265625" customWidth="1"/>
    <col min="1541" max="1541" width="14.90625" customWidth="1"/>
    <col min="1542" max="1543" width="11.7265625" customWidth="1"/>
    <col min="1544" max="1544" width="11.90625" bestFit="1" customWidth="1"/>
    <col min="1546" max="1546" width="10.26953125" bestFit="1" customWidth="1"/>
    <col min="1547" max="1547" width="11.26953125" customWidth="1"/>
    <col min="1548" max="1548" width="5" customWidth="1"/>
    <col min="1549" max="1554" width="15" customWidth="1"/>
    <col min="1794" max="1794" width="5.08984375" customWidth="1"/>
    <col min="1795" max="1795" width="41.7265625" customWidth="1"/>
    <col min="1796" max="1796" width="14.7265625" customWidth="1"/>
    <col min="1797" max="1797" width="14.90625" customWidth="1"/>
    <col min="1798" max="1799" width="11.7265625" customWidth="1"/>
    <col min="1800" max="1800" width="11.90625" bestFit="1" customWidth="1"/>
    <col min="1802" max="1802" width="10.26953125" bestFit="1" customWidth="1"/>
    <col min="1803" max="1803" width="11.26953125" customWidth="1"/>
    <col min="1804" max="1804" width="5" customWidth="1"/>
    <col min="1805" max="1810" width="15" customWidth="1"/>
    <col min="2050" max="2050" width="5.08984375" customWidth="1"/>
    <col min="2051" max="2051" width="41.7265625" customWidth="1"/>
    <col min="2052" max="2052" width="14.7265625" customWidth="1"/>
    <col min="2053" max="2053" width="14.90625" customWidth="1"/>
    <col min="2054" max="2055" width="11.7265625" customWidth="1"/>
    <col min="2056" max="2056" width="11.90625" bestFit="1" customWidth="1"/>
    <col min="2058" max="2058" width="10.26953125" bestFit="1" customWidth="1"/>
    <col min="2059" max="2059" width="11.26953125" customWidth="1"/>
    <col min="2060" max="2060" width="5" customWidth="1"/>
    <col min="2061" max="2066" width="15" customWidth="1"/>
    <col min="2306" max="2306" width="5.08984375" customWidth="1"/>
    <col min="2307" max="2307" width="41.7265625" customWidth="1"/>
    <col min="2308" max="2308" width="14.7265625" customWidth="1"/>
    <col min="2309" max="2309" width="14.90625" customWidth="1"/>
    <col min="2310" max="2311" width="11.7265625" customWidth="1"/>
    <col min="2312" max="2312" width="11.90625" bestFit="1" customWidth="1"/>
    <col min="2314" max="2314" width="10.26953125" bestFit="1" customWidth="1"/>
    <col min="2315" max="2315" width="11.26953125" customWidth="1"/>
    <col min="2316" max="2316" width="5" customWidth="1"/>
    <col min="2317" max="2322" width="15" customWidth="1"/>
    <col min="2562" max="2562" width="5.08984375" customWidth="1"/>
    <col min="2563" max="2563" width="41.7265625" customWidth="1"/>
    <col min="2564" max="2564" width="14.7265625" customWidth="1"/>
    <col min="2565" max="2565" width="14.90625" customWidth="1"/>
    <col min="2566" max="2567" width="11.7265625" customWidth="1"/>
    <col min="2568" max="2568" width="11.90625" bestFit="1" customWidth="1"/>
    <col min="2570" max="2570" width="10.26953125" bestFit="1" customWidth="1"/>
    <col min="2571" max="2571" width="11.26953125" customWidth="1"/>
    <col min="2572" max="2572" width="5" customWidth="1"/>
    <col min="2573" max="2578" width="15" customWidth="1"/>
    <col min="2818" max="2818" width="5.08984375" customWidth="1"/>
    <col min="2819" max="2819" width="41.7265625" customWidth="1"/>
    <col min="2820" max="2820" width="14.7265625" customWidth="1"/>
    <col min="2821" max="2821" width="14.90625" customWidth="1"/>
    <col min="2822" max="2823" width="11.7265625" customWidth="1"/>
    <col min="2824" max="2824" width="11.90625" bestFit="1" customWidth="1"/>
    <col min="2826" max="2826" width="10.26953125" bestFit="1" customWidth="1"/>
    <col min="2827" max="2827" width="11.26953125" customWidth="1"/>
    <col min="2828" max="2828" width="5" customWidth="1"/>
    <col min="2829" max="2834" width="15" customWidth="1"/>
    <col min="3074" max="3074" width="5.08984375" customWidth="1"/>
    <col min="3075" max="3075" width="41.7265625" customWidth="1"/>
    <col min="3076" max="3076" width="14.7265625" customWidth="1"/>
    <col min="3077" max="3077" width="14.90625" customWidth="1"/>
    <col min="3078" max="3079" width="11.7265625" customWidth="1"/>
    <col min="3080" max="3080" width="11.90625" bestFit="1" customWidth="1"/>
    <col min="3082" max="3082" width="10.26953125" bestFit="1" customWidth="1"/>
    <col min="3083" max="3083" width="11.26953125" customWidth="1"/>
    <col min="3084" max="3084" width="5" customWidth="1"/>
    <col min="3085" max="3090" width="15" customWidth="1"/>
    <col min="3330" max="3330" width="5.08984375" customWidth="1"/>
    <col min="3331" max="3331" width="41.7265625" customWidth="1"/>
    <col min="3332" max="3332" width="14.7265625" customWidth="1"/>
    <col min="3333" max="3333" width="14.90625" customWidth="1"/>
    <col min="3334" max="3335" width="11.7265625" customWidth="1"/>
    <col min="3336" max="3336" width="11.90625" bestFit="1" customWidth="1"/>
    <col min="3338" max="3338" width="10.26953125" bestFit="1" customWidth="1"/>
    <col min="3339" max="3339" width="11.26953125" customWidth="1"/>
    <col min="3340" max="3340" width="5" customWidth="1"/>
    <col min="3341" max="3346" width="15" customWidth="1"/>
    <col min="3586" max="3586" width="5.08984375" customWidth="1"/>
    <col min="3587" max="3587" width="41.7265625" customWidth="1"/>
    <col min="3588" max="3588" width="14.7265625" customWidth="1"/>
    <col min="3589" max="3589" width="14.90625" customWidth="1"/>
    <col min="3590" max="3591" width="11.7265625" customWidth="1"/>
    <col min="3592" max="3592" width="11.90625" bestFit="1" customWidth="1"/>
    <col min="3594" max="3594" width="10.26953125" bestFit="1" customWidth="1"/>
    <col min="3595" max="3595" width="11.26953125" customWidth="1"/>
    <col min="3596" max="3596" width="5" customWidth="1"/>
    <col min="3597" max="3602" width="15" customWidth="1"/>
    <col min="3842" max="3842" width="5.08984375" customWidth="1"/>
    <col min="3843" max="3843" width="41.7265625" customWidth="1"/>
    <col min="3844" max="3844" width="14.7265625" customWidth="1"/>
    <col min="3845" max="3845" width="14.90625" customWidth="1"/>
    <col min="3846" max="3847" width="11.7265625" customWidth="1"/>
    <col min="3848" max="3848" width="11.90625" bestFit="1" customWidth="1"/>
    <col min="3850" max="3850" width="10.26953125" bestFit="1" customWidth="1"/>
    <col min="3851" max="3851" width="11.26953125" customWidth="1"/>
    <col min="3852" max="3852" width="5" customWidth="1"/>
    <col min="3853" max="3858" width="15" customWidth="1"/>
    <col min="4098" max="4098" width="5.08984375" customWidth="1"/>
    <col min="4099" max="4099" width="41.7265625" customWidth="1"/>
    <col min="4100" max="4100" width="14.7265625" customWidth="1"/>
    <col min="4101" max="4101" width="14.90625" customWidth="1"/>
    <col min="4102" max="4103" width="11.7265625" customWidth="1"/>
    <col min="4104" max="4104" width="11.90625" bestFit="1" customWidth="1"/>
    <col min="4106" max="4106" width="10.26953125" bestFit="1" customWidth="1"/>
    <col min="4107" max="4107" width="11.26953125" customWidth="1"/>
    <col min="4108" max="4108" width="5" customWidth="1"/>
    <col min="4109" max="4114" width="15" customWidth="1"/>
    <col min="4354" max="4354" width="5.08984375" customWidth="1"/>
    <col min="4355" max="4355" width="41.7265625" customWidth="1"/>
    <col min="4356" max="4356" width="14.7265625" customWidth="1"/>
    <col min="4357" max="4357" width="14.90625" customWidth="1"/>
    <col min="4358" max="4359" width="11.7265625" customWidth="1"/>
    <col min="4360" max="4360" width="11.90625" bestFit="1" customWidth="1"/>
    <col min="4362" max="4362" width="10.26953125" bestFit="1" customWidth="1"/>
    <col min="4363" max="4363" width="11.26953125" customWidth="1"/>
    <col min="4364" max="4364" width="5" customWidth="1"/>
    <col min="4365" max="4370" width="15" customWidth="1"/>
    <col min="4610" max="4610" width="5.08984375" customWidth="1"/>
    <col min="4611" max="4611" width="41.7265625" customWidth="1"/>
    <col min="4612" max="4612" width="14.7265625" customWidth="1"/>
    <col min="4613" max="4613" width="14.90625" customWidth="1"/>
    <col min="4614" max="4615" width="11.7265625" customWidth="1"/>
    <col min="4616" max="4616" width="11.90625" bestFit="1" customWidth="1"/>
    <col min="4618" max="4618" width="10.26953125" bestFit="1" customWidth="1"/>
    <col min="4619" max="4619" width="11.26953125" customWidth="1"/>
    <col min="4620" max="4620" width="5" customWidth="1"/>
    <col min="4621" max="4626" width="15" customWidth="1"/>
    <col min="4866" max="4866" width="5.08984375" customWidth="1"/>
    <col min="4867" max="4867" width="41.7265625" customWidth="1"/>
    <col min="4868" max="4868" width="14.7265625" customWidth="1"/>
    <col min="4869" max="4869" width="14.90625" customWidth="1"/>
    <col min="4870" max="4871" width="11.7265625" customWidth="1"/>
    <col min="4872" max="4872" width="11.90625" bestFit="1" customWidth="1"/>
    <col min="4874" max="4874" width="10.26953125" bestFit="1" customWidth="1"/>
    <col min="4875" max="4875" width="11.26953125" customWidth="1"/>
    <col min="4876" max="4876" width="5" customWidth="1"/>
    <col min="4877" max="4882" width="15" customWidth="1"/>
    <col min="5122" max="5122" width="5.08984375" customWidth="1"/>
    <col min="5123" max="5123" width="41.7265625" customWidth="1"/>
    <col min="5124" max="5124" width="14.7265625" customWidth="1"/>
    <col min="5125" max="5125" width="14.90625" customWidth="1"/>
    <col min="5126" max="5127" width="11.7265625" customWidth="1"/>
    <col min="5128" max="5128" width="11.90625" bestFit="1" customWidth="1"/>
    <col min="5130" max="5130" width="10.26953125" bestFit="1" customWidth="1"/>
    <col min="5131" max="5131" width="11.26953125" customWidth="1"/>
    <col min="5132" max="5132" width="5" customWidth="1"/>
    <col min="5133" max="5138" width="15" customWidth="1"/>
    <col min="5378" max="5378" width="5.08984375" customWidth="1"/>
    <col min="5379" max="5379" width="41.7265625" customWidth="1"/>
    <col min="5380" max="5380" width="14.7265625" customWidth="1"/>
    <col min="5381" max="5381" width="14.90625" customWidth="1"/>
    <col min="5382" max="5383" width="11.7265625" customWidth="1"/>
    <col min="5384" max="5384" width="11.90625" bestFit="1" customWidth="1"/>
    <col min="5386" max="5386" width="10.26953125" bestFit="1" customWidth="1"/>
    <col min="5387" max="5387" width="11.26953125" customWidth="1"/>
    <col min="5388" max="5388" width="5" customWidth="1"/>
    <col min="5389" max="5394" width="15" customWidth="1"/>
    <col min="5634" max="5634" width="5.08984375" customWidth="1"/>
    <col min="5635" max="5635" width="41.7265625" customWidth="1"/>
    <col min="5636" max="5636" width="14.7265625" customWidth="1"/>
    <col min="5637" max="5637" width="14.90625" customWidth="1"/>
    <col min="5638" max="5639" width="11.7265625" customWidth="1"/>
    <col min="5640" max="5640" width="11.90625" bestFit="1" customWidth="1"/>
    <col min="5642" max="5642" width="10.26953125" bestFit="1" customWidth="1"/>
    <col min="5643" max="5643" width="11.26953125" customWidth="1"/>
    <col min="5644" max="5644" width="5" customWidth="1"/>
    <col min="5645" max="5650" width="15" customWidth="1"/>
    <col min="5890" max="5890" width="5.08984375" customWidth="1"/>
    <col min="5891" max="5891" width="41.7265625" customWidth="1"/>
    <col min="5892" max="5892" width="14.7265625" customWidth="1"/>
    <col min="5893" max="5893" width="14.90625" customWidth="1"/>
    <col min="5894" max="5895" width="11.7265625" customWidth="1"/>
    <col min="5896" max="5896" width="11.90625" bestFit="1" customWidth="1"/>
    <col min="5898" max="5898" width="10.26953125" bestFit="1" customWidth="1"/>
    <col min="5899" max="5899" width="11.26953125" customWidth="1"/>
    <col min="5900" max="5900" width="5" customWidth="1"/>
    <col min="5901" max="5906" width="15" customWidth="1"/>
    <col min="6146" max="6146" width="5.08984375" customWidth="1"/>
    <col min="6147" max="6147" width="41.7265625" customWidth="1"/>
    <col min="6148" max="6148" width="14.7265625" customWidth="1"/>
    <col min="6149" max="6149" width="14.90625" customWidth="1"/>
    <col min="6150" max="6151" width="11.7265625" customWidth="1"/>
    <col min="6152" max="6152" width="11.90625" bestFit="1" customWidth="1"/>
    <col min="6154" max="6154" width="10.26953125" bestFit="1" customWidth="1"/>
    <col min="6155" max="6155" width="11.26953125" customWidth="1"/>
    <col min="6156" max="6156" width="5" customWidth="1"/>
    <col min="6157" max="6162" width="15" customWidth="1"/>
    <col min="6402" max="6402" width="5.08984375" customWidth="1"/>
    <col min="6403" max="6403" width="41.7265625" customWidth="1"/>
    <col min="6404" max="6404" width="14.7265625" customWidth="1"/>
    <col min="6405" max="6405" width="14.90625" customWidth="1"/>
    <col min="6406" max="6407" width="11.7265625" customWidth="1"/>
    <col min="6408" max="6408" width="11.90625" bestFit="1" customWidth="1"/>
    <col min="6410" max="6410" width="10.26953125" bestFit="1" customWidth="1"/>
    <col min="6411" max="6411" width="11.26953125" customWidth="1"/>
    <col min="6412" max="6412" width="5" customWidth="1"/>
    <col min="6413" max="6418" width="15" customWidth="1"/>
    <col min="6658" max="6658" width="5.08984375" customWidth="1"/>
    <col min="6659" max="6659" width="41.7265625" customWidth="1"/>
    <col min="6660" max="6660" width="14.7265625" customWidth="1"/>
    <col min="6661" max="6661" width="14.90625" customWidth="1"/>
    <col min="6662" max="6663" width="11.7265625" customWidth="1"/>
    <col min="6664" max="6664" width="11.90625" bestFit="1" customWidth="1"/>
    <col min="6666" max="6666" width="10.26953125" bestFit="1" customWidth="1"/>
    <col min="6667" max="6667" width="11.26953125" customWidth="1"/>
    <col min="6668" max="6668" width="5" customWidth="1"/>
    <col min="6669" max="6674" width="15" customWidth="1"/>
    <col min="6914" max="6914" width="5.08984375" customWidth="1"/>
    <col min="6915" max="6915" width="41.7265625" customWidth="1"/>
    <col min="6916" max="6916" width="14.7265625" customWidth="1"/>
    <col min="6917" max="6917" width="14.90625" customWidth="1"/>
    <col min="6918" max="6919" width="11.7265625" customWidth="1"/>
    <col min="6920" max="6920" width="11.90625" bestFit="1" customWidth="1"/>
    <col min="6922" max="6922" width="10.26953125" bestFit="1" customWidth="1"/>
    <col min="6923" max="6923" width="11.26953125" customWidth="1"/>
    <col min="6924" max="6924" width="5" customWidth="1"/>
    <col min="6925" max="6930" width="15" customWidth="1"/>
    <col min="7170" max="7170" width="5.08984375" customWidth="1"/>
    <col min="7171" max="7171" width="41.7265625" customWidth="1"/>
    <col min="7172" max="7172" width="14.7265625" customWidth="1"/>
    <col min="7173" max="7173" width="14.90625" customWidth="1"/>
    <col min="7174" max="7175" width="11.7265625" customWidth="1"/>
    <col min="7176" max="7176" width="11.90625" bestFit="1" customWidth="1"/>
    <col min="7178" max="7178" width="10.26953125" bestFit="1" customWidth="1"/>
    <col min="7179" max="7179" width="11.26953125" customWidth="1"/>
    <col min="7180" max="7180" width="5" customWidth="1"/>
    <col min="7181" max="7186" width="15" customWidth="1"/>
    <col min="7426" max="7426" width="5.08984375" customWidth="1"/>
    <col min="7427" max="7427" width="41.7265625" customWidth="1"/>
    <col min="7428" max="7428" width="14.7265625" customWidth="1"/>
    <col min="7429" max="7429" width="14.90625" customWidth="1"/>
    <col min="7430" max="7431" width="11.7265625" customWidth="1"/>
    <col min="7432" max="7432" width="11.90625" bestFit="1" customWidth="1"/>
    <col min="7434" max="7434" width="10.26953125" bestFit="1" customWidth="1"/>
    <col min="7435" max="7435" width="11.26953125" customWidth="1"/>
    <col min="7436" max="7436" width="5" customWidth="1"/>
    <col min="7437" max="7442" width="15" customWidth="1"/>
    <col min="7682" max="7682" width="5.08984375" customWidth="1"/>
    <col min="7683" max="7683" width="41.7265625" customWidth="1"/>
    <col min="7684" max="7684" width="14.7265625" customWidth="1"/>
    <col min="7685" max="7685" width="14.90625" customWidth="1"/>
    <col min="7686" max="7687" width="11.7265625" customWidth="1"/>
    <col min="7688" max="7688" width="11.90625" bestFit="1" customWidth="1"/>
    <col min="7690" max="7690" width="10.26953125" bestFit="1" customWidth="1"/>
    <col min="7691" max="7691" width="11.26953125" customWidth="1"/>
    <col min="7692" max="7692" width="5" customWidth="1"/>
    <col min="7693" max="7698" width="15" customWidth="1"/>
    <col min="7938" max="7938" width="5.08984375" customWidth="1"/>
    <col min="7939" max="7939" width="41.7265625" customWidth="1"/>
    <col min="7940" max="7940" width="14.7265625" customWidth="1"/>
    <col min="7941" max="7941" width="14.90625" customWidth="1"/>
    <col min="7942" max="7943" width="11.7265625" customWidth="1"/>
    <col min="7944" max="7944" width="11.90625" bestFit="1" customWidth="1"/>
    <col min="7946" max="7946" width="10.26953125" bestFit="1" customWidth="1"/>
    <col min="7947" max="7947" width="11.26953125" customWidth="1"/>
    <col min="7948" max="7948" width="5" customWidth="1"/>
    <col min="7949" max="7954" width="15" customWidth="1"/>
    <col min="8194" max="8194" width="5.08984375" customWidth="1"/>
    <col min="8195" max="8195" width="41.7265625" customWidth="1"/>
    <col min="8196" max="8196" width="14.7265625" customWidth="1"/>
    <col min="8197" max="8197" width="14.90625" customWidth="1"/>
    <col min="8198" max="8199" width="11.7265625" customWidth="1"/>
    <col min="8200" max="8200" width="11.90625" bestFit="1" customWidth="1"/>
    <col min="8202" max="8202" width="10.26953125" bestFit="1" customWidth="1"/>
    <col min="8203" max="8203" width="11.26953125" customWidth="1"/>
    <col min="8204" max="8204" width="5" customWidth="1"/>
    <col min="8205" max="8210" width="15" customWidth="1"/>
    <col min="8450" max="8450" width="5.08984375" customWidth="1"/>
    <col min="8451" max="8451" width="41.7265625" customWidth="1"/>
    <col min="8452" max="8452" width="14.7265625" customWidth="1"/>
    <col min="8453" max="8453" width="14.90625" customWidth="1"/>
    <col min="8454" max="8455" width="11.7265625" customWidth="1"/>
    <col min="8456" max="8456" width="11.90625" bestFit="1" customWidth="1"/>
    <col min="8458" max="8458" width="10.26953125" bestFit="1" customWidth="1"/>
    <col min="8459" max="8459" width="11.26953125" customWidth="1"/>
    <col min="8460" max="8460" width="5" customWidth="1"/>
    <col min="8461" max="8466" width="15" customWidth="1"/>
    <col min="8706" max="8706" width="5.08984375" customWidth="1"/>
    <col min="8707" max="8707" width="41.7265625" customWidth="1"/>
    <col min="8708" max="8708" width="14.7265625" customWidth="1"/>
    <col min="8709" max="8709" width="14.90625" customWidth="1"/>
    <col min="8710" max="8711" width="11.7265625" customWidth="1"/>
    <col min="8712" max="8712" width="11.90625" bestFit="1" customWidth="1"/>
    <col min="8714" max="8714" width="10.26953125" bestFit="1" customWidth="1"/>
    <col min="8715" max="8715" width="11.26953125" customWidth="1"/>
    <col min="8716" max="8716" width="5" customWidth="1"/>
    <col min="8717" max="8722" width="15" customWidth="1"/>
    <col min="8962" max="8962" width="5.08984375" customWidth="1"/>
    <col min="8963" max="8963" width="41.7265625" customWidth="1"/>
    <col min="8964" max="8964" width="14.7265625" customWidth="1"/>
    <col min="8965" max="8965" width="14.90625" customWidth="1"/>
    <col min="8966" max="8967" width="11.7265625" customWidth="1"/>
    <col min="8968" max="8968" width="11.90625" bestFit="1" customWidth="1"/>
    <col min="8970" max="8970" width="10.26953125" bestFit="1" customWidth="1"/>
    <col min="8971" max="8971" width="11.26953125" customWidth="1"/>
    <col min="8972" max="8972" width="5" customWidth="1"/>
    <col min="8973" max="8978" width="15" customWidth="1"/>
    <col min="9218" max="9218" width="5.08984375" customWidth="1"/>
    <col min="9219" max="9219" width="41.7265625" customWidth="1"/>
    <col min="9220" max="9220" width="14.7265625" customWidth="1"/>
    <col min="9221" max="9221" width="14.90625" customWidth="1"/>
    <col min="9222" max="9223" width="11.7265625" customWidth="1"/>
    <col min="9224" max="9224" width="11.90625" bestFit="1" customWidth="1"/>
    <col min="9226" max="9226" width="10.26953125" bestFit="1" customWidth="1"/>
    <col min="9227" max="9227" width="11.26953125" customWidth="1"/>
    <col min="9228" max="9228" width="5" customWidth="1"/>
    <col min="9229" max="9234" width="15" customWidth="1"/>
    <col min="9474" max="9474" width="5.08984375" customWidth="1"/>
    <col min="9475" max="9475" width="41.7265625" customWidth="1"/>
    <col min="9476" max="9476" width="14.7265625" customWidth="1"/>
    <col min="9477" max="9477" width="14.90625" customWidth="1"/>
    <col min="9478" max="9479" width="11.7265625" customWidth="1"/>
    <col min="9480" max="9480" width="11.90625" bestFit="1" customWidth="1"/>
    <col min="9482" max="9482" width="10.26953125" bestFit="1" customWidth="1"/>
    <col min="9483" max="9483" width="11.26953125" customWidth="1"/>
    <col min="9484" max="9484" width="5" customWidth="1"/>
    <col min="9485" max="9490" width="15" customWidth="1"/>
    <col min="9730" max="9730" width="5.08984375" customWidth="1"/>
    <col min="9731" max="9731" width="41.7265625" customWidth="1"/>
    <col min="9732" max="9732" width="14.7265625" customWidth="1"/>
    <col min="9733" max="9733" width="14.90625" customWidth="1"/>
    <col min="9734" max="9735" width="11.7265625" customWidth="1"/>
    <col min="9736" max="9736" width="11.90625" bestFit="1" customWidth="1"/>
    <col min="9738" max="9738" width="10.26953125" bestFit="1" customWidth="1"/>
    <col min="9739" max="9739" width="11.26953125" customWidth="1"/>
    <col min="9740" max="9740" width="5" customWidth="1"/>
    <col min="9741" max="9746" width="15" customWidth="1"/>
    <col min="9986" max="9986" width="5.08984375" customWidth="1"/>
    <col min="9987" max="9987" width="41.7265625" customWidth="1"/>
    <col min="9988" max="9988" width="14.7265625" customWidth="1"/>
    <col min="9989" max="9989" width="14.90625" customWidth="1"/>
    <col min="9990" max="9991" width="11.7265625" customWidth="1"/>
    <col min="9992" max="9992" width="11.90625" bestFit="1" customWidth="1"/>
    <col min="9994" max="9994" width="10.26953125" bestFit="1" customWidth="1"/>
    <col min="9995" max="9995" width="11.26953125" customWidth="1"/>
    <col min="9996" max="9996" width="5" customWidth="1"/>
    <col min="9997" max="10002" width="15" customWidth="1"/>
    <col min="10242" max="10242" width="5.08984375" customWidth="1"/>
    <col min="10243" max="10243" width="41.7265625" customWidth="1"/>
    <col min="10244" max="10244" width="14.7265625" customWidth="1"/>
    <col min="10245" max="10245" width="14.90625" customWidth="1"/>
    <col min="10246" max="10247" width="11.7265625" customWidth="1"/>
    <col min="10248" max="10248" width="11.90625" bestFit="1" customWidth="1"/>
    <col min="10250" max="10250" width="10.26953125" bestFit="1" customWidth="1"/>
    <col min="10251" max="10251" width="11.26953125" customWidth="1"/>
    <col min="10252" max="10252" width="5" customWidth="1"/>
    <col min="10253" max="10258" width="15" customWidth="1"/>
    <col min="10498" max="10498" width="5.08984375" customWidth="1"/>
    <col min="10499" max="10499" width="41.7265625" customWidth="1"/>
    <col min="10500" max="10500" width="14.7265625" customWidth="1"/>
    <col min="10501" max="10501" width="14.90625" customWidth="1"/>
    <col min="10502" max="10503" width="11.7265625" customWidth="1"/>
    <col min="10504" max="10504" width="11.90625" bestFit="1" customWidth="1"/>
    <col min="10506" max="10506" width="10.26953125" bestFit="1" customWidth="1"/>
    <col min="10507" max="10507" width="11.26953125" customWidth="1"/>
    <col min="10508" max="10508" width="5" customWidth="1"/>
    <col min="10509" max="10514" width="15" customWidth="1"/>
    <col min="10754" max="10754" width="5.08984375" customWidth="1"/>
    <col min="10755" max="10755" width="41.7265625" customWidth="1"/>
    <col min="10756" max="10756" width="14.7265625" customWidth="1"/>
    <col min="10757" max="10757" width="14.90625" customWidth="1"/>
    <col min="10758" max="10759" width="11.7265625" customWidth="1"/>
    <col min="10760" max="10760" width="11.90625" bestFit="1" customWidth="1"/>
    <col min="10762" max="10762" width="10.26953125" bestFit="1" customWidth="1"/>
    <col min="10763" max="10763" width="11.26953125" customWidth="1"/>
    <col min="10764" max="10764" width="5" customWidth="1"/>
    <col min="10765" max="10770" width="15" customWidth="1"/>
    <col min="11010" max="11010" width="5.08984375" customWidth="1"/>
    <col min="11011" max="11011" width="41.7265625" customWidth="1"/>
    <col min="11012" max="11012" width="14.7265625" customWidth="1"/>
    <col min="11013" max="11013" width="14.90625" customWidth="1"/>
    <col min="11014" max="11015" width="11.7265625" customWidth="1"/>
    <col min="11016" max="11016" width="11.90625" bestFit="1" customWidth="1"/>
    <col min="11018" max="11018" width="10.26953125" bestFit="1" customWidth="1"/>
    <col min="11019" max="11019" width="11.26953125" customWidth="1"/>
    <col min="11020" max="11020" width="5" customWidth="1"/>
    <col min="11021" max="11026" width="15" customWidth="1"/>
    <col min="11266" max="11266" width="5.08984375" customWidth="1"/>
    <col min="11267" max="11267" width="41.7265625" customWidth="1"/>
    <col min="11268" max="11268" width="14.7265625" customWidth="1"/>
    <col min="11269" max="11269" width="14.90625" customWidth="1"/>
    <col min="11270" max="11271" width="11.7265625" customWidth="1"/>
    <col min="11272" max="11272" width="11.90625" bestFit="1" customWidth="1"/>
    <col min="11274" max="11274" width="10.26953125" bestFit="1" customWidth="1"/>
    <col min="11275" max="11275" width="11.26953125" customWidth="1"/>
    <col min="11276" max="11276" width="5" customWidth="1"/>
    <col min="11277" max="11282" width="15" customWidth="1"/>
    <col min="11522" max="11522" width="5.08984375" customWidth="1"/>
    <col min="11523" max="11523" width="41.7265625" customWidth="1"/>
    <col min="11524" max="11524" width="14.7265625" customWidth="1"/>
    <col min="11525" max="11525" width="14.90625" customWidth="1"/>
    <col min="11526" max="11527" width="11.7265625" customWidth="1"/>
    <col min="11528" max="11528" width="11.90625" bestFit="1" customWidth="1"/>
    <col min="11530" max="11530" width="10.26953125" bestFit="1" customWidth="1"/>
    <col min="11531" max="11531" width="11.26953125" customWidth="1"/>
    <col min="11532" max="11532" width="5" customWidth="1"/>
    <col min="11533" max="11538" width="15" customWidth="1"/>
    <col min="11778" max="11778" width="5.08984375" customWidth="1"/>
    <col min="11779" max="11779" width="41.7265625" customWidth="1"/>
    <col min="11780" max="11780" width="14.7265625" customWidth="1"/>
    <col min="11781" max="11781" width="14.90625" customWidth="1"/>
    <col min="11782" max="11783" width="11.7265625" customWidth="1"/>
    <col min="11784" max="11784" width="11.90625" bestFit="1" customWidth="1"/>
    <col min="11786" max="11786" width="10.26953125" bestFit="1" customWidth="1"/>
    <col min="11787" max="11787" width="11.26953125" customWidth="1"/>
    <col min="11788" max="11788" width="5" customWidth="1"/>
    <col min="11789" max="11794" width="15" customWidth="1"/>
    <col min="12034" max="12034" width="5.08984375" customWidth="1"/>
    <col min="12035" max="12035" width="41.7265625" customWidth="1"/>
    <col min="12036" max="12036" width="14.7265625" customWidth="1"/>
    <col min="12037" max="12037" width="14.90625" customWidth="1"/>
    <col min="12038" max="12039" width="11.7265625" customWidth="1"/>
    <col min="12040" max="12040" width="11.90625" bestFit="1" customWidth="1"/>
    <col min="12042" max="12042" width="10.26953125" bestFit="1" customWidth="1"/>
    <col min="12043" max="12043" width="11.26953125" customWidth="1"/>
    <col min="12044" max="12044" width="5" customWidth="1"/>
    <col min="12045" max="12050" width="15" customWidth="1"/>
    <col min="12290" max="12290" width="5.08984375" customWidth="1"/>
    <col min="12291" max="12291" width="41.7265625" customWidth="1"/>
    <col min="12292" max="12292" width="14.7265625" customWidth="1"/>
    <col min="12293" max="12293" width="14.90625" customWidth="1"/>
    <col min="12294" max="12295" width="11.7265625" customWidth="1"/>
    <col min="12296" max="12296" width="11.90625" bestFit="1" customWidth="1"/>
    <col min="12298" max="12298" width="10.26953125" bestFit="1" customWidth="1"/>
    <col min="12299" max="12299" width="11.26953125" customWidth="1"/>
    <col min="12300" max="12300" width="5" customWidth="1"/>
    <col min="12301" max="12306" width="15" customWidth="1"/>
    <col min="12546" max="12546" width="5.08984375" customWidth="1"/>
    <col min="12547" max="12547" width="41.7265625" customWidth="1"/>
    <col min="12548" max="12548" width="14.7265625" customWidth="1"/>
    <col min="12549" max="12549" width="14.90625" customWidth="1"/>
    <col min="12550" max="12551" width="11.7265625" customWidth="1"/>
    <col min="12552" max="12552" width="11.90625" bestFit="1" customWidth="1"/>
    <col min="12554" max="12554" width="10.26953125" bestFit="1" customWidth="1"/>
    <col min="12555" max="12555" width="11.26953125" customWidth="1"/>
    <col min="12556" max="12556" width="5" customWidth="1"/>
    <col min="12557" max="12562" width="15" customWidth="1"/>
    <col min="12802" max="12802" width="5.08984375" customWidth="1"/>
    <col min="12803" max="12803" width="41.7265625" customWidth="1"/>
    <col min="12804" max="12804" width="14.7265625" customWidth="1"/>
    <col min="12805" max="12805" width="14.90625" customWidth="1"/>
    <col min="12806" max="12807" width="11.7265625" customWidth="1"/>
    <col min="12808" max="12808" width="11.90625" bestFit="1" customWidth="1"/>
    <col min="12810" max="12810" width="10.26953125" bestFit="1" customWidth="1"/>
    <col min="12811" max="12811" width="11.26953125" customWidth="1"/>
    <col min="12812" max="12812" width="5" customWidth="1"/>
    <col min="12813" max="12818" width="15" customWidth="1"/>
    <col min="13058" max="13058" width="5.08984375" customWidth="1"/>
    <col min="13059" max="13059" width="41.7265625" customWidth="1"/>
    <col min="13060" max="13060" width="14.7265625" customWidth="1"/>
    <col min="13061" max="13061" width="14.90625" customWidth="1"/>
    <col min="13062" max="13063" width="11.7265625" customWidth="1"/>
    <col min="13064" max="13064" width="11.90625" bestFit="1" customWidth="1"/>
    <col min="13066" max="13066" width="10.26953125" bestFit="1" customWidth="1"/>
    <col min="13067" max="13067" width="11.26953125" customWidth="1"/>
    <col min="13068" max="13068" width="5" customWidth="1"/>
    <col min="13069" max="13074" width="15" customWidth="1"/>
    <col min="13314" max="13314" width="5.08984375" customWidth="1"/>
    <col min="13315" max="13315" width="41.7265625" customWidth="1"/>
    <col min="13316" max="13316" width="14.7265625" customWidth="1"/>
    <col min="13317" max="13317" width="14.90625" customWidth="1"/>
    <col min="13318" max="13319" width="11.7265625" customWidth="1"/>
    <col min="13320" max="13320" width="11.90625" bestFit="1" customWidth="1"/>
    <col min="13322" max="13322" width="10.26953125" bestFit="1" customWidth="1"/>
    <col min="13323" max="13323" width="11.26953125" customWidth="1"/>
    <col min="13324" max="13324" width="5" customWidth="1"/>
    <col min="13325" max="13330" width="15" customWidth="1"/>
    <col min="13570" max="13570" width="5.08984375" customWidth="1"/>
    <col min="13571" max="13571" width="41.7265625" customWidth="1"/>
    <col min="13572" max="13572" width="14.7265625" customWidth="1"/>
    <col min="13573" max="13573" width="14.90625" customWidth="1"/>
    <col min="13574" max="13575" width="11.7265625" customWidth="1"/>
    <col min="13576" max="13576" width="11.90625" bestFit="1" customWidth="1"/>
    <col min="13578" max="13578" width="10.26953125" bestFit="1" customWidth="1"/>
    <col min="13579" max="13579" width="11.26953125" customWidth="1"/>
    <col min="13580" max="13580" width="5" customWidth="1"/>
    <col min="13581" max="13586" width="15" customWidth="1"/>
    <col min="13826" max="13826" width="5.08984375" customWidth="1"/>
    <col min="13827" max="13827" width="41.7265625" customWidth="1"/>
    <col min="13828" max="13828" width="14.7265625" customWidth="1"/>
    <col min="13829" max="13829" width="14.90625" customWidth="1"/>
    <col min="13830" max="13831" width="11.7265625" customWidth="1"/>
    <col min="13832" max="13832" width="11.90625" bestFit="1" customWidth="1"/>
    <col min="13834" max="13834" width="10.26953125" bestFit="1" customWidth="1"/>
    <col min="13835" max="13835" width="11.26953125" customWidth="1"/>
    <col min="13836" max="13836" width="5" customWidth="1"/>
    <col min="13837" max="13842" width="15" customWidth="1"/>
    <col min="14082" max="14082" width="5.08984375" customWidth="1"/>
    <col min="14083" max="14083" width="41.7265625" customWidth="1"/>
    <col min="14084" max="14084" width="14.7265625" customWidth="1"/>
    <col min="14085" max="14085" width="14.90625" customWidth="1"/>
    <col min="14086" max="14087" width="11.7265625" customWidth="1"/>
    <col min="14088" max="14088" width="11.90625" bestFit="1" customWidth="1"/>
    <col min="14090" max="14090" width="10.26953125" bestFit="1" customWidth="1"/>
    <col min="14091" max="14091" width="11.26953125" customWidth="1"/>
    <col min="14092" max="14092" width="5" customWidth="1"/>
    <col min="14093" max="14098" width="15" customWidth="1"/>
    <col min="14338" max="14338" width="5.08984375" customWidth="1"/>
    <col min="14339" max="14339" width="41.7265625" customWidth="1"/>
    <col min="14340" max="14340" width="14.7265625" customWidth="1"/>
    <col min="14341" max="14341" width="14.90625" customWidth="1"/>
    <col min="14342" max="14343" width="11.7265625" customWidth="1"/>
    <col min="14344" max="14344" width="11.90625" bestFit="1" customWidth="1"/>
    <col min="14346" max="14346" width="10.26953125" bestFit="1" customWidth="1"/>
    <col min="14347" max="14347" width="11.26953125" customWidth="1"/>
    <col min="14348" max="14348" width="5" customWidth="1"/>
    <col min="14349" max="14354" width="15" customWidth="1"/>
    <col min="14594" max="14594" width="5.08984375" customWidth="1"/>
    <col min="14595" max="14595" width="41.7265625" customWidth="1"/>
    <col min="14596" max="14596" width="14.7265625" customWidth="1"/>
    <col min="14597" max="14597" width="14.90625" customWidth="1"/>
    <col min="14598" max="14599" width="11.7265625" customWidth="1"/>
    <col min="14600" max="14600" width="11.90625" bestFit="1" customWidth="1"/>
    <col min="14602" max="14602" width="10.26953125" bestFit="1" customWidth="1"/>
    <col min="14603" max="14603" width="11.26953125" customWidth="1"/>
    <col min="14604" max="14604" width="5" customWidth="1"/>
    <col min="14605" max="14610" width="15" customWidth="1"/>
    <col min="14850" max="14850" width="5.08984375" customWidth="1"/>
    <col min="14851" max="14851" width="41.7265625" customWidth="1"/>
    <col min="14852" max="14852" width="14.7265625" customWidth="1"/>
    <col min="14853" max="14853" width="14.90625" customWidth="1"/>
    <col min="14854" max="14855" width="11.7265625" customWidth="1"/>
    <col min="14856" max="14856" width="11.90625" bestFit="1" customWidth="1"/>
    <col min="14858" max="14858" width="10.26953125" bestFit="1" customWidth="1"/>
    <col min="14859" max="14859" width="11.26953125" customWidth="1"/>
    <col min="14860" max="14860" width="5" customWidth="1"/>
    <col min="14861" max="14866" width="15" customWidth="1"/>
    <col min="15106" max="15106" width="5.08984375" customWidth="1"/>
    <col min="15107" max="15107" width="41.7265625" customWidth="1"/>
    <col min="15108" max="15108" width="14.7265625" customWidth="1"/>
    <col min="15109" max="15109" width="14.90625" customWidth="1"/>
    <col min="15110" max="15111" width="11.7265625" customWidth="1"/>
    <col min="15112" max="15112" width="11.90625" bestFit="1" customWidth="1"/>
    <col min="15114" max="15114" width="10.26953125" bestFit="1" customWidth="1"/>
    <col min="15115" max="15115" width="11.26953125" customWidth="1"/>
    <col min="15116" max="15116" width="5" customWidth="1"/>
    <col min="15117" max="15122" width="15" customWidth="1"/>
    <col min="15362" max="15362" width="5.08984375" customWidth="1"/>
    <col min="15363" max="15363" width="41.7265625" customWidth="1"/>
    <col min="15364" max="15364" width="14.7265625" customWidth="1"/>
    <col min="15365" max="15365" width="14.90625" customWidth="1"/>
    <col min="15366" max="15367" width="11.7265625" customWidth="1"/>
    <col min="15368" max="15368" width="11.90625" bestFit="1" customWidth="1"/>
    <col min="15370" max="15370" width="10.26953125" bestFit="1" customWidth="1"/>
    <col min="15371" max="15371" width="11.26953125" customWidth="1"/>
    <col min="15372" max="15372" width="5" customWidth="1"/>
    <col min="15373" max="15378" width="15" customWidth="1"/>
    <col min="15618" max="15618" width="5.08984375" customWidth="1"/>
    <col min="15619" max="15619" width="41.7265625" customWidth="1"/>
    <col min="15620" max="15620" width="14.7265625" customWidth="1"/>
    <col min="15621" max="15621" width="14.90625" customWidth="1"/>
    <col min="15622" max="15623" width="11.7265625" customWidth="1"/>
    <col min="15624" max="15624" width="11.90625" bestFit="1" customWidth="1"/>
    <col min="15626" max="15626" width="10.26953125" bestFit="1" customWidth="1"/>
    <col min="15627" max="15627" width="11.26953125" customWidth="1"/>
    <col min="15628" max="15628" width="5" customWidth="1"/>
    <col min="15629" max="15634" width="15" customWidth="1"/>
    <col min="15874" max="15874" width="5.08984375" customWidth="1"/>
    <col min="15875" max="15875" width="41.7265625" customWidth="1"/>
    <col min="15876" max="15876" width="14.7265625" customWidth="1"/>
    <col min="15877" max="15877" width="14.90625" customWidth="1"/>
    <col min="15878" max="15879" width="11.7265625" customWidth="1"/>
    <col min="15880" max="15880" width="11.90625" bestFit="1" customWidth="1"/>
    <col min="15882" max="15882" width="10.26953125" bestFit="1" customWidth="1"/>
    <col min="15883" max="15883" width="11.26953125" customWidth="1"/>
    <col min="15884" max="15884" width="5" customWidth="1"/>
    <col min="15885" max="15890" width="15" customWidth="1"/>
    <col min="16130" max="16130" width="5.08984375" customWidth="1"/>
    <col min="16131" max="16131" width="41.7265625" customWidth="1"/>
    <col min="16132" max="16132" width="14.7265625" customWidth="1"/>
    <col min="16133" max="16133" width="14.90625" customWidth="1"/>
    <col min="16134" max="16135" width="11.7265625" customWidth="1"/>
    <col min="16136" max="16136" width="11.90625" bestFit="1" customWidth="1"/>
    <col min="16138" max="16138" width="10.26953125" bestFit="1" customWidth="1"/>
    <col min="16139" max="16139" width="11.26953125" customWidth="1"/>
    <col min="16140" max="16140" width="5" customWidth="1"/>
    <col min="16141" max="16146" width="15" customWidth="1"/>
  </cols>
  <sheetData>
    <row r="1" spans="1:19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K1" s="1"/>
      <c r="L1" s="1"/>
      <c r="M1" s="1"/>
      <c r="N1" s="1"/>
      <c r="P1" s="1"/>
      <c r="Q1" s="1"/>
      <c r="R1" s="1"/>
      <c r="S1" s="1"/>
    </row>
    <row r="2" spans="1:19" ht="13.5" customHeight="1" x14ac:dyDescent="0.35">
      <c r="A2" s="9"/>
      <c r="B2" s="10" t="s">
        <v>19</v>
      </c>
      <c r="C2" s="9"/>
      <c r="D2" s="9"/>
      <c r="E2" s="9"/>
      <c r="F2" s="9"/>
      <c r="G2" s="9"/>
      <c r="H2" s="9"/>
      <c r="I2" s="9"/>
      <c r="J2" s="9"/>
      <c r="K2" s="9"/>
      <c r="L2" s="9"/>
      <c r="P2" s="1"/>
      <c r="Q2" s="1"/>
      <c r="R2" s="1"/>
      <c r="S2" s="1"/>
    </row>
    <row r="3" spans="1:19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P3" s="1"/>
      <c r="Q3" s="1"/>
      <c r="R3" s="1"/>
      <c r="S3" s="1"/>
    </row>
    <row r="4" spans="1:19" ht="12.75" customHeight="1" x14ac:dyDescent="0.35">
      <c r="A4" s="9"/>
      <c r="B4" s="11"/>
      <c r="C4" s="156"/>
      <c r="D4" s="156"/>
      <c r="E4" s="156"/>
      <c r="F4" s="156"/>
      <c r="G4" s="156"/>
      <c r="H4" s="156"/>
      <c r="I4" s="156"/>
      <c r="J4" s="156"/>
      <c r="K4" s="156"/>
      <c r="L4" s="156"/>
      <c r="P4" s="1"/>
      <c r="Q4" s="1"/>
      <c r="R4" s="1"/>
      <c r="S4" s="1"/>
    </row>
    <row r="5" spans="1:19" ht="21.75" customHeight="1" x14ac:dyDescent="0.35">
      <c r="A5" s="9"/>
      <c r="B5" s="12" t="s">
        <v>20</v>
      </c>
      <c r="C5" s="13"/>
      <c r="D5" s="13"/>
      <c r="E5" s="13"/>
      <c r="F5" s="13"/>
      <c r="G5" s="13"/>
      <c r="H5" s="13"/>
      <c r="I5" s="13"/>
      <c r="J5" s="13"/>
      <c r="K5" s="13"/>
      <c r="L5" s="14"/>
      <c r="P5" s="1"/>
      <c r="Q5" s="1"/>
      <c r="R5" s="1"/>
      <c r="S5" s="1"/>
    </row>
    <row r="6" spans="1:19" ht="4.5" customHeight="1" x14ac:dyDescent="0.35">
      <c r="A6" s="9"/>
      <c r="P6" s="1"/>
      <c r="Q6" s="1"/>
      <c r="R6" s="1"/>
      <c r="S6" s="1"/>
    </row>
    <row r="7" spans="1:19" ht="29.5" thickBot="1" x14ac:dyDescent="0.4">
      <c r="A7" s="9"/>
      <c r="B7" s="15" t="s">
        <v>0</v>
      </c>
      <c r="C7" s="16" t="s">
        <v>21</v>
      </c>
      <c r="D7" s="16" t="s">
        <v>22</v>
      </c>
      <c r="E7" s="16" t="s">
        <v>183</v>
      </c>
      <c r="H7" s="15" t="s">
        <v>1</v>
      </c>
      <c r="I7" s="15"/>
      <c r="J7" s="16" t="s">
        <v>23</v>
      </c>
      <c r="K7" s="16" t="s">
        <v>24</v>
      </c>
      <c r="L7" s="16" t="s">
        <v>25</v>
      </c>
      <c r="P7" s="1"/>
      <c r="Q7" s="1"/>
      <c r="R7" s="1"/>
      <c r="S7" s="1"/>
    </row>
    <row r="8" spans="1:19" ht="15" thickTop="1" x14ac:dyDescent="0.35">
      <c r="A8" s="299">
        <f>ROW()</f>
        <v>8</v>
      </c>
      <c r="B8" t="s">
        <v>182</v>
      </c>
      <c r="C8" s="17"/>
      <c r="D8" s="18">
        <f>+C8/$C$16</f>
        <v>0</v>
      </c>
      <c r="E8" s="157"/>
      <c r="H8" t="s">
        <v>2</v>
      </c>
      <c r="J8" s="5"/>
      <c r="K8" s="5"/>
      <c r="L8" s="19">
        <v>0</v>
      </c>
      <c r="P8" s="1"/>
      <c r="Q8" s="1"/>
      <c r="R8" s="1"/>
      <c r="S8" s="1"/>
    </row>
    <row r="9" spans="1:19" x14ac:dyDescent="0.35">
      <c r="A9" s="299">
        <f>ROW()</f>
        <v>9</v>
      </c>
      <c r="B9" t="s">
        <v>3</v>
      </c>
      <c r="C9" s="17">
        <v>1300000</v>
      </c>
      <c r="D9" s="18">
        <f t="shared" ref="D9:D16" si="0">+C9/$C$16</f>
        <v>0.1768874142223604</v>
      </c>
      <c r="E9" s="20">
        <f>+C9/E18</f>
        <v>1.5667652925331581</v>
      </c>
      <c r="H9" t="s">
        <v>26</v>
      </c>
      <c r="J9" s="21">
        <v>22.5</v>
      </c>
      <c r="K9" s="22">
        <v>184662.39999999999</v>
      </c>
      <c r="L9" s="22">
        <f>+K9*J9</f>
        <v>4154904</v>
      </c>
      <c r="P9" s="1"/>
      <c r="Q9" s="1"/>
      <c r="R9" s="1"/>
      <c r="S9" s="1"/>
    </row>
    <row r="10" spans="1:19" x14ac:dyDescent="0.35">
      <c r="A10" s="299">
        <f>ROW()</f>
        <v>10</v>
      </c>
      <c r="B10" t="s">
        <v>4</v>
      </c>
      <c r="C10" s="17">
        <v>1600000</v>
      </c>
      <c r="D10" s="18">
        <f t="shared" si="0"/>
        <v>0.21770758673521282</v>
      </c>
      <c r="E10" s="157">
        <f>+C10/$E$18</f>
        <v>1.9283265138869639</v>
      </c>
      <c r="H10" t="s">
        <v>27</v>
      </c>
      <c r="L10" s="17">
        <f>+'Proforma Cap'!D8</f>
        <v>2980346</v>
      </c>
      <c r="P10" s="1"/>
      <c r="Q10" s="158"/>
      <c r="R10" s="158"/>
      <c r="S10" s="158"/>
    </row>
    <row r="11" spans="1:19" x14ac:dyDescent="0.35">
      <c r="A11" s="299">
        <f>ROW()</f>
        <v>11</v>
      </c>
      <c r="B11" s="23" t="s">
        <v>5</v>
      </c>
      <c r="C11" s="24">
        <f>C10+C9</f>
        <v>2900000</v>
      </c>
      <c r="D11" s="25">
        <f t="shared" si="0"/>
        <v>0.39459500095757322</v>
      </c>
      <c r="E11" s="26">
        <f t="shared" ref="E11:E16" si="1">+C11/$E$18</f>
        <v>3.4950918064201222</v>
      </c>
      <c r="G11" s="27"/>
      <c r="H11" t="s">
        <v>6</v>
      </c>
      <c r="J11" s="159">
        <v>0.03</v>
      </c>
      <c r="L11" s="17">
        <f>+J11*(L9+L10)</f>
        <v>214057.5</v>
      </c>
      <c r="P11" s="1"/>
    </row>
    <row r="12" spans="1:19" x14ac:dyDescent="0.35">
      <c r="A12" s="299">
        <f>ROW()</f>
        <v>12</v>
      </c>
      <c r="B12" t="s">
        <v>28</v>
      </c>
      <c r="C12" s="17">
        <v>1700000</v>
      </c>
      <c r="D12" s="18">
        <f t="shared" si="0"/>
        <v>0.23131431090616361</v>
      </c>
      <c r="E12" s="20">
        <f t="shared" si="1"/>
        <v>2.0488469210048992</v>
      </c>
      <c r="G12" s="27"/>
      <c r="L12" s="28"/>
      <c r="P12" s="1"/>
    </row>
    <row r="13" spans="1:19" x14ac:dyDescent="0.35">
      <c r="A13" s="299">
        <f>ROW()</f>
        <v>13</v>
      </c>
      <c r="B13" s="23" t="s">
        <v>29</v>
      </c>
      <c r="C13" s="24">
        <f>+C12+C11</f>
        <v>4600000</v>
      </c>
      <c r="D13" s="29">
        <f t="shared" si="0"/>
        <v>0.62590931186373677</v>
      </c>
      <c r="E13" s="26">
        <f t="shared" si="1"/>
        <v>5.5439387274250214</v>
      </c>
      <c r="G13" s="30"/>
      <c r="L13" s="28"/>
      <c r="P13" s="1"/>
    </row>
    <row r="14" spans="1:19" ht="12" customHeight="1" x14ac:dyDescent="0.35">
      <c r="A14" s="299">
        <f>ROW()</f>
        <v>14</v>
      </c>
      <c r="B14" s="31"/>
      <c r="C14" s="31"/>
      <c r="D14" s="31"/>
      <c r="E14" s="31"/>
      <c r="G14" s="31"/>
      <c r="L14" s="28"/>
      <c r="P14" s="1"/>
    </row>
    <row r="15" spans="1:19" x14ac:dyDescent="0.35">
      <c r="A15" s="299">
        <f>ROW()</f>
        <v>15</v>
      </c>
      <c r="B15" s="31" t="s">
        <v>8</v>
      </c>
      <c r="C15" s="17">
        <f>+L16-C13</f>
        <v>2749307.5</v>
      </c>
      <c r="D15" s="18">
        <f t="shared" si="0"/>
        <v>0.37409068813626317</v>
      </c>
      <c r="E15" s="157">
        <f t="shared" si="1"/>
        <v>3.3134765919239277</v>
      </c>
      <c r="G15" s="30"/>
      <c r="L15" s="28"/>
      <c r="P15" s="1"/>
    </row>
    <row r="16" spans="1:19" ht="15" thickBot="1" x14ac:dyDescent="0.4">
      <c r="A16" s="299">
        <f>ROW()</f>
        <v>16</v>
      </c>
      <c r="B16" s="23" t="s">
        <v>30</v>
      </c>
      <c r="C16" s="32">
        <f>C15+C13</f>
        <v>7349307.5</v>
      </c>
      <c r="D16" s="33">
        <f t="shared" si="0"/>
        <v>1</v>
      </c>
      <c r="E16" s="34">
        <f t="shared" si="1"/>
        <v>8.8574153193489487</v>
      </c>
      <c r="G16" s="35"/>
      <c r="H16" s="23" t="s">
        <v>31</v>
      </c>
      <c r="I16" s="36"/>
      <c r="J16" s="36"/>
      <c r="K16" s="36"/>
      <c r="L16" s="32">
        <f>SUM(L9:L15)</f>
        <v>7349307.5</v>
      </c>
      <c r="P16" s="1"/>
    </row>
    <row r="17" spans="1:16" ht="21.75" customHeight="1" thickTop="1" x14ac:dyDescent="0.35">
      <c r="A17" s="299">
        <f>ROW()</f>
        <v>17</v>
      </c>
      <c r="C17" s="3"/>
      <c r="P17" s="1"/>
    </row>
    <row r="18" spans="1:16" x14ac:dyDescent="0.35">
      <c r="A18" s="299">
        <f>ROW()</f>
        <v>18</v>
      </c>
      <c r="B18" s="37"/>
      <c r="D18" s="37" t="s">
        <v>184</v>
      </c>
      <c r="E18" s="262">
        <v>829735</v>
      </c>
      <c r="F18" s="3"/>
      <c r="P18" s="1"/>
    </row>
    <row r="19" spans="1:16" ht="21.75" customHeight="1" x14ac:dyDescent="0.35">
      <c r="A19" s="299">
        <f>ROW()</f>
        <v>19</v>
      </c>
      <c r="B19" s="37"/>
      <c r="C19" s="37" t="s">
        <v>179</v>
      </c>
      <c r="D19" s="39">
        <f>+'Debt Schedule'!I9</f>
        <v>0.03</v>
      </c>
    </row>
    <row r="20" spans="1:16" ht="21.75" customHeight="1" x14ac:dyDescent="0.35">
      <c r="A20" s="9"/>
      <c r="D20" s="160"/>
      <c r="E20" s="160"/>
      <c r="F20" s="160"/>
      <c r="G20" s="160"/>
      <c r="H20" s="160"/>
      <c r="I20" s="160"/>
      <c r="J20" s="160"/>
      <c r="K20" s="160"/>
      <c r="L20" s="160"/>
    </row>
    <row r="21" spans="1:16" ht="21.75" customHeight="1" x14ac:dyDescent="0.35">
      <c r="A21" s="9"/>
      <c r="D21" s="160"/>
      <c r="E21" s="160"/>
      <c r="F21" s="160"/>
      <c r="G21" s="160"/>
      <c r="H21" s="160"/>
      <c r="I21" s="160"/>
      <c r="J21" s="160"/>
      <c r="K21" s="160"/>
      <c r="L21" s="40"/>
    </row>
    <row r="22" spans="1:16" ht="21.75" customHeight="1" x14ac:dyDescent="0.35">
      <c r="A22" s="9"/>
      <c r="D22" s="160"/>
      <c r="E22" s="160"/>
      <c r="F22" s="160"/>
      <c r="G22" s="160"/>
      <c r="H22" s="160"/>
      <c r="I22" s="160"/>
      <c r="J22" s="160"/>
      <c r="K22" s="160"/>
      <c r="L22" s="160"/>
    </row>
    <row r="23" spans="1:16" ht="21.75" customHeight="1" x14ac:dyDescent="0.35">
      <c r="A23" s="9"/>
      <c r="D23" s="160"/>
      <c r="E23" s="160"/>
      <c r="F23" s="160"/>
      <c r="G23" s="160"/>
      <c r="H23" s="160"/>
      <c r="I23" s="160"/>
      <c r="J23" s="160"/>
      <c r="K23" s="160"/>
      <c r="L23" s="160"/>
    </row>
    <row r="24" spans="1:16" ht="21.75" customHeight="1" x14ac:dyDescent="0.35">
      <c r="A24"/>
      <c r="D24" s="160"/>
      <c r="E24" s="160"/>
      <c r="F24" s="160"/>
      <c r="G24" s="160"/>
      <c r="H24" s="160"/>
      <c r="I24" s="160"/>
      <c r="J24" s="160"/>
      <c r="K24" s="160"/>
      <c r="L24" s="160"/>
    </row>
    <row r="25" spans="1:16" ht="21.75" customHeight="1" x14ac:dyDescent="0.35">
      <c r="A25"/>
    </row>
    <row r="26" spans="1:16" ht="21.75" customHeight="1" x14ac:dyDescent="0.35">
      <c r="A26"/>
    </row>
    <row r="27" spans="1:16" ht="21.75" customHeight="1" x14ac:dyDescent="0.35">
      <c r="A27"/>
    </row>
    <row r="28" spans="1:16" ht="21.75" customHeight="1" x14ac:dyDescent="0.35">
      <c r="A28"/>
    </row>
    <row r="29" spans="1:16" ht="21.75" customHeight="1" x14ac:dyDescent="0.35">
      <c r="A29"/>
    </row>
    <row r="30" spans="1:16" ht="21.75" customHeight="1" x14ac:dyDescent="0.35">
      <c r="A30"/>
    </row>
    <row r="31" spans="1:16" ht="21.75" customHeight="1" x14ac:dyDescent="0.35">
      <c r="A31"/>
    </row>
    <row r="32" spans="1:16" ht="21.75" customHeight="1" x14ac:dyDescent="0.35">
      <c r="A32"/>
    </row>
    <row r="33" spans="1:1" ht="21.75" customHeight="1" x14ac:dyDescent="0.35">
      <c r="A33"/>
    </row>
    <row r="34" spans="1:1" ht="21.75" customHeight="1" x14ac:dyDescent="0.35">
      <c r="A34"/>
    </row>
    <row r="35" spans="1:1" ht="21.75" customHeight="1" x14ac:dyDescent="0.35">
      <c r="A35"/>
    </row>
    <row r="36" spans="1:1" ht="21.75" customHeight="1" x14ac:dyDescent="0.35">
      <c r="A36"/>
    </row>
    <row r="37" spans="1:1" ht="21.75" customHeight="1" x14ac:dyDescent="0.35">
      <c r="A37"/>
    </row>
    <row r="38" spans="1:1" ht="21.75" customHeight="1" x14ac:dyDescent="0.35">
      <c r="A38"/>
    </row>
    <row r="39" spans="1:1" ht="21.75" customHeight="1" x14ac:dyDescent="0.35">
      <c r="A39"/>
    </row>
    <row r="40" spans="1:1" ht="21.75" customHeight="1" x14ac:dyDescent="0.35">
      <c r="A40"/>
    </row>
    <row r="41" spans="1:1" ht="21.75" customHeight="1" x14ac:dyDescent="0.35">
      <c r="A41"/>
    </row>
    <row r="42" spans="1:1" ht="21.75" customHeight="1" x14ac:dyDescent="0.35">
      <c r="A42"/>
    </row>
    <row r="43" spans="1:1" ht="21.75" customHeight="1" x14ac:dyDescent="0.35">
      <c r="A43"/>
    </row>
    <row r="44" spans="1:1" ht="21.75" customHeight="1" x14ac:dyDescent="0.35">
      <c r="A44"/>
    </row>
    <row r="45" spans="1:1" ht="21.75" customHeight="1" x14ac:dyDescent="0.35">
      <c r="A45"/>
    </row>
    <row r="46" spans="1:1" ht="21.75" customHeight="1" x14ac:dyDescent="0.35">
      <c r="A46"/>
    </row>
    <row r="47" spans="1:1" ht="21.75" customHeight="1" x14ac:dyDescent="0.35">
      <c r="A47"/>
    </row>
    <row r="48" spans="1:1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20B328-B44A-4ECB-916E-C15CE044B355}">
  <sheetPr>
    <tabColor rgb="FFFF0000"/>
  </sheetPr>
  <dimension ref="A1:K18"/>
  <sheetViews>
    <sheetView showGridLines="0" topLeftCell="A3" workbookViewId="0">
      <selection activeCell="A6" sqref="A6:A18"/>
    </sheetView>
  </sheetViews>
  <sheetFormatPr defaultRowHeight="14.5" x14ac:dyDescent="0.35"/>
  <cols>
    <col min="1" max="1" width="4" customWidth="1"/>
    <col min="2" max="2" width="2.08984375" customWidth="1"/>
    <col min="3" max="3" width="24.54296875" customWidth="1"/>
    <col min="4" max="4" width="15.6328125" customWidth="1"/>
    <col min="5" max="5" width="12.54296875" customWidth="1"/>
    <col min="6" max="6" width="11.36328125" style="5" customWidth="1"/>
    <col min="7" max="7" width="15.6328125" customWidth="1"/>
    <col min="8" max="8" width="13.36328125" hidden="1" customWidth="1"/>
    <col min="9" max="9" width="12.54296875" customWidth="1"/>
  </cols>
  <sheetData>
    <row r="1" spans="1:11" x14ac:dyDescent="0.35">
      <c r="C1" s="36" t="s">
        <v>32</v>
      </c>
      <c r="D1" s="36"/>
      <c r="E1" s="36"/>
      <c r="F1" s="155"/>
      <c r="G1" s="36"/>
      <c r="I1" s="36"/>
    </row>
    <row r="2" spans="1:11" x14ac:dyDescent="0.35">
      <c r="C2" s="36" t="s">
        <v>33</v>
      </c>
      <c r="D2" s="36"/>
      <c r="E2" s="36"/>
      <c r="F2" s="155"/>
      <c r="G2" s="5"/>
      <c r="H2" s="5"/>
      <c r="I2" s="5"/>
    </row>
    <row r="3" spans="1:11" ht="13" customHeight="1" x14ac:dyDescent="0.35">
      <c r="C3" s="11"/>
      <c r="D3" s="156"/>
      <c r="E3" s="156"/>
      <c r="F3" s="156"/>
      <c r="G3" s="156"/>
      <c r="H3" s="156"/>
      <c r="I3" s="156"/>
    </row>
    <row r="4" spans="1:11" ht="22" customHeight="1" thickBot="1" x14ac:dyDescent="0.4">
      <c r="C4" s="12" t="s">
        <v>34</v>
      </c>
      <c r="D4" s="12"/>
      <c r="E4" s="12"/>
      <c r="F4" s="12"/>
      <c r="G4" s="12"/>
      <c r="H4" s="12"/>
      <c r="I4" s="12"/>
    </row>
    <row r="5" spans="1:11" ht="29.5" thickBot="1" x14ac:dyDescent="0.4">
      <c r="C5" s="125"/>
      <c r="D5" s="126" t="s">
        <v>185</v>
      </c>
      <c r="E5" s="16" t="s">
        <v>183</v>
      </c>
      <c r="F5" s="127" t="s">
        <v>35</v>
      </c>
      <c r="G5" s="128" t="s">
        <v>187</v>
      </c>
      <c r="H5" s="127" t="s">
        <v>36</v>
      </c>
      <c r="I5" s="16" t="s">
        <v>183</v>
      </c>
    </row>
    <row r="6" spans="1:11" x14ac:dyDescent="0.35">
      <c r="A6">
        <f>ROW()</f>
        <v>6</v>
      </c>
      <c r="C6" s="161" t="s">
        <v>2</v>
      </c>
      <c r="D6" s="261">
        <v>1045722</v>
      </c>
      <c r="E6" s="129"/>
      <c r="F6" s="130"/>
      <c r="G6" s="61"/>
      <c r="H6" s="67"/>
      <c r="I6" s="131"/>
    </row>
    <row r="7" spans="1:11" x14ac:dyDescent="0.35">
      <c r="A7">
        <f>ROW()</f>
        <v>7</v>
      </c>
      <c r="E7" s="132"/>
      <c r="F7" s="133"/>
      <c r="G7" s="61"/>
      <c r="H7" s="67"/>
      <c r="I7" s="131"/>
    </row>
    <row r="8" spans="1:11" x14ac:dyDescent="0.35">
      <c r="A8">
        <f>ROW()</f>
        <v>8</v>
      </c>
      <c r="C8" t="s">
        <v>37</v>
      </c>
      <c r="D8" s="261">
        <v>2980346</v>
      </c>
      <c r="E8" s="134"/>
      <c r="F8" s="135">
        <f>-D8</f>
        <v>-2980346</v>
      </c>
      <c r="G8" s="61">
        <v>0</v>
      </c>
      <c r="H8" s="67"/>
      <c r="I8" s="136"/>
    </row>
    <row r="9" spans="1:11" x14ac:dyDescent="0.35">
      <c r="A9">
        <f>ROW()</f>
        <v>9</v>
      </c>
      <c r="C9" t="s">
        <v>38</v>
      </c>
      <c r="D9" s="137">
        <v>0</v>
      </c>
      <c r="E9" s="132"/>
      <c r="F9" s="135">
        <f>+'Transaction S&amp;U'!C8</f>
        <v>0</v>
      </c>
      <c r="G9" s="61">
        <v>0</v>
      </c>
      <c r="H9" s="67"/>
      <c r="I9" s="138"/>
      <c r="K9" s="41"/>
    </row>
    <row r="10" spans="1:11" x14ac:dyDescent="0.35">
      <c r="A10">
        <f>ROW()</f>
        <v>10</v>
      </c>
      <c r="C10" t="s">
        <v>3</v>
      </c>
      <c r="D10" s="137">
        <v>0</v>
      </c>
      <c r="E10" s="132"/>
      <c r="F10" s="135">
        <f>+'Transaction S&amp;U'!C9</f>
        <v>1300000</v>
      </c>
      <c r="G10" s="61">
        <f>+F10+D10</f>
        <v>1300000</v>
      </c>
      <c r="H10" s="67"/>
      <c r="I10" s="138"/>
      <c r="K10" s="41"/>
    </row>
    <row r="11" spans="1:11" x14ac:dyDescent="0.35">
      <c r="A11">
        <f>ROW()</f>
        <v>11</v>
      </c>
      <c r="C11" t="s">
        <v>4</v>
      </c>
      <c r="D11" s="42">
        <v>0</v>
      </c>
      <c r="E11" s="132"/>
      <c r="F11" s="135">
        <f>+'Transaction S&amp;U'!C10</f>
        <v>1600000</v>
      </c>
      <c r="G11" s="61">
        <f>+F11+D11</f>
        <v>1600000</v>
      </c>
      <c r="H11" s="67">
        <v>0.10531154699862307</v>
      </c>
      <c r="I11" s="138"/>
      <c r="K11" s="41"/>
    </row>
    <row r="12" spans="1:11" x14ac:dyDescent="0.35">
      <c r="A12">
        <f>ROW()</f>
        <v>12</v>
      </c>
      <c r="C12" s="168" t="s">
        <v>39</v>
      </c>
      <c r="D12" s="169">
        <f>SUM(D8:D11)</f>
        <v>2980346</v>
      </c>
      <c r="E12" s="170">
        <f>+D12/$E$18</f>
        <v>3.5919251327230985</v>
      </c>
      <c r="F12" s="171">
        <f>SUM(F6:F11)</f>
        <v>-80346</v>
      </c>
      <c r="G12" s="169">
        <f>SUM(G6:G11)</f>
        <v>2900000</v>
      </c>
      <c r="H12" s="172"/>
      <c r="I12" s="173">
        <f>+G12/$E$18</f>
        <v>3.4950918064201222</v>
      </c>
      <c r="K12" s="42"/>
    </row>
    <row r="13" spans="1:11" x14ac:dyDescent="0.35">
      <c r="A13">
        <f>ROW()</f>
        <v>13</v>
      </c>
      <c r="C13" s="90" t="s">
        <v>40</v>
      </c>
      <c r="D13" s="162"/>
      <c r="E13" s="145"/>
      <c r="F13" s="139">
        <f>'Transaction S&amp;U'!C12</f>
        <v>1700000</v>
      </c>
      <c r="G13" s="140">
        <f>+F13+D13</f>
        <v>1700000</v>
      </c>
      <c r="H13" s="141">
        <v>0.10465334982988167</v>
      </c>
      <c r="I13" s="142">
        <f t="shared" ref="I13:I16" si="0">+G13/$E$18</f>
        <v>2.0488469210048992</v>
      </c>
      <c r="K13" s="43"/>
    </row>
    <row r="14" spans="1:11" x14ac:dyDescent="0.35">
      <c r="A14">
        <f>ROW()</f>
        <v>14</v>
      </c>
      <c r="C14" s="23" t="s">
        <v>41</v>
      </c>
      <c r="D14" s="43">
        <f>SUM(D12:D13)</f>
        <v>2980346</v>
      </c>
      <c r="E14" s="143">
        <f t="shared" ref="E14:E16" si="1">+D14/$E$18</f>
        <v>3.5919251327230985</v>
      </c>
      <c r="F14" s="146">
        <f>SUM(F12:F13)</f>
        <v>1619654</v>
      </c>
      <c r="G14" s="43">
        <f>SUM(G12:G13)</f>
        <v>4600000</v>
      </c>
      <c r="H14" s="67">
        <v>0.30211250045229993</v>
      </c>
      <c r="I14" s="144">
        <f t="shared" si="0"/>
        <v>5.5439387274250214</v>
      </c>
      <c r="K14" s="42"/>
    </row>
    <row r="15" spans="1:11" x14ac:dyDescent="0.35">
      <c r="A15">
        <f>ROW()</f>
        <v>15</v>
      </c>
      <c r="C15" s="90" t="s">
        <v>42</v>
      </c>
      <c r="D15" s="261">
        <v>2139916</v>
      </c>
      <c r="E15" s="145">
        <f t="shared" si="1"/>
        <v>2.579035475181835</v>
      </c>
      <c r="F15" s="139">
        <f>+'Transaction S&amp;U'!C15-'Proforma Cap'!D15</f>
        <v>609391.5</v>
      </c>
      <c r="G15" s="140">
        <f>+F15+D15</f>
        <v>2749307.5</v>
      </c>
      <c r="H15" s="141">
        <v>0.69788749954770013</v>
      </c>
      <c r="I15" s="142">
        <f t="shared" si="0"/>
        <v>3.3134765919239277</v>
      </c>
      <c r="K15" s="43"/>
    </row>
    <row r="16" spans="1:11" ht="15" thickBot="1" x14ac:dyDescent="0.4">
      <c r="A16">
        <f>ROW()</f>
        <v>16</v>
      </c>
      <c r="C16" s="147" t="s">
        <v>43</v>
      </c>
      <c r="D16" s="148">
        <f>+D15+D14</f>
        <v>5120262</v>
      </c>
      <c r="E16" s="149">
        <f t="shared" si="1"/>
        <v>6.1709606079049335</v>
      </c>
      <c r="F16" s="150">
        <f>SUM(F14:F15)</f>
        <v>2229045.5</v>
      </c>
      <c r="G16" s="148">
        <f>SUM(G14:G15)</f>
        <v>7349307.5</v>
      </c>
      <c r="H16" s="151">
        <v>1</v>
      </c>
      <c r="I16" s="152">
        <f t="shared" si="0"/>
        <v>8.8574153193489487</v>
      </c>
      <c r="K16" s="41"/>
    </row>
    <row r="17" spans="1:11" ht="15" thickTop="1" x14ac:dyDescent="0.35">
      <c r="A17">
        <f>ROW()</f>
        <v>17</v>
      </c>
      <c r="G17" s="58"/>
      <c r="H17" s="58"/>
      <c r="I17" s="58"/>
      <c r="K17" s="43"/>
    </row>
    <row r="18" spans="1:11" x14ac:dyDescent="0.35">
      <c r="A18">
        <f>ROW()</f>
        <v>18</v>
      </c>
      <c r="C18" s="37"/>
      <c r="D18" s="37" t="s">
        <v>186</v>
      </c>
      <c r="E18" s="38">
        <f>+'Transaction S&amp;U'!E18</f>
        <v>829735</v>
      </c>
      <c r="F18" s="15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2F362-AA61-4DCB-89CD-3130F6E63134}">
  <sheetPr>
    <tabColor theme="9" tint="-0.249977111117893"/>
  </sheetPr>
  <dimension ref="A1:AF231"/>
  <sheetViews>
    <sheetView showGridLines="0" topLeftCell="A27" zoomScaleNormal="100" workbookViewId="0">
      <selection activeCell="A7" sqref="A7:A34"/>
    </sheetView>
  </sheetViews>
  <sheetFormatPr defaultRowHeight="14.5" x14ac:dyDescent="0.35"/>
  <cols>
    <col min="1" max="1" width="5.90625" style="5" customWidth="1"/>
    <col min="2" max="2" width="46" customWidth="1"/>
    <col min="3" max="3" width="3.81640625" customWidth="1"/>
    <col min="4" max="12" width="10.54296875" customWidth="1"/>
    <col min="13" max="13" width="2.453125" customWidth="1"/>
    <col min="14" max="14" width="9.6328125" customWidth="1"/>
    <col min="15" max="22" width="9.54296875" bestFit="1" customWidth="1"/>
    <col min="23" max="23" width="3.7265625" customWidth="1"/>
    <col min="24" max="32" width="9.54296875" bestFit="1" customWidth="1"/>
    <col min="254" max="254" width="5.08984375" customWidth="1"/>
    <col min="255" max="255" width="41.7265625" customWidth="1"/>
    <col min="256" max="256" width="14.7265625" customWidth="1"/>
    <col min="257" max="257" width="14.90625" customWidth="1"/>
    <col min="258" max="259" width="11.7265625" customWidth="1"/>
    <col min="260" max="260" width="11.90625" bestFit="1" customWidth="1"/>
    <col min="262" max="262" width="10.26953125" bestFit="1" customWidth="1"/>
    <col min="263" max="263" width="11.26953125" customWidth="1"/>
    <col min="264" max="264" width="5" customWidth="1"/>
    <col min="265" max="270" width="15" customWidth="1"/>
    <col min="510" max="510" width="5.08984375" customWidth="1"/>
    <col min="511" max="511" width="41.7265625" customWidth="1"/>
    <col min="512" max="512" width="14.7265625" customWidth="1"/>
    <col min="513" max="513" width="14.90625" customWidth="1"/>
    <col min="514" max="515" width="11.7265625" customWidth="1"/>
    <col min="516" max="516" width="11.90625" bestFit="1" customWidth="1"/>
    <col min="518" max="518" width="10.26953125" bestFit="1" customWidth="1"/>
    <col min="519" max="519" width="11.26953125" customWidth="1"/>
    <col min="520" max="520" width="5" customWidth="1"/>
    <col min="521" max="526" width="15" customWidth="1"/>
    <col min="766" max="766" width="5.08984375" customWidth="1"/>
    <col min="767" max="767" width="41.7265625" customWidth="1"/>
    <col min="768" max="768" width="14.7265625" customWidth="1"/>
    <col min="769" max="769" width="14.90625" customWidth="1"/>
    <col min="770" max="771" width="11.7265625" customWidth="1"/>
    <col min="772" max="772" width="11.90625" bestFit="1" customWidth="1"/>
    <col min="774" max="774" width="10.26953125" bestFit="1" customWidth="1"/>
    <col min="775" max="775" width="11.26953125" customWidth="1"/>
    <col min="776" max="776" width="5" customWidth="1"/>
    <col min="777" max="782" width="15" customWidth="1"/>
    <col min="1022" max="1022" width="5.08984375" customWidth="1"/>
    <col min="1023" max="1023" width="41.7265625" customWidth="1"/>
    <col min="1024" max="1024" width="14.7265625" customWidth="1"/>
    <col min="1025" max="1025" width="14.90625" customWidth="1"/>
    <col min="1026" max="1027" width="11.7265625" customWidth="1"/>
    <col min="1028" max="1028" width="11.90625" bestFit="1" customWidth="1"/>
    <col min="1030" max="1030" width="10.26953125" bestFit="1" customWidth="1"/>
    <col min="1031" max="1031" width="11.26953125" customWidth="1"/>
    <col min="1032" max="1032" width="5" customWidth="1"/>
    <col min="1033" max="1038" width="15" customWidth="1"/>
    <col min="1278" max="1278" width="5.08984375" customWidth="1"/>
    <col min="1279" max="1279" width="41.7265625" customWidth="1"/>
    <col min="1280" max="1280" width="14.7265625" customWidth="1"/>
    <col min="1281" max="1281" width="14.90625" customWidth="1"/>
    <col min="1282" max="1283" width="11.7265625" customWidth="1"/>
    <col min="1284" max="1284" width="11.90625" bestFit="1" customWidth="1"/>
    <col min="1286" max="1286" width="10.26953125" bestFit="1" customWidth="1"/>
    <col min="1287" max="1287" width="11.26953125" customWidth="1"/>
    <col min="1288" max="1288" width="5" customWidth="1"/>
    <col min="1289" max="1294" width="15" customWidth="1"/>
    <col min="1534" max="1534" width="5.08984375" customWidth="1"/>
    <col min="1535" max="1535" width="41.7265625" customWidth="1"/>
    <col min="1536" max="1536" width="14.7265625" customWidth="1"/>
    <col min="1537" max="1537" width="14.90625" customWidth="1"/>
    <col min="1538" max="1539" width="11.7265625" customWidth="1"/>
    <col min="1540" max="1540" width="11.90625" bestFit="1" customWidth="1"/>
    <col min="1542" max="1542" width="10.26953125" bestFit="1" customWidth="1"/>
    <col min="1543" max="1543" width="11.26953125" customWidth="1"/>
    <col min="1544" max="1544" width="5" customWidth="1"/>
    <col min="1545" max="1550" width="15" customWidth="1"/>
    <col min="1790" max="1790" width="5.08984375" customWidth="1"/>
    <col min="1791" max="1791" width="41.7265625" customWidth="1"/>
    <col min="1792" max="1792" width="14.7265625" customWidth="1"/>
    <col min="1793" max="1793" width="14.90625" customWidth="1"/>
    <col min="1794" max="1795" width="11.7265625" customWidth="1"/>
    <col min="1796" max="1796" width="11.90625" bestFit="1" customWidth="1"/>
    <col min="1798" max="1798" width="10.26953125" bestFit="1" customWidth="1"/>
    <col min="1799" max="1799" width="11.26953125" customWidth="1"/>
    <col min="1800" max="1800" width="5" customWidth="1"/>
    <col min="1801" max="1806" width="15" customWidth="1"/>
    <col min="2046" max="2046" width="5.08984375" customWidth="1"/>
    <col min="2047" max="2047" width="41.7265625" customWidth="1"/>
    <col min="2048" max="2048" width="14.7265625" customWidth="1"/>
    <col min="2049" max="2049" width="14.90625" customWidth="1"/>
    <col min="2050" max="2051" width="11.7265625" customWidth="1"/>
    <col min="2052" max="2052" width="11.90625" bestFit="1" customWidth="1"/>
    <col min="2054" max="2054" width="10.26953125" bestFit="1" customWidth="1"/>
    <col min="2055" max="2055" width="11.26953125" customWidth="1"/>
    <col min="2056" max="2056" width="5" customWidth="1"/>
    <col min="2057" max="2062" width="15" customWidth="1"/>
    <col min="2302" max="2302" width="5.08984375" customWidth="1"/>
    <col min="2303" max="2303" width="41.7265625" customWidth="1"/>
    <col min="2304" max="2304" width="14.7265625" customWidth="1"/>
    <col min="2305" max="2305" width="14.90625" customWidth="1"/>
    <col min="2306" max="2307" width="11.7265625" customWidth="1"/>
    <col min="2308" max="2308" width="11.90625" bestFit="1" customWidth="1"/>
    <col min="2310" max="2310" width="10.26953125" bestFit="1" customWidth="1"/>
    <col min="2311" max="2311" width="11.26953125" customWidth="1"/>
    <col min="2312" max="2312" width="5" customWidth="1"/>
    <col min="2313" max="2318" width="15" customWidth="1"/>
    <col min="2558" max="2558" width="5.08984375" customWidth="1"/>
    <col min="2559" max="2559" width="41.7265625" customWidth="1"/>
    <col min="2560" max="2560" width="14.7265625" customWidth="1"/>
    <col min="2561" max="2561" width="14.90625" customWidth="1"/>
    <col min="2562" max="2563" width="11.7265625" customWidth="1"/>
    <col min="2564" max="2564" width="11.90625" bestFit="1" customWidth="1"/>
    <col min="2566" max="2566" width="10.26953125" bestFit="1" customWidth="1"/>
    <col min="2567" max="2567" width="11.26953125" customWidth="1"/>
    <col min="2568" max="2568" width="5" customWidth="1"/>
    <col min="2569" max="2574" width="15" customWidth="1"/>
    <col min="2814" max="2814" width="5.08984375" customWidth="1"/>
    <col min="2815" max="2815" width="41.7265625" customWidth="1"/>
    <col min="2816" max="2816" width="14.7265625" customWidth="1"/>
    <col min="2817" max="2817" width="14.90625" customWidth="1"/>
    <col min="2818" max="2819" width="11.7265625" customWidth="1"/>
    <col min="2820" max="2820" width="11.90625" bestFit="1" customWidth="1"/>
    <col min="2822" max="2822" width="10.26953125" bestFit="1" customWidth="1"/>
    <col min="2823" max="2823" width="11.26953125" customWidth="1"/>
    <col min="2824" max="2824" width="5" customWidth="1"/>
    <col min="2825" max="2830" width="15" customWidth="1"/>
    <col min="3070" max="3070" width="5.08984375" customWidth="1"/>
    <col min="3071" max="3071" width="41.7265625" customWidth="1"/>
    <col min="3072" max="3072" width="14.7265625" customWidth="1"/>
    <col min="3073" max="3073" width="14.90625" customWidth="1"/>
    <col min="3074" max="3075" width="11.7265625" customWidth="1"/>
    <col min="3076" max="3076" width="11.90625" bestFit="1" customWidth="1"/>
    <col min="3078" max="3078" width="10.26953125" bestFit="1" customWidth="1"/>
    <col min="3079" max="3079" width="11.26953125" customWidth="1"/>
    <col min="3080" max="3080" width="5" customWidth="1"/>
    <col min="3081" max="3086" width="15" customWidth="1"/>
    <col min="3326" max="3326" width="5.08984375" customWidth="1"/>
    <col min="3327" max="3327" width="41.7265625" customWidth="1"/>
    <col min="3328" max="3328" width="14.7265625" customWidth="1"/>
    <col min="3329" max="3329" width="14.90625" customWidth="1"/>
    <col min="3330" max="3331" width="11.7265625" customWidth="1"/>
    <col min="3332" max="3332" width="11.90625" bestFit="1" customWidth="1"/>
    <col min="3334" max="3334" width="10.26953125" bestFit="1" customWidth="1"/>
    <col min="3335" max="3335" width="11.26953125" customWidth="1"/>
    <col min="3336" max="3336" width="5" customWidth="1"/>
    <col min="3337" max="3342" width="15" customWidth="1"/>
    <col min="3582" max="3582" width="5.08984375" customWidth="1"/>
    <col min="3583" max="3583" width="41.7265625" customWidth="1"/>
    <col min="3584" max="3584" width="14.7265625" customWidth="1"/>
    <col min="3585" max="3585" width="14.90625" customWidth="1"/>
    <col min="3586" max="3587" width="11.7265625" customWidth="1"/>
    <col min="3588" max="3588" width="11.90625" bestFit="1" customWidth="1"/>
    <col min="3590" max="3590" width="10.26953125" bestFit="1" customWidth="1"/>
    <col min="3591" max="3591" width="11.26953125" customWidth="1"/>
    <col min="3592" max="3592" width="5" customWidth="1"/>
    <col min="3593" max="3598" width="15" customWidth="1"/>
    <col min="3838" max="3838" width="5.08984375" customWidth="1"/>
    <col min="3839" max="3839" width="41.7265625" customWidth="1"/>
    <col min="3840" max="3840" width="14.7265625" customWidth="1"/>
    <col min="3841" max="3841" width="14.90625" customWidth="1"/>
    <col min="3842" max="3843" width="11.7265625" customWidth="1"/>
    <col min="3844" max="3844" width="11.90625" bestFit="1" customWidth="1"/>
    <col min="3846" max="3846" width="10.26953125" bestFit="1" customWidth="1"/>
    <col min="3847" max="3847" width="11.26953125" customWidth="1"/>
    <col min="3848" max="3848" width="5" customWidth="1"/>
    <col min="3849" max="3854" width="15" customWidth="1"/>
    <col min="4094" max="4094" width="5.08984375" customWidth="1"/>
    <col min="4095" max="4095" width="41.7265625" customWidth="1"/>
    <col min="4096" max="4096" width="14.7265625" customWidth="1"/>
    <col min="4097" max="4097" width="14.90625" customWidth="1"/>
    <col min="4098" max="4099" width="11.7265625" customWidth="1"/>
    <col min="4100" max="4100" width="11.90625" bestFit="1" customWidth="1"/>
    <col min="4102" max="4102" width="10.26953125" bestFit="1" customWidth="1"/>
    <col min="4103" max="4103" width="11.26953125" customWidth="1"/>
    <col min="4104" max="4104" width="5" customWidth="1"/>
    <col min="4105" max="4110" width="15" customWidth="1"/>
    <col min="4350" max="4350" width="5.08984375" customWidth="1"/>
    <col min="4351" max="4351" width="41.7265625" customWidth="1"/>
    <col min="4352" max="4352" width="14.7265625" customWidth="1"/>
    <col min="4353" max="4353" width="14.90625" customWidth="1"/>
    <col min="4354" max="4355" width="11.7265625" customWidth="1"/>
    <col min="4356" max="4356" width="11.90625" bestFit="1" customWidth="1"/>
    <col min="4358" max="4358" width="10.26953125" bestFit="1" customWidth="1"/>
    <col min="4359" max="4359" width="11.26953125" customWidth="1"/>
    <col min="4360" max="4360" width="5" customWidth="1"/>
    <col min="4361" max="4366" width="15" customWidth="1"/>
    <col min="4606" max="4606" width="5.08984375" customWidth="1"/>
    <col min="4607" max="4607" width="41.7265625" customWidth="1"/>
    <col min="4608" max="4608" width="14.7265625" customWidth="1"/>
    <col min="4609" max="4609" width="14.90625" customWidth="1"/>
    <col min="4610" max="4611" width="11.7265625" customWidth="1"/>
    <col min="4612" max="4612" width="11.90625" bestFit="1" customWidth="1"/>
    <col min="4614" max="4614" width="10.26953125" bestFit="1" customWidth="1"/>
    <col min="4615" max="4615" width="11.26953125" customWidth="1"/>
    <col min="4616" max="4616" width="5" customWidth="1"/>
    <col min="4617" max="4622" width="15" customWidth="1"/>
    <col min="4862" max="4862" width="5.08984375" customWidth="1"/>
    <col min="4863" max="4863" width="41.7265625" customWidth="1"/>
    <col min="4864" max="4864" width="14.7265625" customWidth="1"/>
    <col min="4865" max="4865" width="14.90625" customWidth="1"/>
    <col min="4866" max="4867" width="11.7265625" customWidth="1"/>
    <col min="4868" max="4868" width="11.90625" bestFit="1" customWidth="1"/>
    <col min="4870" max="4870" width="10.26953125" bestFit="1" customWidth="1"/>
    <col min="4871" max="4871" width="11.26953125" customWidth="1"/>
    <col min="4872" max="4872" width="5" customWidth="1"/>
    <col min="4873" max="4878" width="15" customWidth="1"/>
    <col min="5118" max="5118" width="5.08984375" customWidth="1"/>
    <col min="5119" max="5119" width="41.7265625" customWidth="1"/>
    <col min="5120" max="5120" width="14.7265625" customWidth="1"/>
    <col min="5121" max="5121" width="14.90625" customWidth="1"/>
    <col min="5122" max="5123" width="11.7265625" customWidth="1"/>
    <col min="5124" max="5124" width="11.90625" bestFit="1" customWidth="1"/>
    <col min="5126" max="5126" width="10.26953125" bestFit="1" customWidth="1"/>
    <col min="5127" max="5127" width="11.26953125" customWidth="1"/>
    <col min="5128" max="5128" width="5" customWidth="1"/>
    <col min="5129" max="5134" width="15" customWidth="1"/>
    <col min="5374" max="5374" width="5.08984375" customWidth="1"/>
    <col min="5375" max="5375" width="41.7265625" customWidth="1"/>
    <col min="5376" max="5376" width="14.7265625" customWidth="1"/>
    <col min="5377" max="5377" width="14.90625" customWidth="1"/>
    <col min="5378" max="5379" width="11.7265625" customWidth="1"/>
    <col min="5380" max="5380" width="11.90625" bestFit="1" customWidth="1"/>
    <col min="5382" max="5382" width="10.26953125" bestFit="1" customWidth="1"/>
    <col min="5383" max="5383" width="11.26953125" customWidth="1"/>
    <col min="5384" max="5384" width="5" customWidth="1"/>
    <col min="5385" max="5390" width="15" customWidth="1"/>
    <col min="5630" max="5630" width="5.08984375" customWidth="1"/>
    <col min="5631" max="5631" width="41.7265625" customWidth="1"/>
    <col min="5632" max="5632" width="14.7265625" customWidth="1"/>
    <col min="5633" max="5633" width="14.90625" customWidth="1"/>
    <col min="5634" max="5635" width="11.7265625" customWidth="1"/>
    <col min="5636" max="5636" width="11.90625" bestFit="1" customWidth="1"/>
    <col min="5638" max="5638" width="10.26953125" bestFit="1" customWidth="1"/>
    <col min="5639" max="5639" width="11.26953125" customWidth="1"/>
    <col min="5640" max="5640" width="5" customWidth="1"/>
    <col min="5641" max="5646" width="15" customWidth="1"/>
    <col min="5886" max="5886" width="5.08984375" customWidth="1"/>
    <col min="5887" max="5887" width="41.7265625" customWidth="1"/>
    <col min="5888" max="5888" width="14.7265625" customWidth="1"/>
    <col min="5889" max="5889" width="14.90625" customWidth="1"/>
    <col min="5890" max="5891" width="11.7265625" customWidth="1"/>
    <col min="5892" max="5892" width="11.90625" bestFit="1" customWidth="1"/>
    <col min="5894" max="5894" width="10.26953125" bestFit="1" customWidth="1"/>
    <col min="5895" max="5895" width="11.26953125" customWidth="1"/>
    <col min="5896" max="5896" width="5" customWidth="1"/>
    <col min="5897" max="5902" width="15" customWidth="1"/>
    <col min="6142" max="6142" width="5.08984375" customWidth="1"/>
    <col min="6143" max="6143" width="41.7265625" customWidth="1"/>
    <col min="6144" max="6144" width="14.7265625" customWidth="1"/>
    <col min="6145" max="6145" width="14.90625" customWidth="1"/>
    <col min="6146" max="6147" width="11.7265625" customWidth="1"/>
    <col min="6148" max="6148" width="11.90625" bestFit="1" customWidth="1"/>
    <col min="6150" max="6150" width="10.26953125" bestFit="1" customWidth="1"/>
    <col min="6151" max="6151" width="11.26953125" customWidth="1"/>
    <col min="6152" max="6152" width="5" customWidth="1"/>
    <col min="6153" max="6158" width="15" customWidth="1"/>
    <col min="6398" max="6398" width="5.08984375" customWidth="1"/>
    <col min="6399" max="6399" width="41.7265625" customWidth="1"/>
    <col min="6400" max="6400" width="14.7265625" customWidth="1"/>
    <col min="6401" max="6401" width="14.90625" customWidth="1"/>
    <col min="6402" max="6403" width="11.7265625" customWidth="1"/>
    <col min="6404" max="6404" width="11.90625" bestFit="1" customWidth="1"/>
    <col min="6406" max="6406" width="10.26953125" bestFit="1" customWidth="1"/>
    <col min="6407" max="6407" width="11.26953125" customWidth="1"/>
    <col min="6408" max="6408" width="5" customWidth="1"/>
    <col min="6409" max="6414" width="15" customWidth="1"/>
    <col min="6654" max="6654" width="5.08984375" customWidth="1"/>
    <col min="6655" max="6655" width="41.7265625" customWidth="1"/>
    <col min="6656" max="6656" width="14.7265625" customWidth="1"/>
    <col min="6657" max="6657" width="14.90625" customWidth="1"/>
    <col min="6658" max="6659" width="11.7265625" customWidth="1"/>
    <col min="6660" max="6660" width="11.90625" bestFit="1" customWidth="1"/>
    <col min="6662" max="6662" width="10.26953125" bestFit="1" customWidth="1"/>
    <col min="6663" max="6663" width="11.26953125" customWidth="1"/>
    <col min="6664" max="6664" width="5" customWidth="1"/>
    <col min="6665" max="6670" width="15" customWidth="1"/>
    <col min="6910" max="6910" width="5.08984375" customWidth="1"/>
    <col min="6911" max="6911" width="41.7265625" customWidth="1"/>
    <col min="6912" max="6912" width="14.7265625" customWidth="1"/>
    <col min="6913" max="6913" width="14.90625" customWidth="1"/>
    <col min="6914" max="6915" width="11.7265625" customWidth="1"/>
    <col min="6916" max="6916" width="11.90625" bestFit="1" customWidth="1"/>
    <col min="6918" max="6918" width="10.26953125" bestFit="1" customWidth="1"/>
    <col min="6919" max="6919" width="11.26953125" customWidth="1"/>
    <col min="6920" max="6920" width="5" customWidth="1"/>
    <col min="6921" max="6926" width="15" customWidth="1"/>
    <col min="7166" max="7166" width="5.08984375" customWidth="1"/>
    <col min="7167" max="7167" width="41.7265625" customWidth="1"/>
    <col min="7168" max="7168" width="14.7265625" customWidth="1"/>
    <col min="7169" max="7169" width="14.90625" customWidth="1"/>
    <col min="7170" max="7171" width="11.7265625" customWidth="1"/>
    <col min="7172" max="7172" width="11.90625" bestFit="1" customWidth="1"/>
    <col min="7174" max="7174" width="10.26953125" bestFit="1" customWidth="1"/>
    <col min="7175" max="7175" width="11.26953125" customWidth="1"/>
    <col min="7176" max="7176" width="5" customWidth="1"/>
    <col min="7177" max="7182" width="15" customWidth="1"/>
    <col min="7422" max="7422" width="5.08984375" customWidth="1"/>
    <col min="7423" max="7423" width="41.7265625" customWidth="1"/>
    <col min="7424" max="7424" width="14.7265625" customWidth="1"/>
    <col min="7425" max="7425" width="14.90625" customWidth="1"/>
    <col min="7426" max="7427" width="11.7265625" customWidth="1"/>
    <col min="7428" max="7428" width="11.90625" bestFit="1" customWidth="1"/>
    <col min="7430" max="7430" width="10.26953125" bestFit="1" customWidth="1"/>
    <col min="7431" max="7431" width="11.26953125" customWidth="1"/>
    <col min="7432" max="7432" width="5" customWidth="1"/>
    <col min="7433" max="7438" width="15" customWidth="1"/>
    <col min="7678" max="7678" width="5.08984375" customWidth="1"/>
    <col min="7679" max="7679" width="41.7265625" customWidth="1"/>
    <col min="7680" max="7680" width="14.7265625" customWidth="1"/>
    <col min="7681" max="7681" width="14.90625" customWidth="1"/>
    <col min="7682" max="7683" width="11.7265625" customWidth="1"/>
    <col min="7684" max="7684" width="11.90625" bestFit="1" customWidth="1"/>
    <col min="7686" max="7686" width="10.26953125" bestFit="1" customWidth="1"/>
    <col min="7687" max="7687" width="11.26953125" customWidth="1"/>
    <col min="7688" max="7688" width="5" customWidth="1"/>
    <col min="7689" max="7694" width="15" customWidth="1"/>
    <col min="7934" max="7934" width="5.08984375" customWidth="1"/>
    <col min="7935" max="7935" width="41.7265625" customWidth="1"/>
    <col min="7936" max="7936" width="14.7265625" customWidth="1"/>
    <col min="7937" max="7937" width="14.90625" customWidth="1"/>
    <col min="7938" max="7939" width="11.7265625" customWidth="1"/>
    <col min="7940" max="7940" width="11.90625" bestFit="1" customWidth="1"/>
    <col min="7942" max="7942" width="10.26953125" bestFit="1" customWidth="1"/>
    <col min="7943" max="7943" width="11.26953125" customWidth="1"/>
    <col min="7944" max="7944" width="5" customWidth="1"/>
    <col min="7945" max="7950" width="15" customWidth="1"/>
    <col min="8190" max="8190" width="5.08984375" customWidth="1"/>
    <col min="8191" max="8191" width="41.7265625" customWidth="1"/>
    <col min="8192" max="8192" width="14.7265625" customWidth="1"/>
    <col min="8193" max="8193" width="14.90625" customWidth="1"/>
    <col min="8194" max="8195" width="11.7265625" customWidth="1"/>
    <col min="8196" max="8196" width="11.90625" bestFit="1" customWidth="1"/>
    <col min="8198" max="8198" width="10.26953125" bestFit="1" customWidth="1"/>
    <col min="8199" max="8199" width="11.26953125" customWidth="1"/>
    <col min="8200" max="8200" width="5" customWidth="1"/>
    <col min="8201" max="8206" width="15" customWidth="1"/>
    <col min="8446" max="8446" width="5.08984375" customWidth="1"/>
    <col min="8447" max="8447" width="41.7265625" customWidth="1"/>
    <col min="8448" max="8448" width="14.7265625" customWidth="1"/>
    <col min="8449" max="8449" width="14.90625" customWidth="1"/>
    <col min="8450" max="8451" width="11.7265625" customWidth="1"/>
    <col min="8452" max="8452" width="11.90625" bestFit="1" customWidth="1"/>
    <col min="8454" max="8454" width="10.26953125" bestFit="1" customWidth="1"/>
    <col min="8455" max="8455" width="11.26953125" customWidth="1"/>
    <col min="8456" max="8456" width="5" customWidth="1"/>
    <col min="8457" max="8462" width="15" customWidth="1"/>
    <col min="8702" max="8702" width="5.08984375" customWidth="1"/>
    <col min="8703" max="8703" width="41.7265625" customWidth="1"/>
    <col min="8704" max="8704" width="14.7265625" customWidth="1"/>
    <col min="8705" max="8705" width="14.90625" customWidth="1"/>
    <col min="8706" max="8707" width="11.7265625" customWidth="1"/>
    <col min="8708" max="8708" width="11.90625" bestFit="1" customWidth="1"/>
    <col min="8710" max="8710" width="10.26953125" bestFit="1" customWidth="1"/>
    <col min="8711" max="8711" width="11.26953125" customWidth="1"/>
    <col min="8712" max="8712" width="5" customWidth="1"/>
    <col min="8713" max="8718" width="15" customWidth="1"/>
    <col min="8958" max="8958" width="5.08984375" customWidth="1"/>
    <col min="8959" max="8959" width="41.7265625" customWidth="1"/>
    <col min="8960" max="8960" width="14.7265625" customWidth="1"/>
    <col min="8961" max="8961" width="14.90625" customWidth="1"/>
    <col min="8962" max="8963" width="11.7265625" customWidth="1"/>
    <col min="8964" max="8964" width="11.90625" bestFit="1" customWidth="1"/>
    <col min="8966" max="8966" width="10.26953125" bestFit="1" customWidth="1"/>
    <col min="8967" max="8967" width="11.26953125" customWidth="1"/>
    <col min="8968" max="8968" width="5" customWidth="1"/>
    <col min="8969" max="8974" width="15" customWidth="1"/>
    <col min="9214" max="9214" width="5.08984375" customWidth="1"/>
    <col min="9215" max="9215" width="41.7265625" customWidth="1"/>
    <col min="9216" max="9216" width="14.7265625" customWidth="1"/>
    <col min="9217" max="9217" width="14.90625" customWidth="1"/>
    <col min="9218" max="9219" width="11.7265625" customWidth="1"/>
    <col min="9220" max="9220" width="11.90625" bestFit="1" customWidth="1"/>
    <col min="9222" max="9222" width="10.26953125" bestFit="1" customWidth="1"/>
    <col min="9223" max="9223" width="11.26953125" customWidth="1"/>
    <col min="9224" max="9224" width="5" customWidth="1"/>
    <col min="9225" max="9230" width="15" customWidth="1"/>
    <col min="9470" max="9470" width="5.08984375" customWidth="1"/>
    <col min="9471" max="9471" width="41.7265625" customWidth="1"/>
    <col min="9472" max="9472" width="14.7265625" customWidth="1"/>
    <col min="9473" max="9473" width="14.90625" customWidth="1"/>
    <col min="9474" max="9475" width="11.7265625" customWidth="1"/>
    <col min="9476" max="9476" width="11.90625" bestFit="1" customWidth="1"/>
    <col min="9478" max="9478" width="10.26953125" bestFit="1" customWidth="1"/>
    <col min="9479" max="9479" width="11.26953125" customWidth="1"/>
    <col min="9480" max="9480" width="5" customWidth="1"/>
    <col min="9481" max="9486" width="15" customWidth="1"/>
    <col min="9726" max="9726" width="5.08984375" customWidth="1"/>
    <col min="9727" max="9727" width="41.7265625" customWidth="1"/>
    <col min="9728" max="9728" width="14.7265625" customWidth="1"/>
    <col min="9729" max="9729" width="14.90625" customWidth="1"/>
    <col min="9730" max="9731" width="11.7265625" customWidth="1"/>
    <col min="9732" max="9732" width="11.90625" bestFit="1" customWidth="1"/>
    <col min="9734" max="9734" width="10.26953125" bestFit="1" customWidth="1"/>
    <col min="9735" max="9735" width="11.26953125" customWidth="1"/>
    <col min="9736" max="9736" width="5" customWidth="1"/>
    <col min="9737" max="9742" width="15" customWidth="1"/>
    <col min="9982" max="9982" width="5.08984375" customWidth="1"/>
    <col min="9983" max="9983" width="41.7265625" customWidth="1"/>
    <col min="9984" max="9984" width="14.7265625" customWidth="1"/>
    <col min="9985" max="9985" width="14.90625" customWidth="1"/>
    <col min="9986" max="9987" width="11.7265625" customWidth="1"/>
    <col min="9988" max="9988" width="11.90625" bestFit="1" customWidth="1"/>
    <col min="9990" max="9990" width="10.26953125" bestFit="1" customWidth="1"/>
    <col min="9991" max="9991" width="11.26953125" customWidth="1"/>
    <col min="9992" max="9992" width="5" customWidth="1"/>
    <col min="9993" max="9998" width="15" customWidth="1"/>
    <col min="10238" max="10238" width="5.08984375" customWidth="1"/>
    <col min="10239" max="10239" width="41.7265625" customWidth="1"/>
    <col min="10240" max="10240" width="14.7265625" customWidth="1"/>
    <col min="10241" max="10241" width="14.90625" customWidth="1"/>
    <col min="10242" max="10243" width="11.7265625" customWidth="1"/>
    <col min="10244" max="10244" width="11.90625" bestFit="1" customWidth="1"/>
    <col min="10246" max="10246" width="10.26953125" bestFit="1" customWidth="1"/>
    <col min="10247" max="10247" width="11.26953125" customWidth="1"/>
    <col min="10248" max="10248" width="5" customWidth="1"/>
    <col min="10249" max="10254" width="15" customWidth="1"/>
    <col min="10494" max="10494" width="5.08984375" customWidth="1"/>
    <col min="10495" max="10495" width="41.7265625" customWidth="1"/>
    <col min="10496" max="10496" width="14.7265625" customWidth="1"/>
    <col min="10497" max="10497" width="14.90625" customWidth="1"/>
    <col min="10498" max="10499" width="11.7265625" customWidth="1"/>
    <col min="10500" max="10500" width="11.90625" bestFit="1" customWidth="1"/>
    <col min="10502" max="10502" width="10.26953125" bestFit="1" customWidth="1"/>
    <col min="10503" max="10503" width="11.26953125" customWidth="1"/>
    <col min="10504" max="10504" width="5" customWidth="1"/>
    <col min="10505" max="10510" width="15" customWidth="1"/>
    <col min="10750" max="10750" width="5.08984375" customWidth="1"/>
    <col min="10751" max="10751" width="41.7265625" customWidth="1"/>
    <col min="10752" max="10752" width="14.7265625" customWidth="1"/>
    <col min="10753" max="10753" width="14.90625" customWidth="1"/>
    <col min="10754" max="10755" width="11.7265625" customWidth="1"/>
    <col min="10756" max="10756" width="11.90625" bestFit="1" customWidth="1"/>
    <col min="10758" max="10758" width="10.26953125" bestFit="1" customWidth="1"/>
    <col min="10759" max="10759" width="11.26953125" customWidth="1"/>
    <col min="10760" max="10760" width="5" customWidth="1"/>
    <col min="10761" max="10766" width="15" customWidth="1"/>
    <col min="11006" max="11006" width="5.08984375" customWidth="1"/>
    <col min="11007" max="11007" width="41.7265625" customWidth="1"/>
    <col min="11008" max="11008" width="14.7265625" customWidth="1"/>
    <col min="11009" max="11009" width="14.90625" customWidth="1"/>
    <col min="11010" max="11011" width="11.7265625" customWidth="1"/>
    <col min="11012" max="11012" width="11.90625" bestFit="1" customWidth="1"/>
    <col min="11014" max="11014" width="10.26953125" bestFit="1" customWidth="1"/>
    <col min="11015" max="11015" width="11.26953125" customWidth="1"/>
    <col min="11016" max="11016" width="5" customWidth="1"/>
    <col min="11017" max="11022" width="15" customWidth="1"/>
    <col min="11262" max="11262" width="5.08984375" customWidth="1"/>
    <col min="11263" max="11263" width="41.7265625" customWidth="1"/>
    <col min="11264" max="11264" width="14.7265625" customWidth="1"/>
    <col min="11265" max="11265" width="14.90625" customWidth="1"/>
    <col min="11266" max="11267" width="11.7265625" customWidth="1"/>
    <col min="11268" max="11268" width="11.90625" bestFit="1" customWidth="1"/>
    <col min="11270" max="11270" width="10.26953125" bestFit="1" customWidth="1"/>
    <col min="11271" max="11271" width="11.26953125" customWidth="1"/>
    <col min="11272" max="11272" width="5" customWidth="1"/>
    <col min="11273" max="11278" width="15" customWidth="1"/>
    <col min="11518" max="11518" width="5.08984375" customWidth="1"/>
    <col min="11519" max="11519" width="41.7265625" customWidth="1"/>
    <col min="11520" max="11520" width="14.7265625" customWidth="1"/>
    <col min="11521" max="11521" width="14.90625" customWidth="1"/>
    <col min="11522" max="11523" width="11.7265625" customWidth="1"/>
    <col min="11524" max="11524" width="11.90625" bestFit="1" customWidth="1"/>
    <col min="11526" max="11526" width="10.26953125" bestFit="1" customWidth="1"/>
    <col min="11527" max="11527" width="11.26953125" customWidth="1"/>
    <col min="11528" max="11528" width="5" customWidth="1"/>
    <col min="11529" max="11534" width="15" customWidth="1"/>
    <col min="11774" max="11774" width="5.08984375" customWidth="1"/>
    <col min="11775" max="11775" width="41.7265625" customWidth="1"/>
    <col min="11776" max="11776" width="14.7265625" customWidth="1"/>
    <col min="11777" max="11777" width="14.90625" customWidth="1"/>
    <col min="11778" max="11779" width="11.7265625" customWidth="1"/>
    <col min="11780" max="11780" width="11.90625" bestFit="1" customWidth="1"/>
    <col min="11782" max="11782" width="10.26953125" bestFit="1" customWidth="1"/>
    <col min="11783" max="11783" width="11.26953125" customWidth="1"/>
    <col min="11784" max="11784" width="5" customWidth="1"/>
    <col min="11785" max="11790" width="15" customWidth="1"/>
    <col min="12030" max="12030" width="5.08984375" customWidth="1"/>
    <col min="12031" max="12031" width="41.7265625" customWidth="1"/>
    <col min="12032" max="12032" width="14.7265625" customWidth="1"/>
    <col min="12033" max="12033" width="14.90625" customWidth="1"/>
    <col min="12034" max="12035" width="11.7265625" customWidth="1"/>
    <col min="12036" max="12036" width="11.90625" bestFit="1" customWidth="1"/>
    <col min="12038" max="12038" width="10.26953125" bestFit="1" customWidth="1"/>
    <col min="12039" max="12039" width="11.26953125" customWidth="1"/>
    <col min="12040" max="12040" width="5" customWidth="1"/>
    <col min="12041" max="12046" width="15" customWidth="1"/>
    <col min="12286" max="12286" width="5.08984375" customWidth="1"/>
    <col min="12287" max="12287" width="41.7265625" customWidth="1"/>
    <col min="12288" max="12288" width="14.7265625" customWidth="1"/>
    <col min="12289" max="12289" width="14.90625" customWidth="1"/>
    <col min="12290" max="12291" width="11.7265625" customWidth="1"/>
    <col min="12292" max="12292" width="11.90625" bestFit="1" customWidth="1"/>
    <col min="12294" max="12294" width="10.26953125" bestFit="1" customWidth="1"/>
    <col min="12295" max="12295" width="11.26953125" customWidth="1"/>
    <col min="12296" max="12296" width="5" customWidth="1"/>
    <col min="12297" max="12302" width="15" customWidth="1"/>
    <col min="12542" max="12542" width="5.08984375" customWidth="1"/>
    <col min="12543" max="12543" width="41.7265625" customWidth="1"/>
    <col min="12544" max="12544" width="14.7265625" customWidth="1"/>
    <col min="12545" max="12545" width="14.90625" customWidth="1"/>
    <col min="12546" max="12547" width="11.7265625" customWidth="1"/>
    <col min="12548" max="12548" width="11.90625" bestFit="1" customWidth="1"/>
    <col min="12550" max="12550" width="10.26953125" bestFit="1" customWidth="1"/>
    <col min="12551" max="12551" width="11.26953125" customWidth="1"/>
    <col min="12552" max="12552" width="5" customWidth="1"/>
    <col min="12553" max="12558" width="15" customWidth="1"/>
    <col min="12798" max="12798" width="5.08984375" customWidth="1"/>
    <col min="12799" max="12799" width="41.7265625" customWidth="1"/>
    <col min="12800" max="12800" width="14.7265625" customWidth="1"/>
    <col min="12801" max="12801" width="14.90625" customWidth="1"/>
    <col min="12802" max="12803" width="11.7265625" customWidth="1"/>
    <col min="12804" max="12804" width="11.90625" bestFit="1" customWidth="1"/>
    <col min="12806" max="12806" width="10.26953125" bestFit="1" customWidth="1"/>
    <col min="12807" max="12807" width="11.26953125" customWidth="1"/>
    <col min="12808" max="12808" width="5" customWidth="1"/>
    <col min="12809" max="12814" width="15" customWidth="1"/>
    <col min="13054" max="13054" width="5.08984375" customWidth="1"/>
    <col min="13055" max="13055" width="41.7265625" customWidth="1"/>
    <col min="13056" max="13056" width="14.7265625" customWidth="1"/>
    <col min="13057" max="13057" width="14.90625" customWidth="1"/>
    <col min="13058" max="13059" width="11.7265625" customWidth="1"/>
    <col min="13060" max="13060" width="11.90625" bestFit="1" customWidth="1"/>
    <col min="13062" max="13062" width="10.26953125" bestFit="1" customWidth="1"/>
    <col min="13063" max="13063" width="11.26953125" customWidth="1"/>
    <col min="13064" max="13064" width="5" customWidth="1"/>
    <col min="13065" max="13070" width="15" customWidth="1"/>
    <col min="13310" max="13310" width="5.08984375" customWidth="1"/>
    <col min="13311" max="13311" width="41.7265625" customWidth="1"/>
    <col min="13312" max="13312" width="14.7265625" customWidth="1"/>
    <col min="13313" max="13313" width="14.90625" customWidth="1"/>
    <col min="13314" max="13315" width="11.7265625" customWidth="1"/>
    <col min="13316" max="13316" width="11.90625" bestFit="1" customWidth="1"/>
    <col min="13318" max="13318" width="10.26953125" bestFit="1" customWidth="1"/>
    <col min="13319" max="13319" width="11.26953125" customWidth="1"/>
    <col min="13320" max="13320" width="5" customWidth="1"/>
    <col min="13321" max="13326" width="15" customWidth="1"/>
    <col min="13566" max="13566" width="5.08984375" customWidth="1"/>
    <col min="13567" max="13567" width="41.7265625" customWidth="1"/>
    <col min="13568" max="13568" width="14.7265625" customWidth="1"/>
    <col min="13569" max="13569" width="14.90625" customWidth="1"/>
    <col min="13570" max="13571" width="11.7265625" customWidth="1"/>
    <col min="13572" max="13572" width="11.90625" bestFit="1" customWidth="1"/>
    <col min="13574" max="13574" width="10.26953125" bestFit="1" customWidth="1"/>
    <col min="13575" max="13575" width="11.26953125" customWidth="1"/>
    <col min="13576" max="13576" width="5" customWidth="1"/>
    <col min="13577" max="13582" width="15" customWidth="1"/>
    <col min="13822" max="13822" width="5.08984375" customWidth="1"/>
    <col min="13823" max="13823" width="41.7265625" customWidth="1"/>
    <col min="13824" max="13824" width="14.7265625" customWidth="1"/>
    <col min="13825" max="13825" width="14.90625" customWidth="1"/>
    <col min="13826" max="13827" width="11.7265625" customWidth="1"/>
    <col min="13828" max="13828" width="11.90625" bestFit="1" customWidth="1"/>
    <col min="13830" max="13830" width="10.26953125" bestFit="1" customWidth="1"/>
    <col min="13831" max="13831" width="11.26953125" customWidth="1"/>
    <col min="13832" max="13832" width="5" customWidth="1"/>
    <col min="13833" max="13838" width="15" customWidth="1"/>
    <col min="14078" max="14078" width="5.08984375" customWidth="1"/>
    <col min="14079" max="14079" width="41.7265625" customWidth="1"/>
    <col min="14080" max="14080" width="14.7265625" customWidth="1"/>
    <col min="14081" max="14081" width="14.90625" customWidth="1"/>
    <col min="14082" max="14083" width="11.7265625" customWidth="1"/>
    <col min="14084" max="14084" width="11.90625" bestFit="1" customWidth="1"/>
    <col min="14086" max="14086" width="10.26953125" bestFit="1" customWidth="1"/>
    <col min="14087" max="14087" width="11.26953125" customWidth="1"/>
    <col min="14088" max="14088" width="5" customWidth="1"/>
    <col min="14089" max="14094" width="15" customWidth="1"/>
    <col min="14334" max="14334" width="5.08984375" customWidth="1"/>
    <col min="14335" max="14335" width="41.7265625" customWidth="1"/>
    <col min="14336" max="14336" width="14.7265625" customWidth="1"/>
    <col min="14337" max="14337" width="14.90625" customWidth="1"/>
    <col min="14338" max="14339" width="11.7265625" customWidth="1"/>
    <col min="14340" max="14340" width="11.90625" bestFit="1" customWidth="1"/>
    <col min="14342" max="14342" width="10.26953125" bestFit="1" customWidth="1"/>
    <col min="14343" max="14343" width="11.26953125" customWidth="1"/>
    <col min="14344" max="14344" width="5" customWidth="1"/>
    <col min="14345" max="14350" width="15" customWidth="1"/>
    <col min="14590" max="14590" width="5.08984375" customWidth="1"/>
    <col min="14591" max="14591" width="41.7265625" customWidth="1"/>
    <col min="14592" max="14592" width="14.7265625" customWidth="1"/>
    <col min="14593" max="14593" width="14.90625" customWidth="1"/>
    <col min="14594" max="14595" width="11.7265625" customWidth="1"/>
    <col min="14596" max="14596" width="11.90625" bestFit="1" customWidth="1"/>
    <col min="14598" max="14598" width="10.26953125" bestFit="1" customWidth="1"/>
    <col min="14599" max="14599" width="11.26953125" customWidth="1"/>
    <col min="14600" max="14600" width="5" customWidth="1"/>
    <col min="14601" max="14606" width="15" customWidth="1"/>
    <col min="14846" max="14846" width="5.08984375" customWidth="1"/>
    <col min="14847" max="14847" width="41.7265625" customWidth="1"/>
    <col min="14848" max="14848" width="14.7265625" customWidth="1"/>
    <col min="14849" max="14849" width="14.90625" customWidth="1"/>
    <col min="14850" max="14851" width="11.7265625" customWidth="1"/>
    <col min="14852" max="14852" width="11.90625" bestFit="1" customWidth="1"/>
    <col min="14854" max="14854" width="10.26953125" bestFit="1" customWidth="1"/>
    <col min="14855" max="14855" width="11.26953125" customWidth="1"/>
    <col min="14856" max="14856" width="5" customWidth="1"/>
    <col min="14857" max="14862" width="15" customWidth="1"/>
    <col min="15102" max="15102" width="5.08984375" customWidth="1"/>
    <col min="15103" max="15103" width="41.7265625" customWidth="1"/>
    <col min="15104" max="15104" width="14.7265625" customWidth="1"/>
    <col min="15105" max="15105" width="14.90625" customWidth="1"/>
    <col min="15106" max="15107" width="11.7265625" customWidth="1"/>
    <col min="15108" max="15108" width="11.90625" bestFit="1" customWidth="1"/>
    <col min="15110" max="15110" width="10.26953125" bestFit="1" customWidth="1"/>
    <col min="15111" max="15111" width="11.26953125" customWidth="1"/>
    <col min="15112" max="15112" width="5" customWidth="1"/>
    <col min="15113" max="15118" width="15" customWidth="1"/>
    <col min="15358" max="15358" width="5.08984375" customWidth="1"/>
    <col min="15359" max="15359" width="41.7265625" customWidth="1"/>
    <col min="15360" max="15360" width="14.7265625" customWidth="1"/>
    <col min="15361" max="15361" width="14.90625" customWidth="1"/>
    <col min="15362" max="15363" width="11.7265625" customWidth="1"/>
    <col min="15364" max="15364" width="11.90625" bestFit="1" customWidth="1"/>
    <col min="15366" max="15366" width="10.26953125" bestFit="1" customWidth="1"/>
    <col min="15367" max="15367" width="11.26953125" customWidth="1"/>
    <col min="15368" max="15368" width="5" customWidth="1"/>
    <col min="15369" max="15374" width="15" customWidth="1"/>
    <col min="15614" max="15614" width="5.08984375" customWidth="1"/>
    <col min="15615" max="15615" width="41.7265625" customWidth="1"/>
    <col min="15616" max="15616" width="14.7265625" customWidth="1"/>
    <col min="15617" max="15617" width="14.90625" customWidth="1"/>
    <col min="15618" max="15619" width="11.7265625" customWidth="1"/>
    <col min="15620" max="15620" width="11.90625" bestFit="1" customWidth="1"/>
    <col min="15622" max="15622" width="10.26953125" bestFit="1" customWidth="1"/>
    <col min="15623" max="15623" width="11.26953125" customWidth="1"/>
    <col min="15624" max="15624" width="5" customWidth="1"/>
    <col min="15625" max="15630" width="15" customWidth="1"/>
    <col min="15870" max="15870" width="5.08984375" customWidth="1"/>
    <col min="15871" max="15871" width="41.7265625" customWidth="1"/>
    <col min="15872" max="15872" width="14.7265625" customWidth="1"/>
    <col min="15873" max="15873" width="14.90625" customWidth="1"/>
    <col min="15874" max="15875" width="11.7265625" customWidth="1"/>
    <col min="15876" max="15876" width="11.90625" bestFit="1" customWidth="1"/>
    <col min="15878" max="15878" width="10.26953125" bestFit="1" customWidth="1"/>
    <col min="15879" max="15879" width="11.26953125" customWidth="1"/>
    <col min="15880" max="15880" width="5" customWidth="1"/>
    <col min="15881" max="15886" width="15" customWidth="1"/>
    <col min="16126" max="16126" width="5.08984375" customWidth="1"/>
    <col min="16127" max="16127" width="41.7265625" customWidth="1"/>
    <col min="16128" max="16128" width="14.7265625" customWidth="1"/>
    <col min="16129" max="16129" width="14.90625" customWidth="1"/>
    <col min="16130" max="16131" width="11.7265625" customWidth="1"/>
    <col min="16132" max="16132" width="11.90625" bestFit="1" customWidth="1"/>
    <col min="16134" max="16134" width="10.26953125" bestFit="1" customWidth="1"/>
    <col min="16135" max="16135" width="11.26953125" customWidth="1"/>
    <col min="16136" max="16136" width="5" customWidth="1"/>
    <col min="16137" max="16142" width="15" customWidth="1"/>
    <col min="16379" max="16382" width="8.7265625" customWidth="1"/>
  </cols>
  <sheetData>
    <row r="1" spans="1:32" ht="26.25" customHeight="1" thickBot="1" x14ac:dyDescent="0.4">
      <c r="A1" s="6"/>
      <c r="B1" s="7" t="s">
        <v>18</v>
      </c>
      <c r="C1" s="8"/>
      <c r="D1" s="8"/>
      <c r="E1" s="8"/>
      <c r="F1" s="8"/>
      <c r="G1" s="1"/>
      <c r="H1" s="1"/>
      <c r="I1" s="1"/>
      <c r="J1" s="1"/>
      <c r="K1" s="1"/>
      <c r="L1" s="297"/>
      <c r="M1" s="296">
        <v>1</v>
      </c>
      <c r="N1" s="260">
        <v>1</v>
      </c>
      <c r="O1" s="258" t="s">
        <v>44</v>
      </c>
      <c r="P1" s="259"/>
    </row>
    <row r="2" spans="1:32" ht="14" customHeight="1" x14ac:dyDescent="0.35">
      <c r="A2" s="9"/>
      <c r="B2" s="10" t="str">
        <f>IF($M$1=1,O1,O2)</f>
        <v>Base Case</v>
      </c>
      <c r="C2" s="9"/>
      <c r="D2" s="9"/>
      <c r="E2" s="9"/>
      <c r="F2" s="9"/>
      <c r="G2" s="9"/>
      <c r="H2" s="9"/>
      <c r="M2" s="113"/>
      <c r="N2" s="257">
        <v>2</v>
      </c>
      <c r="O2" s="258" t="s">
        <v>45</v>
      </c>
      <c r="P2" s="259"/>
    </row>
    <row r="3" spans="1:32" ht="14" customHeight="1" x14ac:dyDescent="0.35">
      <c r="A3" s="9"/>
      <c r="B3" s="9"/>
      <c r="C3" s="9"/>
      <c r="D3" s="9"/>
      <c r="E3" s="9"/>
      <c r="F3" s="9"/>
      <c r="G3" s="9"/>
      <c r="H3" s="9"/>
      <c r="M3" s="113"/>
    </row>
    <row r="4" spans="1:32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"/>
      <c r="N4" s="194"/>
      <c r="O4" s="194"/>
      <c r="P4" s="11"/>
      <c r="Q4" s="11"/>
      <c r="R4" s="11"/>
      <c r="S4" s="11"/>
      <c r="T4" s="11"/>
      <c r="U4" s="11"/>
      <c r="V4" s="11"/>
      <c r="X4" s="194"/>
      <c r="Y4" s="11"/>
      <c r="Z4" s="11"/>
      <c r="AA4" s="11"/>
      <c r="AB4" s="11"/>
      <c r="AC4" s="11"/>
      <c r="AD4" s="11"/>
      <c r="AE4" s="11"/>
      <c r="AF4" s="11"/>
    </row>
    <row r="5" spans="1:32" s="84" customFormat="1" ht="21.75" customHeight="1" x14ac:dyDescent="0.35">
      <c r="A5" s="224"/>
      <c r="B5" s="225" t="s">
        <v>46</v>
      </c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4"/>
      <c r="N5" s="225" t="str">
        <f>+O1</f>
        <v>Base Case</v>
      </c>
      <c r="O5" s="225"/>
      <c r="P5" s="225"/>
      <c r="Q5" s="225"/>
      <c r="R5" s="225"/>
      <c r="S5" s="225"/>
      <c r="T5" s="225"/>
      <c r="U5" s="225"/>
      <c r="V5" s="225"/>
      <c r="X5" s="225" t="str">
        <f>+O2</f>
        <v>Stress Case</v>
      </c>
      <c r="Y5" s="225"/>
      <c r="Z5" s="225"/>
      <c r="AA5" s="225"/>
      <c r="AB5" s="225"/>
      <c r="AC5" s="225"/>
      <c r="AD5" s="225"/>
      <c r="AE5" s="225"/>
      <c r="AF5" s="225"/>
    </row>
    <row r="6" spans="1:32" ht="14.5" customHeight="1" x14ac:dyDescent="0.35">
      <c r="B6" s="47"/>
      <c r="C6" s="6"/>
      <c r="D6" s="167"/>
      <c r="E6" s="177" t="s">
        <v>11</v>
      </c>
      <c r="F6" s="196"/>
      <c r="G6" s="196"/>
      <c r="H6" s="196"/>
      <c r="I6" s="196"/>
      <c r="J6" s="196"/>
      <c r="K6" s="196"/>
      <c r="L6" s="295"/>
      <c r="M6" s="1"/>
      <c r="N6" s="197"/>
      <c r="O6" s="198" t="s">
        <v>11</v>
      </c>
      <c r="P6" s="199"/>
      <c r="Q6" s="199"/>
      <c r="R6" s="199"/>
      <c r="S6" s="199"/>
      <c r="T6" s="199"/>
      <c r="U6" s="199"/>
      <c r="V6" s="294"/>
      <c r="X6" s="228"/>
      <c r="Y6" s="229" t="s">
        <v>11</v>
      </c>
      <c r="Z6" s="230"/>
      <c r="AA6" s="230"/>
      <c r="AB6" s="230"/>
      <c r="AC6" s="230"/>
      <c r="AD6" s="230"/>
      <c r="AE6" s="230"/>
      <c r="AF6" s="227"/>
    </row>
    <row r="7" spans="1:32" ht="14.5" customHeight="1" x14ac:dyDescent="0.35">
      <c r="A7" s="5">
        <f>ROW()</f>
        <v>7</v>
      </c>
      <c r="B7" s="47" t="s">
        <v>47</v>
      </c>
      <c r="C7" s="6"/>
      <c r="D7" s="48">
        <v>44926</v>
      </c>
      <c r="E7" s="49">
        <v>45291</v>
      </c>
      <c r="F7" s="48">
        <v>45657</v>
      </c>
      <c r="G7" s="48">
        <v>46021</v>
      </c>
      <c r="H7" s="48">
        <v>46386</v>
      </c>
      <c r="I7" s="48">
        <v>46751</v>
      </c>
      <c r="J7" s="48">
        <v>47117</v>
      </c>
      <c r="K7" s="48">
        <v>47481</v>
      </c>
      <c r="L7" s="48">
        <v>47846</v>
      </c>
      <c r="M7" s="1"/>
      <c r="N7" s="48">
        <f>+D7</f>
        <v>44926</v>
      </c>
      <c r="O7" s="49">
        <f>+E7</f>
        <v>45291</v>
      </c>
      <c r="P7" s="48">
        <f>+F7</f>
        <v>45657</v>
      </c>
      <c r="Q7" s="48">
        <f>+G7</f>
        <v>46021</v>
      </c>
      <c r="R7" s="48">
        <f>+H7</f>
        <v>46386</v>
      </c>
      <c r="S7" s="48">
        <f>+I7</f>
        <v>46751</v>
      </c>
      <c r="T7" s="48">
        <f>+J7</f>
        <v>47117</v>
      </c>
      <c r="U7" s="48">
        <f>+K7</f>
        <v>47481</v>
      </c>
      <c r="V7" s="48">
        <f>+L7</f>
        <v>47846</v>
      </c>
      <c r="X7" s="48">
        <f>+N7</f>
        <v>44926</v>
      </c>
      <c r="Y7" s="48">
        <f>+O7</f>
        <v>45291</v>
      </c>
      <c r="Z7" s="48">
        <f>+P7</f>
        <v>45657</v>
      </c>
      <c r="AA7" s="48">
        <f>+Q7</f>
        <v>46021</v>
      </c>
      <c r="AB7" s="48">
        <f>+R7</f>
        <v>46386</v>
      </c>
      <c r="AC7" s="48">
        <f>+S7</f>
        <v>46751</v>
      </c>
      <c r="AD7" s="48">
        <f>+T7</f>
        <v>47117</v>
      </c>
      <c r="AE7" s="48">
        <f>+U7</f>
        <v>47481</v>
      </c>
      <c r="AF7" s="48">
        <f>+V7</f>
        <v>47846</v>
      </c>
    </row>
    <row r="8" spans="1:32" ht="14.5" customHeight="1" x14ac:dyDescent="0.35">
      <c r="A8" s="5">
        <f>ROW()</f>
        <v>8</v>
      </c>
      <c r="B8" s="47" t="s">
        <v>48</v>
      </c>
      <c r="C8" s="6"/>
      <c r="E8" s="51">
        <f>IF($M$1=1,O8,Y8)</f>
        <v>365</v>
      </c>
      <c r="F8" s="51">
        <f>IF($M$1=1,P8,Z8)</f>
        <v>365</v>
      </c>
      <c r="G8" s="51">
        <f>IF($M$1=1,Q8,AA8)</f>
        <v>365</v>
      </c>
      <c r="H8" s="51">
        <f>IF($M$1=1,R8,AB8)</f>
        <v>365</v>
      </c>
      <c r="I8" s="51">
        <f>IF($M$1=1,S8,AC8)</f>
        <v>365</v>
      </c>
      <c r="J8" s="51">
        <f>IF($M$1=1,T8,AD8)</f>
        <v>365</v>
      </c>
      <c r="K8" s="51">
        <f>IF($M$1=1,U8,AE8)</f>
        <v>365</v>
      </c>
      <c r="L8" s="51">
        <f>IF($M$1=1,V8,AF8)</f>
        <v>366</v>
      </c>
      <c r="M8" s="1"/>
      <c r="N8" s="222">
        <v>365</v>
      </c>
      <c r="O8" s="223">
        <v>365</v>
      </c>
      <c r="P8" s="223">
        <v>365</v>
      </c>
      <c r="Q8" s="223">
        <v>365</v>
      </c>
      <c r="R8" s="223">
        <v>365</v>
      </c>
      <c r="S8" s="223">
        <v>365</v>
      </c>
      <c r="T8" s="223">
        <v>365</v>
      </c>
      <c r="U8" s="223">
        <v>365</v>
      </c>
      <c r="V8" s="223">
        <v>366</v>
      </c>
      <c r="X8" s="231">
        <v>365</v>
      </c>
      <c r="Y8" s="232">
        <v>365</v>
      </c>
      <c r="Z8" s="232">
        <v>365</v>
      </c>
      <c r="AA8" s="232">
        <v>365</v>
      </c>
      <c r="AB8" s="232">
        <v>365</v>
      </c>
      <c r="AC8" s="232">
        <v>365</v>
      </c>
      <c r="AD8" s="232">
        <v>365</v>
      </c>
      <c r="AE8" s="232">
        <v>365</v>
      </c>
      <c r="AF8" s="232">
        <v>366</v>
      </c>
    </row>
    <row r="9" spans="1:32" ht="14.5" customHeight="1" x14ac:dyDescent="0.35">
      <c r="A9" s="5">
        <f>ROW()</f>
        <v>9</v>
      </c>
      <c r="B9" s="52" t="s">
        <v>49</v>
      </c>
      <c r="C9" s="6"/>
      <c r="D9" s="179">
        <v>75</v>
      </c>
      <c r="E9" s="53">
        <f>+D9*(1+E10)</f>
        <v>77.25</v>
      </c>
      <c r="F9" s="53">
        <f t="shared" ref="F9:L9" si="0">+E9*(1+F10)</f>
        <v>79.567499999999995</v>
      </c>
      <c r="G9" s="53">
        <f t="shared" si="0"/>
        <v>81.954525000000004</v>
      </c>
      <c r="H9" s="53">
        <f t="shared" si="0"/>
        <v>84.413160750000003</v>
      </c>
      <c r="I9" s="53">
        <f t="shared" si="0"/>
        <v>86.945555572499998</v>
      </c>
      <c r="J9" s="53">
        <f t="shared" si="0"/>
        <v>89.553922239675003</v>
      </c>
      <c r="K9" s="53">
        <f t="shared" si="0"/>
        <v>92.240539906865251</v>
      </c>
      <c r="L9" s="53">
        <f t="shared" si="0"/>
        <v>95.007756104071206</v>
      </c>
      <c r="M9" s="1"/>
      <c r="N9" s="200">
        <f>+D9</f>
        <v>75</v>
      </c>
      <c r="O9" s="201">
        <f>+N9*(1+O10)</f>
        <v>77.25</v>
      </c>
      <c r="P9" s="201">
        <f t="shared" ref="P9" si="1">+O9*(1+P10)</f>
        <v>79.567499999999995</v>
      </c>
      <c r="Q9" s="201">
        <f t="shared" ref="Q9" si="2">+P9*(1+Q10)</f>
        <v>81.954525000000004</v>
      </c>
      <c r="R9" s="201">
        <f t="shared" ref="R9" si="3">+Q9*(1+R10)</f>
        <v>84.413160750000003</v>
      </c>
      <c r="S9" s="201">
        <f t="shared" ref="S9" si="4">+R9*(1+S10)</f>
        <v>86.945555572499998</v>
      </c>
      <c r="T9" s="201">
        <f t="shared" ref="T9" si="5">+S9*(1+T10)</f>
        <v>89.553922239675003</v>
      </c>
      <c r="U9" s="201">
        <f t="shared" ref="U9:V9" si="6">+T9*(1+U10)</f>
        <v>92.240539906865251</v>
      </c>
      <c r="V9" s="201">
        <f t="shared" si="6"/>
        <v>95.007756104071206</v>
      </c>
      <c r="X9" s="233">
        <f>+N9</f>
        <v>75</v>
      </c>
      <c r="Y9" s="234">
        <f>+X9*(1+Y10)</f>
        <v>77.25</v>
      </c>
      <c r="Z9" s="234">
        <f t="shared" ref="Z9" si="7">+Y9*(1+Z10)</f>
        <v>65.662499999999994</v>
      </c>
      <c r="AA9" s="234">
        <f t="shared" ref="AA9" si="8">+Z9*(1+AA10)</f>
        <v>65.662499999999994</v>
      </c>
      <c r="AB9" s="234">
        <f t="shared" ref="AB9" si="9">+AA9*(1+AB10)</f>
        <v>66.319125</v>
      </c>
      <c r="AC9" s="234">
        <f t="shared" ref="AC9" si="10">+AB9*(1+AC10)</f>
        <v>67.645507500000008</v>
      </c>
      <c r="AD9" s="234">
        <f t="shared" ref="AD9" si="11">+AC9*(1+AD10)</f>
        <v>69.674872725000014</v>
      </c>
      <c r="AE9" s="234">
        <f t="shared" ref="AE9:AF9" si="12">+AD9*(1+AE10)</f>
        <v>71.765118906750018</v>
      </c>
      <c r="AF9" s="234">
        <f t="shared" si="12"/>
        <v>73.91807247395252</v>
      </c>
    </row>
    <row r="10" spans="1:32" ht="14.5" customHeight="1" x14ac:dyDescent="0.35">
      <c r="A10" s="5">
        <f>ROW()</f>
        <v>10</v>
      </c>
      <c r="B10" s="52" t="s">
        <v>50</v>
      </c>
      <c r="C10" s="6"/>
      <c r="D10" s="180"/>
      <c r="E10" s="192">
        <f>IF($M$1=1,O10,Y10)</f>
        <v>0.03</v>
      </c>
      <c r="F10" s="192">
        <f>IF($M$1=1,P10,Z10)</f>
        <v>0.03</v>
      </c>
      <c r="G10" s="192">
        <f>IF($M$1=1,Q10,AA10)</f>
        <v>0.03</v>
      </c>
      <c r="H10" s="192">
        <f>IF($M$1=1,R10,AB10)</f>
        <v>0.03</v>
      </c>
      <c r="I10" s="192">
        <f>IF($M$1=1,S10,AC10)</f>
        <v>0.03</v>
      </c>
      <c r="J10" s="192">
        <f>IF($M$1=1,T10,AD10)</f>
        <v>0.03</v>
      </c>
      <c r="K10" s="192">
        <f>IF($M$1=1,U10,AE10)</f>
        <v>0.03</v>
      </c>
      <c r="L10" s="192">
        <f>IF($M$1=1,V10,AF10)</f>
        <v>0.03</v>
      </c>
      <c r="M10" s="1"/>
      <c r="N10" s="202"/>
      <c r="O10" s="203">
        <v>0.03</v>
      </c>
      <c r="P10" s="203">
        <v>0.03</v>
      </c>
      <c r="Q10" s="203">
        <v>0.03</v>
      </c>
      <c r="R10" s="203">
        <v>0.03</v>
      </c>
      <c r="S10" s="203">
        <v>0.03</v>
      </c>
      <c r="T10" s="203">
        <v>0.03</v>
      </c>
      <c r="U10" s="203">
        <v>0.03</v>
      </c>
      <c r="V10" s="203">
        <v>0.03</v>
      </c>
      <c r="X10" s="235"/>
      <c r="Y10" s="236">
        <v>0.03</v>
      </c>
      <c r="Z10" s="236">
        <v>-0.15</v>
      </c>
      <c r="AA10" s="236">
        <v>0</v>
      </c>
      <c r="AB10" s="236">
        <v>0.01</v>
      </c>
      <c r="AC10" s="236">
        <v>0.02</v>
      </c>
      <c r="AD10" s="236">
        <v>0.03</v>
      </c>
      <c r="AE10" s="236">
        <v>0.03</v>
      </c>
      <c r="AF10" s="236">
        <v>0.03</v>
      </c>
    </row>
    <row r="11" spans="1:32" ht="14.5" customHeight="1" x14ac:dyDescent="0.35">
      <c r="A11" s="5">
        <f>ROW()</f>
        <v>11</v>
      </c>
      <c r="B11" s="52" t="s">
        <v>51</v>
      </c>
      <c r="C11" s="6"/>
      <c r="D11" s="190">
        <f>(D15/D13)/(D9*365)*1000</f>
        <v>0.80491964656348214</v>
      </c>
      <c r="E11" s="192">
        <f>IF($M$1=1,O11,Y11)</f>
        <v>0.8</v>
      </c>
      <c r="F11" s="192">
        <f>IF($M$1=1,P11,Z11)</f>
        <v>0.75</v>
      </c>
      <c r="G11" s="192">
        <f>IF($M$1=1,Q11,AA11)</f>
        <v>0.75</v>
      </c>
      <c r="H11" s="192">
        <f>IF($M$1=1,R11,AB11)</f>
        <v>0.75</v>
      </c>
      <c r="I11" s="192">
        <f>IF($M$1=1,S11,AC11)</f>
        <v>0.75</v>
      </c>
      <c r="J11" s="192">
        <f>IF($M$1=1,T11,AD11)</f>
        <v>0.75</v>
      </c>
      <c r="K11" s="192">
        <f>IF($M$1=1,U11,AE11)</f>
        <v>0.75</v>
      </c>
      <c r="L11" s="192">
        <f>IF($M$1=1,V11,AF11)</f>
        <v>0.75</v>
      </c>
      <c r="M11" s="1"/>
      <c r="N11" s="226">
        <f>+D11</f>
        <v>0.80491964656348214</v>
      </c>
      <c r="O11" s="203">
        <v>0.8</v>
      </c>
      <c r="P11" s="203">
        <v>0.75</v>
      </c>
      <c r="Q11" s="203">
        <v>0.75</v>
      </c>
      <c r="R11" s="203">
        <v>0.75</v>
      </c>
      <c r="S11" s="203">
        <v>0.75</v>
      </c>
      <c r="T11" s="203">
        <v>0.75</v>
      </c>
      <c r="U11" s="203">
        <v>0.75</v>
      </c>
      <c r="V11" s="203">
        <v>0.75</v>
      </c>
      <c r="X11" s="237">
        <f>+N11</f>
        <v>0.80491964656348214</v>
      </c>
      <c r="Y11" s="236">
        <v>0.8</v>
      </c>
      <c r="Z11" s="236">
        <v>0.55000000000000004</v>
      </c>
      <c r="AA11" s="236">
        <v>0.5</v>
      </c>
      <c r="AB11" s="236">
        <v>0.7</v>
      </c>
      <c r="AC11" s="236">
        <v>0.7</v>
      </c>
      <c r="AD11" s="236">
        <v>0.7</v>
      </c>
      <c r="AE11" s="236">
        <f>+AD11</f>
        <v>0.7</v>
      </c>
      <c r="AF11" s="236">
        <f>+AE11</f>
        <v>0.7</v>
      </c>
    </row>
    <row r="12" spans="1:32" ht="14.5" customHeight="1" x14ac:dyDescent="0.35">
      <c r="A12" s="5">
        <f>ROW()</f>
        <v>12</v>
      </c>
      <c r="B12" s="52" t="s">
        <v>52</v>
      </c>
      <c r="C12" s="6"/>
      <c r="D12" s="181">
        <f>+D11*D9</f>
        <v>60.368973492261162</v>
      </c>
      <c r="E12" s="55">
        <f t="shared" ref="E12:K12" si="13">+E11*E9</f>
        <v>61.800000000000004</v>
      </c>
      <c r="F12" s="55">
        <f t="shared" si="13"/>
        <v>59.675624999999997</v>
      </c>
      <c r="G12" s="55">
        <f t="shared" si="13"/>
        <v>61.465893750000006</v>
      </c>
      <c r="H12" s="55">
        <f t="shared" si="13"/>
        <v>63.309870562500002</v>
      </c>
      <c r="I12" s="55">
        <f t="shared" si="13"/>
        <v>65.209166679375002</v>
      </c>
      <c r="J12" s="55">
        <f t="shared" si="13"/>
        <v>67.165441679756256</v>
      </c>
      <c r="K12" s="55">
        <f t="shared" si="13"/>
        <v>69.180404930148939</v>
      </c>
      <c r="L12" s="55">
        <f t="shared" ref="L12" si="14">+L11*L9</f>
        <v>71.255817078053411</v>
      </c>
      <c r="M12" s="1"/>
      <c r="N12" s="204">
        <f>+N11*N9</f>
        <v>60.368973492261162</v>
      </c>
      <c r="O12" s="205">
        <f t="shared" ref="O12:U12" si="15">+O11*O9</f>
        <v>61.800000000000004</v>
      </c>
      <c r="P12" s="205">
        <f t="shared" si="15"/>
        <v>59.675624999999997</v>
      </c>
      <c r="Q12" s="205">
        <f t="shared" si="15"/>
        <v>61.465893750000006</v>
      </c>
      <c r="R12" s="205">
        <f t="shared" si="15"/>
        <v>63.309870562500002</v>
      </c>
      <c r="S12" s="205">
        <f t="shared" si="15"/>
        <v>65.209166679375002</v>
      </c>
      <c r="T12" s="205">
        <f t="shared" si="15"/>
        <v>67.165441679756256</v>
      </c>
      <c r="U12" s="205">
        <f t="shared" si="15"/>
        <v>69.180404930148939</v>
      </c>
      <c r="V12" s="205">
        <f t="shared" ref="V12" si="16">+V11*V9</f>
        <v>71.255817078053411</v>
      </c>
      <c r="X12" s="238">
        <f>+X11*X9</f>
        <v>60.368973492261162</v>
      </c>
      <c r="Y12" s="239">
        <f t="shared" ref="Y12:AE12" si="17">+Y11*Y9</f>
        <v>61.800000000000004</v>
      </c>
      <c r="Z12" s="239">
        <f t="shared" si="17"/>
        <v>36.114375000000003</v>
      </c>
      <c r="AA12" s="239">
        <f t="shared" si="17"/>
        <v>32.831249999999997</v>
      </c>
      <c r="AB12" s="239">
        <f t="shared" si="17"/>
        <v>46.423387499999997</v>
      </c>
      <c r="AC12" s="239">
        <f t="shared" si="17"/>
        <v>47.35185525</v>
      </c>
      <c r="AD12" s="239">
        <f t="shared" si="17"/>
        <v>48.77241090750001</v>
      </c>
      <c r="AE12" s="239">
        <f t="shared" si="17"/>
        <v>50.235583234725013</v>
      </c>
      <c r="AF12" s="239">
        <f t="shared" ref="AF12" si="18">+AF11*AF9</f>
        <v>51.742650731766759</v>
      </c>
    </row>
    <row r="13" spans="1:32" s="4" customFormat="1" ht="14.5" customHeight="1" x14ac:dyDescent="0.35">
      <c r="A13" s="5">
        <f>ROW()</f>
        <v>13</v>
      </c>
      <c r="B13" s="56" t="s">
        <v>53</v>
      </c>
      <c r="C13" s="57"/>
      <c r="D13" s="188">
        <v>77000</v>
      </c>
      <c r="E13" s="58">
        <f>+D13*(1+E14)</f>
        <v>78540</v>
      </c>
      <c r="F13" s="58">
        <f t="shared" ref="F13:L13" si="19">+E13*(1+F14)</f>
        <v>80110.8</v>
      </c>
      <c r="G13" s="58">
        <f t="shared" si="19"/>
        <v>81713.016000000003</v>
      </c>
      <c r="H13" s="58">
        <f t="shared" si="19"/>
        <v>83347.276320000004</v>
      </c>
      <c r="I13" s="58">
        <f t="shared" si="19"/>
        <v>85014.221846400003</v>
      </c>
      <c r="J13" s="58">
        <f t="shared" si="19"/>
        <v>86714.50628332801</v>
      </c>
      <c r="K13" s="58">
        <f t="shared" si="19"/>
        <v>88448.796408994574</v>
      </c>
      <c r="L13" s="58">
        <f t="shared" si="19"/>
        <v>90217.772337174465</v>
      </c>
      <c r="M13" s="1"/>
      <c r="N13" s="164">
        <f>+D13</f>
        <v>77000</v>
      </c>
      <c r="O13" s="165">
        <f>+N13*(1+O14)</f>
        <v>78540</v>
      </c>
      <c r="P13" s="165">
        <f t="shared" ref="P13" si="20">+O13*(1+P14)</f>
        <v>80110.8</v>
      </c>
      <c r="Q13" s="165">
        <f t="shared" ref="Q13" si="21">+P13*(1+Q14)</f>
        <v>81713.016000000003</v>
      </c>
      <c r="R13" s="165">
        <f t="shared" ref="R13" si="22">+Q13*(1+R14)</f>
        <v>83347.276320000004</v>
      </c>
      <c r="S13" s="165">
        <f t="shared" ref="S13" si="23">+R13*(1+S14)</f>
        <v>85014.221846400003</v>
      </c>
      <c r="T13" s="165">
        <f t="shared" ref="T13" si="24">+S13*(1+T14)</f>
        <v>86714.50628332801</v>
      </c>
      <c r="U13" s="165">
        <f t="shared" ref="U13:V13" si="25">+T13*(1+U14)</f>
        <v>88448.796408994574</v>
      </c>
      <c r="V13" s="165">
        <f t="shared" si="25"/>
        <v>90217.772337174465</v>
      </c>
      <c r="X13" s="240">
        <f>+N13</f>
        <v>77000</v>
      </c>
      <c r="Y13" s="241">
        <f>+X13*(1+Y14)</f>
        <v>78540</v>
      </c>
      <c r="Z13" s="241">
        <f t="shared" ref="Z13" si="26">+Y13*(1+Z14)</f>
        <v>78540</v>
      </c>
      <c r="AA13" s="241">
        <f t="shared" ref="AA13" si="27">+Z13*(1+AA14)</f>
        <v>78540</v>
      </c>
      <c r="AB13" s="241">
        <f t="shared" ref="AB13" si="28">+AA13*(1+AB14)</f>
        <v>79325.399999999994</v>
      </c>
      <c r="AC13" s="241">
        <f t="shared" ref="AC13" si="29">+AB13*(1+AC14)</f>
        <v>80911.907999999996</v>
      </c>
      <c r="AD13" s="241">
        <f t="shared" ref="AD13" si="30">+AC13*(1+AD14)</f>
        <v>82530.146160000004</v>
      </c>
      <c r="AE13" s="241">
        <f t="shared" ref="AE13:AF13" si="31">+AD13*(1+AE14)</f>
        <v>84180.749083200004</v>
      </c>
      <c r="AF13" s="241">
        <f t="shared" si="31"/>
        <v>85864.364064863999</v>
      </c>
    </row>
    <row r="14" spans="1:32" ht="14.5" customHeight="1" x14ac:dyDescent="0.35">
      <c r="A14" s="5">
        <f>ROW()</f>
        <v>14</v>
      </c>
      <c r="B14" s="52" t="s">
        <v>54</v>
      </c>
      <c r="C14" s="6"/>
      <c r="D14" s="183"/>
      <c r="E14" s="193">
        <f>IF($M$1=1,O14,Y14)</f>
        <v>0.02</v>
      </c>
      <c r="F14" s="193">
        <f>IF($M$1=1,P14,Z14)</f>
        <v>0.02</v>
      </c>
      <c r="G14" s="193">
        <f>IF($M$1=1,Q14,AA14)</f>
        <v>0.02</v>
      </c>
      <c r="H14" s="193">
        <f>IF($M$1=1,R14,AB14)</f>
        <v>0.02</v>
      </c>
      <c r="I14" s="193">
        <f>IF($M$1=1,S14,AC14)</f>
        <v>0.02</v>
      </c>
      <c r="J14" s="193">
        <f>IF($M$1=1,T14,AD14)</f>
        <v>0.02</v>
      </c>
      <c r="K14" s="193">
        <f>IF($M$1=1,U14,AE14)</f>
        <v>0.02</v>
      </c>
      <c r="L14" s="193">
        <f>IF($M$1=1,V14,AF14)</f>
        <v>0.02</v>
      </c>
      <c r="M14" s="1"/>
      <c r="N14" s="206"/>
      <c r="O14" s="207">
        <v>0.02</v>
      </c>
      <c r="P14" s="207">
        <v>0.02</v>
      </c>
      <c r="Q14" s="207">
        <v>0.02</v>
      </c>
      <c r="R14" s="207">
        <v>0.02</v>
      </c>
      <c r="S14" s="207">
        <v>0.02</v>
      </c>
      <c r="T14" s="207">
        <v>0.02</v>
      </c>
      <c r="U14" s="207">
        <v>0.02</v>
      </c>
      <c r="V14" s="207">
        <v>0.02</v>
      </c>
      <c r="X14" s="242"/>
      <c r="Y14" s="243">
        <v>0.02</v>
      </c>
      <c r="Z14" s="243">
        <v>0</v>
      </c>
      <c r="AA14" s="243">
        <v>0</v>
      </c>
      <c r="AB14" s="243">
        <v>0.01</v>
      </c>
      <c r="AC14" s="243">
        <v>0.02</v>
      </c>
      <c r="AD14" s="243">
        <v>0.02</v>
      </c>
      <c r="AE14" s="243">
        <f>+AD14</f>
        <v>0.02</v>
      </c>
      <c r="AF14" s="243">
        <f>+AE14</f>
        <v>0.02</v>
      </c>
    </row>
    <row r="15" spans="1:32" ht="14.5" customHeight="1" thickBot="1" x14ac:dyDescent="0.4">
      <c r="A15" s="5">
        <f>ROW()</f>
        <v>15</v>
      </c>
      <c r="B15" s="52" t="s">
        <v>55</v>
      </c>
      <c r="C15" s="6"/>
      <c r="D15" s="189">
        <v>1696670</v>
      </c>
      <c r="E15" s="46">
        <f>+E13*E12*E8/1000</f>
        <v>1771626.78</v>
      </c>
      <c r="F15" s="46">
        <f t="shared" ref="F15:K15" si="32">+F13*F12*F8/1000</f>
        <v>1744941.65162625</v>
      </c>
      <c r="G15" s="46">
        <f t="shared" si="32"/>
        <v>1833235.6991985382</v>
      </c>
      <c r="H15" s="46">
        <f t="shared" si="32"/>
        <v>1925997.4255779847</v>
      </c>
      <c r="I15" s="46">
        <f t="shared" si="32"/>
        <v>2023452.8953122303</v>
      </c>
      <c r="J15" s="46">
        <f t="shared" si="32"/>
        <v>2125839.6118150293</v>
      </c>
      <c r="K15" s="46">
        <f t="shared" si="32"/>
        <v>2233407.0961728701</v>
      </c>
      <c r="L15" s="46">
        <f t="shared" ref="L15" si="33">+L13*L12*L8/1000</f>
        <v>2352846.0363220642</v>
      </c>
      <c r="M15" s="1"/>
      <c r="N15" s="208">
        <f>+N13*N12*365/1000</f>
        <v>1696670</v>
      </c>
      <c r="O15" s="209">
        <f t="shared" ref="O15:U15" si="34">+O13*O12*365/1000</f>
        <v>1771626.78</v>
      </c>
      <c r="P15" s="209">
        <f t="shared" si="34"/>
        <v>1744941.65162625</v>
      </c>
      <c r="Q15" s="209">
        <f t="shared" si="34"/>
        <v>1833235.6991985382</v>
      </c>
      <c r="R15" s="209">
        <f t="shared" si="34"/>
        <v>1925997.4255779847</v>
      </c>
      <c r="S15" s="209">
        <f t="shared" si="34"/>
        <v>2023452.8953122303</v>
      </c>
      <c r="T15" s="209">
        <f t="shared" si="34"/>
        <v>2125839.6118150293</v>
      </c>
      <c r="U15" s="209">
        <f t="shared" si="34"/>
        <v>2233407.0961728701</v>
      </c>
      <c r="V15" s="209">
        <f t="shared" ref="V15" si="35">+V13*V12*365/1000</f>
        <v>2346417.4952392173</v>
      </c>
      <c r="X15" s="244">
        <f>+X13*X12*365/1000</f>
        <v>1696670</v>
      </c>
      <c r="Y15" s="245">
        <f t="shared" ref="Y15:AE15" si="36">+Y13*Y12*365/1000</f>
        <v>1771626.78</v>
      </c>
      <c r="Z15" s="245">
        <f t="shared" si="36"/>
        <v>1035294.3995625001</v>
      </c>
      <c r="AA15" s="245">
        <f t="shared" si="36"/>
        <v>941176.72687500005</v>
      </c>
      <c r="AB15" s="245">
        <f t="shared" si="36"/>
        <v>1344132.1307192622</v>
      </c>
      <c r="AC15" s="245">
        <f t="shared" si="36"/>
        <v>1398435.0688003206</v>
      </c>
      <c r="AD15" s="245">
        <f t="shared" si="36"/>
        <v>1469195.8832816174</v>
      </c>
      <c r="AE15" s="245">
        <f t="shared" si="36"/>
        <v>1543537.1949756672</v>
      </c>
      <c r="AF15" s="245">
        <f t="shared" ref="AF15" si="37">+AF13*AF12*365/1000</f>
        <v>1621640.1770414356</v>
      </c>
    </row>
    <row r="16" spans="1:32" ht="14.5" customHeight="1" thickTop="1" x14ac:dyDescent="0.35">
      <c r="A16" s="5">
        <f>ROW()</f>
        <v>16</v>
      </c>
      <c r="B16" s="52" t="s">
        <v>56</v>
      </c>
      <c r="C16" s="6"/>
      <c r="D16" s="191">
        <v>270165</v>
      </c>
      <c r="E16" s="60">
        <f>+D16*(1+E17)</f>
        <v>278269.95</v>
      </c>
      <c r="F16" s="60">
        <f t="shared" ref="F16:L16" si="38">+E16*(1+F17)</f>
        <v>286618.04850000003</v>
      </c>
      <c r="G16" s="60">
        <f t="shared" si="38"/>
        <v>295216.58995500003</v>
      </c>
      <c r="H16" s="60">
        <f t="shared" si="38"/>
        <v>304073.08765365003</v>
      </c>
      <c r="I16" s="60">
        <f t="shared" si="38"/>
        <v>313195.28028325952</v>
      </c>
      <c r="J16" s="60">
        <f t="shared" si="38"/>
        <v>322591.13869175734</v>
      </c>
      <c r="K16" s="60">
        <f t="shared" si="38"/>
        <v>332268.87285251007</v>
      </c>
      <c r="L16" s="60">
        <f t="shared" si="38"/>
        <v>342236.9390380854</v>
      </c>
      <c r="M16" s="1"/>
      <c r="N16" s="210">
        <f>+D16</f>
        <v>270165</v>
      </c>
      <c r="O16" s="211">
        <f>+N16*(1+O17)</f>
        <v>278269.95</v>
      </c>
      <c r="P16" s="211">
        <f t="shared" ref="P16" si="39">+O16*(1+P17)</f>
        <v>286618.04850000003</v>
      </c>
      <c r="Q16" s="211">
        <f t="shared" ref="Q16" si="40">+P16*(1+Q17)</f>
        <v>295216.58995500003</v>
      </c>
      <c r="R16" s="211">
        <f t="shared" ref="R16" si="41">+Q16*(1+R17)</f>
        <v>304073.08765365003</v>
      </c>
      <c r="S16" s="211">
        <f t="shared" ref="S16" si="42">+R16*(1+S17)</f>
        <v>313195.28028325952</v>
      </c>
      <c r="T16" s="211">
        <f t="shared" ref="T16" si="43">+S16*(1+T17)</f>
        <v>322591.13869175734</v>
      </c>
      <c r="U16" s="211">
        <f t="shared" ref="U16:V16" si="44">+T16*(1+U17)</f>
        <v>332268.87285251007</v>
      </c>
      <c r="V16" s="211">
        <f t="shared" si="44"/>
        <v>342236.9390380854</v>
      </c>
      <c r="X16" s="246">
        <f>+N16</f>
        <v>270165</v>
      </c>
      <c r="Y16" s="247">
        <f>+X16*(1+Y17)</f>
        <v>278269.95</v>
      </c>
      <c r="Z16" s="247">
        <f t="shared" ref="Z16" si="45">+Y16*(1+Z17)</f>
        <v>286618.04850000003</v>
      </c>
      <c r="AA16" s="247">
        <f t="shared" ref="AA16" si="46">+Z16*(1+AA17)</f>
        <v>286618.04850000003</v>
      </c>
      <c r="AB16" s="247">
        <f t="shared" ref="AB16" si="47">+AA16*(1+AB17)</f>
        <v>286618.04850000003</v>
      </c>
      <c r="AC16" s="247">
        <f t="shared" ref="AC16" si="48">+AB16*(1+AC17)</f>
        <v>289484.22898500005</v>
      </c>
      <c r="AD16" s="247">
        <f t="shared" ref="AD16" si="49">+AC16*(1+AD17)</f>
        <v>295273.91356470005</v>
      </c>
      <c r="AE16" s="247">
        <f t="shared" ref="AE16:AF16" si="50">+AD16*(1+AE17)</f>
        <v>304132.13097164105</v>
      </c>
      <c r="AF16" s="247">
        <f t="shared" si="50"/>
        <v>313256.09490079031</v>
      </c>
    </row>
    <row r="17" spans="1:32" ht="14.5" customHeight="1" x14ac:dyDescent="0.35">
      <c r="A17" s="5">
        <f>ROW()</f>
        <v>17</v>
      </c>
      <c r="B17" s="52" t="s">
        <v>57</v>
      </c>
      <c r="C17" s="6"/>
      <c r="D17" s="183"/>
      <c r="E17" s="193">
        <f>IF($M$1=1,O17,Y17)</f>
        <v>0.03</v>
      </c>
      <c r="F17" s="193">
        <f>IF($M$1=1,P17,Z17)</f>
        <v>0.03</v>
      </c>
      <c r="G17" s="193">
        <f>IF($M$1=1,Q17,AA17)</f>
        <v>0.03</v>
      </c>
      <c r="H17" s="193">
        <f>IF($M$1=1,R17,AB17)</f>
        <v>0.03</v>
      </c>
      <c r="I17" s="193">
        <f>IF($M$1=1,S17,AC17)</f>
        <v>0.03</v>
      </c>
      <c r="J17" s="193">
        <f>IF($M$1=1,T17,AD17)</f>
        <v>0.03</v>
      </c>
      <c r="K17" s="193">
        <f>IF($M$1=1,U17,AE17)</f>
        <v>0.03</v>
      </c>
      <c r="L17" s="193">
        <f>IF($M$1=1,V17,AF17)</f>
        <v>0.03</v>
      </c>
      <c r="M17" s="1"/>
      <c r="N17" s="206"/>
      <c r="O17" s="207">
        <v>0.03</v>
      </c>
      <c r="P17" s="207">
        <v>0.03</v>
      </c>
      <c r="Q17" s="207">
        <v>0.03</v>
      </c>
      <c r="R17" s="207">
        <v>0.03</v>
      </c>
      <c r="S17" s="207">
        <v>0.03</v>
      </c>
      <c r="T17" s="207">
        <v>0.03</v>
      </c>
      <c r="U17" s="207">
        <v>0.03</v>
      </c>
      <c r="V17" s="207">
        <f>+U17</f>
        <v>0.03</v>
      </c>
      <c r="X17" s="242"/>
      <c r="Y17" s="243">
        <v>0.03</v>
      </c>
      <c r="Z17" s="243">
        <v>0.03</v>
      </c>
      <c r="AA17" s="243">
        <v>0</v>
      </c>
      <c r="AB17" s="243">
        <v>0</v>
      </c>
      <c r="AC17" s="243">
        <v>0.01</v>
      </c>
      <c r="AD17" s="243">
        <v>0.02</v>
      </c>
      <c r="AE17" s="243">
        <v>0.03</v>
      </c>
      <c r="AF17" s="243">
        <f>+AE17</f>
        <v>0.03</v>
      </c>
    </row>
    <row r="18" spans="1:32" ht="14.5" customHeight="1" thickBot="1" x14ac:dyDescent="0.4">
      <c r="A18" s="5">
        <f>ROW()</f>
        <v>18</v>
      </c>
      <c r="B18" s="47" t="s">
        <v>58</v>
      </c>
      <c r="C18" s="6"/>
      <c r="D18" s="184">
        <f>+D16+D15</f>
        <v>1966835</v>
      </c>
      <c r="E18" s="46">
        <f t="shared" ref="E18:K18" si="51">+E16+E15</f>
        <v>2049896.73</v>
      </c>
      <c r="F18" s="46">
        <f t="shared" si="51"/>
        <v>2031559.70012625</v>
      </c>
      <c r="G18" s="46">
        <f t="shared" si="51"/>
        <v>2128452.2891535382</v>
      </c>
      <c r="H18" s="46">
        <f t="shared" si="51"/>
        <v>2230070.5132316346</v>
      </c>
      <c r="I18" s="46">
        <f t="shared" si="51"/>
        <v>2336648.1755954898</v>
      </c>
      <c r="J18" s="46">
        <f t="shared" si="51"/>
        <v>2448430.7505067866</v>
      </c>
      <c r="K18" s="46">
        <f t="shared" si="51"/>
        <v>2565675.96902538</v>
      </c>
      <c r="L18" s="46">
        <f t="shared" ref="L18" si="52">+L16+L15</f>
        <v>2695082.9753601495</v>
      </c>
      <c r="M18" s="1"/>
      <c r="N18" s="208">
        <f>+N16+N15</f>
        <v>1966835</v>
      </c>
      <c r="O18" s="209">
        <f t="shared" ref="O18:U18" si="53">+O16+O15</f>
        <v>2049896.73</v>
      </c>
      <c r="P18" s="209">
        <f t="shared" si="53"/>
        <v>2031559.70012625</v>
      </c>
      <c r="Q18" s="209">
        <f t="shared" si="53"/>
        <v>2128452.2891535382</v>
      </c>
      <c r="R18" s="209">
        <f t="shared" si="53"/>
        <v>2230070.5132316346</v>
      </c>
      <c r="S18" s="209">
        <f t="shared" si="53"/>
        <v>2336648.1755954898</v>
      </c>
      <c r="T18" s="209">
        <f t="shared" si="53"/>
        <v>2448430.7505067866</v>
      </c>
      <c r="U18" s="209">
        <f t="shared" si="53"/>
        <v>2565675.96902538</v>
      </c>
      <c r="V18" s="209">
        <f t="shared" ref="V18" si="54">+V16+V15</f>
        <v>2688654.4342773026</v>
      </c>
      <c r="X18" s="244">
        <f>+X16+X15</f>
        <v>1966835</v>
      </c>
      <c r="Y18" s="245">
        <f t="shared" ref="Y18:AE18" si="55">+Y16+Y15</f>
        <v>2049896.73</v>
      </c>
      <c r="Z18" s="245">
        <f t="shared" si="55"/>
        <v>1321912.4480625</v>
      </c>
      <c r="AA18" s="245">
        <f t="shared" si="55"/>
        <v>1227794.7753750002</v>
      </c>
      <c r="AB18" s="245">
        <f t="shared" si="55"/>
        <v>1630750.1792192622</v>
      </c>
      <c r="AC18" s="245">
        <f t="shared" si="55"/>
        <v>1687919.2977853208</v>
      </c>
      <c r="AD18" s="245">
        <f t="shared" si="55"/>
        <v>1764469.7968463176</v>
      </c>
      <c r="AE18" s="245">
        <f t="shared" si="55"/>
        <v>1847669.3259473082</v>
      </c>
      <c r="AF18" s="245">
        <f t="shared" ref="AF18" si="56">+AF16+AF15</f>
        <v>1934896.271942226</v>
      </c>
    </row>
    <row r="19" spans="1:32" ht="14.5" customHeight="1" thickTop="1" x14ac:dyDescent="0.35">
      <c r="A19" s="5">
        <f>ROW()</f>
        <v>19</v>
      </c>
      <c r="B19" s="47"/>
      <c r="C19" s="6"/>
      <c r="D19" s="185"/>
      <c r="E19" s="47"/>
      <c r="F19" s="47"/>
      <c r="G19" s="47"/>
      <c r="H19" s="47"/>
      <c r="I19" s="47"/>
      <c r="J19" s="47"/>
      <c r="K19" s="47"/>
      <c r="L19" s="47"/>
      <c r="M19" s="1"/>
      <c r="N19" s="212"/>
      <c r="O19" s="213"/>
      <c r="P19" s="213"/>
      <c r="Q19" s="213"/>
      <c r="R19" s="213"/>
      <c r="S19" s="213"/>
      <c r="T19" s="213"/>
      <c r="U19" s="213"/>
      <c r="V19" s="213"/>
      <c r="X19" s="248"/>
      <c r="Y19" s="249"/>
      <c r="Z19" s="249"/>
      <c r="AA19" s="249"/>
      <c r="AB19" s="249"/>
      <c r="AC19" s="249"/>
      <c r="AD19" s="249"/>
      <c r="AE19" s="249"/>
      <c r="AF19" s="249"/>
    </row>
    <row r="20" spans="1:32" ht="14.5" customHeight="1" x14ac:dyDescent="0.35">
      <c r="A20" s="5">
        <f>ROW()</f>
        <v>20</v>
      </c>
      <c r="B20" s="61" t="s">
        <v>59</v>
      </c>
      <c r="C20" s="6"/>
      <c r="D20" s="180">
        <v>0.47299999999999998</v>
      </c>
      <c r="E20" s="192">
        <f>IF($M$1=1,O20,Y20)</f>
        <v>0.47299999999999998</v>
      </c>
      <c r="F20" s="192">
        <f>IF($M$1=1,P20,Z20)</f>
        <v>0.47299999999999998</v>
      </c>
      <c r="G20" s="192">
        <f>IF($M$1=1,Q20,AA20)</f>
        <v>0.47299999999999998</v>
      </c>
      <c r="H20" s="192">
        <f>IF($M$1=1,R20,AB20)</f>
        <v>0.47299999999999998</v>
      </c>
      <c r="I20" s="192">
        <f>IF($M$1=1,S20,AC20)</f>
        <v>0.47299999999999998</v>
      </c>
      <c r="J20" s="192">
        <f>IF($M$1=1,T20,AD20)</f>
        <v>0.47299999999999998</v>
      </c>
      <c r="K20" s="192">
        <f>IF($M$1=1,U20,AE20)</f>
        <v>0.47299999999999998</v>
      </c>
      <c r="L20" s="192">
        <f>IF($M$1=1,V20,AF20)</f>
        <v>0.47299999999999998</v>
      </c>
      <c r="M20" s="1"/>
      <c r="N20" s="214">
        <f>+D20</f>
        <v>0.47299999999999998</v>
      </c>
      <c r="O20" s="203">
        <f>+N20</f>
        <v>0.47299999999999998</v>
      </c>
      <c r="P20" s="203">
        <f t="shared" ref="P20:U20" si="57">+O20</f>
        <v>0.47299999999999998</v>
      </c>
      <c r="Q20" s="203">
        <f t="shared" si="57"/>
        <v>0.47299999999999998</v>
      </c>
      <c r="R20" s="203">
        <f t="shared" si="57"/>
        <v>0.47299999999999998</v>
      </c>
      <c r="S20" s="203">
        <f t="shared" si="57"/>
        <v>0.47299999999999998</v>
      </c>
      <c r="T20" s="203">
        <f t="shared" si="57"/>
        <v>0.47299999999999998</v>
      </c>
      <c r="U20" s="203">
        <f t="shared" si="57"/>
        <v>0.47299999999999998</v>
      </c>
      <c r="V20" s="203">
        <f t="shared" ref="V20" si="58">+U20</f>
        <v>0.47299999999999998</v>
      </c>
      <c r="X20" s="237">
        <f>+N20</f>
        <v>0.47299999999999998</v>
      </c>
      <c r="Y20" s="236">
        <v>0.48886985939316829</v>
      </c>
      <c r="Z20" s="236">
        <v>0.48886985939316829</v>
      </c>
      <c r="AA20" s="236">
        <v>0.6</v>
      </c>
      <c r="AB20" s="236">
        <v>0.5</v>
      </c>
      <c r="AC20" s="236">
        <v>0.48886985939316829</v>
      </c>
      <c r="AD20" s="236">
        <v>0.48886985939316829</v>
      </c>
      <c r="AE20" s="236">
        <v>0.48886985939316829</v>
      </c>
      <c r="AF20" s="236">
        <f t="shared" ref="AF20" si="59">+AE20</f>
        <v>0.48886985939316829</v>
      </c>
    </row>
    <row r="21" spans="1:32" ht="14.5" customHeight="1" x14ac:dyDescent="0.35">
      <c r="A21" s="5">
        <f>ROW()</f>
        <v>21</v>
      </c>
      <c r="B21" s="61" t="s">
        <v>60</v>
      </c>
      <c r="C21" s="6"/>
      <c r="D21" s="180">
        <f>'Income Statement'!H15/'Income Statement'!H8</f>
        <v>0.10522997607831872</v>
      </c>
      <c r="E21" s="192">
        <f>IF($M$1=1,O21,Y21)</f>
        <v>0.10522997607831872</v>
      </c>
      <c r="F21" s="192">
        <f>IF($M$1=1,P21,Z21)</f>
        <v>0.10522997607831872</v>
      </c>
      <c r="G21" s="192">
        <f>IF($M$1=1,Q21,AA21)</f>
        <v>0.10522997607831872</v>
      </c>
      <c r="H21" s="192">
        <f>IF($M$1=1,R21,AB21)</f>
        <v>0.10522997607831872</v>
      </c>
      <c r="I21" s="192">
        <f>IF($M$1=1,S21,AC21)</f>
        <v>0.10522997607831872</v>
      </c>
      <c r="J21" s="192">
        <f>IF($M$1=1,T21,AD21)</f>
        <v>0.10522997607831872</v>
      </c>
      <c r="K21" s="192">
        <f>IF($M$1=1,U21,AE21)</f>
        <v>0.10522997607831872</v>
      </c>
      <c r="L21" s="192">
        <f>IF($M$1=1,V21,AF21)</f>
        <v>0.10522997607831872</v>
      </c>
      <c r="M21" s="1"/>
      <c r="N21" s="214">
        <f>+D21</f>
        <v>0.10522997607831872</v>
      </c>
      <c r="O21" s="203">
        <f>+N21</f>
        <v>0.10522997607831872</v>
      </c>
      <c r="P21" s="203">
        <f t="shared" ref="P21:U21" si="60">+O21</f>
        <v>0.10522997607831872</v>
      </c>
      <c r="Q21" s="203">
        <f t="shared" si="60"/>
        <v>0.10522997607831872</v>
      </c>
      <c r="R21" s="203">
        <f t="shared" si="60"/>
        <v>0.10522997607831872</v>
      </c>
      <c r="S21" s="203">
        <f t="shared" si="60"/>
        <v>0.10522997607831872</v>
      </c>
      <c r="T21" s="203">
        <f t="shared" si="60"/>
        <v>0.10522997607831872</v>
      </c>
      <c r="U21" s="203">
        <f t="shared" si="60"/>
        <v>0.10522997607831872</v>
      </c>
      <c r="V21" s="203">
        <f t="shared" ref="V21" si="61">+U21</f>
        <v>0.10522997607831872</v>
      </c>
      <c r="X21" s="237">
        <f t="shared" ref="X21:X23" si="62">+N21</f>
        <v>0.10522997607831872</v>
      </c>
      <c r="Y21" s="236">
        <v>0.12496075747457203</v>
      </c>
      <c r="Z21" s="236">
        <v>0.12496075747457203</v>
      </c>
      <c r="AA21" s="236">
        <v>0.17307748112048146</v>
      </c>
      <c r="AB21" s="236">
        <v>0.13</v>
      </c>
      <c r="AC21" s="236">
        <v>0.12</v>
      </c>
      <c r="AD21" s="236">
        <v>0.12</v>
      </c>
      <c r="AE21" s="236">
        <v>0.12</v>
      </c>
      <c r="AF21" s="236">
        <f t="shared" ref="AF21" si="63">+AE21</f>
        <v>0.12</v>
      </c>
    </row>
    <row r="22" spans="1:32" ht="14.5" customHeight="1" x14ac:dyDescent="0.35">
      <c r="A22" s="5">
        <f>ROW()</f>
        <v>22</v>
      </c>
      <c r="B22" s="61" t="s">
        <v>61</v>
      </c>
      <c r="C22" s="6"/>
      <c r="D22" s="180">
        <f>'Income Statement'!H19/'Income Statement'!H8</f>
        <v>0.1124293598598764</v>
      </c>
      <c r="E22" s="192">
        <f>IF($M$1=1,O22,Y22)</f>
        <v>0.1124293598598764</v>
      </c>
      <c r="F22" s="192">
        <f>IF($M$1=1,P22,Z22)</f>
        <v>0.1124293598598764</v>
      </c>
      <c r="G22" s="192">
        <f>IF($M$1=1,Q22,AA22)</f>
        <v>0.1124293598598764</v>
      </c>
      <c r="H22" s="192">
        <f>IF($M$1=1,R22,AB22)</f>
        <v>0.1124293598598764</v>
      </c>
      <c r="I22" s="192">
        <f>IF($M$1=1,S22,AC22)</f>
        <v>0.1124293598598764</v>
      </c>
      <c r="J22" s="192">
        <f>IF($M$1=1,T22,AD22)</f>
        <v>0.1124293598598764</v>
      </c>
      <c r="K22" s="192">
        <f>IF($M$1=1,U22,AE22)</f>
        <v>0.1124293598598764</v>
      </c>
      <c r="L22" s="192">
        <f>IF($M$1=1,V22,AF22)</f>
        <v>0.1124293598598764</v>
      </c>
      <c r="M22" s="1"/>
      <c r="N22" s="214">
        <f>+D22</f>
        <v>0.1124293598598764</v>
      </c>
      <c r="O22" s="203">
        <f>+N22</f>
        <v>0.1124293598598764</v>
      </c>
      <c r="P22" s="203">
        <f t="shared" ref="P22:U22" si="64">+O22</f>
        <v>0.1124293598598764</v>
      </c>
      <c r="Q22" s="203">
        <f t="shared" si="64"/>
        <v>0.1124293598598764</v>
      </c>
      <c r="R22" s="203">
        <f t="shared" si="64"/>
        <v>0.1124293598598764</v>
      </c>
      <c r="S22" s="203">
        <f t="shared" si="64"/>
        <v>0.1124293598598764</v>
      </c>
      <c r="T22" s="203">
        <f t="shared" si="64"/>
        <v>0.1124293598598764</v>
      </c>
      <c r="U22" s="203">
        <f t="shared" si="64"/>
        <v>0.1124293598598764</v>
      </c>
      <c r="V22" s="203">
        <f t="shared" ref="V22" si="65">+U22</f>
        <v>0.1124293598598764</v>
      </c>
      <c r="X22" s="237">
        <f t="shared" si="62"/>
        <v>0.1124293598598764</v>
      </c>
      <c r="Y22" s="236">
        <v>0.12759658304229476</v>
      </c>
      <c r="Z22" s="236">
        <v>0.12759658304229476</v>
      </c>
      <c r="AA22" s="236">
        <v>0.12759658304229476</v>
      </c>
      <c r="AB22" s="236">
        <v>0.12759658304229476</v>
      </c>
      <c r="AC22" s="236">
        <v>0.12759658304229476</v>
      </c>
      <c r="AD22" s="236">
        <v>0.12759658304229476</v>
      </c>
      <c r="AE22" s="236">
        <v>0.12759658304229476</v>
      </c>
      <c r="AF22" s="236">
        <f t="shared" ref="AF22" si="66">+AE22</f>
        <v>0.12759658304229476</v>
      </c>
    </row>
    <row r="23" spans="1:32" ht="14.5" customHeight="1" x14ac:dyDescent="0.35">
      <c r="A23" s="5">
        <f>ROW()</f>
        <v>23</v>
      </c>
      <c r="B23" s="61" t="s">
        <v>62</v>
      </c>
      <c r="C23" s="6"/>
      <c r="D23" s="180">
        <v>0.32800000000000001</v>
      </c>
      <c r="E23" s="192">
        <f>IF($M$1=1,O23,Y23)</f>
        <v>0.32800000000000001</v>
      </c>
      <c r="F23" s="192">
        <f>IF($M$1=1,P23,Z23)</f>
        <v>0.32800000000000001</v>
      </c>
      <c r="G23" s="192">
        <f>IF($M$1=1,Q23,AA23)</f>
        <v>0.32800000000000001</v>
      </c>
      <c r="H23" s="192">
        <f>IF($M$1=1,R23,AB23)</f>
        <v>0.32800000000000001</v>
      </c>
      <c r="I23" s="192">
        <f>IF($M$1=1,S23,AC23)</f>
        <v>0.32800000000000001</v>
      </c>
      <c r="J23" s="192">
        <f>IF($M$1=1,T23,AD23)</f>
        <v>0.32800000000000001</v>
      </c>
      <c r="K23" s="192">
        <f>IF($M$1=1,U23,AE23)</f>
        <v>0.32800000000000001</v>
      </c>
      <c r="L23" s="192">
        <f>IF($M$1=1,V23,AF23)</f>
        <v>0.32800000000000001</v>
      </c>
      <c r="M23" s="54"/>
      <c r="N23" s="214">
        <f>+D23</f>
        <v>0.32800000000000001</v>
      </c>
      <c r="O23" s="203">
        <f>+N23</f>
        <v>0.32800000000000001</v>
      </c>
      <c r="P23" s="203">
        <f t="shared" ref="P23:U23" si="67">+O23</f>
        <v>0.32800000000000001</v>
      </c>
      <c r="Q23" s="203">
        <f t="shared" si="67"/>
        <v>0.32800000000000001</v>
      </c>
      <c r="R23" s="203">
        <f t="shared" si="67"/>
        <v>0.32800000000000001</v>
      </c>
      <c r="S23" s="203">
        <f t="shared" si="67"/>
        <v>0.32800000000000001</v>
      </c>
      <c r="T23" s="203">
        <f t="shared" si="67"/>
        <v>0.32800000000000001</v>
      </c>
      <c r="U23" s="203">
        <f t="shared" si="67"/>
        <v>0.32800000000000001</v>
      </c>
      <c r="V23" s="203">
        <f t="shared" ref="V23" si="68">+U23</f>
        <v>0.32800000000000001</v>
      </c>
      <c r="X23" s="237">
        <f t="shared" si="62"/>
        <v>0.32800000000000001</v>
      </c>
      <c r="Y23" s="236">
        <f>+X23</f>
        <v>0.32800000000000001</v>
      </c>
      <c r="Z23" s="236">
        <f t="shared" ref="Z23:AE23" si="69">+Y23</f>
        <v>0.32800000000000001</v>
      </c>
      <c r="AA23" s="236">
        <f t="shared" si="69"/>
        <v>0.32800000000000001</v>
      </c>
      <c r="AB23" s="236">
        <f t="shared" si="69"/>
        <v>0.32800000000000001</v>
      </c>
      <c r="AC23" s="236">
        <f t="shared" si="69"/>
        <v>0.32800000000000001</v>
      </c>
      <c r="AD23" s="236">
        <f t="shared" si="69"/>
        <v>0.32800000000000001</v>
      </c>
      <c r="AE23" s="236">
        <f t="shared" si="69"/>
        <v>0.32800000000000001</v>
      </c>
      <c r="AF23" s="236">
        <f t="shared" ref="AF23" si="70">+AE23</f>
        <v>0.32800000000000001</v>
      </c>
    </row>
    <row r="24" spans="1:32" ht="14.5" customHeight="1" x14ac:dyDescent="0.35">
      <c r="A24" s="5">
        <f>ROW()</f>
        <v>24</v>
      </c>
      <c r="B24" s="61"/>
      <c r="C24" s="6"/>
      <c r="D24" s="186"/>
      <c r="E24" s="61"/>
      <c r="F24" s="61"/>
      <c r="G24" s="61"/>
      <c r="H24" s="61"/>
      <c r="I24" s="61"/>
      <c r="J24" s="61"/>
      <c r="K24" s="61"/>
      <c r="L24" s="61"/>
      <c r="M24" s="61"/>
      <c r="N24" s="215"/>
      <c r="O24" s="216"/>
      <c r="P24" s="216"/>
      <c r="Q24" s="216"/>
      <c r="R24" s="216"/>
      <c r="S24" s="216"/>
      <c r="T24" s="216"/>
      <c r="U24" s="216"/>
      <c r="V24" s="216"/>
      <c r="X24" s="250"/>
      <c r="Y24" s="251"/>
      <c r="Z24" s="251"/>
      <c r="AA24" s="251"/>
      <c r="AB24" s="251"/>
      <c r="AC24" s="251"/>
      <c r="AD24" s="251"/>
      <c r="AE24" s="251"/>
      <c r="AF24" s="251"/>
    </row>
    <row r="25" spans="1:32" ht="14.5" customHeight="1" x14ac:dyDescent="0.35">
      <c r="A25" s="5">
        <f>ROW()</f>
        <v>25</v>
      </c>
      <c r="B25" s="47" t="s">
        <v>63</v>
      </c>
      <c r="C25" s="6"/>
      <c r="D25" s="187"/>
      <c r="E25" s="50"/>
      <c r="F25" s="50"/>
      <c r="G25" s="50"/>
      <c r="H25" s="50"/>
      <c r="I25" s="50"/>
      <c r="J25" s="50"/>
      <c r="K25" s="50"/>
      <c r="L25" s="50"/>
      <c r="M25" s="50"/>
      <c r="N25" s="217"/>
      <c r="O25" s="218"/>
      <c r="P25" s="218"/>
      <c r="Q25" s="218"/>
      <c r="R25" s="218"/>
      <c r="S25" s="218"/>
      <c r="T25" s="218"/>
      <c r="U25" s="218"/>
      <c r="V25" s="218"/>
      <c r="X25" s="252"/>
      <c r="Y25" s="253"/>
      <c r="Z25" s="253"/>
      <c r="AA25" s="253"/>
      <c r="AB25" s="253"/>
      <c r="AC25" s="253"/>
      <c r="AD25" s="253"/>
      <c r="AE25" s="253"/>
      <c r="AF25" s="253"/>
    </row>
    <row r="26" spans="1:32" ht="14.5" customHeight="1" x14ac:dyDescent="0.35">
      <c r="A26" s="5">
        <f>ROW()</f>
        <v>26</v>
      </c>
      <c r="B26" s="61" t="s">
        <v>64</v>
      </c>
      <c r="C26" s="6"/>
      <c r="D26" s="180">
        <v>0.13</v>
      </c>
      <c r="E26" s="192">
        <f>IF($M$1=1,O26,Y26)</f>
        <v>0.13</v>
      </c>
      <c r="F26" s="192">
        <f>IF($M$1=1,P26,Z26)</f>
        <v>0.13</v>
      </c>
      <c r="G26" s="192">
        <f>IF($M$1=1,Q26,AA26)</f>
        <v>0.13</v>
      </c>
      <c r="H26" s="192">
        <f>IF($M$1=1,R26,AB26)</f>
        <v>0.13</v>
      </c>
      <c r="I26" s="192">
        <f>IF($M$1=1,S26,AC26)</f>
        <v>0.13</v>
      </c>
      <c r="J26" s="192">
        <f>IF($M$1=1,T26,AD26)</f>
        <v>0.13</v>
      </c>
      <c r="K26" s="192">
        <f>IF($M$1=1,U26,AE26)</f>
        <v>0.13</v>
      </c>
      <c r="L26" s="192">
        <f>IF($M$1=1,V26,AF26)</f>
        <v>0.13</v>
      </c>
      <c r="M26" s="54"/>
      <c r="N26" s="214">
        <f>+D26</f>
        <v>0.13</v>
      </c>
      <c r="O26" s="203">
        <f t="shared" ref="O26:U33" si="71">+N26</f>
        <v>0.13</v>
      </c>
      <c r="P26" s="203">
        <f t="shared" si="71"/>
        <v>0.13</v>
      </c>
      <c r="Q26" s="203">
        <f t="shared" si="71"/>
        <v>0.13</v>
      </c>
      <c r="R26" s="203">
        <f t="shared" si="71"/>
        <v>0.13</v>
      </c>
      <c r="S26" s="203">
        <f t="shared" si="71"/>
        <v>0.13</v>
      </c>
      <c r="T26" s="203">
        <f t="shared" si="71"/>
        <v>0.13</v>
      </c>
      <c r="U26" s="203">
        <f t="shared" si="71"/>
        <v>0.13</v>
      </c>
      <c r="V26" s="203">
        <f t="shared" ref="V26" si="72">+U26</f>
        <v>0.13</v>
      </c>
      <c r="X26" s="237">
        <f t="shared" ref="X26:X27" si="73">+N26</f>
        <v>0.13</v>
      </c>
      <c r="Y26" s="236">
        <f t="shared" ref="Y26:AE26" si="74">+X26</f>
        <v>0.13</v>
      </c>
      <c r="Z26" s="236">
        <v>0.06</v>
      </c>
      <c r="AA26" s="236">
        <v>0.06</v>
      </c>
      <c r="AB26" s="236">
        <v>0.08</v>
      </c>
      <c r="AC26" s="236">
        <v>0.12</v>
      </c>
      <c r="AD26" s="236">
        <v>0.13</v>
      </c>
      <c r="AE26" s="236">
        <f t="shared" si="74"/>
        <v>0.13</v>
      </c>
      <c r="AF26" s="236">
        <f t="shared" ref="AF26:AF27" si="75">+AE26</f>
        <v>0.13</v>
      </c>
    </row>
    <row r="27" spans="1:32" ht="14.5" customHeight="1" x14ac:dyDescent="0.35">
      <c r="A27" s="5">
        <f>ROW()</f>
        <v>27</v>
      </c>
      <c r="B27" s="17" t="s">
        <v>65</v>
      </c>
      <c r="C27" s="6"/>
      <c r="D27" s="183">
        <v>0.08</v>
      </c>
      <c r="E27" s="193">
        <f>IF($M$1=1,O27,Y27)</f>
        <v>0.08</v>
      </c>
      <c r="F27" s="193">
        <f>IF($M$1=1,P27,Z27)</f>
        <v>0.08</v>
      </c>
      <c r="G27" s="193">
        <f>IF($M$1=1,Q27,AA27)</f>
        <v>0.08</v>
      </c>
      <c r="H27" s="193">
        <f>IF($M$1=1,R27,AB27)</f>
        <v>0.08</v>
      </c>
      <c r="I27" s="193">
        <f>IF($M$1=1,S27,AC27)</f>
        <v>0.08</v>
      </c>
      <c r="J27" s="193">
        <f>IF($M$1=1,T27,AD27)</f>
        <v>0.08</v>
      </c>
      <c r="K27" s="193">
        <f>IF($M$1=1,U27,AE27)</f>
        <v>0.08</v>
      </c>
      <c r="L27" s="193">
        <f>IF($M$1=1,V27,AF27)</f>
        <v>0.08</v>
      </c>
      <c r="M27" s="59"/>
      <c r="N27" s="214">
        <f>+D27</f>
        <v>0.08</v>
      </c>
      <c r="O27" s="207">
        <f t="shared" si="71"/>
        <v>0.08</v>
      </c>
      <c r="P27" s="207">
        <f t="shared" si="71"/>
        <v>0.08</v>
      </c>
      <c r="Q27" s="207">
        <f t="shared" si="71"/>
        <v>0.08</v>
      </c>
      <c r="R27" s="207">
        <f t="shared" si="71"/>
        <v>0.08</v>
      </c>
      <c r="S27" s="207">
        <f t="shared" si="71"/>
        <v>0.08</v>
      </c>
      <c r="T27" s="207">
        <f t="shared" si="71"/>
        <v>0.08</v>
      </c>
      <c r="U27" s="207">
        <f t="shared" si="71"/>
        <v>0.08</v>
      </c>
      <c r="V27" s="207">
        <f t="shared" ref="V27" si="76">+U27</f>
        <v>0.08</v>
      </c>
      <c r="X27" s="237">
        <f t="shared" si="73"/>
        <v>0.08</v>
      </c>
      <c r="Y27" s="243">
        <f t="shared" ref="Y27:AE27" si="77">+X27</f>
        <v>0.08</v>
      </c>
      <c r="Z27" s="243">
        <f>+Y27</f>
        <v>0.08</v>
      </c>
      <c r="AA27" s="243">
        <f t="shared" ref="AA27:AF27" si="78">+Z27</f>
        <v>0.08</v>
      </c>
      <c r="AB27" s="243">
        <f t="shared" si="78"/>
        <v>0.08</v>
      </c>
      <c r="AC27" s="243">
        <f t="shared" si="78"/>
        <v>0.08</v>
      </c>
      <c r="AD27" s="243">
        <f t="shared" si="78"/>
        <v>0.08</v>
      </c>
      <c r="AE27" s="243">
        <f t="shared" si="78"/>
        <v>0.08</v>
      </c>
      <c r="AF27" s="243">
        <f t="shared" si="75"/>
        <v>0.08</v>
      </c>
    </row>
    <row r="28" spans="1:32" ht="14.5" customHeight="1" x14ac:dyDescent="0.35">
      <c r="A28" s="5">
        <f>ROW()</f>
        <v>28</v>
      </c>
      <c r="B28" s="47"/>
      <c r="C28" s="6"/>
      <c r="D28" s="187"/>
      <c r="E28" s="50"/>
      <c r="F28" s="50"/>
      <c r="G28" s="50"/>
      <c r="H28" s="50"/>
      <c r="I28" s="50"/>
      <c r="J28" s="50"/>
      <c r="K28" s="50"/>
      <c r="L28" s="50"/>
      <c r="M28" s="50"/>
      <c r="N28" s="217"/>
      <c r="O28" s="218"/>
      <c r="P28" s="218"/>
      <c r="Q28" s="218"/>
      <c r="R28" s="218"/>
      <c r="S28" s="218"/>
      <c r="T28" s="218"/>
      <c r="U28" s="218"/>
      <c r="V28" s="218"/>
      <c r="X28" s="252"/>
      <c r="Y28" s="253"/>
      <c r="Z28" s="253"/>
      <c r="AA28" s="253"/>
      <c r="AB28" s="253"/>
      <c r="AC28" s="253"/>
      <c r="AD28" s="253"/>
      <c r="AE28" s="253"/>
      <c r="AF28" s="253"/>
    </row>
    <row r="29" spans="1:32" ht="14.5" customHeight="1" x14ac:dyDescent="0.35">
      <c r="A29" s="5">
        <f>ROW()</f>
        <v>29</v>
      </c>
      <c r="B29" s="47" t="s">
        <v>66</v>
      </c>
      <c r="C29" s="6"/>
      <c r="D29" s="187"/>
      <c r="E29" s="50"/>
      <c r="F29" s="50"/>
      <c r="G29" s="50"/>
      <c r="H29" s="50"/>
      <c r="I29" s="50"/>
      <c r="J29" s="50"/>
      <c r="K29" s="50"/>
      <c r="L29" s="50"/>
      <c r="M29" s="50"/>
      <c r="N29" s="217"/>
      <c r="O29" s="218"/>
      <c r="P29" s="218"/>
      <c r="Q29" s="218"/>
      <c r="R29" s="218"/>
      <c r="S29" s="218"/>
      <c r="T29" s="218"/>
      <c r="U29" s="218"/>
      <c r="V29" s="218"/>
      <c r="X29" s="252"/>
      <c r="Y29" s="253"/>
      <c r="Z29" s="253"/>
      <c r="AA29" s="253"/>
      <c r="AB29" s="253"/>
      <c r="AC29" s="253"/>
      <c r="AD29" s="253"/>
      <c r="AE29" s="253"/>
      <c r="AF29" s="253"/>
    </row>
    <row r="30" spans="1:32" ht="14.5" customHeight="1" x14ac:dyDescent="0.35">
      <c r="A30" s="5">
        <f>ROW()</f>
        <v>30</v>
      </c>
      <c r="B30" s="61" t="s">
        <v>67</v>
      </c>
      <c r="C30" s="6"/>
      <c r="D30" s="179">
        <v>3.84</v>
      </c>
      <c r="E30" s="154">
        <f>IF($M$1=1,O30,Y30)</f>
        <v>3.84</v>
      </c>
      <c r="F30" s="154">
        <f>IF($M$1=1,P30,Z30)</f>
        <v>3.84</v>
      </c>
      <c r="G30" s="154">
        <f>IF($M$1=1,Q30,AA30)</f>
        <v>3.84</v>
      </c>
      <c r="H30" s="154">
        <f>IF($M$1=1,R30,AB30)</f>
        <v>3.84</v>
      </c>
      <c r="I30" s="154">
        <f>IF($M$1=1,S30,AC30)</f>
        <v>3.84</v>
      </c>
      <c r="J30" s="154">
        <f>IF($M$1=1,T30,AD30)</f>
        <v>3.84</v>
      </c>
      <c r="K30" s="154">
        <f>IF($M$1=1,U30,AE30)</f>
        <v>3.84</v>
      </c>
      <c r="L30" s="154">
        <f>IF($M$1=1,V30,AF30)</f>
        <v>3.84</v>
      </c>
      <c r="M30" s="62"/>
      <c r="N30" s="219">
        <f>+D30</f>
        <v>3.84</v>
      </c>
      <c r="O30" s="220">
        <f t="shared" si="71"/>
        <v>3.84</v>
      </c>
      <c r="P30" s="220">
        <f t="shared" si="71"/>
        <v>3.84</v>
      </c>
      <c r="Q30" s="220">
        <f t="shared" si="71"/>
        <v>3.84</v>
      </c>
      <c r="R30" s="220">
        <f t="shared" si="71"/>
        <v>3.84</v>
      </c>
      <c r="S30" s="220">
        <f t="shared" si="71"/>
        <v>3.84</v>
      </c>
      <c r="T30" s="220">
        <f t="shared" si="71"/>
        <v>3.84</v>
      </c>
      <c r="U30" s="220">
        <f t="shared" si="71"/>
        <v>3.84</v>
      </c>
      <c r="V30" s="220">
        <f t="shared" ref="V30" si="79">+U30</f>
        <v>3.84</v>
      </c>
      <c r="X30" s="254">
        <f t="shared" ref="X30:X34" si="80">+N30</f>
        <v>3.84</v>
      </c>
      <c r="Y30" s="255">
        <f t="shared" ref="Y30:AE30" si="81">+X30</f>
        <v>3.84</v>
      </c>
      <c r="Z30" s="255">
        <f t="shared" si="81"/>
        <v>3.84</v>
      </c>
      <c r="AA30" s="255">
        <f t="shared" si="81"/>
        <v>3.84</v>
      </c>
      <c r="AB30" s="255">
        <f t="shared" si="81"/>
        <v>3.84</v>
      </c>
      <c r="AC30" s="255">
        <f t="shared" si="81"/>
        <v>3.84</v>
      </c>
      <c r="AD30" s="255">
        <f t="shared" si="81"/>
        <v>3.84</v>
      </c>
      <c r="AE30" s="255">
        <f t="shared" si="81"/>
        <v>3.84</v>
      </c>
      <c r="AF30" s="255">
        <f t="shared" ref="AF30" si="82">+AE30</f>
        <v>3.84</v>
      </c>
    </row>
    <row r="31" spans="1:32" ht="14.5" customHeight="1" x14ac:dyDescent="0.35">
      <c r="A31" s="5">
        <f>ROW()</f>
        <v>31</v>
      </c>
      <c r="B31" s="61" t="s">
        <v>68</v>
      </c>
      <c r="C31" s="6"/>
      <c r="D31" s="179">
        <v>0</v>
      </c>
      <c r="E31" s="154">
        <f>IF($M$1=1,O31,Y31)</f>
        <v>0</v>
      </c>
      <c r="F31" s="154">
        <f>IF($M$1=1,P31,Z31)</f>
        <v>0</v>
      </c>
      <c r="G31" s="154">
        <f>IF($M$1=1,Q31,AA31)</f>
        <v>0</v>
      </c>
      <c r="H31" s="154">
        <f>IF($M$1=1,R31,AB31)</f>
        <v>0</v>
      </c>
      <c r="I31" s="154">
        <f>IF($M$1=1,S31,AC31)</f>
        <v>0</v>
      </c>
      <c r="J31" s="154">
        <f>IF($M$1=1,T31,AD31)</f>
        <v>0</v>
      </c>
      <c r="K31" s="154">
        <f>IF($M$1=1,U31,AE31)</f>
        <v>0</v>
      </c>
      <c r="L31" s="154">
        <f>IF($M$1=1,V31,AF31)</f>
        <v>0</v>
      </c>
      <c r="M31" s="62"/>
      <c r="N31" s="219">
        <f>+D31</f>
        <v>0</v>
      </c>
      <c r="O31" s="220">
        <f t="shared" si="71"/>
        <v>0</v>
      </c>
      <c r="P31" s="220">
        <f t="shared" si="71"/>
        <v>0</v>
      </c>
      <c r="Q31" s="220">
        <f t="shared" si="71"/>
        <v>0</v>
      </c>
      <c r="R31" s="220">
        <f t="shared" si="71"/>
        <v>0</v>
      </c>
      <c r="S31" s="220">
        <f t="shared" si="71"/>
        <v>0</v>
      </c>
      <c r="T31" s="220">
        <f t="shared" si="71"/>
        <v>0</v>
      </c>
      <c r="U31" s="220">
        <f t="shared" si="71"/>
        <v>0</v>
      </c>
      <c r="V31" s="220">
        <f t="shared" ref="V31" si="83">+U31</f>
        <v>0</v>
      </c>
      <c r="X31" s="254">
        <f t="shared" si="80"/>
        <v>0</v>
      </c>
      <c r="Y31" s="255">
        <f t="shared" ref="Y31:AE31" si="84">+X31</f>
        <v>0</v>
      </c>
      <c r="Z31" s="255">
        <f t="shared" si="84"/>
        <v>0</v>
      </c>
      <c r="AA31" s="255">
        <f t="shared" si="84"/>
        <v>0</v>
      </c>
      <c r="AB31" s="255">
        <f t="shared" si="84"/>
        <v>0</v>
      </c>
      <c r="AC31" s="255">
        <f t="shared" si="84"/>
        <v>0</v>
      </c>
      <c r="AD31" s="255">
        <f t="shared" si="84"/>
        <v>0</v>
      </c>
      <c r="AE31" s="255">
        <f t="shared" si="84"/>
        <v>0</v>
      </c>
      <c r="AF31" s="255">
        <f t="shared" ref="AF31" si="85">+AE31</f>
        <v>0</v>
      </c>
    </row>
    <row r="32" spans="1:32" ht="14.5" customHeight="1" x14ac:dyDescent="0.35">
      <c r="A32" s="5">
        <f>ROW()</f>
        <v>32</v>
      </c>
      <c r="B32" s="61" t="s">
        <v>69</v>
      </c>
      <c r="C32" s="6"/>
      <c r="D32" s="179">
        <v>0</v>
      </c>
      <c r="E32" s="154">
        <f>IF($M$1=1,O32,Y32)</f>
        <v>0</v>
      </c>
      <c r="F32" s="154">
        <f>IF($M$1=1,P32,Z32)</f>
        <v>0</v>
      </c>
      <c r="G32" s="154">
        <f>IF($M$1=1,Q32,AA32)</f>
        <v>0</v>
      </c>
      <c r="H32" s="154">
        <f>IF($M$1=1,R32,AB32)</f>
        <v>0</v>
      </c>
      <c r="I32" s="154">
        <f>IF($M$1=1,S32,AC32)</f>
        <v>0</v>
      </c>
      <c r="J32" s="154">
        <f>IF($M$1=1,T32,AD32)</f>
        <v>0</v>
      </c>
      <c r="K32" s="154">
        <f>IF($M$1=1,U32,AE32)</f>
        <v>0</v>
      </c>
      <c r="L32" s="154">
        <f>IF($M$1=1,V32,AF32)</f>
        <v>0</v>
      </c>
      <c r="M32" s="62"/>
      <c r="N32" s="219">
        <f>+D32</f>
        <v>0</v>
      </c>
      <c r="O32" s="220">
        <f t="shared" si="71"/>
        <v>0</v>
      </c>
      <c r="P32" s="220">
        <f t="shared" si="71"/>
        <v>0</v>
      </c>
      <c r="Q32" s="220">
        <f t="shared" si="71"/>
        <v>0</v>
      </c>
      <c r="R32" s="220">
        <f t="shared" si="71"/>
        <v>0</v>
      </c>
      <c r="S32" s="220">
        <f t="shared" si="71"/>
        <v>0</v>
      </c>
      <c r="T32" s="220">
        <f t="shared" si="71"/>
        <v>0</v>
      </c>
      <c r="U32" s="220">
        <f t="shared" si="71"/>
        <v>0</v>
      </c>
      <c r="V32" s="220">
        <f t="shared" ref="V32" si="86">+U32</f>
        <v>0</v>
      </c>
      <c r="X32" s="254">
        <f t="shared" si="80"/>
        <v>0</v>
      </c>
      <c r="Y32" s="255">
        <f t="shared" ref="Y32:AE32" si="87">+X32</f>
        <v>0</v>
      </c>
      <c r="Z32" s="255">
        <f t="shared" si="87"/>
        <v>0</v>
      </c>
      <c r="AA32" s="255">
        <f t="shared" si="87"/>
        <v>0</v>
      </c>
      <c r="AB32" s="255">
        <f t="shared" si="87"/>
        <v>0</v>
      </c>
      <c r="AC32" s="255">
        <f t="shared" si="87"/>
        <v>0</v>
      </c>
      <c r="AD32" s="255">
        <f t="shared" si="87"/>
        <v>0</v>
      </c>
      <c r="AE32" s="255">
        <f t="shared" si="87"/>
        <v>0</v>
      </c>
      <c r="AF32" s="255">
        <f t="shared" ref="AF32" si="88">+AE32</f>
        <v>0</v>
      </c>
    </row>
    <row r="33" spans="1:32" ht="14.5" customHeight="1" x14ac:dyDescent="0.35">
      <c r="A33" s="5">
        <f>ROW()</f>
        <v>33</v>
      </c>
      <c r="B33" s="61" t="s">
        <v>70</v>
      </c>
      <c r="C33" s="6"/>
      <c r="D33" s="179">
        <v>21.2</v>
      </c>
      <c r="E33" s="154">
        <f>IF($M$1=1,O33,Y33)</f>
        <v>21.2</v>
      </c>
      <c r="F33" s="154">
        <f>IF($M$1=1,P33,Z33)</f>
        <v>21.2</v>
      </c>
      <c r="G33" s="154">
        <f>IF($M$1=1,Q33,AA33)</f>
        <v>21.2</v>
      </c>
      <c r="H33" s="154">
        <f>IF($M$1=1,R33,AB33)</f>
        <v>21.2</v>
      </c>
      <c r="I33" s="154">
        <f>IF($M$1=1,S33,AC33)</f>
        <v>21.2</v>
      </c>
      <c r="J33" s="154">
        <f>IF($M$1=1,T33,AD33)</f>
        <v>21.2</v>
      </c>
      <c r="K33" s="154">
        <f>IF($M$1=1,U33,AE33)</f>
        <v>21.2</v>
      </c>
      <c r="L33" s="154">
        <f>IF($M$1=1,V33,AF33)</f>
        <v>21.2</v>
      </c>
      <c r="M33" s="62"/>
      <c r="N33" s="219">
        <f>+D33</f>
        <v>21.2</v>
      </c>
      <c r="O33" s="220">
        <f t="shared" si="71"/>
        <v>21.2</v>
      </c>
      <c r="P33" s="220">
        <f t="shared" si="71"/>
        <v>21.2</v>
      </c>
      <c r="Q33" s="220">
        <f t="shared" si="71"/>
        <v>21.2</v>
      </c>
      <c r="R33" s="220">
        <f t="shared" si="71"/>
        <v>21.2</v>
      </c>
      <c r="S33" s="220">
        <f t="shared" si="71"/>
        <v>21.2</v>
      </c>
      <c r="T33" s="220">
        <f t="shared" si="71"/>
        <v>21.2</v>
      </c>
      <c r="U33" s="220">
        <f t="shared" si="71"/>
        <v>21.2</v>
      </c>
      <c r="V33" s="220">
        <f t="shared" ref="V33" si="89">+U33</f>
        <v>21.2</v>
      </c>
      <c r="X33" s="254">
        <f t="shared" si="80"/>
        <v>21.2</v>
      </c>
      <c r="Y33" s="255">
        <f t="shared" ref="Y33:AE33" si="90">+X33</f>
        <v>21.2</v>
      </c>
      <c r="Z33" s="255">
        <f t="shared" si="90"/>
        <v>21.2</v>
      </c>
      <c r="AA33" s="255">
        <f t="shared" si="90"/>
        <v>21.2</v>
      </c>
      <c r="AB33" s="255">
        <f t="shared" si="90"/>
        <v>21.2</v>
      </c>
      <c r="AC33" s="255">
        <f t="shared" si="90"/>
        <v>21.2</v>
      </c>
      <c r="AD33" s="255">
        <f t="shared" si="90"/>
        <v>21.2</v>
      </c>
      <c r="AE33" s="255">
        <f t="shared" si="90"/>
        <v>21.2</v>
      </c>
      <c r="AF33" s="255">
        <f t="shared" ref="AF33" si="91">+AE33</f>
        <v>21.2</v>
      </c>
    </row>
    <row r="34" spans="1:32" ht="14.5" customHeight="1" x14ac:dyDescent="0.35">
      <c r="A34" s="5">
        <f>ROW()</f>
        <v>34</v>
      </c>
      <c r="B34" s="61" t="s">
        <v>71</v>
      </c>
      <c r="C34" s="6"/>
      <c r="D34" s="179"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>
        <v>0</v>
      </c>
      <c r="L34" s="62">
        <v>0</v>
      </c>
      <c r="M34" s="62"/>
      <c r="N34" s="221">
        <v>0</v>
      </c>
      <c r="O34" s="220">
        <v>0</v>
      </c>
      <c r="P34" s="220">
        <v>0</v>
      </c>
      <c r="Q34" s="220">
        <v>0</v>
      </c>
      <c r="R34" s="220">
        <v>0</v>
      </c>
      <c r="S34" s="220">
        <v>0</v>
      </c>
      <c r="T34" s="220">
        <v>0</v>
      </c>
      <c r="U34" s="220">
        <v>0</v>
      </c>
      <c r="V34" s="220">
        <v>0</v>
      </c>
      <c r="X34" s="254">
        <f t="shared" si="80"/>
        <v>0</v>
      </c>
      <c r="Y34" s="255">
        <v>0</v>
      </c>
      <c r="Z34" s="255">
        <v>0</v>
      </c>
      <c r="AA34" s="255">
        <v>0</v>
      </c>
      <c r="AB34" s="255">
        <v>0</v>
      </c>
      <c r="AC34" s="255">
        <v>0</v>
      </c>
      <c r="AD34" s="255">
        <v>0</v>
      </c>
      <c r="AE34" s="255">
        <v>0</v>
      </c>
      <c r="AF34" s="255">
        <v>0</v>
      </c>
    </row>
    <row r="35" spans="1:32" ht="14.5" customHeight="1" x14ac:dyDescent="0.35">
      <c r="B35" s="47"/>
      <c r="C35" s="6"/>
      <c r="D35" s="182"/>
      <c r="E35" s="58"/>
      <c r="F35" s="58"/>
      <c r="G35" s="58"/>
      <c r="H35" s="58"/>
      <c r="I35" s="58"/>
      <c r="J35" s="58"/>
      <c r="K35" s="58"/>
      <c r="L35" s="58"/>
      <c r="M35" s="58"/>
      <c r="N35" s="166"/>
      <c r="O35" s="166"/>
      <c r="P35" s="166"/>
      <c r="Q35" s="166"/>
      <c r="R35" s="166"/>
      <c r="S35" s="166"/>
      <c r="T35" s="166"/>
      <c r="U35" s="166"/>
      <c r="V35" s="166"/>
      <c r="X35" s="256"/>
      <c r="Y35" s="256"/>
      <c r="Z35" s="256"/>
      <c r="AA35" s="256"/>
      <c r="AB35" s="256"/>
      <c r="AC35" s="256"/>
      <c r="AD35" s="256"/>
      <c r="AE35" s="256"/>
      <c r="AF35" s="256"/>
    </row>
    <row r="36" spans="1:32" ht="14.5" customHeight="1" x14ac:dyDescent="0.35">
      <c r="B36" s="47"/>
      <c r="C36" s="6"/>
      <c r="D36" s="58"/>
      <c r="E36" s="58"/>
      <c r="F36" s="58"/>
      <c r="G36" s="58"/>
      <c r="H36" s="58"/>
      <c r="I36" s="58"/>
      <c r="J36" s="58"/>
      <c r="K36" s="58"/>
      <c r="L36" s="58"/>
      <c r="M36" s="58"/>
    </row>
    <row r="37" spans="1:32" ht="14.5" customHeight="1" x14ac:dyDescent="0.35">
      <c r="B37" s="47"/>
      <c r="C37" s="6"/>
      <c r="D37" s="58"/>
      <c r="E37" s="58"/>
      <c r="F37" s="58"/>
      <c r="G37" s="58"/>
      <c r="H37" s="58"/>
      <c r="I37" s="58"/>
      <c r="J37" s="58"/>
      <c r="K37" s="63"/>
      <c r="L37" s="63"/>
      <c r="M37" s="63"/>
    </row>
    <row r="38" spans="1:32" ht="14.5" customHeight="1" x14ac:dyDescent="0.35">
      <c r="B38" s="47"/>
      <c r="C38" s="6"/>
      <c r="D38" s="58"/>
      <c r="E38" s="58"/>
      <c r="F38" s="58"/>
      <c r="G38" s="58"/>
      <c r="H38" s="58"/>
      <c r="I38" s="58"/>
      <c r="J38" s="58"/>
      <c r="K38" s="58"/>
      <c r="L38" s="58"/>
      <c r="M38" s="58"/>
    </row>
    <row r="39" spans="1:32" ht="14.5" customHeight="1" x14ac:dyDescent="0.35">
      <c r="B39" s="47"/>
      <c r="C39" s="6"/>
      <c r="D39" s="58"/>
      <c r="E39" s="58"/>
      <c r="F39" s="58"/>
      <c r="G39" s="58"/>
      <c r="H39" s="58"/>
      <c r="I39" s="58"/>
      <c r="J39" s="58"/>
      <c r="K39" s="58"/>
      <c r="L39" s="58"/>
      <c r="M39" s="58"/>
    </row>
    <row r="40" spans="1:32" ht="14.5" customHeight="1" x14ac:dyDescent="0.35">
      <c r="B40" s="47"/>
      <c r="C40" s="6"/>
      <c r="D40" s="58"/>
      <c r="E40" s="58"/>
      <c r="F40" s="58"/>
      <c r="G40" s="58"/>
      <c r="H40" s="58"/>
      <c r="I40" s="58"/>
      <c r="J40" s="58"/>
      <c r="K40" s="58"/>
      <c r="L40" s="58"/>
      <c r="M40" s="58"/>
    </row>
    <row r="41" spans="1:32" ht="14.5" customHeight="1" x14ac:dyDescent="0.35">
      <c r="B41" s="47"/>
      <c r="C41" s="6"/>
      <c r="D41" s="58"/>
      <c r="E41" s="58"/>
      <c r="F41" s="58"/>
      <c r="G41" s="58"/>
      <c r="H41" s="58"/>
      <c r="I41" s="58"/>
      <c r="J41" s="58"/>
      <c r="K41" s="58"/>
      <c r="L41" s="58"/>
      <c r="M41" s="58"/>
    </row>
    <row r="42" spans="1:32" ht="14.5" customHeight="1" x14ac:dyDescent="0.35">
      <c r="B42" s="47"/>
      <c r="C42" s="6"/>
      <c r="D42" s="58"/>
      <c r="E42" s="58"/>
      <c r="F42" s="58"/>
      <c r="G42" s="58"/>
      <c r="H42" s="58"/>
      <c r="I42" s="58"/>
      <c r="J42" s="58"/>
      <c r="K42" s="58"/>
      <c r="L42" s="58"/>
      <c r="M42" s="58"/>
    </row>
    <row r="43" spans="1:32" ht="14.5" customHeight="1" x14ac:dyDescent="0.35">
      <c r="B43" s="47"/>
      <c r="C43" s="6"/>
      <c r="D43" s="58"/>
      <c r="E43" s="58"/>
      <c r="F43" s="58"/>
      <c r="G43" s="58"/>
      <c r="H43" s="58"/>
      <c r="I43" s="58"/>
      <c r="J43" s="58"/>
      <c r="K43" s="58"/>
      <c r="L43" s="58"/>
      <c r="M43" s="58"/>
    </row>
    <row r="44" spans="1:32" ht="14.5" customHeight="1" x14ac:dyDescent="0.35">
      <c r="B44" s="47"/>
      <c r="C44" s="6"/>
      <c r="D44" s="58"/>
      <c r="E44" s="58"/>
      <c r="F44" s="58"/>
      <c r="G44" s="58"/>
      <c r="H44" s="58"/>
      <c r="I44" s="58"/>
      <c r="J44" s="58"/>
      <c r="K44" s="58"/>
      <c r="L44" s="58"/>
      <c r="M44" s="58"/>
    </row>
    <row r="45" spans="1:32" ht="14.5" customHeight="1" x14ac:dyDescent="0.35">
      <c r="B45" s="47"/>
      <c r="C45" s="6"/>
      <c r="D45" s="58"/>
      <c r="E45" s="58"/>
      <c r="F45" s="58"/>
      <c r="G45" s="58"/>
      <c r="H45" s="58"/>
      <c r="I45" s="58"/>
      <c r="J45" s="58"/>
      <c r="K45" s="58"/>
      <c r="L45" s="58"/>
      <c r="M45" s="58"/>
    </row>
    <row r="46" spans="1:32" ht="14.5" customHeight="1" x14ac:dyDescent="0.35">
      <c r="B46" s="47"/>
      <c r="C46" s="6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32" ht="21.75" customHeight="1" x14ac:dyDescent="0.35">
      <c r="A47"/>
    </row>
    <row r="48" spans="1:32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</sheetData>
  <mergeCells count="3">
    <mergeCell ref="O6:U6"/>
    <mergeCell ref="E6:K6"/>
    <mergeCell ref="Y6:A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4A2A3-9869-4C2C-9BBD-5E1C45593E49}">
  <sheetPr>
    <tabColor theme="9" tint="-0.249977111117893"/>
  </sheetPr>
  <dimension ref="A1:V111"/>
  <sheetViews>
    <sheetView showGridLines="0" topLeftCell="A49" workbookViewId="0">
      <selection activeCell="A55" sqref="A55"/>
    </sheetView>
  </sheetViews>
  <sheetFormatPr defaultRowHeight="14.5" x14ac:dyDescent="0.35"/>
  <cols>
    <col min="1" max="1" width="5.90625" style="5" customWidth="1"/>
    <col min="2" max="2" width="16" customWidth="1"/>
    <col min="3" max="7" width="2.26953125" customWidth="1"/>
    <col min="8" max="8" width="15" customWidth="1"/>
    <col min="9" max="9" width="16.1796875" bestFit="1" customWidth="1"/>
    <col min="10" max="16" width="10.6328125" bestFit="1" customWidth="1"/>
    <col min="17" max="17" width="11.08984375" customWidth="1"/>
    <col min="18" max="21" width="15" customWidth="1"/>
    <col min="260" max="260" width="5.08984375" customWidth="1"/>
    <col min="261" max="261" width="41.7265625" customWidth="1"/>
    <col min="262" max="262" width="14.7265625" customWidth="1"/>
    <col min="263" max="263" width="14.90625" customWidth="1"/>
    <col min="264" max="265" width="11.7265625" customWidth="1"/>
    <col min="266" max="266" width="11.90625" bestFit="1" customWidth="1"/>
    <col min="268" max="268" width="10.26953125" bestFit="1" customWidth="1"/>
    <col min="269" max="269" width="11.26953125" customWidth="1"/>
    <col min="270" max="270" width="5" customWidth="1"/>
    <col min="271" max="276" width="15" customWidth="1"/>
    <col min="516" max="516" width="5.08984375" customWidth="1"/>
    <col min="517" max="517" width="41.7265625" customWidth="1"/>
    <col min="518" max="518" width="14.7265625" customWidth="1"/>
    <col min="519" max="519" width="14.90625" customWidth="1"/>
    <col min="520" max="521" width="11.7265625" customWidth="1"/>
    <col min="522" max="522" width="11.90625" bestFit="1" customWidth="1"/>
    <col min="524" max="524" width="10.26953125" bestFit="1" customWidth="1"/>
    <col min="525" max="525" width="11.26953125" customWidth="1"/>
    <col min="526" max="526" width="5" customWidth="1"/>
    <col min="527" max="532" width="15" customWidth="1"/>
    <col min="772" max="772" width="5.08984375" customWidth="1"/>
    <col min="773" max="773" width="41.7265625" customWidth="1"/>
    <col min="774" max="774" width="14.7265625" customWidth="1"/>
    <col min="775" max="775" width="14.90625" customWidth="1"/>
    <col min="776" max="777" width="11.7265625" customWidth="1"/>
    <col min="778" max="778" width="11.90625" bestFit="1" customWidth="1"/>
    <col min="780" max="780" width="10.26953125" bestFit="1" customWidth="1"/>
    <col min="781" max="781" width="11.26953125" customWidth="1"/>
    <col min="782" max="782" width="5" customWidth="1"/>
    <col min="783" max="788" width="15" customWidth="1"/>
    <col min="1028" max="1028" width="5.08984375" customWidth="1"/>
    <col min="1029" max="1029" width="41.7265625" customWidth="1"/>
    <col min="1030" max="1030" width="14.7265625" customWidth="1"/>
    <col min="1031" max="1031" width="14.90625" customWidth="1"/>
    <col min="1032" max="1033" width="11.7265625" customWidth="1"/>
    <col min="1034" max="1034" width="11.90625" bestFit="1" customWidth="1"/>
    <col min="1036" max="1036" width="10.26953125" bestFit="1" customWidth="1"/>
    <col min="1037" max="1037" width="11.26953125" customWidth="1"/>
    <col min="1038" max="1038" width="5" customWidth="1"/>
    <col min="1039" max="1044" width="15" customWidth="1"/>
    <col min="1284" max="1284" width="5.08984375" customWidth="1"/>
    <col min="1285" max="1285" width="41.7265625" customWidth="1"/>
    <col min="1286" max="1286" width="14.7265625" customWidth="1"/>
    <col min="1287" max="1287" width="14.90625" customWidth="1"/>
    <col min="1288" max="1289" width="11.7265625" customWidth="1"/>
    <col min="1290" max="1290" width="11.90625" bestFit="1" customWidth="1"/>
    <col min="1292" max="1292" width="10.26953125" bestFit="1" customWidth="1"/>
    <col min="1293" max="1293" width="11.26953125" customWidth="1"/>
    <col min="1294" max="1294" width="5" customWidth="1"/>
    <col min="1295" max="1300" width="15" customWidth="1"/>
    <col min="1540" max="1540" width="5.08984375" customWidth="1"/>
    <col min="1541" max="1541" width="41.7265625" customWidth="1"/>
    <col min="1542" max="1542" width="14.7265625" customWidth="1"/>
    <col min="1543" max="1543" width="14.90625" customWidth="1"/>
    <col min="1544" max="1545" width="11.7265625" customWidth="1"/>
    <col min="1546" max="1546" width="11.90625" bestFit="1" customWidth="1"/>
    <col min="1548" max="1548" width="10.26953125" bestFit="1" customWidth="1"/>
    <col min="1549" max="1549" width="11.26953125" customWidth="1"/>
    <col min="1550" max="1550" width="5" customWidth="1"/>
    <col min="1551" max="1556" width="15" customWidth="1"/>
    <col min="1796" max="1796" width="5.08984375" customWidth="1"/>
    <col min="1797" max="1797" width="41.7265625" customWidth="1"/>
    <col min="1798" max="1798" width="14.7265625" customWidth="1"/>
    <col min="1799" max="1799" width="14.90625" customWidth="1"/>
    <col min="1800" max="1801" width="11.7265625" customWidth="1"/>
    <col min="1802" max="1802" width="11.90625" bestFit="1" customWidth="1"/>
    <col min="1804" max="1804" width="10.26953125" bestFit="1" customWidth="1"/>
    <col min="1805" max="1805" width="11.26953125" customWidth="1"/>
    <col min="1806" max="1806" width="5" customWidth="1"/>
    <col min="1807" max="1812" width="15" customWidth="1"/>
    <col min="2052" max="2052" width="5.08984375" customWidth="1"/>
    <col min="2053" max="2053" width="41.7265625" customWidth="1"/>
    <col min="2054" max="2054" width="14.7265625" customWidth="1"/>
    <col min="2055" max="2055" width="14.90625" customWidth="1"/>
    <col min="2056" max="2057" width="11.7265625" customWidth="1"/>
    <col min="2058" max="2058" width="11.90625" bestFit="1" customWidth="1"/>
    <col min="2060" max="2060" width="10.26953125" bestFit="1" customWidth="1"/>
    <col min="2061" max="2061" width="11.26953125" customWidth="1"/>
    <col min="2062" max="2062" width="5" customWidth="1"/>
    <col min="2063" max="2068" width="15" customWidth="1"/>
    <col min="2308" max="2308" width="5.08984375" customWidth="1"/>
    <col min="2309" max="2309" width="41.7265625" customWidth="1"/>
    <col min="2310" max="2310" width="14.7265625" customWidth="1"/>
    <col min="2311" max="2311" width="14.90625" customWidth="1"/>
    <col min="2312" max="2313" width="11.7265625" customWidth="1"/>
    <col min="2314" max="2314" width="11.90625" bestFit="1" customWidth="1"/>
    <col min="2316" max="2316" width="10.26953125" bestFit="1" customWidth="1"/>
    <col min="2317" max="2317" width="11.26953125" customWidth="1"/>
    <col min="2318" max="2318" width="5" customWidth="1"/>
    <col min="2319" max="2324" width="15" customWidth="1"/>
    <col min="2564" max="2564" width="5.08984375" customWidth="1"/>
    <col min="2565" max="2565" width="41.7265625" customWidth="1"/>
    <col min="2566" max="2566" width="14.7265625" customWidth="1"/>
    <col min="2567" max="2567" width="14.90625" customWidth="1"/>
    <col min="2568" max="2569" width="11.7265625" customWidth="1"/>
    <col min="2570" max="2570" width="11.90625" bestFit="1" customWidth="1"/>
    <col min="2572" max="2572" width="10.26953125" bestFit="1" customWidth="1"/>
    <col min="2573" max="2573" width="11.26953125" customWidth="1"/>
    <col min="2574" max="2574" width="5" customWidth="1"/>
    <col min="2575" max="2580" width="15" customWidth="1"/>
    <col min="2820" max="2820" width="5.08984375" customWidth="1"/>
    <col min="2821" max="2821" width="41.7265625" customWidth="1"/>
    <col min="2822" max="2822" width="14.7265625" customWidth="1"/>
    <col min="2823" max="2823" width="14.90625" customWidth="1"/>
    <col min="2824" max="2825" width="11.7265625" customWidth="1"/>
    <col min="2826" max="2826" width="11.90625" bestFit="1" customWidth="1"/>
    <col min="2828" max="2828" width="10.26953125" bestFit="1" customWidth="1"/>
    <col min="2829" max="2829" width="11.26953125" customWidth="1"/>
    <col min="2830" max="2830" width="5" customWidth="1"/>
    <col min="2831" max="2836" width="15" customWidth="1"/>
    <col min="3076" max="3076" width="5.08984375" customWidth="1"/>
    <col min="3077" max="3077" width="41.7265625" customWidth="1"/>
    <col min="3078" max="3078" width="14.7265625" customWidth="1"/>
    <col min="3079" max="3079" width="14.90625" customWidth="1"/>
    <col min="3080" max="3081" width="11.7265625" customWidth="1"/>
    <col min="3082" max="3082" width="11.90625" bestFit="1" customWidth="1"/>
    <col min="3084" max="3084" width="10.26953125" bestFit="1" customWidth="1"/>
    <col min="3085" max="3085" width="11.26953125" customWidth="1"/>
    <col min="3086" max="3086" width="5" customWidth="1"/>
    <col min="3087" max="3092" width="15" customWidth="1"/>
    <col min="3332" max="3332" width="5.08984375" customWidth="1"/>
    <col min="3333" max="3333" width="41.7265625" customWidth="1"/>
    <col min="3334" max="3334" width="14.7265625" customWidth="1"/>
    <col min="3335" max="3335" width="14.90625" customWidth="1"/>
    <col min="3336" max="3337" width="11.7265625" customWidth="1"/>
    <col min="3338" max="3338" width="11.90625" bestFit="1" customWidth="1"/>
    <col min="3340" max="3340" width="10.26953125" bestFit="1" customWidth="1"/>
    <col min="3341" max="3341" width="11.26953125" customWidth="1"/>
    <col min="3342" max="3342" width="5" customWidth="1"/>
    <col min="3343" max="3348" width="15" customWidth="1"/>
    <col min="3588" max="3588" width="5.08984375" customWidth="1"/>
    <col min="3589" max="3589" width="41.7265625" customWidth="1"/>
    <col min="3590" max="3590" width="14.7265625" customWidth="1"/>
    <col min="3591" max="3591" width="14.90625" customWidth="1"/>
    <col min="3592" max="3593" width="11.7265625" customWidth="1"/>
    <col min="3594" max="3594" width="11.90625" bestFit="1" customWidth="1"/>
    <col min="3596" max="3596" width="10.26953125" bestFit="1" customWidth="1"/>
    <col min="3597" max="3597" width="11.26953125" customWidth="1"/>
    <col min="3598" max="3598" width="5" customWidth="1"/>
    <col min="3599" max="3604" width="15" customWidth="1"/>
    <col min="3844" max="3844" width="5.08984375" customWidth="1"/>
    <col min="3845" max="3845" width="41.7265625" customWidth="1"/>
    <col min="3846" max="3846" width="14.7265625" customWidth="1"/>
    <col min="3847" max="3847" width="14.90625" customWidth="1"/>
    <col min="3848" max="3849" width="11.7265625" customWidth="1"/>
    <col min="3850" max="3850" width="11.90625" bestFit="1" customWidth="1"/>
    <col min="3852" max="3852" width="10.26953125" bestFit="1" customWidth="1"/>
    <col min="3853" max="3853" width="11.26953125" customWidth="1"/>
    <col min="3854" max="3854" width="5" customWidth="1"/>
    <col min="3855" max="3860" width="15" customWidth="1"/>
    <col min="4100" max="4100" width="5.08984375" customWidth="1"/>
    <col min="4101" max="4101" width="41.7265625" customWidth="1"/>
    <col min="4102" max="4102" width="14.7265625" customWidth="1"/>
    <col min="4103" max="4103" width="14.90625" customWidth="1"/>
    <col min="4104" max="4105" width="11.7265625" customWidth="1"/>
    <col min="4106" max="4106" width="11.90625" bestFit="1" customWidth="1"/>
    <col min="4108" max="4108" width="10.26953125" bestFit="1" customWidth="1"/>
    <col min="4109" max="4109" width="11.26953125" customWidth="1"/>
    <col min="4110" max="4110" width="5" customWidth="1"/>
    <col min="4111" max="4116" width="15" customWidth="1"/>
    <col min="4356" max="4356" width="5.08984375" customWidth="1"/>
    <col min="4357" max="4357" width="41.7265625" customWidth="1"/>
    <col min="4358" max="4358" width="14.7265625" customWidth="1"/>
    <col min="4359" max="4359" width="14.90625" customWidth="1"/>
    <col min="4360" max="4361" width="11.7265625" customWidth="1"/>
    <col min="4362" max="4362" width="11.90625" bestFit="1" customWidth="1"/>
    <col min="4364" max="4364" width="10.26953125" bestFit="1" customWidth="1"/>
    <col min="4365" max="4365" width="11.26953125" customWidth="1"/>
    <col min="4366" max="4366" width="5" customWidth="1"/>
    <col min="4367" max="4372" width="15" customWidth="1"/>
    <col min="4612" max="4612" width="5.08984375" customWidth="1"/>
    <col min="4613" max="4613" width="41.7265625" customWidth="1"/>
    <col min="4614" max="4614" width="14.7265625" customWidth="1"/>
    <col min="4615" max="4615" width="14.90625" customWidth="1"/>
    <col min="4616" max="4617" width="11.7265625" customWidth="1"/>
    <col min="4618" max="4618" width="11.90625" bestFit="1" customWidth="1"/>
    <col min="4620" max="4620" width="10.26953125" bestFit="1" customWidth="1"/>
    <col min="4621" max="4621" width="11.26953125" customWidth="1"/>
    <col min="4622" max="4622" width="5" customWidth="1"/>
    <col min="4623" max="4628" width="15" customWidth="1"/>
    <col min="4868" max="4868" width="5.08984375" customWidth="1"/>
    <col min="4869" max="4869" width="41.7265625" customWidth="1"/>
    <col min="4870" max="4870" width="14.7265625" customWidth="1"/>
    <col min="4871" max="4871" width="14.90625" customWidth="1"/>
    <col min="4872" max="4873" width="11.7265625" customWidth="1"/>
    <col min="4874" max="4874" width="11.90625" bestFit="1" customWidth="1"/>
    <col min="4876" max="4876" width="10.26953125" bestFit="1" customWidth="1"/>
    <col min="4877" max="4877" width="11.26953125" customWidth="1"/>
    <col min="4878" max="4878" width="5" customWidth="1"/>
    <col min="4879" max="4884" width="15" customWidth="1"/>
    <col min="5124" max="5124" width="5.08984375" customWidth="1"/>
    <col min="5125" max="5125" width="41.7265625" customWidth="1"/>
    <col min="5126" max="5126" width="14.7265625" customWidth="1"/>
    <col min="5127" max="5127" width="14.90625" customWidth="1"/>
    <col min="5128" max="5129" width="11.7265625" customWidth="1"/>
    <col min="5130" max="5130" width="11.90625" bestFit="1" customWidth="1"/>
    <col min="5132" max="5132" width="10.26953125" bestFit="1" customWidth="1"/>
    <col min="5133" max="5133" width="11.26953125" customWidth="1"/>
    <col min="5134" max="5134" width="5" customWidth="1"/>
    <col min="5135" max="5140" width="15" customWidth="1"/>
    <col min="5380" max="5380" width="5.08984375" customWidth="1"/>
    <col min="5381" max="5381" width="41.7265625" customWidth="1"/>
    <col min="5382" max="5382" width="14.7265625" customWidth="1"/>
    <col min="5383" max="5383" width="14.90625" customWidth="1"/>
    <col min="5384" max="5385" width="11.7265625" customWidth="1"/>
    <col min="5386" max="5386" width="11.90625" bestFit="1" customWidth="1"/>
    <col min="5388" max="5388" width="10.26953125" bestFit="1" customWidth="1"/>
    <col min="5389" max="5389" width="11.26953125" customWidth="1"/>
    <col min="5390" max="5390" width="5" customWidth="1"/>
    <col min="5391" max="5396" width="15" customWidth="1"/>
    <col min="5636" max="5636" width="5.08984375" customWidth="1"/>
    <col min="5637" max="5637" width="41.7265625" customWidth="1"/>
    <col min="5638" max="5638" width="14.7265625" customWidth="1"/>
    <col min="5639" max="5639" width="14.90625" customWidth="1"/>
    <col min="5640" max="5641" width="11.7265625" customWidth="1"/>
    <col min="5642" max="5642" width="11.90625" bestFit="1" customWidth="1"/>
    <col min="5644" max="5644" width="10.26953125" bestFit="1" customWidth="1"/>
    <col min="5645" max="5645" width="11.26953125" customWidth="1"/>
    <col min="5646" max="5646" width="5" customWidth="1"/>
    <col min="5647" max="5652" width="15" customWidth="1"/>
    <col min="5892" max="5892" width="5.08984375" customWidth="1"/>
    <col min="5893" max="5893" width="41.7265625" customWidth="1"/>
    <col min="5894" max="5894" width="14.7265625" customWidth="1"/>
    <col min="5895" max="5895" width="14.90625" customWidth="1"/>
    <col min="5896" max="5897" width="11.7265625" customWidth="1"/>
    <col min="5898" max="5898" width="11.90625" bestFit="1" customWidth="1"/>
    <col min="5900" max="5900" width="10.26953125" bestFit="1" customWidth="1"/>
    <col min="5901" max="5901" width="11.26953125" customWidth="1"/>
    <col min="5902" max="5902" width="5" customWidth="1"/>
    <col min="5903" max="5908" width="15" customWidth="1"/>
    <col min="6148" max="6148" width="5.08984375" customWidth="1"/>
    <col min="6149" max="6149" width="41.7265625" customWidth="1"/>
    <col min="6150" max="6150" width="14.7265625" customWidth="1"/>
    <col min="6151" max="6151" width="14.90625" customWidth="1"/>
    <col min="6152" max="6153" width="11.7265625" customWidth="1"/>
    <col min="6154" max="6154" width="11.90625" bestFit="1" customWidth="1"/>
    <col min="6156" max="6156" width="10.26953125" bestFit="1" customWidth="1"/>
    <col min="6157" max="6157" width="11.26953125" customWidth="1"/>
    <col min="6158" max="6158" width="5" customWidth="1"/>
    <col min="6159" max="6164" width="15" customWidth="1"/>
    <col min="6404" max="6404" width="5.08984375" customWidth="1"/>
    <col min="6405" max="6405" width="41.7265625" customWidth="1"/>
    <col min="6406" max="6406" width="14.7265625" customWidth="1"/>
    <col min="6407" max="6407" width="14.90625" customWidth="1"/>
    <col min="6408" max="6409" width="11.7265625" customWidth="1"/>
    <col min="6410" max="6410" width="11.90625" bestFit="1" customWidth="1"/>
    <col min="6412" max="6412" width="10.26953125" bestFit="1" customWidth="1"/>
    <col min="6413" max="6413" width="11.26953125" customWidth="1"/>
    <col min="6414" max="6414" width="5" customWidth="1"/>
    <col min="6415" max="6420" width="15" customWidth="1"/>
    <col min="6660" max="6660" width="5.08984375" customWidth="1"/>
    <col min="6661" max="6661" width="41.7265625" customWidth="1"/>
    <col min="6662" max="6662" width="14.7265625" customWidth="1"/>
    <col min="6663" max="6663" width="14.90625" customWidth="1"/>
    <col min="6664" max="6665" width="11.7265625" customWidth="1"/>
    <col min="6666" max="6666" width="11.90625" bestFit="1" customWidth="1"/>
    <col min="6668" max="6668" width="10.26953125" bestFit="1" customWidth="1"/>
    <col min="6669" max="6669" width="11.26953125" customWidth="1"/>
    <col min="6670" max="6670" width="5" customWidth="1"/>
    <col min="6671" max="6676" width="15" customWidth="1"/>
    <col min="6916" max="6916" width="5.08984375" customWidth="1"/>
    <col min="6917" max="6917" width="41.7265625" customWidth="1"/>
    <col min="6918" max="6918" width="14.7265625" customWidth="1"/>
    <col min="6919" max="6919" width="14.90625" customWidth="1"/>
    <col min="6920" max="6921" width="11.7265625" customWidth="1"/>
    <col min="6922" max="6922" width="11.90625" bestFit="1" customWidth="1"/>
    <col min="6924" max="6924" width="10.26953125" bestFit="1" customWidth="1"/>
    <col min="6925" max="6925" width="11.26953125" customWidth="1"/>
    <col min="6926" max="6926" width="5" customWidth="1"/>
    <col min="6927" max="6932" width="15" customWidth="1"/>
    <col min="7172" max="7172" width="5.08984375" customWidth="1"/>
    <col min="7173" max="7173" width="41.7265625" customWidth="1"/>
    <col min="7174" max="7174" width="14.7265625" customWidth="1"/>
    <col min="7175" max="7175" width="14.90625" customWidth="1"/>
    <col min="7176" max="7177" width="11.7265625" customWidth="1"/>
    <col min="7178" max="7178" width="11.90625" bestFit="1" customWidth="1"/>
    <col min="7180" max="7180" width="10.26953125" bestFit="1" customWidth="1"/>
    <col min="7181" max="7181" width="11.26953125" customWidth="1"/>
    <col min="7182" max="7182" width="5" customWidth="1"/>
    <col min="7183" max="7188" width="15" customWidth="1"/>
    <col min="7428" max="7428" width="5.08984375" customWidth="1"/>
    <col min="7429" max="7429" width="41.7265625" customWidth="1"/>
    <col min="7430" max="7430" width="14.7265625" customWidth="1"/>
    <col min="7431" max="7431" width="14.90625" customWidth="1"/>
    <col min="7432" max="7433" width="11.7265625" customWidth="1"/>
    <col min="7434" max="7434" width="11.90625" bestFit="1" customWidth="1"/>
    <col min="7436" max="7436" width="10.26953125" bestFit="1" customWidth="1"/>
    <col min="7437" max="7437" width="11.26953125" customWidth="1"/>
    <col min="7438" max="7438" width="5" customWidth="1"/>
    <col min="7439" max="7444" width="15" customWidth="1"/>
    <col min="7684" max="7684" width="5.08984375" customWidth="1"/>
    <col min="7685" max="7685" width="41.7265625" customWidth="1"/>
    <col min="7686" max="7686" width="14.7265625" customWidth="1"/>
    <col min="7687" max="7687" width="14.90625" customWidth="1"/>
    <col min="7688" max="7689" width="11.7265625" customWidth="1"/>
    <col min="7690" max="7690" width="11.90625" bestFit="1" customWidth="1"/>
    <col min="7692" max="7692" width="10.26953125" bestFit="1" customWidth="1"/>
    <col min="7693" max="7693" width="11.26953125" customWidth="1"/>
    <col min="7694" max="7694" width="5" customWidth="1"/>
    <col min="7695" max="7700" width="15" customWidth="1"/>
    <col min="7940" max="7940" width="5.08984375" customWidth="1"/>
    <col min="7941" max="7941" width="41.7265625" customWidth="1"/>
    <col min="7942" max="7942" width="14.7265625" customWidth="1"/>
    <col min="7943" max="7943" width="14.90625" customWidth="1"/>
    <col min="7944" max="7945" width="11.7265625" customWidth="1"/>
    <col min="7946" max="7946" width="11.90625" bestFit="1" customWidth="1"/>
    <col min="7948" max="7948" width="10.26953125" bestFit="1" customWidth="1"/>
    <col min="7949" max="7949" width="11.26953125" customWidth="1"/>
    <col min="7950" max="7950" width="5" customWidth="1"/>
    <col min="7951" max="7956" width="15" customWidth="1"/>
    <col min="8196" max="8196" width="5.08984375" customWidth="1"/>
    <col min="8197" max="8197" width="41.7265625" customWidth="1"/>
    <col min="8198" max="8198" width="14.7265625" customWidth="1"/>
    <col min="8199" max="8199" width="14.90625" customWidth="1"/>
    <col min="8200" max="8201" width="11.7265625" customWidth="1"/>
    <col min="8202" max="8202" width="11.90625" bestFit="1" customWidth="1"/>
    <col min="8204" max="8204" width="10.26953125" bestFit="1" customWidth="1"/>
    <col min="8205" max="8205" width="11.26953125" customWidth="1"/>
    <col min="8206" max="8206" width="5" customWidth="1"/>
    <col min="8207" max="8212" width="15" customWidth="1"/>
    <col min="8452" max="8452" width="5.08984375" customWidth="1"/>
    <col min="8453" max="8453" width="41.7265625" customWidth="1"/>
    <col min="8454" max="8454" width="14.7265625" customWidth="1"/>
    <col min="8455" max="8455" width="14.90625" customWidth="1"/>
    <col min="8456" max="8457" width="11.7265625" customWidth="1"/>
    <col min="8458" max="8458" width="11.90625" bestFit="1" customWidth="1"/>
    <col min="8460" max="8460" width="10.26953125" bestFit="1" customWidth="1"/>
    <col min="8461" max="8461" width="11.26953125" customWidth="1"/>
    <col min="8462" max="8462" width="5" customWidth="1"/>
    <col min="8463" max="8468" width="15" customWidth="1"/>
    <col min="8708" max="8708" width="5.08984375" customWidth="1"/>
    <col min="8709" max="8709" width="41.7265625" customWidth="1"/>
    <col min="8710" max="8710" width="14.7265625" customWidth="1"/>
    <col min="8711" max="8711" width="14.90625" customWidth="1"/>
    <col min="8712" max="8713" width="11.7265625" customWidth="1"/>
    <col min="8714" max="8714" width="11.90625" bestFit="1" customWidth="1"/>
    <col min="8716" max="8716" width="10.26953125" bestFit="1" customWidth="1"/>
    <col min="8717" max="8717" width="11.26953125" customWidth="1"/>
    <col min="8718" max="8718" width="5" customWidth="1"/>
    <col min="8719" max="8724" width="15" customWidth="1"/>
    <col min="8964" max="8964" width="5.08984375" customWidth="1"/>
    <col min="8965" max="8965" width="41.7265625" customWidth="1"/>
    <col min="8966" max="8966" width="14.7265625" customWidth="1"/>
    <col min="8967" max="8967" width="14.90625" customWidth="1"/>
    <col min="8968" max="8969" width="11.7265625" customWidth="1"/>
    <col min="8970" max="8970" width="11.90625" bestFit="1" customWidth="1"/>
    <col min="8972" max="8972" width="10.26953125" bestFit="1" customWidth="1"/>
    <col min="8973" max="8973" width="11.26953125" customWidth="1"/>
    <col min="8974" max="8974" width="5" customWidth="1"/>
    <col min="8975" max="8980" width="15" customWidth="1"/>
    <col min="9220" max="9220" width="5.08984375" customWidth="1"/>
    <col min="9221" max="9221" width="41.7265625" customWidth="1"/>
    <col min="9222" max="9222" width="14.7265625" customWidth="1"/>
    <col min="9223" max="9223" width="14.90625" customWidth="1"/>
    <col min="9224" max="9225" width="11.7265625" customWidth="1"/>
    <col min="9226" max="9226" width="11.90625" bestFit="1" customWidth="1"/>
    <col min="9228" max="9228" width="10.26953125" bestFit="1" customWidth="1"/>
    <col min="9229" max="9229" width="11.26953125" customWidth="1"/>
    <col min="9230" max="9230" width="5" customWidth="1"/>
    <col min="9231" max="9236" width="15" customWidth="1"/>
    <col min="9476" max="9476" width="5.08984375" customWidth="1"/>
    <col min="9477" max="9477" width="41.7265625" customWidth="1"/>
    <col min="9478" max="9478" width="14.7265625" customWidth="1"/>
    <col min="9479" max="9479" width="14.90625" customWidth="1"/>
    <col min="9480" max="9481" width="11.7265625" customWidth="1"/>
    <col min="9482" max="9482" width="11.90625" bestFit="1" customWidth="1"/>
    <col min="9484" max="9484" width="10.26953125" bestFit="1" customWidth="1"/>
    <col min="9485" max="9485" width="11.26953125" customWidth="1"/>
    <col min="9486" max="9486" width="5" customWidth="1"/>
    <col min="9487" max="9492" width="15" customWidth="1"/>
    <col min="9732" max="9732" width="5.08984375" customWidth="1"/>
    <col min="9733" max="9733" width="41.7265625" customWidth="1"/>
    <col min="9734" max="9734" width="14.7265625" customWidth="1"/>
    <col min="9735" max="9735" width="14.90625" customWidth="1"/>
    <col min="9736" max="9737" width="11.7265625" customWidth="1"/>
    <col min="9738" max="9738" width="11.90625" bestFit="1" customWidth="1"/>
    <col min="9740" max="9740" width="10.26953125" bestFit="1" customWidth="1"/>
    <col min="9741" max="9741" width="11.26953125" customWidth="1"/>
    <col min="9742" max="9742" width="5" customWidth="1"/>
    <col min="9743" max="9748" width="15" customWidth="1"/>
    <col min="9988" max="9988" width="5.08984375" customWidth="1"/>
    <col min="9989" max="9989" width="41.7265625" customWidth="1"/>
    <col min="9990" max="9990" width="14.7265625" customWidth="1"/>
    <col min="9991" max="9991" width="14.90625" customWidth="1"/>
    <col min="9992" max="9993" width="11.7265625" customWidth="1"/>
    <col min="9994" max="9994" width="11.90625" bestFit="1" customWidth="1"/>
    <col min="9996" max="9996" width="10.26953125" bestFit="1" customWidth="1"/>
    <col min="9997" max="9997" width="11.26953125" customWidth="1"/>
    <col min="9998" max="9998" width="5" customWidth="1"/>
    <col min="9999" max="10004" width="15" customWidth="1"/>
    <col min="10244" max="10244" width="5.08984375" customWidth="1"/>
    <col min="10245" max="10245" width="41.7265625" customWidth="1"/>
    <col min="10246" max="10246" width="14.7265625" customWidth="1"/>
    <col min="10247" max="10247" width="14.90625" customWidth="1"/>
    <col min="10248" max="10249" width="11.7265625" customWidth="1"/>
    <col min="10250" max="10250" width="11.90625" bestFit="1" customWidth="1"/>
    <col min="10252" max="10252" width="10.26953125" bestFit="1" customWidth="1"/>
    <col min="10253" max="10253" width="11.26953125" customWidth="1"/>
    <col min="10254" max="10254" width="5" customWidth="1"/>
    <col min="10255" max="10260" width="15" customWidth="1"/>
    <col min="10500" max="10500" width="5.08984375" customWidth="1"/>
    <col min="10501" max="10501" width="41.7265625" customWidth="1"/>
    <col min="10502" max="10502" width="14.7265625" customWidth="1"/>
    <col min="10503" max="10503" width="14.90625" customWidth="1"/>
    <col min="10504" max="10505" width="11.7265625" customWidth="1"/>
    <col min="10506" max="10506" width="11.90625" bestFit="1" customWidth="1"/>
    <col min="10508" max="10508" width="10.26953125" bestFit="1" customWidth="1"/>
    <col min="10509" max="10509" width="11.26953125" customWidth="1"/>
    <col min="10510" max="10510" width="5" customWidth="1"/>
    <col min="10511" max="10516" width="15" customWidth="1"/>
    <col min="10756" max="10756" width="5.08984375" customWidth="1"/>
    <col min="10757" max="10757" width="41.7265625" customWidth="1"/>
    <col min="10758" max="10758" width="14.7265625" customWidth="1"/>
    <col min="10759" max="10759" width="14.90625" customWidth="1"/>
    <col min="10760" max="10761" width="11.7265625" customWidth="1"/>
    <col min="10762" max="10762" width="11.90625" bestFit="1" customWidth="1"/>
    <col min="10764" max="10764" width="10.26953125" bestFit="1" customWidth="1"/>
    <col min="10765" max="10765" width="11.26953125" customWidth="1"/>
    <col min="10766" max="10766" width="5" customWidth="1"/>
    <col min="10767" max="10772" width="15" customWidth="1"/>
    <col min="11012" max="11012" width="5.08984375" customWidth="1"/>
    <col min="11013" max="11013" width="41.7265625" customWidth="1"/>
    <col min="11014" max="11014" width="14.7265625" customWidth="1"/>
    <col min="11015" max="11015" width="14.90625" customWidth="1"/>
    <col min="11016" max="11017" width="11.7265625" customWidth="1"/>
    <col min="11018" max="11018" width="11.90625" bestFit="1" customWidth="1"/>
    <col min="11020" max="11020" width="10.26953125" bestFit="1" customWidth="1"/>
    <col min="11021" max="11021" width="11.26953125" customWidth="1"/>
    <col min="11022" max="11022" width="5" customWidth="1"/>
    <col min="11023" max="11028" width="15" customWidth="1"/>
    <col min="11268" max="11268" width="5.08984375" customWidth="1"/>
    <col min="11269" max="11269" width="41.7265625" customWidth="1"/>
    <col min="11270" max="11270" width="14.7265625" customWidth="1"/>
    <col min="11271" max="11271" width="14.90625" customWidth="1"/>
    <col min="11272" max="11273" width="11.7265625" customWidth="1"/>
    <col min="11274" max="11274" width="11.90625" bestFit="1" customWidth="1"/>
    <col min="11276" max="11276" width="10.26953125" bestFit="1" customWidth="1"/>
    <col min="11277" max="11277" width="11.26953125" customWidth="1"/>
    <col min="11278" max="11278" width="5" customWidth="1"/>
    <col min="11279" max="11284" width="15" customWidth="1"/>
    <col min="11524" max="11524" width="5.08984375" customWidth="1"/>
    <col min="11525" max="11525" width="41.7265625" customWidth="1"/>
    <col min="11526" max="11526" width="14.7265625" customWidth="1"/>
    <col min="11527" max="11527" width="14.90625" customWidth="1"/>
    <col min="11528" max="11529" width="11.7265625" customWidth="1"/>
    <col min="11530" max="11530" width="11.90625" bestFit="1" customWidth="1"/>
    <col min="11532" max="11532" width="10.26953125" bestFit="1" customWidth="1"/>
    <col min="11533" max="11533" width="11.26953125" customWidth="1"/>
    <col min="11534" max="11534" width="5" customWidth="1"/>
    <col min="11535" max="11540" width="15" customWidth="1"/>
    <col min="11780" max="11780" width="5.08984375" customWidth="1"/>
    <col min="11781" max="11781" width="41.7265625" customWidth="1"/>
    <col min="11782" max="11782" width="14.7265625" customWidth="1"/>
    <col min="11783" max="11783" width="14.90625" customWidth="1"/>
    <col min="11784" max="11785" width="11.7265625" customWidth="1"/>
    <col min="11786" max="11786" width="11.90625" bestFit="1" customWidth="1"/>
    <col min="11788" max="11788" width="10.26953125" bestFit="1" customWidth="1"/>
    <col min="11789" max="11789" width="11.26953125" customWidth="1"/>
    <col min="11790" max="11790" width="5" customWidth="1"/>
    <col min="11791" max="11796" width="15" customWidth="1"/>
    <col min="12036" max="12036" width="5.08984375" customWidth="1"/>
    <col min="12037" max="12037" width="41.7265625" customWidth="1"/>
    <col min="12038" max="12038" width="14.7265625" customWidth="1"/>
    <col min="12039" max="12039" width="14.90625" customWidth="1"/>
    <col min="12040" max="12041" width="11.7265625" customWidth="1"/>
    <col min="12042" max="12042" width="11.90625" bestFit="1" customWidth="1"/>
    <col min="12044" max="12044" width="10.26953125" bestFit="1" customWidth="1"/>
    <col min="12045" max="12045" width="11.26953125" customWidth="1"/>
    <col min="12046" max="12046" width="5" customWidth="1"/>
    <col min="12047" max="12052" width="15" customWidth="1"/>
    <col min="12292" max="12292" width="5.08984375" customWidth="1"/>
    <col min="12293" max="12293" width="41.7265625" customWidth="1"/>
    <col min="12294" max="12294" width="14.7265625" customWidth="1"/>
    <col min="12295" max="12295" width="14.90625" customWidth="1"/>
    <col min="12296" max="12297" width="11.7265625" customWidth="1"/>
    <col min="12298" max="12298" width="11.90625" bestFit="1" customWidth="1"/>
    <col min="12300" max="12300" width="10.26953125" bestFit="1" customWidth="1"/>
    <col min="12301" max="12301" width="11.26953125" customWidth="1"/>
    <col min="12302" max="12302" width="5" customWidth="1"/>
    <col min="12303" max="12308" width="15" customWidth="1"/>
    <col min="12548" max="12548" width="5.08984375" customWidth="1"/>
    <col min="12549" max="12549" width="41.7265625" customWidth="1"/>
    <col min="12550" max="12550" width="14.7265625" customWidth="1"/>
    <col min="12551" max="12551" width="14.90625" customWidth="1"/>
    <col min="12552" max="12553" width="11.7265625" customWidth="1"/>
    <col min="12554" max="12554" width="11.90625" bestFit="1" customWidth="1"/>
    <col min="12556" max="12556" width="10.26953125" bestFit="1" customWidth="1"/>
    <col min="12557" max="12557" width="11.26953125" customWidth="1"/>
    <col min="12558" max="12558" width="5" customWidth="1"/>
    <col min="12559" max="12564" width="15" customWidth="1"/>
    <col min="12804" max="12804" width="5.08984375" customWidth="1"/>
    <col min="12805" max="12805" width="41.7265625" customWidth="1"/>
    <col min="12806" max="12806" width="14.7265625" customWidth="1"/>
    <col min="12807" max="12807" width="14.90625" customWidth="1"/>
    <col min="12808" max="12809" width="11.7265625" customWidth="1"/>
    <col min="12810" max="12810" width="11.90625" bestFit="1" customWidth="1"/>
    <col min="12812" max="12812" width="10.26953125" bestFit="1" customWidth="1"/>
    <col min="12813" max="12813" width="11.26953125" customWidth="1"/>
    <col min="12814" max="12814" width="5" customWidth="1"/>
    <col min="12815" max="12820" width="15" customWidth="1"/>
    <col min="13060" max="13060" width="5.08984375" customWidth="1"/>
    <col min="13061" max="13061" width="41.7265625" customWidth="1"/>
    <col min="13062" max="13062" width="14.7265625" customWidth="1"/>
    <col min="13063" max="13063" width="14.90625" customWidth="1"/>
    <col min="13064" max="13065" width="11.7265625" customWidth="1"/>
    <col min="13066" max="13066" width="11.90625" bestFit="1" customWidth="1"/>
    <col min="13068" max="13068" width="10.26953125" bestFit="1" customWidth="1"/>
    <col min="13069" max="13069" width="11.26953125" customWidth="1"/>
    <col min="13070" max="13070" width="5" customWidth="1"/>
    <col min="13071" max="13076" width="15" customWidth="1"/>
    <col min="13316" max="13316" width="5.08984375" customWidth="1"/>
    <col min="13317" max="13317" width="41.7265625" customWidth="1"/>
    <col min="13318" max="13318" width="14.7265625" customWidth="1"/>
    <col min="13319" max="13319" width="14.90625" customWidth="1"/>
    <col min="13320" max="13321" width="11.7265625" customWidth="1"/>
    <col min="13322" max="13322" width="11.90625" bestFit="1" customWidth="1"/>
    <col min="13324" max="13324" width="10.26953125" bestFit="1" customWidth="1"/>
    <col min="13325" max="13325" width="11.26953125" customWidth="1"/>
    <col min="13326" max="13326" width="5" customWidth="1"/>
    <col min="13327" max="13332" width="15" customWidth="1"/>
    <col min="13572" max="13572" width="5.08984375" customWidth="1"/>
    <col min="13573" max="13573" width="41.7265625" customWidth="1"/>
    <col min="13574" max="13574" width="14.7265625" customWidth="1"/>
    <col min="13575" max="13575" width="14.90625" customWidth="1"/>
    <col min="13576" max="13577" width="11.7265625" customWidth="1"/>
    <col min="13578" max="13578" width="11.90625" bestFit="1" customWidth="1"/>
    <col min="13580" max="13580" width="10.26953125" bestFit="1" customWidth="1"/>
    <col min="13581" max="13581" width="11.26953125" customWidth="1"/>
    <col min="13582" max="13582" width="5" customWidth="1"/>
    <col min="13583" max="13588" width="15" customWidth="1"/>
    <col min="13828" max="13828" width="5.08984375" customWidth="1"/>
    <col min="13829" max="13829" width="41.7265625" customWidth="1"/>
    <col min="13830" max="13830" width="14.7265625" customWidth="1"/>
    <col min="13831" max="13831" width="14.90625" customWidth="1"/>
    <col min="13832" max="13833" width="11.7265625" customWidth="1"/>
    <col min="13834" max="13834" width="11.90625" bestFit="1" customWidth="1"/>
    <col min="13836" max="13836" width="10.26953125" bestFit="1" customWidth="1"/>
    <col min="13837" max="13837" width="11.26953125" customWidth="1"/>
    <col min="13838" max="13838" width="5" customWidth="1"/>
    <col min="13839" max="13844" width="15" customWidth="1"/>
    <col min="14084" max="14084" width="5.08984375" customWidth="1"/>
    <col min="14085" max="14085" width="41.7265625" customWidth="1"/>
    <col min="14086" max="14086" width="14.7265625" customWidth="1"/>
    <col min="14087" max="14087" width="14.90625" customWidth="1"/>
    <col min="14088" max="14089" width="11.7265625" customWidth="1"/>
    <col min="14090" max="14090" width="11.90625" bestFit="1" customWidth="1"/>
    <col min="14092" max="14092" width="10.26953125" bestFit="1" customWidth="1"/>
    <col min="14093" max="14093" width="11.26953125" customWidth="1"/>
    <col min="14094" max="14094" width="5" customWidth="1"/>
    <col min="14095" max="14100" width="15" customWidth="1"/>
    <col min="14340" max="14340" width="5.08984375" customWidth="1"/>
    <col min="14341" max="14341" width="41.7265625" customWidth="1"/>
    <col min="14342" max="14342" width="14.7265625" customWidth="1"/>
    <col min="14343" max="14343" width="14.90625" customWidth="1"/>
    <col min="14344" max="14345" width="11.7265625" customWidth="1"/>
    <col min="14346" max="14346" width="11.90625" bestFit="1" customWidth="1"/>
    <col min="14348" max="14348" width="10.26953125" bestFit="1" customWidth="1"/>
    <col min="14349" max="14349" width="11.26953125" customWidth="1"/>
    <col min="14350" max="14350" width="5" customWidth="1"/>
    <col min="14351" max="14356" width="15" customWidth="1"/>
    <col min="14596" max="14596" width="5.08984375" customWidth="1"/>
    <col min="14597" max="14597" width="41.7265625" customWidth="1"/>
    <col min="14598" max="14598" width="14.7265625" customWidth="1"/>
    <col min="14599" max="14599" width="14.90625" customWidth="1"/>
    <col min="14600" max="14601" width="11.7265625" customWidth="1"/>
    <col min="14602" max="14602" width="11.90625" bestFit="1" customWidth="1"/>
    <col min="14604" max="14604" width="10.26953125" bestFit="1" customWidth="1"/>
    <col min="14605" max="14605" width="11.26953125" customWidth="1"/>
    <col min="14606" max="14606" width="5" customWidth="1"/>
    <col min="14607" max="14612" width="15" customWidth="1"/>
    <col min="14852" max="14852" width="5.08984375" customWidth="1"/>
    <col min="14853" max="14853" width="41.7265625" customWidth="1"/>
    <col min="14854" max="14854" width="14.7265625" customWidth="1"/>
    <col min="14855" max="14855" width="14.90625" customWidth="1"/>
    <col min="14856" max="14857" width="11.7265625" customWidth="1"/>
    <col min="14858" max="14858" width="11.90625" bestFit="1" customWidth="1"/>
    <col min="14860" max="14860" width="10.26953125" bestFit="1" customWidth="1"/>
    <col min="14861" max="14861" width="11.26953125" customWidth="1"/>
    <col min="14862" max="14862" width="5" customWidth="1"/>
    <col min="14863" max="14868" width="15" customWidth="1"/>
    <col min="15108" max="15108" width="5.08984375" customWidth="1"/>
    <col min="15109" max="15109" width="41.7265625" customWidth="1"/>
    <col min="15110" max="15110" width="14.7265625" customWidth="1"/>
    <col min="15111" max="15111" width="14.90625" customWidth="1"/>
    <col min="15112" max="15113" width="11.7265625" customWidth="1"/>
    <col min="15114" max="15114" width="11.90625" bestFit="1" customWidth="1"/>
    <col min="15116" max="15116" width="10.26953125" bestFit="1" customWidth="1"/>
    <col min="15117" max="15117" width="11.26953125" customWidth="1"/>
    <col min="15118" max="15118" width="5" customWidth="1"/>
    <col min="15119" max="15124" width="15" customWidth="1"/>
    <col min="15364" max="15364" width="5.08984375" customWidth="1"/>
    <col min="15365" max="15365" width="41.7265625" customWidth="1"/>
    <col min="15366" max="15366" width="14.7265625" customWidth="1"/>
    <col min="15367" max="15367" width="14.90625" customWidth="1"/>
    <col min="15368" max="15369" width="11.7265625" customWidth="1"/>
    <col min="15370" max="15370" width="11.90625" bestFit="1" customWidth="1"/>
    <col min="15372" max="15372" width="10.26953125" bestFit="1" customWidth="1"/>
    <col min="15373" max="15373" width="11.26953125" customWidth="1"/>
    <col min="15374" max="15374" width="5" customWidth="1"/>
    <col min="15375" max="15380" width="15" customWidth="1"/>
    <col min="15620" max="15620" width="5.08984375" customWidth="1"/>
    <col min="15621" max="15621" width="41.7265625" customWidth="1"/>
    <col min="15622" max="15622" width="14.7265625" customWidth="1"/>
    <col min="15623" max="15623" width="14.90625" customWidth="1"/>
    <col min="15624" max="15625" width="11.7265625" customWidth="1"/>
    <col min="15626" max="15626" width="11.90625" bestFit="1" customWidth="1"/>
    <col min="15628" max="15628" width="10.26953125" bestFit="1" customWidth="1"/>
    <col min="15629" max="15629" width="11.26953125" customWidth="1"/>
    <col min="15630" max="15630" width="5" customWidth="1"/>
    <col min="15631" max="15636" width="15" customWidth="1"/>
    <col min="15876" max="15876" width="5.08984375" customWidth="1"/>
    <col min="15877" max="15877" width="41.7265625" customWidth="1"/>
    <col min="15878" max="15878" width="14.7265625" customWidth="1"/>
    <col min="15879" max="15879" width="14.90625" customWidth="1"/>
    <col min="15880" max="15881" width="11.7265625" customWidth="1"/>
    <col min="15882" max="15882" width="11.90625" bestFit="1" customWidth="1"/>
    <col min="15884" max="15884" width="10.26953125" bestFit="1" customWidth="1"/>
    <col min="15885" max="15885" width="11.26953125" customWidth="1"/>
    <col min="15886" max="15886" width="5" customWidth="1"/>
    <col min="15887" max="15892" width="15" customWidth="1"/>
    <col min="16132" max="16132" width="5.08984375" customWidth="1"/>
    <col min="16133" max="16133" width="41.7265625" customWidth="1"/>
    <col min="16134" max="16134" width="14.7265625" customWidth="1"/>
    <col min="16135" max="16135" width="14.90625" customWidth="1"/>
    <col min="16136" max="16137" width="11.7265625" customWidth="1"/>
    <col min="16138" max="16138" width="11.90625" bestFit="1" customWidth="1"/>
    <col min="16140" max="16140" width="10.26953125" bestFit="1" customWidth="1"/>
    <col min="16141" max="16141" width="11.26953125" customWidth="1"/>
    <col min="16142" max="16142" width="5" customWidth="1"/>
    <col min="16143" max="16148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8"/>
      <c r="M1" s="1"/>
      <c r="N1" s="1"/>
      <c r="O1" s="1"/>
      <c r="P1" s="1"/>
      <c r="Q1" s="1"/>
      <c r="R1" s="1"/>
      <c r="S1" s="1"/>
      <c r="T1" s="1"/>
      <c r="U1" s="1"/>
    </row>
    <row r="2" spans="1:2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R2" s="1"/>
      <c r="S2" s="1"/>
      <c r="T2" s="1"/>
      <c r="U2" s="1"/>
    </row>
    <row r="3" spans="1:21" x14ac:dyDescent="0.35">
      <c r="A3" s="9"/>
      <c r="B3" s="7" t="s">
        <v>192</v>
      </c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R3" s="1"/>
      <c r="S3" s="1"/>
      <c r="T3" s="1"/>
      <c r="U3" s="1"/>
    </row>
    <row r="4" spans="1:21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</row>
    <row r="5" spans="1:21" ht="21.75" customHeight="1" x14ac:dyDescent="0.35">
      <c r="A5" s="9"/>
      <c r="B5" s="12" t="s">
        <v>113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1:21" ht="14.5" customHeight="1" x14ac:dyDescent="0.35">
      <c r="A6" s="299">
        <f>ROW()</f>
        <v>6</v>
      </c>
      <c r="B6" s="64" t="s">
        <v>9</v>
      </c>
      <c r="C6" s="65"/>
      <c r="D6" s="65"/>
      <c r="E6" s="65"/>
      <c r="F6" s="65"/>
      <c r="G6" s="65"/>
      <c r="H6" s="65"/>
      <c r="I6" s="77" t="s">
        <v>10</v>
      </c>
      <c r="J6" s="175" t="s">
        <v>11</v>
      </c>
      <c r="K6" s="176"/>
      <c r="L6" s="176"/>
      <c r="M6" s="176"/>
      <c r="N6" s="176"/>
      <c r="O6" s="176"/>
      <c r="P6" s="176"/>
      <c r="Q6" s="176"/>
    </row>
    <row r="7" spans="1:21" ht="14.5" customHeight="1" x14ac:dyDescent="0.35">
      <c r="A7" s="299">
        <f>ROW()</f>
        <v>7</v>
      </c>
      <c r="C7" s="65"/>
      <c r="D7" s="66"/>
      <c r="E7" s="65"/>
      <c r="F7" s="65"/>
      <c r="G7" s="65"/>
      <c r="H7" s="65"/>
      <c r="I7" s="78">
        <f>+Assumptions!D7</f>
        <v>44926</v>
      </c>
      <c r="J7" s="78">
        <f>+Assumptions!E7</f>
        <v>45291</v>
      </c>
      <c r="K7" s="78">
        <f>+Assumptions!F7</f>
        <v>45657</v>
      </c>
      <c r="L7" s="78">
        <f>+Assumptions!G7</f>
        <v>46021</v>
      </c>
      <c r="M7" s="78">
        <f>+Assumptions!H7</f>
        <v>46386</v>
      </c>
      <c r="N7" s="78">
        <f>+Assumptions!I7</f>
        <v>46751</v>
      </c>
      <c r="O7" s="78">
        <f>+Assumptions!J7</f>
        <v>47117</v>
      </c>
      <c r="P7" s="78">
        <f>+Assumptions!K7</f>
        <v>47481</v>
      </c>
      <c r="Q7" s="78">
        <v>47848</v>
      </c>
    </row>
    <row r="8" spans="1:21" ht="14.5" customHeight="1" x14ac:dyDescent="0.35">
      <c r="A8" s="299">
        <f>ROW()</f>
        <v>8</v>
      </c>
      <c r="B8" s="36" t="s">
        <v>12</v>
      </c>
      <c r="C8" s="65"/>
      <c r="D8" s="66"/>
      <c r="E8" s="65"/>
      <c r="F8" s="65"/>
      <c r="G8" s="65"/>
    </row>
    <row r="9" spans="1:21" ht="14.5" customHeight="1" x14ac:dyDescent="0.35">
      <c r="A9" s="299">
        <f>ROW()</f>
        <v>9</v>
      </c>
      <c r="B9" t="s">
        <v>180</v>
      </c>
      <c r="D9" s="66"/>
      <c r="E9" s="65"/>
      <c r="F9" s="65"/>
      <c r="G9" s="65"/>
      <c r="I9" s="263">
        <v>0.03</v>
      </c>
      <c r="J9" s="159">
        <f>+I9+J10</f>
        <v>3.4999999999999996E-2</v>
      </c>
      <c r="K9" s="159">
        <f t="shared" ref="K9:Q9" si="0">+J9+K10</f>
        <v>3.9999999999999994E-2</v>
      </c>
      <c r="L9" s="159">
        <f t="shared" si="0"/>
        <v>4.9999999999999996E-2</v>
      </c>
      <c r="M9" s="159">
        <f t="shared" si="0"/>
        <v>4.9999999999999996E-2</v>
      </c>
      <c r="N9" s="159">
        <f t="shared" si="0"/>
        <v>4.9999999999999996E-2</v>
      </c>
      <c r="O9" s="159">
        <f t="shared" si="0"/>
        <v>4.9999999999999996E-2</v>
      </c>
      <c r="P9" s="159">
        <f t="shared" si="0"/>
        <v>4.9999999999999996E-2</v>
      </c>
      <c r="Q9" s="159">
        <f t="shared" si="0"/>
        <v>4.9999999999999996E-2</v>
      </c>
    </row>
    <row r="10" spans="1:21" ht="14.5" customHeight="1" x14ac:dyDescent="0.35">
      <c r="A10" s="299">
        <f>ROW()</f>
        <v>10</v>
      </c>
      <c r="B10" t="s">
        <v>181</v>
      </c>
      <c r="D10" s="66"/>
      <c r="E10" s="65"/>
      <c r="F10" s="65"/>
      <c r="G10" s="65"/>
      <c r="J10" s="79">
        <v>5.0000000000000001E-3</v>
      </c>
      <c r="K10" s="79">
        <v>5.0000000000000001E-3</v>
      </c>
      <c r="L10" s="79">
        <v>0.01</v>
      </c>
      <c r="M10" s="79">
        <v>0</v>
      </c>
      <c r="N10" s="79">
        <v>0</v>
      </c>
      <c r="O10" s="79">
        <v>0</v>
      </c>
      <c r="P10" s="79">
        <v>0</v>
      </c>
      <c r="Q10" s="79">
        <v>0</v>
      </c>
    </row>
    <row r="11" spans="1:21" ht="14.5" customHeight="1" x14ac:dyDescent="0.35">
      <c r="A11" s="299">
        <f>ROW()</f>
        <v>11</v>
      </c>
    </row>
    <row r="12" spans="1:21" ht="14.5" customHeight="1" x14ac:dyDescent="0.35">
      <c r="A12" s="299">
        <f>ROW()</f>
        <v>12</v>
      </c>
      <c r="B12" s="36" t="s">
        <v>160</v>
      </c>
      <c r="G12" s="31"/>
      <c r="H12" s="6" t="s">
        <v>114</v>
      </c>
      <c r="I12" s="23" t="s">
        <v>115</v>
      </c>
    </row>
    <row r="13" spans="1:21" ht="14.5" customHeight="1" x14ac:dyDescent="0.35">
      <c r="A13" s="299">
        <f>ROW()</f>
        <v>13</v>
      </c>
      <c r="B13" t="s">
        <v>116</v>
      </c>
      <c r="H13" s="264">
        <v>600000</v>
      </c>
      <c r="I13" s="58">
        <v>0</v>
      </c>
      <c r="J13" s="58">
        <f>+H13</f>
        <v>600000</v>
      </c>
      <c r="K13" s="58">
        <f>+J13</f>
        <v>600000</v>
      </c>
      <c r="L13" s="58">
        <f t="shared" ref="L13:Q13" si="1">+K13</f>
        <v>600000</v>
      </c>
      <c r="M13" s="58">
        <f t="shared" si="1"/>
        <v>600000</v>
      </c>
      <c r="N13" s="58">
        <f t="shared" si="1"/>
        <v>600000</v>
      </c>
      <c r="O13" s="58">
        <f t="shared" si="1"/>
        <v>600000</v>
      </c>
      <c r="P13" s="58">
        <f t="shared" si="1"/>
        <v>600000</v>
      </c>
      <c r="Q13" s="58">
        <f t="shared" si="1"/>
        <v>600000</v>
      </c>
    </row>
    <row r="14" spans="1:21" ht="14.5" customHeight="1" x14ac:dyDescent="0.35">
      <c r="A14" s="299">
        <f>ROW()</f>
        <v>14</v>
      </c>
      <c r="B14" t="s">
        <v>117</v>
      </c>
      <c r="H14" s="58"/>
      <c r="I14" s="58"/>
      <c r="J14" s="58">
        <v>0</v>
      </c>
      <c r="K14" s="58">
        <v>0</v>
      </c>
      <c r="L14" s="58">
        <v>0</v>
      </c>
      <c r="M14" s="58">
        <v>0</v>
      </c>
      <c r="N14" s="58">
        <v>0</v>
      </c>
      <c r="O14" s="58">
        <v>0</v>
      </c>
      <c r="P14" s="58">
        <v>0</v>
      </c>
      <c r="Q14" s="58">
        <v>0</v>
      </c>
    </row>
    <row r="15" spans="1:21" ht="14.5" customHeight="1" x14ac:dyDescent="0.35">
      <c r="A15" s="299">
        <f>ROW()</f>
        <v>15</v>
      </c>
      <c r="B15" t="s">
        <v>14</v>
      </c>
      <c r="I15" s="58"/>
      <c r="J15" s="58">
        <v>0</v>
      </c>
      <c r="K15" s="58">
        <v>0</v>
      </c>
      <c r="L15" s="58">
        <v>0</v>
      </c>
      <c r="M15" s="58">
        <v>0</v>
      </c>
      <c r="N15" s="58">
        <v>0</v>
      </c>
      <c r="O15" s="58">
        <v>0</v>
      </c>
      <c r="P15" s="58">
        <v>0</v>
      </c>
      <c r="Q15" s="58">
        <v>0</v>
      </c>
    </row>
    <row r="16" spans="1:21" ht="14.5" customHeight="1" x14ac:dyDescent="0.35">
      <c r="A16" s="299">
        <f>ROW()</f>
        <v>16</v>
      </c>
      <c r="B16" t="s">
        <v>15</v>
      </c>
      <c r="I16" s="58"/>
      <c r="J16" s="58">
        <f>+(J13*J17+J14*J19)</f>
        <v>3000</v>
      </c>
      <c r="K16" s="58">
        <v>2000</v>
      </c>
      <c r="L16" s="58">
        <v>2000</v>
      </c>
      <c r="M16" s="58">
        <v>2000</v>
      </c>
      <c r="N16" s="58">
        <v>2000</v>
      </c>
      <c r="O16" s="58">
        <v>2000</v>
      </c>
      <c r="P16" s="58">
        <v>2000</v>
      </c>
      <c r="Q16" s="58">
        <v>2000</v>
      </c>
    </row>
    <row r="17" spans="1:22" ht="14.5" customHeight="1" x14ac:dyDescent="0.35">
      <c r="A17" s="299">
        <f>ROW()</f>
        <v>17</v>
      </c>
      <c r="B17" t="s">
        <v>118</v>
      </c>
      <c r="I17" s="58"/>
      <c r="J17" s="79">
        <v>5.0000000000000001E-3</v>
      </c>
      <c r="K17" s="79">
        <v>5.0000000000000001E-3</v>
      </c>
      <c r="L17" s="79">
        <v>5.0000000000000001E-3</v>
      </c>
      <c r="M17" s="79">
        <v>5.0000000000000001E-3</v>
      </c>
      <c r="N17" s="79">
        <v>5.0000000000000001E-3</v>
      </c>
      <c r="O17" s="79">
        <v>5.0000000000000001E-3</v>
      </c>
      <c r="P17" s="79">
        <v>5.0000000000000001E-3</v>
      </c>
      <c r="Q17" s="79">
        <v>5.0000000000000001E-3</v>
      </c>
    </row>
    <row r="18" spans="1:22" ht="14.5" customHeight="1" x14ac:dyDescent="0.35">
      <c r="A18" s="299">
        <f>ROW()</f>
        <v>18</v>
      </c>
      <c r="B18" t="s">
        <v>16</v>
      </c>
      <c r="I18" s="58"/>
      <c r="J18" s="79">
        <v>0.04</v>
      </c>
      <c r="K18" s="79">
        <v>0.04</v>
      </c>
      <c r="L18" s="79">
        <v>0.04</v>
      </c>
      <c r="M18" s="79">
        <v>0.04</v>
      </c>
      <c r="N18" s="79">
        <v>0.04</v>
      </c>
      <c r="O18" s="79">
        <v>0.04</v>
      </c>
      <c r="P18" s="79">
        <v>0.04</v>
      </c>
      <c r="Q18" s="79">
        <v>0.04</v>
      </c>
    </row>
    <row r="19" spans="1:22" ht="14.5" customHeight="1" x14ac:dyDescent="0.35">
      <c r="A19" s="299">
        <f>ROW()</f>
        <v>19</v>
      </c>
      <c r="B19" t="s">
        <v>17</v>
      </c>
      <c r="G19" s="163"/>
      <c r="J19" s="159">
        <f>+J18+J9</f>
        <v>7.4999999999999997E-2</v>
      </c>
      <c r="K19" s="159">
        <f t="shared" ref="K19:Q19" si="2">+K18+K9</f>
        <v>7.9999999999999988E-2</v>
      </c>
      <c r="L19" s="159">
        <f t="shared" si="2"/>
        <v>0.09</v>
      </c>
      <c r="M19" s="159">
        <f t="shared" si="2"/>
        <v>0.09</v>
      </c>
      <c r="N19" s="159">
        <f t="shared" si="2"/>
        <v>0.09</v>
      </c>
      <c r="O19" s="159">
        <f t="shared" si="2"/>
        <v>0.09</v>
      </c>
      <c r="P19" s="159">
        <f t="shared" si="2"/>
        <v>0.09</v>
      </c>
      <c r="Q19" s="159">
        <f t="shared" si="2"/>
        <v>0.09</v>
      </c>
    </row>
    <row r="20" spans="1:22" ht="14.5" customHeight="1" x14ac:dyDescent="0.35">
      <c r="A20" s="299">
        <f>ROW()</f>
        <v>20</v>
      </c>
      <c r="J20" s="159"/>
      <c r="K20" s="159"/>
      <c r="L20" s="159"/>
      <c r="M20" s="159"/>
      <c r="N20" s="159"/>
      <c r="O20" s="159"/>
      <c r="P20" s="159"/>
      <c r="Q20" s="159"/>
    </row>
    <row r="21" spans="1:22" ht="14.5" customHeight="1" x14ac:dyDescent="0.35">
      <c r="A21" s="299">
        <f>ROW()</f>
        <v>21</v>
      </c>
      <c r="B21" s="36" t="s">
        <v>3</v>
      </c>
      <c r="G21" s="31"/>
    </row>
    <row r="22" spans="1:22" ht="14.5" customHeight="1" x14ac:dyDescent="0.35">
      <c r="A22" s="299">
        <f>ROW()</f>
        <v>22</v>
      </c>
      <c r="B22" t="s">
        <v>13</v>
      </c>
      <c r="I22" s="58">
        <f>+'Transaction S&amp;U'!C9</f>
        <v>1300000</v>
      </c>
      <c r="J22" s="58">
        <f>+I22+J23</f>
        <v>1300000</v>
      </c>
      <c r="K22" s="58">
        <f t="shared" ref="K22:Q22" si="3">+J22+K23</f>
        <v>1235000</v>
      </c>
      <c r="L22" s="58">
        <f t="shared" si="3"/>
        <v>1105000</v>
      </c>
      <c r="M22" s="58">
        <f t="shared" si="3"/>
        <v>975000</v>
      </c>
      <c r="N22" s="58">
        <f t="shared" si="3"/>
        <v>780000</v>
      </c>
      <c r="O22" s="58">
        <f t="shared" si="3"/>
        <v>0</v>
      </c>
      <c r="P22" s="58">
        <f t="shared" si="3"/>
        <v>0</v>
      </c>
      <c r="Q22" s="58">
        <f t="shared" si="3"/>
        <v>0</v>
      </c>
    </row>
    <row r="23" spans="1:22" ht="14.5" customHeight="1" x14ac:dyDescent="0.35">
      <c r="A23" s="299">
        <f>ROW()</f>
        <v>23</v>
      </c>
      <c r="B23" t="s">
        <v>14</v>
      </c>
      <c r="I23" s="58"/>
      <c r="J23" s="58">
        <v>0</v>
      </c>
      <c r="K23" s="58">
        <f>-K28*$I$22</f>
        <v>-65000</v>
      </c>
      <c r="L23" s="58">
        <f t="shared" ref="L23:Q23" si="4">-L28*$I$22</f>
        <v>-130000</v>
      </c>
      <c r="M23" s="58">
        <f t="shared" si="4"/>
        <v>-130000</v>
      </c>
      <c r="N23" s="58">
        <f t="shared" si="4"/>
        <v>-195000</v>
      </c>
      <c r="O23" s="58">
        <f t="shared" si="4"/>
        <v>-780000</v>
      </c>
      <c r="P23" s="58">
        <f t="shared" si="4"/>
        <v>0</v>
      </c>
      <c r="Q23" s="58">
        <f t="shared" si="4"/>
        <v>0</v>
      </c>
    </row>
    <row r="24" spans="1:22" ht="14.5" customHeight="1" x14ac:dyDescent="0.35">
      <c r="A24" s="299">
        <f>ROW()</f>
        <v>24</v>
      </c>
      <c r="B24" t="s">
        <v>15</v>
      </c>
      <c r="I24" s="58"/>
      <c r="J24" s="58">
        <f>I22*J26</f>
        <v>97500</v>
      </c>
      <c r="K24" s="58">
        <f t="shared" ref="K24:Q24" si="5">J22*K26</f>
        <v>103999.99999999999</v>
      </c>
      <c r="L24" s="58">
        <f t="shared" si="5"/>
        <v>111150</v>
      </c>
      <c r="M24" s="58">
        <f t="shared" si="5"/>
        <v>99450</v>
      </c>
      <c r="N24" s="58">
        <f t="shared" si="5"/>
        <v>87750</v>
      </c>
      <c r="O24" s="58">
        <f t="shared" si="5"/>
        <v>70200</v>
      </c>
      <c r="P24" s="58">
        <f t="shared" si="5"/>
        <v>0</v>
      </c>
      <c r="Q24" s="58">
        <f t="shared" si="5"/>
        <v>0</v>
      </c>
    </row>
    <row r="25" spans="1:22" ht="14.5" customHeight="1" x14ac:dyDescent="0.35">
      <c r="A25" s="299">
        <f>ROW()</f>
        <v>25</v>
      </c>
      <c r="B25" t="s">
        <v>16</v>
      </c>
      <c r="I25" s="58"/>
      <c r="J25" s="79">
        <v>0.04</v>
      </c>
      <c r="K25" s="79">
        <v>0.04</v>
      </c>
      <c r="L25" s="79">
        <v>0.04</v>
      </c>
      <c r="M25" s="79">
        <v>0.04</v>
      </c>
      <c r="N25" s="79">
        <v>0.04</v>
      </c>
      <c r="O25" s="79">
        <v>0.04</v>
      </c>
      <c r="P25" s="79">
        <v>0.04</v>
      </c>
      <c r="Q25" s="79">
        <v>0.04</v>
      </c>
    </row>
    <row r="26" spans="1:22" ht="14.5" customHeight="1" x14ac:dyDescent="0.35">
      <c r="A26" s="299">
        <f>ROW()</f>
        <v>26</v>
      </c>
      <c r="B26" t="s">
        <v>17</v>
      </c>
      <c r="G26" s="163"/>
      <c r="J26" s="159">
        <f>+J25+J9</f>
        <v>7.4999999999999997E-2</v>
      </c>
      <c r="K26" s="159">
        <f t="shared" ref="K26:Q26" si="6">+K25+K9</f>
        <v>7.9999999999999988E-2</v>
      </c>
      <c r="L26" s="159">
        <f t="shared" si="6"/>
        <v>0.09</v>
      </c>
      <c r="M26" s="159">
        <f t="shared" si="6"/>
        <v>0.09</v>
      </c>
      <c r="N26" s="159">
        <f t="shared" si="6"/>
        <v>0.09</v>
      </c>
      <c r="O26" s="159">
        <f t="shared" si="6"/>
        <v>0.09</v>
      </c>
      <c r="P26" s="159">
        <f t="shared" si="6"/>
        <v>0.09</v>
      </c>
      <c r="Q26" s="159">
        <f t="shared" si="6"/>
        <v>0.09</v>
      </c>
    </row>
    <row r="27" spans="1:22" ht="14.5" customHeight="1" x14ac:dyDescent="0.35">
      <c r="A27" s="299">
        <f>ROW()</f>
        <v>27</v>
      </c>
    </row>
    <row r="28" spans="1:22" ht="14.5" customHeight="1" x14ac:dyDescent="0.35">
      <c r="A28" s="299">
        <f>ROW()</f>
        <v>28</v>
      </c>
      <c r="I28" t="s">
        <v>119</v>
      </c>
      <c r="J28" s="159"/>
      <c r="K28" s="79">
        <v>0.05</v>
      </c>
      <c r="L28" s="79">
        <v>0.1</v>
      </c>
      <c r="M28" s="79">
        <v>0.1</v>
      </c>
      <c r="N28" s="79">
        <v>0.15</v>
      </c>
      <c r="O28" s="79">
        <v>0.6</v>
      </c>
      <c r="P28" s="79"/>
      <c r="Q28" s="79"/>
    </row>
    <row r="29" spans="1:22" ht="14.5" customHeight="1" x14ac:dyDescent="0.35">
      <c r="A29" s="299">
        <f>ROW()</f>
        <v>29</v>
      </c>
      <c r="J29" s="159"/>
      <c r="K29" s="159"/>
      <c r="L29" s="159"/>
      <c r="M29" s="159"/>
      <c r="N29" s="159"/>
      <c r="O29" s="159"/>
      <c r="P29" s="159"/>
      <c r="Q29" s="159"/>
    </row>
    <row r="30" spans="1:22" ht="14.5" customHeight="1" x14ac:dyDescent="0.35">
      <c r="A30" s="299">
        <f>ROW()</f>
        <v>30</v>
      </c>
      <c r="B30" s="36" t="s">
        <v>4</v>
      </c>
      <c r="I30" s="58"/>
      <c r="J30" s="58"/>
      <c r="K30" s="58"/>
      <c r="L30" s="58"/>
      <c r="M30" s="58"/>
      <c r="N30" s="58"/>
      <c r="O30" s="58"/>
      <c r="P30" s="58"/>
      <c r="Q30" s="58"/>
    </row>
    <row r="31" spans="1:22" ht="14.5" customHeight="1" x14ac:dyDescent="0.35">
      <c r="A31" s="299">
        <f>ROW()</f>
        <v>31</v>
      </c>
      <c r="B31" t="s">
        <v>13</v>
      </c>
      <c r="I31" s="58">
        <f>+'Transaction S&amp;U'!C10</f>
        <v>1600000</v>
      </c>
      <c r="J31" s="58">
        <f>+I31+J32</f>
        <v>1600000</v>
      </c>
      <c r="K31" s="58">
        <f t="shared" ref="K31:Q31" si="7">+J31+K32</f>
        <v>1584000</v>
      </c>
      <c r="L31" s="58">
        <f t="shared" si="7"/>
        <v>1568000</v>
      </c>
      <c r="M31" s="58">
        <f t="shared" si="7"/>
        <v>1552000</v>
      </c>
      <c r="N31" s="58">
        <f t="shared" si="7"/>
        <v>1536000</v>
      </c>
      <c r="O31" s="58">
        <f t="shared" si="7"/>
        <v>1520000</v>
      </c>
      <c r="P31" s="58">
        <f t="shared" si="7"/>
        <v>1504000</v>
      </c>
      <c r="Q31" s="58">
        <f t="shared" si="7"/>
        <v>0</v>
      </c>
    </row>
    <row r="32" spans="1:22" ht="14.5" customHeight="1" x14ac:dyDescent="0.35">
      <c r="A32" s="299">
        <f>ROW()</f>
        <v>32</v>
      </c>
      <c r="B32" t="s">
        <v>14</v>
      </c>
      <c r="I32" s="58"/>
      <c r="J32" s="58">
        <v>0</v>
      </c>
      <c r="K32" s="58">
        <f>-K37*$I$31</f>
        <v>-16000</v>
      </c>
      <c r="L32" s="58">
        <f t="shared" ref="L32:Q32" si="8">-L37*$I$31</f>
        <v>-16000</v>
      </c>
      <c r="M32" s="58">
        <f t="shared" si="8"/>
        <v>-16000</v>
      </c>
      <c r="N32" s="58">
        <f t="shared" si="8"/>
        <v>-16000</v>
      </c>
      <c r="O32" s="58">
        <f t="shared" si="8"/>
        <v>-16000</v>
      </c>
      <c r="P32" s="58">
        <f t="shared" si="8"/>
        <v>-16000</v>
      </c>
      <c r="Q32" s="58">
        <f t="shared" si="8"/>
        <v>-1504000</v>
      </c>
      <c r="V32" s="80"/>
    </row>
    <row r="33" spans="1:17" ht="14.5" customHeight="1" x14ac:dyDescent="0.35">
      <c r="A33" s="299">
        <f>ROW()</f>
        <v>33</v>
      </c>
      <c r="B33" t="s">
        <v>15</v>
      </c>
      <c r="I33" s="58"/>
      <c r="J33" s="58">
        <f>+J35*I31</f>
        <v>144000</v>
      </c>
      <c r="K33" s="58">
        <f t="shared" ref="K33:Q33" si="9">+K35*J31</f>
        <v>152000</v>
      </c>
      <c r="L33" s="58">
        <f t="shared" si="9"/>
        <v>166320</v>
      </c>
      <c r="M33" s="58">
        <f t="shared" si="9"/>
        <v>164640</v>
      </c>
      <c r="N33" s="58">
        <f t="shared" si="9"/>
        <v>162960</v>
      </c>
      <c r="O33" s="58">
        <f t="shared" si="9"/>
        <v>161280</v>
      </c>
      <c r="P33" s="58">
        <f t="shared" si="9"/>
        <v>159600</v>
      </c>
      <c r="Q33" s="58">
        <f t="shared" si="9"/>
        <v>157920</v>
      </c>
    </row>
    <row r="34" spans="1:17" ht="14.5" customHeight="1" x14ac:dyDescent="0.35">
      <c r="A34" s="299">
        <f>ROW()</f>
        <v>34</v>
      </c>
      <c r="B34" t="s">
        <v>16</v>
      </c>
      <c r="I34" s="58"/>
      <c r="J34" s="79">
        <v>5.5E-2</v>
      </c>
      <c r="K34" s="79">
        <v>5.5E-2</v>
      </c>
      <c r="L34" s="79">
        <v>5.5E-2</v>
      </c>
      <c r="M34" s="79">
        <v>5.5E-2</v>
      </c>
      <c r="N34" s="79">
        <v>5.5E-2</v>
      </c>
      <c r="O34" s="79">
        <v>5.5E-2</v>
      </c>
      <c r="P34" s="79">
        <v>5.5E-2</v>
      </c>
      <c r="Q34" s="79">
        <v>5.5E-2</v>
      </c>
    </row>
    <row r="35" spans="1:17" ht="14.5" customHeight="1" x14ac:dyDescent="0.35">
      <c r="A35" s="299">
        <f>ROW()</f>
        <v>35</v>
      </c>
      <c r="B35" t="s">
        <v>17</v>
      </c>
      <c r="G35" s="163"/>
      <c r="J35" s="159">
        <f>+J34+J9</f>
        <v>0.09</v>
      </c>
      <c r="K35" s="159">
        <f t="shared" ref="K35:Q35" si="10">+K34+K9</f>
        <v>9.5000000000000001E-2</v>
      </c>
      <c r="L35" s="159">
        <f t="shared" si="10"/>
        <v>0.105</v>
      </c>
      <c r="M35" s="159">
        <f t="shared" si="10"/>
        <v>0.105</v>
      </c>
      <c r="N35" s="159">
        <f t="shared" si="10"/>
        <v>0.105</v>
      </c>
      <c r="O35" s="159">
        <f t="shared" si="10"/>
        <v>0.105</v>
      </c>
      <c r="P35" s="159">
        <f t="shared" si="10"/>
        <v>0.105</v>
      </c>
      <c r="Q35" s="159">
        <f t="shared" si="10"/>
        <v>0.105</v>
      </c>
    </row>
    <row r="36" spans="1:17" ht="14.5" customHeight="1" x14ac:dyDescent="0.35">
      <c r="A36" s="299">
        <f>ROW()</f>
        <v>36</v>
      </c>
    </row>
    <row r="37" spans="1:17" ht="14.5" customHeight="1" x14ac:dyDescent="0.35">
      <c r="A37" s="299">
        <f>ROW()</f>
        <v>37</v>
      </c>
      <c r="I37" t="s">
        <v>119</v>
      </c>
      <c r="J37" s="159"/>
      <c r="K37" s="79">
        <v>0.01</v>
      </c>
      <c r="L37" s="79">
        <v>0.01</v>
      </c>
      <c r="M37" s="79">
        <v>0.01</v>
      </c>
      <c r="N37" s="79">
        <v>0.01</v>
      </c>
      <c r="O37" s="79">
        <v>0.01</v>
      </c>
      <c r="P37" s="79">
        <v>0.01</v>
      </c>
      <c r="Q37" s="79">
        <v>0.94</v>
      </c>
    </row>
    <row r="38" spans="1:17" ht="14.5" customHeight="1" x14ac:dyDescent="0.35">
      <c r="A38" s="299">
        <f>ROW()</f>
        <v>38</v>
      </c>
      <c r="J38" s="159"/>
      <c r="K38" s="159"/>
      <c r="L38" s="159"/>
      <c r="M38" s="159"/>
      <c r="N38" s="159"/>
      <c r="O38" s="159"/>
      <c r="P38" s="159"/>
      <c r="Q38" s="159"/>
    </row>
    <row r="39" spans="1:17" ht="14.5" customHeight="1" x14ac:dyDescent="0.35">
      <c r="A39" s="299">
        <f>ROW()</f>
        <v>39</v>
      </c>
      <c r="B39" s="36" t="s">
        <v>120</v>
      </c>
      <c r="I39" s="58"/>
      <c r="J39" s="58"/>
      <c r="K39" s="58"/>
      <c r="L39" s="58"/>
      <c r="M39" s="58"/>
      <c r="N39" s="58"/>
      <c r="O39" s="58"/>
      <c r="P39" s="58"/>
      <c r="Q39" s="58"/>
    </row>
    <row r="40" spans="1:17" ht="14.5" customHeight="1" x14ac:dyDescent="0.35">
      <c r="A40" s="299">
        <f>ROW()</f>
        <v>40</v>
      </c>
      <c r="B40" t="s">
        <v>13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8">
        <v>0</v>
      </c>
      <c r="P40" s="58">
        <v>0</v>
      </c>
      <c r="Q40" s="58">
        <v>0</v>
      </c>
    </row>
    <row r="41" spans="1:17" ht="14.5" customHeight="1" x14ac:dyDescent="0.35">
      <c r="A41" s="299">
        <f>ROW()</f>
        <v>41</v>
      </c>
      <c r="B41" t="s">
        <v>14</v>
      </c>
      <c r="I41" s="58"/>
      <c r="J41" s="58">
        <v>0</v>
      </c>
      <c r="K41" s="58">
        <v>0</v>
      </c>
      <c r="L41" s="58">
        <v>0</v>
      </c>
      <c r="M41" s="58">
        <v>0</v>
      </c>
      <c r="N41" s="58">
        <v>0</v>
      </c>
      <c r="O41" s="58">
        <v>0</v>
      </c>
      <c r="P41" s="58">
        <v>0</v>
      </c>
      <c r="Q41" s="58">
        <v>0</v>
      </c>
    </row>
    <row r="42" spans="1:17" ht="14.5" customHeight="1" x14ac:dyDescent="0.35">
      <c r="A42" s="299">
        <f>ROW()</f>
        <v>42</v>
      </c>
      <c r="B42" t="s">
        <v>15</v>
      </c>
      <c r="I42" s="58"/>
      <c r="J42" s="58">
        <v>0</v>
      </c>
      <c r="K42" s="58">
        <v>0</v>
      </c>
      <c r="L42" s="58">
        <v>0</v>
      </c>
      <c r="M42" s="58">
        <v>0</v>
      </c>
      <c r="N42" s="58">
        <v>0</v>
      </c>
      <c r="O42" s="58">
        <v>0</v>
      </c>
      <c r="P42" s="58">
        <v>0</v>
      </c>
      <c r="Q42" s="58">
        <v>0</v>
      </c>
    </row>
    <row r="43" spans="1:17" ht="14.5" customHeight="1" x14ac:dyDescent="0.35">
      <c r="A43" s="299">
        <f>ROW()</f>
        <v>43</v>
      </c>
      <c r="B43" t="s">
        <v>16</v>
      </c>
      <c r="I43" s="58"/>
      <c r="J43" s="79">
        <v>0</v>
      </c>
      <c r="K43" s="79">
        <v>0</v>
      </c>
      <c r="L43" s="79">
        <v>0</v>
      </c>
      <c r="M43" s="79">
        <v>0</v>
      </c>
      <c r="N43" s="79">
        <v>0</v>
      </c>
      <c r="O43" s="79">
        <v>0</v>
      </c>
      <c r="P43" s="79">
        <v>0</v>
      </c>
      <c r="Q43" s="79">
        <v>0</v>
      </c>
    </row>
    <row r="44" spans="1:17" ht="14.5" customHeight="1" x14ac:dyDescent="0.35">
      <c r="A44" s="299">
        <f>ROW()</f>
        <v>44</v>
      </c>
      <c r="B44" t="s">
        <v>17</v>
      </c>
      <c r="G44" s="163"/>
      <c r="J44" s="159">
        <v>0</v>
      </c>
      <c r="K44" s="159">
        <v>0</v>
      </c>
      <c r="L44" s="159">
        <v>0</v>
      </c>
      <c r="M44" s="159">
        <v>0</v>
      </c>
      <c r="N44" s="159">
        <v>0</v>
      </c>
      <c r="O44" s="159">
        <v>0</v>
      </c>
      <c r="P44" s="159">
        <v>0</v>
      </c>
      <c r="Q44" s="159">
        <v>0</v>
      </c>
    </row>
    <row r="45" spans="1:17" ht="14.5" customHeight="1" x14ac:dyDescent="0.35">
      <c r="A45" s="299">
        <f>ROW()</f>
        <v>45</v>
      </c>
    </row>
    <row r="46" spans="1:17" ht="14.5" customHeight="1" x14ac:dyDescent="0.35">
      <c r="A46" s="299">
        <f>ROW()</f>
        <v>46</v>
      </c>
      <c r="I46" t="s">
        <v>119</v>
      </c>
      <c r="J46" s="159">
        <v>0</v>
      </c>
      <c r="K46" s="159">
        <v>0</v>
      </c>
      <c r="L46" s="159">
        <v>0</v>
      </c>
      <c r="M46" s="159">
        <v>0</v>
      </c>
      <c r="N46" s="159">
        <v>0</v>
      </c>
      <c r="O46" s="159">
        <v>0</v>
      </c>
      <c r="P46" s="159">
        <v>0</v>
      </c>
      <c r="Q46" s="159">
        <v>0</v>
      </c>
    </row>
    <row r="47" spans="1:17" ht="14.5" customHeight="1" x14ac:dyDescent="0.35">
      <c r="A47" s="299">
        <f>ROW()</f>
        <v>47</v>
      </c>
      <c r="J47" s="159"/>
      <c r="K47" s="159"/>
      <c r="L47" s="159"/>
      <c r="M47" s="159"/>
      <c r="N47" s="159"/>
      <c r="O47" s="159"/>
      <c r="P47" s="159"/>
      <c r="Q47" s="159"/>
    </row>
    <row r="48" spans="1:17" ht="14.5" customHeight="1" x14ac:dyDescent="0.35">
      <c r="A48" s="299">
        <f>ROW()</f>
        <v>48</v>
      </c>
      <c r="B48" s="36" t="s">
        <v>28</v>
      </c>
      <c r="G48" s="23"/>
    </row>
    <row r="49" spans="1:17" ht="14.5" customHeight="1" x14ac:dyDescent="0.35">
      <c r="A49" s="299">
        <f>ROW()</f>
        <v>49</v>
      </c>
      <c r="B49" t="s">
        <v>13</v>
      </c>
      <c r="I49" s="58">
        <f>+'Transaction S&amp;U'!C12</f>
        <v>1700000</v>
      </c>
      <c r="J49" s="58">
        <f>+I49+J50</f>
        <v>1700000</v>
      </c>
      <c r="K49" s="58">
        <f t="shared" ref="K49:Q49" si="11">+J49+K50</f>
        <v>1700000</v>
      </c>
      <c r="L49" s="58">
        <f t="shared" si="11"/>
        <v>1700000</v>
      </c>
      <c r="M49" s="58">
        <f t="shared" si="11"/>
        <v>1700000</v>
      </c>
      <c r="N49" s="58">
        <f t="shared" si="11"/>
        <v>1700000</v>
      </c>
      <c r="O49" s="58">
        <f t="shared" si="11"/>
        <v>1700000</v>
      </c>
      <c r="P49" s="58">
        <f t="shared" si="11"/>
        <v>1700000</v>
      </c>
      <c r="Q49" s="58">
        <f t="shared" si="11"/>
        <v>1700000</v>
      </c>
    </row>
    <row r="50" spans="1:17" ht="14.5" customHeight="1" x14ac:dyDescent="0.35">
      <c r="A50" s="299">
        <f>ROW()</f>
        <v>50</v>
      </c>
      <c r="B50" t="s">
        <v>14</v>
      </c>
      <c r="I50" s="58"/>
      <c r="J50" s="58">
        <v>0</v>
      </c>
      <c r="K50" s="58">
        <v>0</v>
      </c>
      <c r="L50" s="58">
        <v>0</v>
      </c>
      <c r="M50" s="58">
        <v>0</v>
      </c>
      <c r="N50" s="58">
        <v>0</v>
      </c>
      <c r="O50" s="58">
        <v>0</v>
      </c>
      <c r="P50" s="58">
        <v>0</v>
      </c>
      <c r="Q50" s="58">
        <v>0</v>
      </c>
    </row>
    <row r="51" spans="1:17" ht="14.5" customHeight="1" x14ac:dyDescent="0.35">
      <c r="A51" s="299">
        <f>ROW()</f>
        <v>51</v>
      </c>
      <c r="B51" t="s">
        <v>15</v>
      </c>
      <c r="I51" s="81"/>
      <c r="J51" s="58">
        <f>+I49*J52</f>
        <v>187000</v>
      </c>
      <c r="K51" s="58">
        <f t="shared" ref="K51:Q51" si="12">+J49*K52</f>
        <v>187000</v>
      </c>
      <c r="L51" s="58">
        <f t="shared" si="12"/>
        <v>187000</v>
      </c>
      <c r="M51" s="58">
        <f t="shared" si="12"/>
        <v>187000</v>
      </c>
      <c r="N51" s="58">
        <f t="shared" si="12"/>
        <v>187000</v>
      </c>
      <c r="O51" s="58">
        <f t="shared" si="12"/>
        <v>187000</v>
      </c>
      <c r="P51" s="58">
        <f t="shared" si="12"/>
        <v>187000</v>
      </c>
      <c r="Q51" s="58">
        <f t="shared" si="12"/>
        <v>187000</v>
      </c>
    </row>
    <row r="52" spans="1:17" ht="14.5" customHeight="1" x14ac:dyDescent="0.35">
      <c r="A52" s="299">
        <f>ROW()</f>
        <v>52</v>
      </c>
      <c r="B52" t="s">
        <v>17</v>
      </c>
      <c r="J52" s="82">
        <v>0.11</v>
      </c>
      <c r="K52" s="82">
        <v>0.11</v>
      </c>
      <c r="L52" s="82">
        <v>0.11</v>
      </c>
      <c r="M52" s="82">
        <v>0.11</v>
      </c>
      <c r="N52" s="82">
        <v>0.11</v>
      </c>
      <c r="O52" s="82">
        <v>0.11</v>
      </c>
      <c r="P52" s="82">
        <v>0.11</v>
      </c>
      <c r="Q52" s="82">
        <v>0.11</v>
      </c>
    </row>
    <row r="53" spans="1:17" ht="14.5" customHeight="1" x14ac:dyDescent="0.35">
      <c r="A53" s="299">
        <f>ROW()</f>
        <v>53</v>
      </c>
      <c r="I53" s="58"/>
    </row>
    <row r="54" spans="1:17" ht="14.5" customHeight="1" x14ac:dyDescent="0.35">
      <c r="A54" s="299">
        <f>ROW()</f>
        <v>54</v>
      </c>
      <c r="B54" s="31" t="s">
        <v>121</v>
      </c>
      <c r="I54" s="58"/>
      <c r="J54" s="58">
        <f>+J51+J33+J24+J16</f>
        <v>431500</v>
      </c>
      <c r="K54" s="58">
        <f t="shared" ref="K54:Q54" si="13">+K51+K33+K24+K16</f>
        <v>445000</v>
      </c>
      <c r="L54" s="58">
        <f t="shared" si="13"/>
        <v>466470</v>
      </c>
      <c r="M54" s="58">
        <f t="shared" si="13"/>
        <v>453090</v>
      </c>
      <c r="N54" s="58">
        <f t="shared" si="13"/>
        <v>439710</v>
      </c>
      <c r="O54" s="58">
        <f t="shared" si="13"/>
        <v>420480</v>
      </c>
      <c r="P54" s="58">
        <f t="shared" si="13"/>
        <v>348600</v>
      </c>
      <c r="Q54" s="58">
        <f t="shared" si="13"/>
        <v>346920</v>
      </c>
    </row>
    <row r="55" spans="1:17" ht="14.5" customHeight="1" x14ac:dyDescent="0.35">
      <c r="A55" s="299">
        <f>ROW()</f>
        <v>55</v>
      </c>
      <c r="B55" s="31" t="s">
        <v>122</v>
      </c>
      <c r="I55" s="58"/>
      <c r="J55" s="58">
        <f>+J50+J32+J15</f>
        <v>0</v>
      </c>
      <c r="K55" s="58">
        <f>+K50+K32+K15+K23</f>
        <v>-81000</v>
      </c>
      <c r="L55" s="58">
        <f t="shared" ref="L55:Q55" si="14">+L50+L32+L15+L23</f>
        <v>-146000</v>
      </c>
      <c r="M55" s="58">
        <f t="shared" si="14"/>
        <v>-146000</v>
      </c>
      <c r="N55" s="58">
        <f t="shared" si="14"/>
        <v>-211000</v>
      </c>
      <c r="O55" s="58">
        <f t="shared" si="14"/>
        <v>-796000</v>
      </c>
      <c r="P55" s="58">
        <f t="shared" si="14"/>
        <v>-16000</v>
      </c>
      <c r="Q55" s="58">
        <f t="shared" si="14"/>
        <v>-1504000</v>
      </c>
    </row>
    <row r="56" spans="1:17" ht="14.5" customHeight="1" x14ac:dyDescent="0.35">
      <c r="A56" s="299">
        <f>ROW()</f>
        <v>56</v>
      </c>
      <c r="B56" s="31" t="s">
        <v>123</v>
      </c>
      <c r="I56" s="58"/>
      <c r="J56" s="58">
        <f>+J54-J55</f>
        <v>431500</v>
      </c>
      <c r="K56" s="58">
        <f t="shared" ref="K56:Q56" si="15">+K54-K55</f>
        <v>526000</v>
      </c>
      <c r="L56" s="58">
        <f t="shared" si="15"/>
        <v>612470</v>
      </c>
      <c r="M56" s="58">
        <f t="shared" si="15"/>
        <v>599090</v>
      </c>
      <c r="N56" s="58">
        <f t="shared" si="15"/>
        <v>650710</v>
      </c>
      <c r="O56" s="58">
        <f t="shared" si="15"/>
        <v>1216480</v>
      </c>
      <c r="P56" s="58">
        <f t="shared" si="15"/>
        <v>364600</v>
      </c>
      <c r="Q56" s="58">
        <f t="shared" si="15"/>
        <v>1850920</v>
      </c>
    </row>
    <row r="57" spans="1:17" ht="14.5" customHeight="1" x14ac:dyDescent="0.35">
      <c r="A57" s="299">
        <f>ROW()</f>
        <v>57</v>
      </c>
      <c r="B57" s="31" t="s">
        <v>124</v>
      </c>
      <c r="I57" s="58"/>
      <c r="J57" s="3">
        <f>+J22+J31</f>
        <v>2900000</v>
      </c>
      <c r="K57" s="3">
        <f t="shared" ref="K57:Q57" si="16">+K22+K31</f>
        <v>2819000</v>
      </c>
      <c r="L57" s="3">
        <f t="shared" si="16"/>
        <v>2673000</v>
      </c>
      <c r="M57" s="3">
        <f t="shared" si="16"/>
        <v>2527000</v>
      </c>
      <c r="N57" s="3">
        <f t="shared" si="16"/>
        <v>2316000</v>
      </c>
      <c r="O57" s="3">
        <f t="shared" si="16"/>
        <v>1520000</v>
      </c>
      <c r="P57" s="3">
        <f t="shared" si="16"/>
        <v>1504000</v>
      </c>
      <c r="Q57" s="3">
        <f t="shared" si="16"/>
        <v>0</v>
      </c>
    </row>
    <row r="58" spans="1:17" ht="14.5" customHeight="1" x14ac:dyDescent="0.35">
      <c r="A58" s="299">
        <f>ROW()</f>
        <v>58</v>
      </c>
      <c r="B58" s="31" t="s">
        <v>125</v>
      </c>
      <c r="I58" s="58"/>
      <c r="J58" s="3">
        <f>+J57+J49</f>
        <v>4600000</v>
      </c>
      <c r="K58" s="3">
        <f t="shared" ref="K58:Q58" si="17">+K57+K49</f>
        <v>4519000</v>
      </c>
      <c r="L58" s="3">
        <f t="shared" si="17"/>
        <v>4373000</v>
      </c>
      <c r="M58" s="3">
        <f t="shared" si="17"/>
        <v>4227000</v>
      </c>
      <c r="N58" s="3">
        <f t="shared" si="17"/>
        <v>4016000</v>
      </c>
      <c r="O58" s="3">
        <f t="shared" si="17"/>
        <v>3220000</v>
      </c>
      <c r="P58" s="3">
        <f t="shared" si="17"/>
        <v>3204000</v>
      </c>
      <c r="Q58" s="3">
        <f t="shared" si="17"/>
        <v>1700000</v>
      </c>
    </row>
    <row r="59" spans="1:17" ht="14.5" customHeight="1" x14ac:dyDescent="0.35">
      <c r="A59" s="9"/>
      <c r="B59" s="31"/>
      <c r="I59" s="58"/>
      <c r="J59" s="3"/>
      <c r="K59" s="3"/>
      <c r="L59" s="3"/>
      <c r="M59" s="3"/>
      <c r="N59" s="3"/>
      <c r="O59" s="3"/>
      <c r="P59" s="3"/>
      <c r="Q59" s="3"/>
    </row>
    <row r="60" spans="1:17" ht="14.5" customHeight="1" x14ac:dyDescent="0.35">
      <c r="A60" s="9"/>
      <c r="B60" s="31"/>
      <c r="I60" s="58"/>
      <c r="J60" s="3"/>
      <c r="K60" s="3"/>
      <c r="L60" s="3"/>
      <c r="M60" s="3"/>
      <c r="N60" s="3"/>
      <c r="O60" s="3"/>
      <c r="P60" s="3"/>
      <c r="Q60" s="83"/>
    </row>
    <row r="61" spans="1:17" ht="14.5" customHeight="1" x14ac:dyDescent="0.35">
      <c r="A61" s="9"/>
      <c r="B61" s="31"/>
      <c r="I61" s="58"/>
      <c r="J61" s="3"/>
      <c r="K61" s="3"/>
      <c r="L61" s="3"/>
      <c r="M61" s="3"/>
      <c r="N61" s="3"/>
      <c r="O61" s="3"/>
      <c r="P61" s="3"/>
      <c r="Q61" s="3"/>
    </row>
    <row r="62" spans="1:17" ht="14.5" customHeight="1" x14ac:dyDescent="0.35">
      <c r="A62" s="9"/>
      <c r="B62" s="31"/>
      <c r="I62" s="58"/>
      <c r="J62" s="3"/>
      <c r="K62" s="3"/>
      <c r="L62" s="3"/>
      <c r="M62" s="3"/>
      <c r="N62" s="3"/>
      <c r="O62" s="3"/>
      <c r="P62" s="3"/>
      <c r="Q62" s="3"/>
    </row>
    <row r="63" spans="1:17" ht="14.5" customHeight="1" x14ac:dyDescent="0.35">
      <c r="B63" s="31"/>
      <c r="I63" s="58"/>
      <c r="J63" s="3"/>
      <c r="K63" s="3"/>
      <c r="L63" s="3"/>
      <c r="M63" s="3"/>
      <c r="N63" s="3"/>
      <c r="O63" s="3"/>
      <c r="P63" s="3"/>
      <c r="Q63" s="3"/>
    </row>
    <row r="64" spans="1:17" ht="14.5" customHeight="1" x14ac:dyDescent="0.35">
      <c r="B64" s="31"/>
      <c r="I64" s="58"/>
      <c r="J64" s="3"/>
      <c r="K64" s="3"/>
      <c r="L64" s="3"/>
      <c r="M64" s="3"/>
      <c r="N64" s="3"/>
      <c r="O64" s="3"/>
      <c r="P64" s="3"/>
      <c r="Q64" s="3"/>
    </row>
    <row r="65" spans="1:17" ht="14.5" customHeight="1" x14ac:dyDescent="0.35">
      <c r="B65" s="31"/>
      <c r="I65" s="58"/>
      <c r="J65" s="3"/>
      <c r="K65" s="3"/>
      <c r="L65" s="3"/>
      <c r="M65" s="3"/>
      <c r="N65" s="3"/>
      <c r="O65" s="3"/>
      <c r="P65" s="3"/>
      <c r="Q65" s="3"/>
    </row>
    <row r="66" spans="1:17" ht="14.5" customHeight="1" x14ac:dyDescent="0.35">
      <c r="B66" s="31"/>
      <c r="I66" s="58"/>
      <c r="J66" s="3"/>
      <c r="K66" s="3"/>
      <c r="L66" s="3"/>
      <c r="M66" s="3"/>
      <c r="N66" s="3"/>
      <c r="O66" s="3"/>
      <c r="P66" s="3"/>
      <c r="Q66" s="3"/>
    </row>
    <row r="67" spans="1:17" ht="14.5" customHeight="1" x14ac:dyDescent="0.35">
      <c r="B67" s="31"/>
      <c r="I67" s="58"/>
      <c r="J67" s="3"/>
      <c r="K67" s="3"/>
      <c r="L67" s="3"/>
      <c r="M67" s="3"/>
      <c r="N67" s="3"/>
      <c r="O67" s="3"/>
      <c r="P67" s="3"/>
      <c r="Q67" s="3"/>
    </row>
    <row r="68" spans="1:17" ht="21.75" customHeight="1" x14ac:dyDescent="0.35">
      <c r="A68"/>
    </row>
    <row r="69" spans="1:17" ht="21.75" customHeight="1" x14ac:dyDescent="0.35">
      <c r="A69"/>
    </row>
    <row r="70" spans="1:17" ht="21.75" customHeight="1" x14ac:dyDescent="0.35">
      <c r="A70"/>
    </row>
    <row r="71" spans="1:17" ht="21.75" customHeight="1" x14ac:dyDescent="0.35">
      <c r="A71"/>
    </row>
    <row r="72" spans="1:17" ht="21.75" customHeight="1" x14ac:dyDescent="0.35">
      <c r="A72"/>
    </row>
    <row r="73" spans="1:17" ht="21.75" customHeight="1" x14ac:dyDescent="0.35">
      <c r="A73"/>
    </row>
    <row r="74" spans="1:17" ht="21.75" customHeight="1" x14ac:dyDescent="0.35">
      <c r="A74"/>
    </row>
    <row r="75" spans="1:17" ht="21.75" customHeight="1" x14ac:dyDescent="0.35">
      <c r="A75"/>
    </row>
    <row r="76" spans="1:17" ht="21.75" customHeight="1" x14ac:dyDescent="0.35">
      <c r="A76"/>
    </row>
    <row r="77" spans="1:17" ht="21.75" customHeight="1" x14ac:dyDescent="0.35">
      <c r="A77"/>
    </row>
    <row r="78" spans="1:17" ht="21.75" customHeight="1" x14ac:dyDescent="0.35">
      <c r="A78"/>
    </row>
    <row r="79" spans="1:17" ht="21.75" customHeight="1" x14ac:dyDescent="0.35">
      <c r="A79"/>
    </row>
    <row r="80" spans="1:17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</sheetData>
  <mergeCells count="1">
    <mergeCell ref="J6:Q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A9BC-8905-419B-AFDD-F63B5D371270}">
  <sheetPr>
    <tabColor rgb="FF0000FF"/>
  </sheetPr>
  <dimension ref="A1:AA261"/>
  <sheetViews>
    <sheetView showGridLines="0" workbookViewId="0">
      <selection activeCell="B14" sqref="B14"/>
    </sheetView>
  </sheetViews>
  <sheetFormatPr defaultRowHeight="14.5" x14ac:dyDescent="0.35"/>
  <cols>
    <col min="1" max="1" width="5.90625" style="5" customWidth="1"/>
    <col min="2" max="2" width="22.453125" customWidth="1"/>
    <col min="3" max="6" width="3.90625" customWidth="1"/>
    <col min="7" max="7" width="5.90625" customWidth="1"/>
    <col min="8" max="16" width="10.63281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0" ht="11.25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thickBot="1" x14ac:dyDescent="0.4">
      <c r="A5" s="9"/>
      <c r="B5" s="12" t="s">
        <v>72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4" customFormat="1" ht="14.5" customHeight="1" x14ac:dyDescent="0.35">
      <c r="A6" s="299">
        <f>ROW()</f>
        <v>6</v>
      </c>
      <c r="B6" s="85" t="s">
        <v>9</v>
      </c>
      <c r="C6" s="86"/>
      <c r="D6" s="87"/>
      <c r="E6" s="86"/>
      <c r="F6" s="86"/>
      <c r="G6" s="88"/>
      <c r="H6" s="265" t="s">
        <v>10</v>
      </c>
      <c r="I6" s="298" t="s">
        <v>11</v>
      </c>
      <c r="J6" s="196"/>
      <c r="K6" s="196"/>
      <c r="L6" s="196"/>
      <c r="M6" s="196"/>
      <c r="N6" s="178"/>
      <c r="O6" s="178"/>
      <c r="P6" s="178"/>
    </row>
    <row r="7" spans="1:20" ht="14.5" customHeight="1" x14ac:dyDescent="0.35">
      <c r="A7" s="299">
        <f>ROW()</f>
        <v>7</v>
      </c>
      <c r="C7" s="65"/>
      <c r="D7" s="66"/>
      <c r="E7" s="65"/>
      <c r="F7" s="65"/>
      <c r="G7" s="70"/>
      <c r="H7" s="48">
        <f>Assumptions!D7</f>
        <v>44926</v>
      </c>
      <c r="I7" s="49">
        <f>Assumptions!E7</f>
        <v>45291</v>
      </c>
      <c r="J7" s="48">
        <f>Assumptions!F7</f>
        <v>45657</v>
      </c>
      <c r="K7" s="48">
        <f>Assumptions!G7</f>
        <v>46021</v>
      </c>
      <c r="L7" s="48">
        <f>Assumptions!H7</f>
        <v>46386</v>
      </c>
      <c r="M7" s="48">
        <f>Assumptions!I7</f>
        <v>46751</v>
      </c>
      <c r="N7" s="48">
        <f>Assumptions!J7</f>
        <v>47117</v>
      </c>
      <c r="O7" s="48">
        <f>Assumptions!K7</f>
        <v>47481</v>
      </c>
      <c r="P7" s="48">
        <f>Assumptions!L7</f>
        <v>47846</v>
      </c>
    </row>
    <row r="8" spans="1:20" ht="14.5" customHeight="1" x14ac:dyDescent="0.35">
      <c r="A8" s="299">
        <f>ROW()</f>
        <v>8</v>
      </c>
      <c r="B8" s="266" t="s">
        <v>73</v>
      </c>
      <c r="C8" s="267"/>
      <c r="D8" s="268"/>
      <c r="E8" s="267"/>
      <c r="F8" s="267"/>
      <c r="G8" s="269"/>
      <c r="H8" s="270">
        <f>Assumptions!D18</f>
        <v>1966835</v>
      </c>
      <c r="I8" s="22">
        <f>Assumptions!E18</f>
        <v>2049896.73</v>
      </c>
      <c r="J8" s="22">
        <f>Assumptions!F18</f>
        <v>2031559.70012625</v>
      </c>
      <c r="K8" s="22">
        <f>Assumptions!G18</f>
        <v>2128452.2891535382</v>
      </c>
      <c r="L8" s="22">
        <f>Assumptions!H18</f>
        <v>2230070.5132316346</v>
      </c>
      <c r="M8" s="22">
        <f>Assumptions!I18</f>
        <v>2336648.1755954898</v>
      </c>
      <c r="N8" s="22">
        <f>Assumptions!J18</f>
        <v>2448430.7505067866</v>
      </c>
      <c r="O8" s="22">
        <f>Assumptions!K18</f>
        <v>2565675.96902538</v>
      </c>
      <c r="P8" s="22">
        <f>Assumptions!L18</f>
        <v>2695082.9753601495</v>
      </c>
    </row>
    <row r="9" spans="1:20" ht="14.5" customHeight="1" x14ac:dyDescent="0.35">
      <c r="A9" s="299">
        <f>ROW()</f>
        <v>9</v>
      </c>
      <c r="B9" s="271" t="s">
        <v>74</v>
      </c>
      <c r="C9" s="267"/>
      <c r="D9" s="268"/>
      <c r="E9" s="267"/>
      <c r="F9" s="267"/>
      <c r="G9" s="271"/>
      <c r="H9" s="272"/>
      <c r="I9" s="18">
        <f>I8/H8-1</f>
        <v>4.2231163264839111E-2</v>
      </c>
      <c r="J9" s="18">
        <f t="shared" ref="J9:P9" si="0">J8/I8-1</f>
        <v>-8.9453432484620787E-3</v>
      </c>
      <c r="K9" s="18">
        <f t="shared" si="0"/>
        <v>4.7693695155139659E-2</v>
      </c>
      <c r="L9" s="18">
        <f t="shared" si="0"/>
        <v>4.7742777508303469E-2</v>
      </c>
      <c r="M9" s="18">
        <f t="shared" si="0"/>
        <v>4.7791162535668619E-2</v>
      </c>
      <c r="N9" s="18">
        <f t="shared" si="0"/>
        <v>4.7838855707410533E-2</v>
      </c>
      <c r="O9" s="18">
        <f t="shared" si="0"/>
        <v>4.7885862605803853E-2</v>
      </c>
      <c r="P9" s="18">
        <f t="shared" si="0"/>
        <v>5.0437782439037848E-2</v>
      </c>
    </row>
    <row r="10" spans="1:20" ht="14.5" customHeight="1" x14ac:dyDescent="0.35">
      <c r="A10" s="299">
        <f>ROW()</f>
        <v>10</v>
      </c>
      <c r="B10" s="271"/>
      <c r="C10" s="271"/>
      <c r="D10" s="271"/>
      <c r="E10" s="271"/>
      <c r="F10" s="271"/>
      <c r="G10" s="271"/>
      <c r="H10" s="272"/>
      <c r="I10" s="271"/>
      <c r="J10" s="271"/>
      <c r="K10" s="271"/>
      <c r="L10" s="271"/>
      <c r="M10" s="271"/>
      <c r="N10" s="271"/>
      <c r="O10" s="271"/>
      <c r="P10" s="271"/>
    </row>
    <row r="11" spans="1:20" ht="14.5" customHeight="1" x14ac:dyDescent="0.35">
      <c r="A11" s="299">
        <f>ROW()</f>
        <v>11</v>
      </c>
      <c r="B11" s="266" t="s">
        <v>127</v>
      </c>
      <c r="C11" s="273"/>
      <c r="D11" s="273"/>
      <c r="E11" s="273"/>
      <c r="F11" s="273"/>
      <c r="G11" s="269"/>
      <c r="H11" s="274">
        <v>930130</v>
      </c>
      <c r="I11" s="22">
        <f>+I8*Assumptions!D20</f>
        <v>969601.15328999993</v>
      </c>
      <c r="J11" s="22">
        <f>+J8*Assumptions!E20</f>
        <v>960927.73815971625</v>
      </c>
      <c r="K11" s="22">
        <f>+K8*Assumptions!F20</f>
        <v>1006757.9327696235</v>
      </c>
      <c r="L11" s="22">
        <f>+L8*Assumptions!G20</f>
        <v>1054823.3527585631</v>
      </c>
      <c r="M11" s="22">
        <f>+M8*Assumptions!H20</f>
        <v>1105234.5870566666</v>
      </c>
      <c r="N11" s="22">
        <f>+N8*Assumptions!I20</f>
        <v>1158107.7449897099</v>
      </c>
      <c r="O11" s="22">
        <f>+O8*Assumptions!J20</f>
        <v>1213564.7333490048</v>
      </c>
      <c r="P11" s="22">
        <f>+P8*Assumptions!K20</f>
        <v>1274774.2473453507</v>
      </c>
    </row>
    <row r="12" spans="1:20" ht="14.5" customHeight="1" x14ac:dyDescent="0.35">
      <c r="A12" s="299">
        <f>ROW()</f>
        <v>12</v>
      </c>
      <c r="B12" s="266" t="s">
        <v>75</v>
      </c>
      <c r="C12" s="267"/>
      <c r="D12" s="271"/>
      <c r="E12" s="271"/>
      <c r="F12" s="271"/>
      <c r="G12" s="271"/>
      <c r="H12" s="275">
        <f>H8-H11</f>
        <v>1036705</v>
      </c>
      <c r="I12" s="97">
        <f>+I8-I11</f>
        <v>1080295.5767100002</v>
      </c>
      <c r="J12" s="97">
        <f t="shared" ref="J12:P12" si="1">+J8-J11</f>
        <v>1070631.9619665337</v>
      </c>
      <c r="K12" s="97">
        <f t="shared" si="1"/>
        <v>1121694.3563839146</v>
      </c>
      <c r="L12" s="97">
        <f t="shared" si="1"/>
        <v>1175247.1604730715</v>
      </c>
      <c r="M12" s="97">
        <f t="shared" si="1"/>
        <v>1231413.5885388232</v>
      </c>
      <c r="N12" s="97">
        <f t="shared" si="1"/>
        <v>1290323.0055170767</v>
      </c>
      <c r="O12" s="97">
        <f t="shared" si="1"/>
        <v>1352111.2356763752</v>
      </c>
      <c r="P12" s="97">
        <f t="shared" ref="P12" si="2">+P8-P11</f>
        <v>1420308.7280147988</v>
      </c>
    </row>
    <row r="13" spans="1:20" ht="14.5" customHeight="1" x14ac:dyDescent="0.35">
      <c r="A13" s="299">
        <f>ROW()</f>
        <v>13</v>
      </c>
      <c r="B13" s="271" t="s">
        <v>76</v>
      </c>
      <c r="C13" s="267"/>
      <c r="D13" s="271"/>
      <c r="E13" s="271"/>
      <c r="F13" s="271"/>
      <c r="G13" s="271"/>
      <c r="H13" s="276">
        <f>H12/H8</f>
        <v>0.52709302000421998</v>
      </c>
      <c r="I13" s="18">
        <f t="shared" ref="I13:P13" si="3">I12/I8</f>
        <v>0.52700000000000014</v>
      </c>
      <c r="J13" s="18">
        <f t="shared" si="3"/>
        <v>0.52699999999999991</v>
      </c>
      <c r="K13" s="18">
        <f t="shared" si="3"/>
        <v>0.52700000000000002</v>
      </c>
      <c r="L13" s="18">
        <f t="shared" si="3"/>
        <v>0.52700000000000002</v>
      </c>
      <c r="M13" s="18">
        <f t="shared" si="3"/>
        <v>0.52700000000000002</v>
      </c>
      <c r="N13" s="18">
        <f t="shared" si="3"/>
        <v>0.52700000000000002</v>
      </c>
      <c r="O13" s="18">
        <f t="shared" si="3"/>
        <v>0.52700000000000002</v>
      </c>
      <c r="P13" s="18">
        <f t="shared" ref="P13" si="4">P12/P8</f>
        <v>0.52700000000000002</v>
      </c>
    </row>
    <row r="14" spans="1:20" ht="14.5" customHeight="1" x14ac:dyDescent="0.35">
      <c r="A14" s="299">
        <f>ROW()</f>
        <v>14</v>
      </c>
      <c r="B14" s="271"/>
      <c r="C14" s="271"/>
      <c r="D14" s="271"/>
      <c r="E14" s="271"/>
      <c r="F14" s="271"/>
      <c r="G14" s="271"/>
      <c r="H14" s="272"/>
      <c r="I14" s="271"/>
      <c r="J14" s="271"/>
      <c r="K14" s="271"/>
      <c r="L14" s="271"/>
      <c r="M14" s="271"/>
      <c r="N14" s="271"/>
      <c r="O14" s="271"/>
      <c r="P14" s="271"/>
    </row>
    <row r="15" spans="1:20" ht="14.5" customHeight="1" x14ac:dyDescent="0.35">
      <c r="A15" s="299">
        <f>ROW()</f>
        <v>15</v>
      </c>
      <c r="B15" s="266" t="s">
        <v>128</v>
      </c>
      <c r="C15" s="267"/>
      <c r="D15" s="273"/>
      <c r="E15" s="273"/>
      <c r="F15" s="273"/>
      <c r="G15" s="269"/>
      <c r="H15" s="277">
        <v>206970</v>
      </c>
      <c r="I15" s="72">
        <f>I8*Assumptions!E21</f>
        <v>215710.58386092377</v>
      </c>
      <c r="J15" s="72">
        <f>J8*Assumptions!E21</f>
        <v>213780.97864596164</v>
      </c>
      <c r="K15" s="72">
        <f>K8*Assumptions!F21</f>
        <v>223976.98347146955</v>
      </c>
      <c r="L15" s="72">
        <f>L8*Assumptions!G21</f>
        <v>234670.26676032884</v>
      </c>
      <c r="M15" s="72">
        <f>M8*Assumptions!H21</f>
        <v>245885.43162136045</v>
      </c>
      <c r="N15" s="72">
        <f>N8*Assumptions!I21</f>
        <v>257648.3093052491</v>
      </c>
      <c r="O15" s="72">
        <f>O8*Assumptions!J21</f>
        <v>269986.02084525791</v>
      </c>
      <c r="P15" s="72">
        <f>P8*Assumptions!K21</f>
        <v>283603.51702623256</v>
      </c>
    </row>
    <row r="16" spans="1:20" ht="14.5" customHeight="1" x14ac:dyDescent="0.35">
      <c r="A16" s="299">
        <f>ROW()</f>
        <v>16</v>
      </c>
      <c r="B16" s="266" t="s">
        <v>77</v>
      </c>
      <c r="C16" s="267"/>
      <c r="D16" s="271"/>
      <c r="E16" s="271"/>
      <c r="F16" s="271"/>
      <c r="G16" s="271"/>
      <c r="H16" s="275">
        <f>+H12-H15</f>
        <v>829735</v>
      </c>
      <c r="I16" s="97">
        <f>+I12-I15</f>
        <v>864584.9928490764</v>
      </c>
      <c r="J16" s="97">
        <f t="shared" ref="J16:P16" si="5">+J12-J15</f>
        <v>856850.98332057206</v>
      </c>
      <c r="K16" s="97">
        <f t="shared" si="5"/>
        <v>897717.37291244511</v>
      </c>
      <c r="L16" s="97">
        <f t="shared" si="5"/>
        <v>940576.89371274272</v>
      </c>
      <c r="M16" s="97">
        <f t="shared" si="5"/>
        <v>985528.15691746271</v>
      </c>
      <c r="N16" s="97">
        <f t="shared" si="5"/>
        <v>1032674.6962118276</v>
      </c>
      <c r="O16" s="97">
        <f t="shared" si="5"/>
        <v>1082125.2148311173</v>
      </c>
      <c r="P16" s="97">
        <f t="shared" ref="P16" si="6">+P12-P15</f>
        <v>1136705.2109885663</v>
      </c>
    </row>
    <row r="17" spans="1:27" ht="14.5" customHeight="1" x14ac:dyDescent="0.35">
      <c r="A17" s="299">
        <f>ROW()</f>
        <v>17</v>
      </c>
      <c r="B17" s="271" t="s">
        <v>78</v>
      </c>
      <c r="C17" s="267"/>
      <c r="D17" s="278"/>
      <c r="E17" s="271"/>
      <c r="F17" s="271"/>
      <c r="G17" s="271"/>
      <c r="H17" s="276">
        <f>H16/H8</f>
        <v>0.42186304392590124</v>
      </c>
      <c r="I17" s="18">
        <f>+I16/I8</f>
        <v>0.42177002392168139</v>
      </c>
      <c r="J17" s="18">
        <f t="shared" ref="J17:P17" si="7">+J16/J8</f>
        <v>0.42177002392168123</v>
      </c>
      <c r="K17" s="18">
        <f t="shared" si="7"/>
        <v>0.42177002392168128</v>
      </c>
      <c r="L17" s="18">
        <f t="shared" si="7"/>
        <v>0.42177002392168134</v>
      </c>
      <c r="M17" s="18">
        <f t="shared" si="7"/>
        <v>0.42177002392168128</v>
      </c>
      <c r="N17" s="18">
        <f t="shared" si="7"/>
        <v>0.42177002392168134</v>
      </c>
      <c r="O17" s="18">
        <f t="shared" si="7"/>
        <v>0.42177002392168128</v>
      </c>
      <c r="P17" s="18">
        <f t="shared" ref="P17" si="8">+P16/P8</f>
        <v>0.42177002392168128</v>
      </c>
    </row>
    <row r="18" spans="1:27" ht="14.5" customHeight="1" x14ac:dyDescent="0.35">
      <c r="A18" s="299">
        <f>ROW()</f>
        <v>18</v>
      </c>
      <c r="B18" s="271"/>
      <c r="C18" s="271"/>
      <c r="D18" s="271"/>
      <c r="E18" s="271"/>
      <c r="F18" s="271"/>
      <c r="G18" s="271"/>
      <c r="H18" s="272"/>
      <c r="I18" s="271"/>
      <c r="J18" s="271"/>
      <c r="K18" s="271"/>
      <c r="L18" s="271"/>
      <c r="M18" s="271"/>
      <c r="N18" s="271"/>
      <c r="O18" s="271"/>
      <c r="P18" s="271"/>
    </row>
    <row r="19" spans="1:27" ht="14.5" customHeight="1" x14ac:dyDescent="0.35">
      <c r="A19" s="299">
        <f>ROW()</f>
        <v>19</v>
      </c>
      <c r="B19" s="271" t="s">
        <v>191</v>
      </c>
      <c r="C19" s="278"/>
      <c r="D19" s="278"/>
      <c r="E19" s="271"/>
      <c r="F19" s="271"/>
      <c r="G19" s="271"/>
      <c r="H19" s="277">
        <v>221130</v>
      </c>
      <c r="I19" s="98">
        <f>I8*Assumptions!D22</f>
        <v>230468.57713275388</v>
      </c>
      <c r="J19" s="98">
        <f>J8*Assumptions!E22</f>
        <v>228406.95660231676</v>
      </c>
      <c r="K19" s="98">
        <f>K8*Assumptions!F22</f>
        <v>239300.52836182085</v>
      </c>
      <c r="L19" s="98">
        <f>L8*Assumptions!G22</f>
        <v>250725.40024501871</v>
      </c>
      <c r="M19" s="98">
        <f>M8*Assumptions!H22</f>
        <v>262707.85859994899</v>
      </c>
      <c r="N19" s="98">
        <f>N8*Assumptions!I22</f>
        <v>275275.50194071478</v>
      </c>
      <c r="O19" s="98">
        <f>O8*Assumptions!J22</f>
        <v>288457.30680539156</v>
      </c>
      <c r="P19" s="98">
        <f>P8*Assumptions!K22</f>
        <v>303006.45368899265</v>
      </c>
    </row>
    <row r="20" spans="1:27" ht="14.5" customHeight="1" x14ac:dyDescent="0.35">
      <c r="A20" s="299">
        <f>ROW()</f>
        <v>20</v>
      </c>
      <c r="B20" s="266" t="s">
        <v>130</v>
      </c>
      <c r="C20" s="278"/>
      <c r="D20" s="278"/>
      <c r="E20" s="271"/>
      <c r="F20" s="271"/>
      <c r="G20" s="271"/>
      <c r="H20" s="281">
        <f>+H16-H19</f>
        <v>608605</v>
      </c>
      <c r="I20" s="22">
        <f>+I16-I19</f>
        <v>634116.41571632249</v>
      </c>
      <c r="J20" s="22">
        <f t="shared" ref="J20:P20" si="9">+J16-J19</f>
        <v>628444.02671825537</v>
      </c>
      <c r="K20" s="22">
        <f t="shared" si="9"/>
        <v>658416.84455062426</v>
      </c>
      <c r="L20" s="22">
        <f t="shared" si="9"/>
        <v>689851.49346772395</v>
      </c>
      <c r="M20" s="22">
        <f t="shared" si="9"/>
        <v>722820.29831751366</v>
      </c>
      <c r="N20" s="22">
        <f t="shared" si="9"/>
        <v>757399.19427111279</v>
      </c>
      <c r="O20" s="22">
        <f t="shared" si="9"/>
        <v>793667.90802572574</v>
      </c>
      <c r="P20" s="22">
        <f t="shared" ref="P20" si="10">+P16-P19</f>
        <v>833698.75729957363</v>
      </c>
    </row>
    <row r="21" spans="1:27" ht="14.5" customHeight="1" x14ac:dyDescent="0.35">
      <c r="A21" s="299">
        <f>ROW()</f>
        <v>21</v>
      </c>
      <c r="B21" t="s">
        <v>79</v>
      </c>
      <c r="C21" s="2"/>
      <c r="D21" s="91"/>
      <c r="E21" s="91" t="s">
        <v>131</v>
      </c>
      <c r="F21" s="280">
        <v>7</v>
      </c>
      <c r="H21" s="283"/>
      <c r="I21" s="92">
        <f>+'Transaction S&amp;U'!$L$11/$F$21</f>
        <v>30579.642857142859</v>
      </c>
      <c r="J21" s="92">
        <f>+'Transaction S&amp;U'!$L$11/$F$21</f>
        <v>30579.642857142859</v>
      </c>
      <c r="K21" s="92">
        <f>+'Transaction S&amp;U'!$L$11/$F$21</f>
        <v>30579.642857142859</v>
      </c>
      <c r="L21" s="92">
        <f>+'Transaction S&amp;U'!$L$11/$F$21</f>
        <v>30579.642857142859</v>
      </c>
      <c r="M21" s="92">
        <f>+'Transaction S&amp;U'!$L$11/$F$21</f>
        <v>30579.642857142859</v>
      </c>
      <c r="N21" s="92">
        <f>+'Transaction S&amp;U'!$L$11/$F$21</f>
        <v>30579.642857142859</v>
      </c>
      <c r="O21" s="92">
        <f>+'Transaction S&amp;U'!$L$11/$F$21</f>
        <v>30579.642857142859</v>
      </c>
      <c r="P21" s="92"/>
    </row>
    <row r="22" spans="1:27" ht="14.5" customHeight="1" x14ac:dyDescent="0.35">
      <c r="A22" s="299">
        <f>ROW()</f>
        <v>22</v>
      </c>
      <c r="B22" s="36" t="s">
        <v>80</v>
      </c>
      <c r="C22" s="2"/>
      <c r="D22" s="2"/>
      <c r="G22" s="259"/>
      <c r="H22" s="282">
        <f>+H20</f>
        <v>608605</v>
      </c>
      <c r="I22" s="58">
        <f>+I20-I21</f>
        <v>603536.77285917965</v>
      </c>
      <c r="J22" s="58">
        <f t="shared" ref="J22:P22" si="11">+J20-J21</f>
        <v>597864.38386111252</v>
      </c>
      <c r="K22" s="58">
        <f t="shared" si="11"/>
        <v>627837.20169348142</v>
      </c>
      <c r="L22" s="58">
        <f t="shared" si="11"/>
        <v>659271.85061058111</v>
      </c>
      <c r="M22" s="58">
        <f t="shared" si="11"/>
        <v>692240.65546037082</v>
      </c>
      <c r="N22" s="58">
        <f t="shared" si="11"/>
        <v>726819.55141396995</v>
      </c>
      <c r="O22" s="58">
        <f t="shared" si="11"/>
        <v>763088.2651685829</v>
      </c>
      <c r="P22" s="58">
        <f t="shared" ref="P22" si="12">+P20-P21</f>
        <v>833698.75729957363</v>
      </c>
    </row>
    <row r="23" spans="1:27" ht="14.5" customHeight="1" x14ac:dyDescent="0.35">
      <c r="A23" s="299">
        <f>ROW()</f>
        <v>23</v>
      </c>
      <c r="C23" s="3"/>
      <c r="D23" s="3"/>
      <c r="E23" s="3"/>
      <c r="F23" s="3"/>
      <c r="G23" s="279"/>
      <c r="H23" s="279"/>
      <c r="I23" s="3"/>
      <c r="J23" s="3"/>
      <c r="K23" s="3"/>
      <c r="L23" s="3"/>
      <c r="M23" s="3"/>
      <c r="N23" s="3"/>
      <c r="O23" s="3"/>
      <c r="P23" s="3"/>
      <c r="U23" s="3"/>
      <c r="V23" s="3"/>
      <c r="W23" s="3"/>
      <c r="X23" s="3"/>
      <c r="Y23" s="3"/>
      <c r="Z23" s="3"/>
      <c r="AA23" s="3"/>
    </row>
    <row r="24" spans="1:27" ht="14.5" customHeight="1" x14ac:dyDescent="0.35">
      <c r="A24" s="299">
        <f>ROW()</f>
        <v>24</v>
      </c>
      <c r="B24" s="36" t="s">
        <v>81</v>
      </c>
      <c r="C24" s="3"/>
      <c r="G24" s="259"/>
      <c r="H24" s="259"/>
    </row>
    <row r="25" spans="1:27" ht="14.5" customHeight="1" x14ac:dyDescent="0.35">
      <c r="A25" s="299">
        <f>ROW()</f>
        <v>25</v>
      </c>
      <c r="B25" s="31" t="s">
        <v>132</v>
      </c>
      <c r="C25" s="3"/>
      <c r="G25" s="259"/>
      <c r="H25" s="259"/>
      <c r="I25" s="3"/>
      <c r="J25" s="3">
        <v>0</v>
      </c>
      <c r="K25" s="3">
        <v>0</v>
      </c>
      <c r="L25" s="3">
        <v>0</v>
      </c>
      <c r="M25" s="3">
        <v>0</v>
      </c>
      <c r="N25" s="3">
        <v>0</v>
      </c>
      <c r="O25" s="3">
        <v>0</v>
      </c>
      <c r="P25" s="3">
        <v>0</v>
      </c>
    </row>
    <row r="26" spans="1:27" ht="14.5" customHeight="1" x14ac:dyDescent="0.35">
      <c r="A26" s="299">
        <f>ROW()</f>
        <v>26</v>
      </c>
      <c r="B26" t="s">
        <v>160</v>
      </c>
      <c r="C26" s="3"/>
      <c r="G26" s="259"/>
      <c r="H26" s="259"/>
      <c r="I26" s="3">
        <f>'Debt Schedule'!J16</f>
        <v>3000</v>
      </c>
      <c r="J26" s="3">
        <f>'Debt Schedule'!K16</f>
        <v>2000</v>
      </c>
      <c r="K26" s="3">
        <f>'Debt Schedule'!L16</f>
        <v>2000</v>
      </c>
      <c r="L26" s="3">
        <f>'Debt Schedule'!M16</f>
        <v>2000</v>
      </c>
      <c r="M26" s="3">
        <f>'Debt Schedule'!N16</f>
        <v>2000</v>
      </c>
      <c r="N26" s="3">
        <f>'Debt Schedule'!O16</f>
        <v>2000</v>
      </c>
      <c r="O26" s="3">
        <f>'Debt Schedule'!P16</f>
        <v>2000</v>
      </c>
      <c r="P26" s="3">
        <f>'Debt Schedule'!Q16</f>
        <v>2000</v>
      </c>
    </row>
    <row r="27" spans="1:27" ht="14.5" customHeight="1" x14ac:dyDescent="0.35">
      <c r="A27" s="299">
        <f>ROW()</f>
        <v>27</v>
      </c>
      <c r="B27" t="s">
        <v>3</v>
      </c>
      <c r="C27" s="3"/>
      <c r="G27" s="259"/>
      <c r="H27" s="259"/>
      <c r="I27" s="3">
        <f>'Debt Schedule'!J24</f>
        <v>97500</v>
      </c>
      <c r="J27" s="3">
        <f>'Debt Schedule'!K24</f>
        <v>103999.99999999999</v>
      </c>
      <c r="K27" s="3">
        <f>'Debt Schedule'!L24</f>
        <v>111150</v>
      </c>
      <c r="L27" s="3">
        <f>'Debt Schedule'!M24</f>
        <v>99450</v>
      </c>
      <c r="M27" s="3">
        <f>'Debt Schedule'!N24</f>
        <v>87750</v>
      </c>
      <c r="N27" s="3">
        <f>'Debt Schedule'!O24</f>
        <v>70200</v>
      </c>
      <c r="O27" s="3">
        <f>'Debt Schedule'!P24</f>
        <v>0</v>
      </c>
      <c r="P27" s="3">
        <f>'Debt Schedule'!Q24</f>
        <v>0</v>
      </c>
    </row>
    <row r="28" spans="1:27" ht="14.5" customHeight="1" x14ac:dyDescent="0.35">
      <c r="A28" s="299">
        <f>ROW()</f>
        <v>28</v>
      </c>
      <c r="B28" t="s">
        <v>4</v>
      </c>
      <c r="C28" s="3"/>
      <c r="G28" s="259"/>
      <c r="H28" s="259"/>
      <c r="I28" s="3">
        <f>'Debt Schedule'!J33</f>
        <v>144000</v>
      </c>
      <c r="J28" s="3">
        <f>'Debt Schedule'!K33</f>
        <v>152000</v>
      </c>
      <c r="K28" s="3">
        <f>'Debt Schedule'!L33</f>
        <v>166320</v>
      </c>
      <c r="L28" s="3">
        <f>'Debt Schedule'!M33</f>
        <v>164640</v>
      </c>
      <c r="M28" s="3">
        <f>'Debt Schedule'!N33</f>
        <v>162960</v>
      </c>
      <c r="N28" s="3">
        <f>'Debt Schedule'!O33</f>
        <v>161280</v>
      </c>
      <c r="O28" s="3">
        <f>'Debt Schedule'!P33</f>
        <v>159600</v>
      </c>
      <c r="P28" s="3">
        <f>'Debt Schedule'!Q33</f>
        <v>157920</v>
      </c>
    </row>
    <row r="29" spans="1:27" ht="14.5" customHeight="1" x14ac:dyDescent="0.35">
      <c r="A29" s="299">
        <f>ROW()</f>
        <v>29</v>
      </c>
      <c r="B29" t="s">
        <v>126</v>
      </c>
      <c r="C29" s="3"/>
      <c r="G29" s="259"/>
      <c r="H29" s="259"/>
      <c r="I29" s="3">
        <f>'Debt Schedule'!J42</f>
        <v>0</v>
      </c>
      <c r="J29" s="3">
        <f>'Debt Schedule'!K42</f>
        <v>0</v>
      </c>
      <c r="K29" s="3">
        <f>'Debt Schedule'!L42</f>
        <v>0</v>
      </c>
      <c r="L29" s="3">
        <f>'Debt Schedule'!M42</f>
        <v>0</v>
      </c>
      <c r="M29" s="3">
        <f>'Debt Schedule'!N42</f>
        <v>0</v>
      </c>
      <c r="N29" s="3">
        <f>'Debt Schedule'!O42</f>
        <v>0</v>
      </c>
      <c r="O29" s="3">
        <f>'Debt Schedule'!P42</f>
        <v>0</v>
      </c>
      <c r="P29" s="3">
        <f>'Debt Schedule'!Q42</f>
        <v>0</v>
      </c>
    </row>
    <row r="30" spans="1:27" ht="14.5" customHeight="1" x14ac:dyDescent="0.35">
      <c r="A30" s="299">
        <f>ROW()</f>
        <v>30</v>
      </c>
      <c r="B30" t="s">
        <v>28</v>
      </c>
      <c r="C30" s="3"/>
      <c r="G30" s="259"/>
      <c r="H30" s="259"/>
      <c r="I30" s="3">
        <f>'Debt Schedule'!J51</f>
        <v>187000</v>
      </c>
      <c r="J30" s="3">
        <f>'Debt Schedule'!K51</f>
        <v>187000</v>
      </c>
      <c r="K30" s="3">
        <f>'Debt Schedule'!L51</f>
        <v>187000</v>
      </c>
      <c r="L30" s="3">
        <f>'Debt Schedule'!M51</f>
        <v>187000</v>
      </c>
      <c r="M30" s="3">
        <f>'Debt Schedule'!N51</f>
        <v>187000</v>
      </c>
      <c r="N30" s="3">
        <f>'Debt Schedule'!O51</f>
        <v>187000</v>
      </c>
      <c r="O30" s="3">
        <f>'Debt Schedule'!P51</f>
        <v>187000</v>
      </c>
      <c r="P30" s="3">
        <f>'Debt Schedule'!Q51</f>
        <v>187000</v>
      </c>
    </row>
    <row r="31" spans="1:27" ht="14.5" customHeight="1" x14ac:dyDescent="0.35">
      <c r="A31" s="299">
        <f>ROW()</f>
        <v>31</v>
      </c>
      <c r="B31" t="s">
        <v>82</v>
      </c>
      <c r="C31" s="3"/>
      <c r="G31" s="259"/>
      <c r="H31" s="259"/>
      <c r="I31" s="89">
        <f>SUM(I25:I30)</f>
        <v>431500</v>
      </c>
      <c r="J31" s="89">
        <f t="shared" ref="J31:P31" si="13">SUM(J25:J30)</f>
        <v>445000</v>
      </c>
      <c r="K31" s="89">
        <f t="shared" si="13"/>
        <v>466470</v>
      </c>
      <c r="L31" s="89">
        <f t="shared" si="13"/>
        <v>453090</v>
      </c>
      <c r="M31" s="89">
        <f t="shared" si="13"/>
        <v>439710</v>
      </c>
      <c r="N31" s="89">
        <f t="shared" si="13"/>
        <v>420480</v>
      </c>
      <c r="O31" s="89">
        <f t="shared" si="13"/>
        <v>348600</v>
      </c>
      <c r="P31" s="89">
        <f t="shared" ref="P31" si="14">SUM(P25:P30)</f>
        <v>346920</v>
      </c>
    </row>
    <row r="32" spans="1:27" ht="14.5" customHeight="1" x14ac:dyDescent="0.35">
      <c r="A32" s="299">
        <f>ROW()</f>
        <v>32</v>
      </c>
      <c r="C32" s="3"/>
      <c r="G32" s="259"/>
      <c r="H32" s="259"/>
    </row>
    <row r="33" spans="1:16" ht="14.5" customHeight="1" x14ac:dyDescent="0.35">
      <c r="A33" s="299">
        <f>ROW()</f>
        <v>33</v>
      </c>
      <c r="B33" s="31" t="s">
        <v>83</v>
      </c>
      <c r="C33" s="3"/>
      <c r="G33" s="259"/>
      <c r="H33" s="259"/>
      <c r="I33" s="3">
        <f>+I22-I31</f>
        <v>172036.77285917965</v>
      </c>
      <c r="J33" s="3">
        <f t="shared" ref="J33:P33" si="15">+J22-J31</f>
        <v>152864.38386111252</v>
      </c>
      <c r="K33" s="3">
        <f t="shared" si="15"/>
        <v>161367.20169348142</v>
      </c>
      <c r="L33" s="3">
        <f t="shared" si="15"/>
        <v>206181.85061058111</v>
      </c>
      <c r="M33" s="3">
        <f t="shared" si="15"/>
        <v>252530.65546037082</v>
      </c>
      <c r="N33" s="3">
        <f t="shared" si="15"/>
        <v>306339.55141396995</v>
      </c>
      <c r="O33" s="3">
        <f t="shared" si="15"/>
        <v>414488.2651685829</v>
      </c>
      <c r="P33" s="3">
        <f t="shared" ref="P33" si="16">+P22-P31</f>
        <v>486778.75729957363</v>
      </c>
    </row>
    <row r="34" spans="1:16" ht="14.5" customHeight="1" x14ac:dyDescent="0.35">
      <c r="A34" s="299">
        <f>ROW()</f>
        <v>34</v>
      </c>
      <c r="B34" t="s">
        <v>84</v>
      </c>
      <c r="C34" s="3"/>
      <c r="G34" s="259"/>
      <c r="H34" s="259"/>
      <c r="I34" s="195">
        <f>Assumptions!E23</f>
        <v>0.32800000000000001</v>
      </c>
      <c r="J34" s="195">
        <f>Assumptions!F23</f>
        <v>0.32800000000000001</v>
      </c>
      <c r="K34" s="195">
        <f>Assumptions!G23</f>
        <v>0.32800000000000001</v>
      </c>
      <c r="L34" s="195">
        <f>Assumptions!H23</f>
        <v>0.32800000000000001</v>
      </c>
      <c r="M34" s="195">
        <f>Assumptions!I23</f>
        <v>0.32800000000000001</v>
      </c>
      <c r="N34" s="195">
        <f>Assumptions!J23</f>
        <v>0.32800000000000001</v>
      </c>
      <c r="O34" s="195">
        <f>Assumptions!K23</f>
        <v>0.32800000000000001</v>
      </c>
      <c r="P34" s="195">
        <f>Assumptions!L23</f>
        <v>0.32800000000000001</v>
      </c>
    </row>
    <row r="35" spans="1:16" ht="14.5" customHeight="1" x14ac:dyDescent="0.35">
      <c r="A35" s="299">
        <f>ROW()</f>
        <v>35</v>
      </c>
      <c r="B35" t="s">
        <v>85</v>
      </c>
      <c r="C35" s="3"/>
      <c r="G35" s="259"/>
      <c r="H35" s="259"/>
      <c r="I35" s="69">
        <f>+I34*I33</f>
        <v>56428.06149781093</v>
      </c>
      <c r="J35" s="69">
        <f t="shared" ref="J35:P35" si="17">+J34*J33</f>
        <v>50139.517906444911</v>
      </c>
      <c r="K35" s="69">
        <f t="shared" si="17"/>
        <v>52928.442155461904</v>
      </c>
      <c r="L35" s="69">
        <f t="shared" si="17"/>
        <v>67627.647000270605</v>
      </c>
      <c r="M35" s="69">
        <f t="shared" si="17"/>
        <v>82830.054991001627</v>
      </c>
      <c r="N35" s="69">
        <f t="shared" si="17"/>
        <v>100479.37286378215</v>
      </c>
      <c r="O35" s="69">
        <f t="shared" si="17"/>
        <v>135952.1509752952</v>
      </c>
      <c r="P35" s="69">
        <f t="shared" ref="P35" si="18">+P34*P33</f>
        <v>159663.43239426016</v>
      </c>
    </row>
    <row r="36" spans="1:16" ht="14.5" customHeight="1" thickBot="1" x14ac:dyDescent="0.4">
      <c r="A36" s="299">
        <f>ROW()</f>
        <v>36</v>
      </c>
      <c r="B36" s="36" t="s">
        <v>86</v>
      </c>
      <c r="C36" s="3"/>
      <c r="G36" s="259"/>
      <c r="H36" s="259"/>
      <c r="I36" s="93">
        <f>+I33-I35</f>
        <v>115608.71136136871</v>
      </c>
      <c r="J36" s="93">
        <f t="shared" ref="J36:P36" si="19">+J33-J35</f>
        <v>102724.86595466762</v>
      </c>
      <c r="K36" s="93">
        <f t="shared" si="19"/>
        <v>108438.75953801951</v>
      </c>
      <c r="L36" s="93">
        <f t="shared" si="19"/>
        <v>138554.20361031051</v>
      </c>
      <c r="M36" s="93">
        <f t="shared" si="19"/>
        <v>169700.60046936921</v>
      </c>
      <c r="N36" s="93">
        <f t="shared" si="19"/>
        <v>205860.17855018779</v>
      </c>
      <c r="O36" s="93">
        <f t="shared" si="19"/>
        <v>278536.11419328768</v>
      </c>
      <c r="P36" s="93">
        <f t="shared" ref="P36" si="20">+P33-P35</f>
        <v>327115.32490531344</v>
      </c>
    </row>
    <row r="37" spans="1:16" ht="21.75" customHeight="1" thickTop="1" x14ac:dyDescent="0.35">
      <c r="A37" s="9"/>
      <c r="C37" s="3"/>
    </row>
    <row r="38" spans="1:16" ht="21.75" customHeight="1" x14ac:dyDescent="0.35">
      <c r="A38" s="9"/>
    </row>
    <row r="39" spans="1:16" ht="21.75" customHeight="1" x14ac:dyDescent="0.35">
      <c r="A39" s="9"/>
    </row>
    <row r="40" spans="1:16" ht="21.75" customHeight="1" x14ac:dyDescent="0.35">
      <c r="A40" s="9"/>
    </row>
    <row r="41" spans="1:16" ht="21.75" customHeight="1" x14ac:dyDescent="0.35">
      <c r="A41" s="9"/>
    </row>
    <row r="42" spans="1:16" ht="21.75" customHeight="1" x14ac:dyDescent="0.35">
      <c r="A42" s="9"/>
    </row>
    <row r="43" spans="1:16" ht="21.75" customHeight="1" x14ac:dyDescent="0.35">
      <c r="A43" s="9"/>
    </row>
    <row r="44" spans="1:16" ht="21.75" customHeight="1" x14ac:dyDescent="0.35">
      <c r="A44" s="9"/>
    </row>
    <row r="45" spans="1:16" ht="21.75" customHeight="1" x14ac:dyDescent="0.35">
      <c r="A45" s="9"/>
    </row>
    <row r="46" spans="1:16" ht="21.75" customHeight="1" x14ac:dyDescent="0.35">
      <c r="A46" s="9"/>
    </row>
    <row r="47" spans="1:16" ht="21.75" customHeight="1" x14ac:dyDescent="0.35">
      <c r="A47" s="9"/>
    </row>
    <row r="48" spans="1:16" ht="21.75" customHeight="1" x14ac:dyDescent="0.35">
      <c r="A48" s="9"/>
    </row>
    <row r="49" spans="1:1" ht="21.75" customHeight="1" x14ac:dyDescent="0.35">
      <c r="A49" s="9"/>
    </row>
    <row r="50" spans="1:1" ht="21.75" customHeight="1" x14ac:dyDescent="0.35">
      <c r="A50" s="9"/>
    </row>
    <row r="51" spans="1:1" ht="21.75" customHeight="1" x14ac:dyDescent="0.35">
      <c r="A51" s="9"/>
    </row>
    <row r="52" spans="1:1" ht="21.75" customHeight="1" x14ac:dyDescent="0.35">
      <c r="A52" s="9"/>
    </row>
    <row r="53" spans="1:1" ht="21.75" customHeight="1" x14ac:dyDescent="0.35">
      <c r="A53" s="9"/>
    </row>
    <row r="54" spans="1:1" ht="21.75" customHeight="1" x14ac:dyDescent="0.35">
      <c r="A54" s="9"/>
    </row>
    <row r="55" spans="1:1" ht="21.75" customHeight="1" x14ac:dyDescent="0.35">
      <c r="A55" s="9"/>
    </row>
    <row r="56" spans="1:1" ht="21.75" customHeight="1" x14ac:dyDescent="0.35">
      <c r="A56" s="9"/>
    </row>
    <row r="57" spans="1:1" ht="21.75" customHeight="1" x14ac:dyDescent="0.35">
      <c r="A57" s="9"/>
    </row>
    <row r="58" spans="1:1" ht="21.75" customHeight="1" x14ac:dyDescent="0.35">
      <c r="A58" s="9"/>
    </row>
    <row r="59" spans="1:1" ht="21.75" customHeight="1" x14ac:dyDescent="0.35">
      <c r="A59" s="9"/>
    </row>
    <row r="60" spans="1:1" ht="21.75" customHeight="1" x14ac:dyDescent="0.35">
      <c r="A60" s="9"/>
    </row>
    <row r="61" spans="1:1" ht="21.75" customHeight="1" x14ac:dyDescent="0.35">
      <c r="A61" s="9"/>
    </row>
    <row r="62" spans="1:1" ht="21.75" customHeight="1" x14ac:dyDescent="0.35">
      <c r="A62" s="9"/>
    </row>
    <row r="63" spans="1:1" ht="21.75" customHeight="1" x14ac:dyDescent="0.35">
      <c r="A63" s="9"/>
    </row>
    <row r="64" spans="1:1" ht="21.75" customHeight="1" x14ac:dyDescent="0.35">
      <c r="A64" s="9"/>
    </row>
    <row r="65" spans="1:1" ht="21.75" customHeight="1" x14ac:dyDescent="0.35">
      <c r="A65" s="9"/>
    </row>
    <row r="66" spans="1:1" ht="21.75" customHeight="1" x14ac:dyDescent="0.35">
      <c r="A66" s="9"/>
    </row>
    <row r="67" spans="1:1" ht="21.75" customHeight="1" x14ac:dyDescent="0.35">
      <c r="A67" s="9"/>
    </row>
    <row r="68" spans="1:1" ht="21.75" customHeight="1" x14ac:dyDescent="0.35">
      <c r="A68" s="9"/>
    </row>
    <row r="69" spans="1:1" ht="21.75" customHeight="1" x14ac:dyDescent="0.35">
      <c r="A69" s="9"/>
    </row>
    <row r="70" spans="1:1" ht="21.75" customHeight="1" x14ac:dyDescent="0.35">
      <c r="A70" s="9"/>
    </row>
    <row r="71" spans="1:1" ht="21.75" customHeight="1" x14ac:dyDescent="0.35">
      <c r="A71" s="9"/>
    </row>
    <row r="72" spans="1:1" ht="21.75" customHeight="1" x14ac:dyDescent="0.35">
      <c r="A72" s="9"/>
    </row>
    <row r="73" spans="1:1" ht="21.75" customHeight="1" x14ac:dyDescent="0.35">
      <c r="A73" s="9"/>
    </row>
    <row r="74" spans="1:1" ht="21.75" customHeight="1" x14ac:dyDescent="0.35">
      <c r="A74" s="9"/>
    </row>
    <row r="75" spans="1:1" ht="21.75" customHeight="1" x14ac:dyDescent="0.35">
      <c r="A75" s="9"/>
    </row>
    <row r="76" spans="1:1" ht="21.75" customHeight="1" x14ac:dyDescent="0.35">
      <c r="A76" s="9"/>
    </row>
    <row r="77" spans="1:1" ht="21.75" customHeight="1" x14ac:dyDescent="0.35">
      <c r="A77" s="9"/>
    </row>
    <row r="78" spans="1:1" ht="21.75" customHeight="1" x14ac:dyDescent="0.35">
      <c r="A78" s="9"/>
    </row>
    <row r="79" spans="1:1" ht="21.75" customHeight="1" x14ac:dyDescent="0.35">
      <c r="A79" s="9"/>
    </row>
    <row r="80" spans="1:1" ht="21.75" customHeight="1" x14ac:dyDescent="0.35">
      <c r="A80" s="9"/>
    </row>
    <row r="81" spans="1:1" ht="21.75" customHeight="1" x14ac:dyDescent="0.35">
      <c r="A81" s="9"/>
    </row>
    <row r="82" spans="1:1" ht="21.75" customHeight="1" x14ac:dyDescent="0.35">
      <c r="A82" s="9"/>
    </row>
    <row r="83" spans="1:1" ht="21.75" customHeight="1" x14ac:dyDescent="0.35">
      <c r="A83" s="9"/>
    </row>
    <row r="84" spans="1:1" ht="21.75" customHeight="1" x14ac:dyDescent="0.35">
      <c r="A84" s="9"/>
    </row>
    <row r="85" spans="1:1" ht="21.75" customHeight="1" x14ac:dyDescent="0.35">
      <c r="A85" s="9"/>
    </row>
    <row r="86" spans="1:1" ht="21.75" customHeight="1" x14ac:dyDescent="0.35">
      <c r="A86" s="9"/>
    </row>
    <row r="87" spans="1:1" ht="21.75" customHeight="1" x14ac:dyDescent="0.35">
      <c r="A87" s="9"/>
    </row>
    <row r="88" spans="1:1" ht="21.75" customHeight="1" x14ac:dyDescent="0.35">
      <c r="A88" s="9"/>
    </row>
    <row r="89" spans="1:1" ht="21.75" customHeight="1" x14ac:dyDescent="0.35">
      <c r="A89" s="9"/>
    </row>
    <row r="90" spans="1:1" ht="21.75" customHeight="1" x14ac:dyDescent="0.35">
      <c r="A90" s="9"/>
    </row>
    <row r="91" spans="1:1" ht="21.75" customHeight="1" x14ac:dyDescent="0.35">
      <c r="A91" s="9"/>
    </row>
    <row r="92" spans="1:1" ht="21.75" customHeight="1" x14ac:dyDescent="0.35">
      <c r="A92" s="9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19AD3F-7B7D-4CF5-BEAE-437352C05A71}">
  <sheetPr>
    <tabColor rgb="FF0000FF"/>
  </sheetPr>
  <dimension ref="A1:Y286"/>
  <sheetViews>
    <sheetView showGridLines="0" topLeftCell="A47" workbookViewId="0">
      <selection activeCell="A6" sqref="A6:A47"/>
    </sheetView>
  </sheetViews>
  <sheetFormatPr defaultRowHeight="14.5" x14ac:dyDescent="0.35"/>
  <cols>
    <col min="1" max="1" width="5.90625" style="5" customWidth="1"/>
    <col min="2" max="2" width="28.7265625" customWidth="1"/>
    <col min="3" max="8" width="2.7265625" customWidth="1"/>
    <col min="9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ht="26.25" customHeight="1" x14ac:dyDescent="0.35">
      <c r="A1" s="6"/>
      <c r="B1" s="7" t="s">
        <v>18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7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Q2" s="1"/>
      <c r="R2" s="1"/>
      <c r="S2" s="1"/>
      <c r="T2" s="1"/>
    </row>
    <row r="3" spans="1:21" ht="12.5" customHeight="1" x14ac:dyDescent="0.35"/>
    <row r="4" spans="1:21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21.75" customHeight="1" x14ac:dyDescent="0.35">
      <c r="B5" s="12" t="s">
        <v>87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1" s="84" customFormat="1" x14ac:dyDescent="0.35">
      <c r="A6" s="299">
        <f>ROW()</f>
        <v>6</v>
      </c>
      <c r="B6" s="85" t="s">
        <v>9</v>
      </c>
      <c r="C6" s="86"/>
      <c r="D6" s="86"/>
      <c r="E6" s="86"/>
      <c r="F6" s="86"/>
      <c r="G6" s="86"/>
      <c r="H6" s="86"/>
      <c r="I6" s="177" t="s">
        <v>11</v>
      </c>
      <c r="J6" s="177"/>
      <c r="K6" s="177"/>
      <c r="L6" s="177"/>
      <c r="M6" s="177"/>
      <c r="N6" s="178"/>
      <c r="O6" s="178"/>
      <c r="P6" s="178"/>
    </row>
    <row r="7" spans="1:21" ht="14.5" customHeight="1" x14ac:dyDescent="0.35">
      <c r="A7" s="299">
        <f>ROW()</f>
        <v>7</v>
      </c>
      <c r="C7" s="65"/>
      <c r="D7" s="65"/>
      <c r="E7" s="65"/>
      <c r="F7" s="65"/>
      <c r="G7" s="65"/>
      <c r="H7" s="65"/>
      <c r="I7" s="48">
        <f>'Income Statement'!I7</f>
        <v>45291</v>
      </c>
      <c r="J7" s="48">
        <f>'Income Statement'!J7</f>
        <v>45657</v>
      </c>
      <c r="K7" s="48">
        <f>'Income Statement'!K7</f>
        <v>46021</v>
      </c>
      <c r="L7" s="48">
        <f>'Income Statement'!L7</f>
        <v>46386</v>
      </c>
      <c r="M7" s="48">
        <f>'Income Statement'!M7</f>
        <v>46751</v>
      </c>
      <c r="N7" s="48">
        <f>'Income Statement'!N7</f>
        <v>47117</v>
      </c>
      <c r="O7" s="48">
        <f>'Income Statement'!O7</f>
        <v>47481</v>
      </c>
      <c r="P7" s="48">
        <f>'Income Statement'!P7</f>
        <v>47846</v>
      </c>
    </row>
    <row r="8" spans="1:21" ht="14.5" customHeight="1" x14ac:dyDescent="0.35">
      <c r="A8" s="299">
        <f>ROW()</f>
        <v>8</v>
      </c>
      <c r="B8" t="s">
        <v>88</v>
      </c>
      <c r="C8" s="65"/>
      <c r="D8" s="66"/>
      <c r="E8" s="65"/>
      <c r="F8" s="65"/>
      <c r="H8" s="70"/>
      <c r="I8" s="95">
        <f>'Income Statement'!I36</f>
        <v>115608.71136136871</v>
      </c>
      <c r="J8" s="95">
        <f>'Income Statement'!J36</f>
        <v>102724.86595466762</v>
      </c>
      <c r="K8" s="95">
        <f>'Income Statement'!K36</f>
        <v>108438.75953801951</v>
      </c>
      <c r="L8" s="95">
        <f>'Income Statement'!L36</f>
        <v>138554.20361031051</v>
      </c>
      <c r="M8" s="95">
        <f>'Income Statement'!M36</f>
        <v>169700.60046936921</v>
      </c>
      <c r="N8" s="95">
        <f>'Income Statement'!N36</f>
        <v>205860.17855018779</v>
      </c>
      <c r="O8" s="95">
        <f>'Income Statement'!O36</f>
        <v>278536.11419328768</v>
      </c>
      <c r="P8" s="95">
        <f>'Income Statement'!P36</f>
        <v>327115.32490531344</v>
      </c>
    </row>
    <row r="9" spans="1:21" ht="14.5" customHeight="1" x14ac:dyDescent="0.35">
      <c r="A9" s="299">
        <f>ROW()</f>
        <v>9</v>
      </c>
      <c r="B9" t="s">
        <v>129</v>
      </c>
      <c r="C9" s="69"/>
      <c r="D9" s="66"/>
      <c r="E9" s="65"/>
      <c r="F9" s="65"/>
      <c r="G9" s="70"/>
      <c r="H9" s="70"/>
      <c r="I9" s="72">
        <f>'Income Statement'!I19</f>
        <v>230468.57713275388</v>
      </c>
      <c r="J9" s="72">
        <f>'Income Statement'!J19</f>
        <v>228406.95660231676</v>
      </c>
      <c r="K9" s="72">
        <f>'Income Statement'!K19</f>
        <v>239300.52836182085</v>
      </c>
      <c r="L9" s="72">
        <f>'Income Statement'!L19</f>
        <v>250725.40024501871</v>
      </c>
      <c r="M9" s="72">
        <f>'Income Statement'!M19</f>
        <v>262707.85859994899</v>
      </c>
      <c r="N9" s="72">
        <f>'Income Statement'!N19</f>
        <v>275275.50194071478</v>
      </c>
      <c r="O9" s="72">
        <f>'Income Statement'!O19</f>
        <v>288457.30680539156</v>
      </c>
      <c r="P9" s="72">
        <f>'Income Statement'!P19</f>
        <v>303006.45368899265</v>
      </c>
    </row>
    <row r="10" spans="1:21" ht="14.5" customHeight="1" x14ac:dyDescent="0.35">
      <c r="A10" s="299">
        <f>ROW()</f>
        <v>10</v>
      </c>
      <c r="B10" t="s">
        <v>89</v>
      </c>
      <c r="C10" s="69"/>
      <c r="D10" s="66"/>
      <c r="E10" s="65"/>
      <c r="F10" s="65"/>
      <c r="H10" s="70"/>
      <c r="I10" s="72">
        <f>'Income Statement'!I21</f>
        <v>30579.642857142859</v>
      </c>
      <c r="J10" s="72">
        <f>'Income Statement'!J21</f>
        <v>30579.642857142859</v>
      </c>
      <c r="K10" s="72">
        <f>'Income Statement'!K21</f>
        <v>30579.642857142859</v>
      </c>
      <c r="L10" s="72">
        <f>'Income Statement'!L21</f>
        <v>30579.642857142859</v>
      </c>
      <c r="M10" s="72">
        <f>'Income Statement'!M21</f>
        <v>30579.642857142859</v>
      </c>
      <c r="N10" s="72">
        <f>'Income Statement'!N21</f>
        <v>30579.642857142859</v>
      </c>
      <c r="O10" s="72">
        <f>'Income Statement'!O21</f>
        <v>30579.642857142859</v>
      </c>
      <c r="P10" s="72">
        <f>'Income Statement'!P21</f>
        <v>0</v>
      </c>
    </row>
    <row r="11" spans="1:21" ht="14.5" customHeight="1" x14ac:dyDescent="0.35">
      <c r="A11" s="299">
        <f>ROW()</f>
        <v>11</v>
      </c>
      <c r="B11" t="s">
        <v>90</v>
      </c>
      <c r="C11" s="69"/>
      <c r="H11" s="70"/>
      <c r="I11" s="72">
        <f>'Income Statement'!I35*Assumptions!E27</f>
        <v>4514.2449198248742</v>
      </c>
      <c r="J11" s="72">
        <f>'Income Statement'!J35*Assumptions!F27</f>
        <v>4011.1614325155929</v>
      </c>
      <c r="K11" s="72">
        <f>'Income Statement'!K35*Assumptions!G27</f>
        <v>4234.2753724369522</v>
      </c>
      <c r="L11" s="72">
        <f>'Income Statement'!L35*Assumptions!H27</f>
        <v>5410.2117600216488</v>
      </c>
      <c r="M11" s="72">
        <f>'Income Statement'!M35*Assumptions!I27</f>
        <v>6626.4043992801307</v>
      </c>
      <c r="N11" s="72">
        <f>'Income Statement'!N35*Assumptions!J27</f>
        <v>8038.3498291025717</v>
      </c>
      <c r="O11" s="72">
        <f>'Income Statement'!O35*Assumptions!K27</f>
        <v>10876.172078023616</v>
      </c>
      <c r="P11" s="72">
        <f>'Income Statement'!P35*Assumptions!L27</f>
        <v>12773.074591540813</v>
      </c>
    </row>
    <row r="12" spans="1:21" ht="14.5" customHeight="1" x14ac:dyDescent="0.35">
      <c r="A12" s="299">
        <f>ROW()</f>
        <v>12</v>
      </c>
      <c r="B12" s="36" t="s">
        <v>91</v>
      </c>
      <c r="C12" s="69"/>
      <c r="H12" s="73"/>
      <c r="I12" s="96">
        <f>SUM(I8:I11)</f>
        <v>381171.17627109028</v>
      </c>
      <c r="J12" s="96">
        <f t="shared" ref="J12:P12" si="0">SUM(J8:J11)</f>
        <v>365722.62684664282</v>
      </c>
      <c r="K12" s="96">
        <f t="shared" si="0"/>
        <v>382553.2061294202</v>
      </c>
      <c r="L12" s="96">
        <f t="shared" si="0"/>
        <v>425269.45847249369</v>
      </c>
      <c r="M12" s="96">
        <f t="shared" si="0"/>
        <v>469614.50632574118</v>
      </c>
      <c r="N12" s="96">
        <f t="shared" si="0"/>
        <v>519753.67317714798</v>
      </c>
      <c r="O12" s="96">
        <f t="shared" si="0"/>
        <v>608449.23593384575</v>
      </c>
      <c r="P12" s="96">
        <f t="shared" ref="P12" si="1">SUM(P8:P11)</f>
        <v>642894.85318584694</v>
      </c>
    </row>
    <row r="13" spans="1:21" ht="14.5" customHeight="1" x14ac:dyDescent="0.35">
      <c r="A13" s="299">
        <f>ROW()</f>
        <v>13</v>
      </c>
      <c r="C13" s="69"/>
      <c r="H13" s="70"/>
      <c r="I13" s="70"/>
      <c r="J13" s="70"/>
      <c r="K13" s="70"/>
      <c r="L13" s="70"/>
      <c r="M13" s="70"/>
      <c r="N13" s="70"/>
      <c r="O13" s="70"/>
      <c r="P13" s="70"/>
      <c r="U13" s="65"/>
    </row>
    <row r="14" spans="1:21" ht="14.5" customHeight="1" x14ac:dyDescent="0.35">
      <c r="A14" s="299">
        <f>ROW()</f>
        <v>14</v>
      </c>
      <c r="B14" s="74" t="s">
        <v>92</v>
      </c>
      <c r="C14" s="69"/>
      <c r="H14" s="70"/>
      <c r="I14" s="70"/>
      <c r="J14" s="70"/>
      <c r="K14" s="70"/>
      <c r="L14" s="70"/>
      <c r="M14" s="70"/>
      <c r="N14" s="70"/>
      <c r="O14" s="70"/>
      <c r="P14" s="70"/>
      <c r="U14" s="65"/>
    </row>
    <row r="15" spans="1:21" ht="14.5" customHeight="1" x14ac:dyDescent="0.35">
      <c r="A15" s="299">
        <f>ROW()</f>
        <v>15</v>
      </c>
      <c r="B15" t="s">
        <v>93</v>
      </c>
      <c r="C15" s="69"/>
      <c r="D15" s="75"/>
      <c r="E15" s="75"/>
      <c r="F15" s="75"/>
      <c r="H15" s="70"/>
      <c r="I15" s="95">
        <f>+'Balance Sheet'!H10-'Balance Sheet'!I10</f>
        <v>533.96316931506954</v>
      </c>
      <c r="J15" s="95">
        <f>+'Balance Sheet'!I10-'Balance Sheet'!J10</f>
        <v>192.91560195945203</v>
      </c>
      <c r="K15" s="95">
        <f>+'Balance Sheet'!J10-'Balance Sheet'!K10</f>
        <v>-1019.3631283966752</v>
      </c>
      <c r="L15" s="95">
        <f>+'Balance Sheet'!K10-'Balance Sheet'!L10</f>
        <v>-1069.0793985202508</v>
      </c>
      <c r="M15" s="95">
        <f>+'Balance Sheet'!L10-'Balance Sheet'!M10</f>
        <v>-1121.2554067868587</v>
      </c>
      <c r="N15" s="95">
        <f>+'Balance Sheet'!M10-'Balance Sheet'!N10</f>
        <v>-1176.0139387928211</v>
      </c>
      <c r="O15" s="95">
        <f>+'Balance Sheet'!N10-'Balance Sheet'!O10</f>
        <v>-1233.4839427709521</v>
      </c>
      <c r="P15" s="95">
        <f>+'Balance Sheet'!O10-'Balance Sheet'!P10</f>
        <v>-1292.5503853809496</v>
      </c>
    </row>
    <row r="16" spans="1:21" ht="14.5" customHeight="1" x14ac:dyDescent="0.35">
      <c r="A16" s="299">
        <f>ROW()</f>
        <v>16</v>
      </c>
      <c r="B16" t="s">
        <v>94</v>
      </c>
      <c r="C16" s="69"/>
      <c r="D16" s="75"/>
      <c r="E16" s="75"/>
      <c r="F16" s="75"/>
      <c r="H16" s="70"/>
      <c r="I16" s="95">
        <f>+'Balance Sheet'!H11-'Balance Sheet'!I11</f>
        <v>0</v>
      </c>
      <c r="J16" s="95">
        <f>+'Balance Sheet'!I11-'Balance Sheet'!J11</f>
        <v>0</v>
      </c>
      <c r="K16" s="95">
        <f>+'Balance Sheet'!J11-'Balance Sheet'!K11</f>
        <v>0</v>
      </c>
      <c r="L16" s="95">
        <f>+'Balance Sheet'!K11-'Balance Sheet'!L11</f>
        <v>0</v>
      </c>
      <c r="M16" s="95">
        <f>+'Balance Sheet'!L11-'Balance Sheet'!M11</f>
        <v>0</v>
      </c>
      <c r="N16" s="95">
        <f>+'Balance Sheet'!M11-'Balance Sheet'!N11</f>
        <v>0</v>
      </c>
      <c r="O16" s="95">
        <f>+'Balance Sheet'!N11-'Balance Sheet'!O11</f>
        <v>0</v>
      </c>
      <c r="P16" s="95">
        <f>+'Balance Sheet'!O11-'Balance Sheet'!P11</f>
        <v>0</v>
      </c>
    </row>
    <row r="17" spans="1:21" ht="14.5" customHeight="1" x14ac:dyDescent="0.35">
      <c r="A17" s="299">
        <f>ROW()</f>
        <v>17</v>
      </c>
      <c r="B17" t="s">
        <v>95</v>
      </c>
      <c r="C17" s="69"/>
      <c r="D17" s="75"/>
      <c r="E17" s="75"/>
      <c r="F17" s="75"/>
      <c r="H17" s="70"/>
      <c r="I17" s="95">
        <f>+'Balance Sheet'!H12-'Balance Sheet'!I12</f>
        <v>0</v>
      </c>
      <c r="J17" s="95">
        <f>+'Balance Sheet'!I12-'Balance Sheet'!J12</f>
        <v>0</v>
      </c>
      <c r="K17" s="95">
        <f>+'Balance Sheet'!J12-'Balance Sheet'!K12</f>
        <v>0</v>
      </c>
      <c r="L17" s="95">
        <f>+'Balance Sheet'!K12-'Balance Sheet'!L12</f>
        <v>0</v>
      </c>
      <c r="M17" s="95">
        <f>+'Balance Sheet'!L12-'Balance Sheet'!M12</f>
        <v>0</v>
      </c>
      <c r="N17" s="95">
        <f>+'Balance Sheet'!M12-'Balance Sheet'!N12</f>
        <v>0</v>
      </c>
      <c r="O17" s="95">
        <f>+'Balance Sheet'!N12-'Balance Sheet'!O12</f>
        <v>0</v>
      </c>
      <c r="P17" s="95">
        <f>+'Balance Sheet'!O12-'Balance Sheet'!P12</f>
        <v>0</v>
      </c>
    </row>
    <row r="18" spans="1:21" ht="14.5" customHeight="1" x14ac:dyDescent="0.35">
      <c r="A18" s="299">
        <f>ROW()</f>
        <v>18</v>
      </c>
      <c r="B18" t="s">
        <v>96</v>
      </c>
      <c r="C18" s="69"/>
      <c r="D18" s="75"/>
      <c r="E18" s="75"/>
      <c r="F18" s="75"/>
      <c r="H18" s="70"/>
      <c r="I18" s="72">
        <f>'Balance Sheet'!I24-'Balance Sheet'!H24</f>
        <v>616.56013629588415</v>
      </c>
      <c r="J18" s="72">
        <f>'Balance Sheet'!J24-'Balance Sheet'!I24</f>
        <v>-503.77096099181654</v>
      </c>
      <c r="K18" s="72">
        <f>'Balance Sheet'!K24-'Balance Sheet'!J24</f>
        <v>2661.9181526850225</v>
      </c>
      <c r="L18" s="72">
        <f>'Balance Sheet'!L24-'Balance Sheet'!K24</f>
        <v>2791.7449418233373</v>
      </c>
      <c r="M18" s="72">
        <f>'Balance Sheet'!M24-'Balance Sheet'!L24</f>
        <v>2927.9949784103956</v>
      </c>
      <c r="N18" s="72">
        <f>'Balance Sheet'!N24-'Balance Sheet'!M24</f>
        <v>3070.9888991247062</v>
      </c>
      <c r="O18" s="72">
        <f>'Balance Sheet'!O24-'Balance Sheet'!N24</f>
        <v>3221.0634334713832</v>
      </c>
      <c r="P18" s="72">
        <f>'Balance Sheet'!P24-'Balance Sheet'!O24</f>
        <v>3375.3068344911735</v>
      </c>
    </row>
    <row r="19" spans="1:21" ht="14.5" customHeight="1" x14ac:dyDescent="0.35">
      <c r="A19" s="299">
        <f>ROW()</f>
        <v>19</v>
      </c>
      <c r="B19" t="s">
        <v>97</v>
      </c>
      <c r="C19" s="69"/>
      <c r="D19" s="75"/>
      <c r="E19" s="75"/>
      <c r="F19" s="75"/>
      <c r="H19" s="70"/>
      <c r="I19" s="72">
        <f>'Balance Sheet'!I25-'Balance Sheet'!H25</f>
        <v>0</v>
      </c>
      <c r="J19" s="72">
        <f>'Balance Sheet'!J25-'Balance Sheet'!I25</f>
        <v>0</v>
      </c>
      <c r="K19" s="72">
        <f>'Balance Sheet'!K25-'Balance Sheet'!J25</f>
        <v>0</v>
      </c>
      <c r="L19" s="72">
        <f>'Balance Sheet'!L25-'Balance Sheet'!K25</f>
        <v>0</v>
      </c>
      <c r="M19" s="72">
        <f>'Balance Sheet'!M25-'Balance Sheet'!L25</f>
        <v>0</v>
      </c>
      <c r="N19" s="72">
        <f>'Balance Sheet'!N25-'Balance Sheet'!M25</f>
        <v>0</v>
      </c>
      <c r="O19" s="72">
        <f>'Balance Sheet'!O25-'Balance Sheet'!N25</f>
        <v>0</v>
      </c>
      <c r="P19" s="72">
        <f>'Balance Sheet'!P25-'Balance Sheet'!O25</f>
        <v>0</v>
      </c>
    </row>
    <row r="20" spans="1:21" ht="14.5" customHeight="1" x14ac:dyDescent="0.35">
      <c r="A20" s="299">
        <f>ROW()</f>
        <v>20</v>
      </c>
      <c r="B20" s="23" t="s">
        <v>98</v>
      </c>
      <c r="C20" s="69"/>
      <c r="D20" s="75"/>
      <c r="E20" s="75"/>
      <c r="F20" s="75"/>
      <c r="H20" s="70"/>
      <c r="I20" s="97">
        <f>SUM(I15:I19)</f>
        <v>1150.5233056109537</v>
      </c>
      <c r="J20" s="97">
        <f t="shared" ref="J20:P20" si="2">SUM(J15:J19)</f>
        <v>-310.8553590323645</v>
      </c>
      <c r="K20" s="97">
        <f t="shared" si="2"/>
        <v>1642.5550242883473</v>
      </c>
      <c r="L20" s="97">
        <f t="shared" si="2"/>
        <v>1722.6655433030865</v>
      </c>
      <c r="M20" s="97">
        <f t="shared" si="2"/>
        <v>1806.7395716235369</v>
      </c>
      <c r="N20" s="97">
        <f t="shared" si="2"/>
        <v>1894.9749603318851</v>
      </c>
      <c r="O20" s="97">
        <f t="shared" si="2"/>
        <v>1987.5794907004311</v>
      </c>
      <c r="P20" s="97">
        <f t="shared" si="2"/>
        <v>2082.7564491102239</v>
      </c>
    </row>
    <row r="21" spans="1:21" ht="14.5" customHeight="1" x14ac:dyDescent="0.35">
      <c r="A21" s="299">
        <f>ROW()</f>
        <v>21</v>
      </c>
      <c r="C21" s="69"/>
      <c r="D21" s="75"/>
      <c r="E21" s="75"/>
      <c r="F21" s="75"/>
      <c r="I21" s="70"/>
      <c r="J21" s="70"/>
      <c r="K21" s="70"/>
      <c r="L21" s="70"/>
      <c r="M21" s="70"/>
      <c r="N21" s="70"/>
      <c r="O21" s="70"/>
      <c r="P21" s="70"/>
    </row>
    <row r="22" spans="1:21" ht="14.5" customHeight="1" x14ac:dyDescent="0.35">
      <c r="A22" s="299">
        <f>ROW()</f>
        <v>22</v>
      </c>
      <c r="B22" s="36" t="s">
        <v>99</v>
      </c>
      <c r="C22" s="69"/>
      <c r="H22" s="70"/>
      <c r="I22" s="72">
        <f>+I12+I20</f>
        <v>382321.69957670121</v>
      </c>
      <c r="J22" s="72">
        <f t="shared" ref="J22:P22" si="3">+J12+J20</f>
        <v>365411.77148761047</v>
      </c>
      <c r="K22" s="72">
        <f t="shared" si="3"/>
        <v>384195.76115370856</v>
      </c>
      <c r="L22" s="72">
        <f t="shared" si="3"/>
        <v>426992.12401579675</v>
      </c>
      <c r="M22" s="72">
        <f t="shared" si="3"/>
        <v>471421.24589736474</v>
      </c>
      <c r="N22" s="72">
        <f t="shared" si="3"/>
        <v>521648.64813747985</v>
      </c>
      <c r="O22" s="72">
        <f t="shared" si="3"/>
        <v>610436.81542454613</v>
      </c>
      <c r="P22" s="72">
        <f t="shared" ref="P22" si="4">+P12+P20</f>
        <v>644977.60963495716</v>
      </c>
    </row>
    <row r="23" spans="1:21" ht="14.5" customHeight="1" x14ac:dyDescent="0.35">
      <c r="A23" s="299">
        <f>ROW()</f>
        <v>23</v>
      </c>
      <c r="C23" s="69"/>
      <c r="H23" s="70"/>
      <c r="I23" s="70"/>
      <c r="J23" s="70"/>
      <c r="K23" s="70"/>
      <c r="L23" s="70"/>
      <c r="M23" s="70"/>
      <c r="N23" s="70"/>
      <c r="O23" s="70"/>
      <c r="P23" s="70"/>
      <c r="U23" s="65"/>
    </row>
    <row r="24" spans="1:21" ht="14.5" customHeight="1" x14ac:dyDescent="0.35">
      <c r="A24" s="299">
        <f>ROW()</f>
        <v>24</v>
      </c>
      <c r="B24" s="74" t="s">
        <v>100</v>
      </c>
      <c r="C24" s="69"/>
      <c r="H24" s="70"/>
      <c r="I24" s="70"/>
      <c r="J24" s="70"/>
      <c r="K24" s="70"/>
      <c r="L24" s="70"/>
      <c r="M24" s="70"/>
      <c r="N24" s="70"/>
      <c r="O24" s="70"/>
      <c r="P24" s="70"/>
      <c r="U24" s="65"/>
    </row>
    <row r="25" spans="1:21" ht="14.5" customHeight="1" x14ac:dyDescent="0.35">
      <c r="A25" s="299">
        <f>ROW()</f>
        <v>25</v>
      </c>
      <c r="B25" t="s">
        <v>101</v>
      </c>
      <c r="C25" s="69"/>
      <c r="D25" s="75"/>
      <c r="E25" s="75"/>
      <c r="H25" s="70"/>
      <c r="I25" s="72">
        <f>-Assumptions!E26*'Income Statement'!I8</f>
        <v>-266486.57490000001</v>
      </c>
      <c r="J25" s="72">
        <f>-Assumptions!F26*'Income Statement'!J8</f>
        <v>-264102.76101641252</v>
      </c>
      <c r="K25" s="72">
        <f>-Assumptions!G26*'Income Statement'!K8</f>
        <v>-276698.79758995998</v>
      </c>
      <c r="L25" s="72">
        <f>-Assumptions!H26*'Income Statement'!L8</f>
        <v>-289909.16672011249</v>
      </c>
      <c r="M25" s="72">
        <f>-Assumptions!I26*'Income Statement'!M8</f>
        <v>-303764.26282741368</v>
      </c>
      <c r="N25" s="72">
        <f>-Assumptions!J26*'Income Statement'!N8</f>
        <v>-318295.99756588228</v>
      </c>
      <c r="O25" s="72">
        <f>-Assumptions!K26*'Income Statement'!O8</f>
        <v>-333537.87597329944</v>
      </c>
      <c r="P25" s="72">
        <f>-Assumptions!L26*'Income Statement'!P8</f>
        <v>-350360.78679681948</v>
      </c>
    </row>
    <row r="26" spans="1:21" ht="14.5" customHeight="1" x14ac:dyDescent="0.35">
      <c r="A26" s="299">
        <f>ROW()</f>
        <v>26</v>
      </c>
      <c r="B26" t="s">
        <v>102</v>
      </c>
      <c r="C26" s="69"/>
      <c r="D26" s="75"/>
      <c r="E26" s="75"/>
      <c r="H26" s="70"/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76">
        <v>0</v>
      </c>
      <c r="Q26" s="44"/>
    </row>
    <row r="27" spans="1:21" ht="14.5" customHeight="1" x14ac:dyDescent="0.35">
      <c r="A27" s="299">
        <f>ROW()</f>
        <v>27</v>
      </c>
      <c r="B27" s="36" t="s">
        <v>103</v>
      </c>
      <c r="C27" s="69"/>
      <c r="H27" s="70"/>
      <c r="I27" s="97">
        <f>+I26+I25</f>
        <v>-266486.57490000001</v>
      </c>
      <c r="J27" s="97">
        <f t="shared" ref="J27:P27" si="5">+J26+J25</f>
        <v>-264102.76101641252</v>
      </c>
      <c r="K27" s="97">
        <f t="shared" si="5"/>
        <v>-276698.79758995998</v>
      </c>
      <c r="L27" s="97">
        <f t="shared" si="5"/>
        <v>-289909.16672011249</v>
      </c>
      <c r="M27" s="97">
        <f t="shared" si="5"/>
        <v>-303764.26282741368</v>
      </c>
      <c r="N27" s="97">
        <f t="shared" si="5"/>
        <v>-318295.99756588228</v>
      </c>
      <c r="O27" s="97">
        <f t="shared" si="5"/>
        <v>-333537.87597329944</v>
      </c>
      <c r="P27" s="97">
        <f t="shared" ref="P27" si="6">+P26+P25</f>
        <v>-350360.78679681948</v>
      </c>
    </row>
    <row r="28" spans="1:21" ht="14.5" customHeight="1" x14ac:dyDescent="0.35">
      <c r="A28" s="299">
        <f>ROW()</f>
        <v>28</v>
      </c>
      <c r="C28" s="69"/>
      <c r="H28" s="70"/>
      <c r="I28" s="70"/>
      <c r="J28" s="70"/>
      <c r="K28" s="70"/>
      <c r="L28" s="70"/>
      <c r="M28" s="70"/>
      <c r="N28" s="70"/>
      <c r="O28" s="70"/>
      <c r="P28" s="70"/>
      <c r="U28" s="65"/>
    </row>
    <row r="29" spans="1:21" ht="14.5" customHeight="1" x14ac:dyDescent="0.35">
      <c r="A29" s="299">
        <f>ROW()</f>
        <v>29</v>
      </c>
      <c r="B29" s="31" t="s">
        <v>104</v>
      </c>
      <c r="C29" s="69"/>
      <c r="H29" s="70"/>
      <c r="I29" s="72">
        <f>+I22+I27</f>
        <v>115835.12467670121</v>
      </c>
      <c r="J29" s="72">
        <f t="shared" ref="J29:P29" si="7">+J22+J27</f>
        <v>101309.01047119795</v>
      </c>
      <c r="K29" s="72">
        <f t="shared" si="7"/>
        <v>107496.96356374858</v>
      </c>
      <c r="L29" s="72">
        <f t="shared" si="7"/>
        <v>137082.95729568426</v>
      </c>
      <c r="M29" s="72">
        <f t="shared" si="7"/>
        <v>167656.98306995106</v>
      </c>
      <c r="N29" s="72">
        <f t="shared" si="7"/>
        <v>203352.65057159757</v>
      </c>
      <c r="O29" s="72">
        <f t="shared" si="7"/>
        <v>276898.9394512467</v>
      </c>
      <c r="P29" s="72">
        <f t="shared" ref="P29" si="8">+P22+P27</f>
        <v>294616.82283813768</v>
      </c>
      <c r="Q29" s="45"/>
    </row>
    <row r="30" spans="1:21" ht="14.5" customHeight="1" x14ac:dyDescent="0.35">
      <c r="A30" s="299">
        <f>ROW()</f>
        <v>30</v>
      </c>
      <c r="B30" s="31" t="s">
        <v>161</v>
      </c>
      <c r="C30" s="69"/>
      <c r="H30" s="70"/>
      <c r="I30" s="72">
        <f>+I29</f>
        <v>115835.12467670121</v>
      </c>
      <c r="J30" s="72">
        <f>+I30+J29</f>
        <v>217144.13514789916</v>
      </c>
      <c r="K30" s="72">
        <f t="shared" ref="K30:Q30" si="9">+J30+K29</f>
        <v>324641.09871164773</v>
      </c>
      <c r="L30" s="72">
        <f t="shared" si="9"/>
        <v>461724.05600733199</v>
      </c>
      <c r="M30" s="72">
        <f t="shared" si="9"/>
        <v>629381.03907728312</v>
      </c>
      <c r="N30" s="72">
        <f t="shared" si="9"/>
        <v>832733.68964888062</v>
      </c>
      <c r="O30" s="72">
        <f t="shared" si="9"/>
        <v>1109632.6291001274</v>
      </c>
      <c r="P30" s="72">
        <f t="shared" si="9"/>
        <v>1404249.451938265</v>
      </c>
      <c r="Q30" s="45"/>
    </row>
    <row r="31" spans="1:21" ht="14.5" customHeight="1" x14ac:dyDescent="0.35">
      <c r="A31" s="299">
        <f>ROW()</f>
        <v>31</v>
      </c>
      <c r="B31" s="31" t="s">
        <v>162</v>
      </c>
      <c r="C31" s="69"/>
      <c r="H31" s="70"/>
      <c r="I31" s="18">
        <v>2.1590184307411605E-2</v>
      </c>
      <c r="J31" s="18">
        <v>9.2564591230611837E-2</v>
      </c>
      <c r="K31" s="18">
        <v>0.19726384027860214</v>
      </c>
      <c r="L31" s="18">
        <v>0.32420682851993493</v>
      </c>
      <c r="M31" s="18">
        <v>0.47961791295143497</v>
      </c>
      <c r="N31" s="18">
        <v>0.667864535493081</v>
      </c>
      <c r="O31" s="18">
        <v>0.89388508456907612</v>
      </c>
      <c r="P31" s="18">
        <v>0.89388508456907612</v>
      </c>
      <c r="Q31" s="45"/>
    </row>
    <row r="32" spans="1:21" ht="14.5" customHeight="1" x14ac:dyDescent="0.35">
      <c r="A32" s="299">
        <f>ROW()</f>
        <v>32</v>
      </c>
      <c r="B32" s="31" t="s">
        <v>163</v>
      </c>
      <c r="C32" s="69"/>
      <c r="H32" s="70"/>
      <c r="I32" s="18">
        <v>1.4111231573471637E-2</v>
      </c>
      <c r="J32" s="18">
        <v>6.0499732830465253E-2</v>
      </c>
      <c r="K32" s="18">
        <v>0.12893061456117785</v>
      </c>
      <c r="L32" s="18">
        <v>0.21189988792152611</v>
      </c>
      <c r="M32" s="18">
        <v>0.3134757600989771</v>
      </c>
      <c r="N32" s="18">
        <v>0.43651276829613134</v>
      </c>
      <c r="O32" s="18">
        <v>0.58423861736540916</v>
      </c>
      <c r="P32" s="18">
        <v>0.58423861736540916</v>
      </c>
      <c r="Q32" s="45"/>
    </row>
    <row r="33" spans="1:25" ht="14.5" customHeight="1" x14ac:dyDescent="0.35">
      <c r="A33" s="299">
        <f>ROW()</f>
        <v>33</v>
      </c>
      <c r="C33" s="69"/>
      <c r="H33" s="70"/>
      <c r="I33" s="70"/>
      <c r="J33" s="70"/>
      <c r="K33" s="70"/>
      <c r="L33" s="70"/>
      <c r="M33" s="70"/>
      <c r="N33" s="70"/>
      <c r="O33" s="70"/>
      <c r="P33" s="70"/>
      <c r="U33" s="65"/>
    </row>
    <row r="34" spans="1:25" ht="14.5" customHeight="1" x14ac:dyDescent="0.35">
      <c r="A34" s="299">
        <f>ROW()</f>
        <v>34</v>
      </c>
      <c r="B34" s="74" t="s">
        <v>164</v>
      </c>
      <c r="C34" s="69"/>
      <c r="H34" s="70"/>
      <c r="I34" s="70"/>
      <c r="J34" s="70"/>
      <c r="K34" s="70"/>
      <c r="L34" s="70"/>
      <c r="M34" s="70"/>
      <c r="N34" s="70"/>
      <c r="O34" s="70"/>
      <c r="P34" s="70"/>
      <c r="U34" s="65"/>
    </row>
    <row r="35" spans="1:25" ht="14.5" customHeight="1" x14ac:dyDescent="0.35">
      <c r="A35" s="299">
        <f>ROW()</f>
        <v>35</v>
      </c>
      <c r="B35" t="s">
        <v>160</v>
      </c>
      <c r="C35" s="69"/>
      <c r="H35" s="70"/>
      <c r="I35" s="22">
        <f>'Debt Schedule'!J14</f>
        <v>0</v>
      </c>
      <c r="J35" s="22">
        <f>'Debt Schedule'!K14</f>
        <v>0</v>
      </c>
      <c r="K35" s="22">
        <f>'Debt Schedule'!L14</f>
        <v>0</v>
      </c>
      <c r="L35" s="22">
        <f>'Debt Schedule'!M14</f>
        <v>0</v>
      </c>
      <c r="M35" s="22">
        <f>'Debt Schedule'!N14</f>
        <v>0</v>
      </c>
      <c r="N35" s="22">
        <f>'Debt Schedule'!O14</f>
        <v>0</v>
      </c>
      <c r="O35" s="22">
        <f>'Debt Schedule'!P14</f>
        <v>0</v>
      </c>
      <c r="P35" s="22">
        <f>'Debt Schedule'!Q14</f>
        <v>0</v>
      </c>
    </row>
    <row r="36" spans="1:25" ht="14.5" customHeight="1" x14ac:dyDescent="0.35">
      <c r="A36" s="299">
        <f>ROW()</f>
        <v>36</v>
      </c>
      <c r="B36" t="s">
        <v>3</v>
      </c>
      <c r="C36" s="69"/>
      <c r="H36" s="70"/>
      <c r="I36" s="22">
        <f>'Debt Schedule'!J23</f>
        <v>0</v>
      </c>
      <c r="J36" s="22">
        <f>'Debt Schedule'!K23</f>
        <v>-65000</v>
      </c>
      <c r="K36" s="22">
        <f>'Debt Schedule'!L23</f>
        <v>-130000</v>
      </c>
      <c r="L36" s="22">
        <f>'Debt Schedule'!M23</f>
        <v>-130000</v>
      </c>
      <c r="M36" s="22">
        <f>'Debt Schedule'!N23</f>
        <v>-195000</v>
      </c>
      <c r="N36" s="22">
        <f>'Debt Schedule'!O23</f>
        <v>-780000</v>
      </c>
      <c r="O36" s="22">
        <f>'Debt Schedule'!P23</f>
        <v>0</v>
      </c>
      <c r="P36" s="22">
        <f>'Debt Schedule'!Q23</f>
        <v>0</v>
      </c>
    </row>
    <row r="37" spans="1:25" ht="14.5" customHeight="1" x14ac:dyDescent="0.35">
      <c r="A37" s="299">
        <f>ROW()</f>
        <v>37</v>
      </c>
      <c r="B37" t="s">
        <v>4</v>
      </c>
      <c r="C37" s="69"/>
      <c r="H37" s="70"/>
      <c r="I37" s="22">
        <f>'Debt Schedule'!J32</f>
        <v>0</v>
      </c>
      <c r="J37" s="22">
        <f>'Debt Schedule'!K32</f>
        <v>-16000</v>
      </c>
      <c r="K37" s="22">
        <f>'Debt Schedule'!L32</f>
        <v>-16000</v>
      </c>
      <c r="L37" s="22">
        <f>'Debt Schedule'!M32</f>
        <v>-16000</v>
      </c>
      <c r="M37" s="22">
        <f>'Debt Schedule'!N32</f>
        <v>-16000</v>
      </c>
      <c r="N37" s="22">
        <f>'Debt Schedule'!O32</f>
        <v>-16000</v>
      </c>
      <c r="O37" s="22">
        <f>'Debt Schedule'!P32</f>
        <v>-16000</v>
      </c>
      <c r="P37" s="22">
        <f>'Debt Schedule'!Q32</f>
        <v>-1504000</v>
      </c>
    </row>
    <row r="38" spans="1:25" ht="14.5" customHeight="1" x14ac:dyDescent="0.35">
      <c r="A38" s="299">
        <f>ROW()</f>
        <v>38</v>
      </c>
      <c r="B38" t="s">
        <v>126</v>
      </c>
      <c r="C38" s="69"/>
      <c r="H38" s="70"/>
      <c r="I38" s="22">
        <f>'Debt Schedule'!J41</f>
        <v>0</v>
      </c>
      <c r="J38" s="22">
        <f>'Debt Schedule'!K41</f>
        <v>0</v>
      </c>
      <c r="K38" s="22">
        <f>'Debt Schedule'!L41</f>
        <v>0</v>
      </c>
      <c r="L38" s="22">
        <f>'Debt Schedule'!M41</f>
        <v>0</v>
      </c>
      <c r="M38" s="22">
        <f>'Debt Schedule'!N41</f>
        <v>0</v>
      </c>
      <c r="N38" s="22">
        <f>'Debt Schedule'!O41</f>
        <v>0</v>
      </c>
      <c r="O38" s="22">
        <f>'Debt Schedule'!P41</f>
        <v>0</v>
      </c>
      <c r="P38" s="22">
        <f>'Debt Schedule'!Q41</f>
        <v>0</v>
      </c>
    </row>
    <row r="39" spans="1:25" ht="14.5" customHeight="1" x14ac:dyDescent="0.35">
      <c r="A39" s="299">
        <f>ROW()</f>
        <v>39</v>
      </c>
      <c r="B39" t="s">
        <v>28</v>
      </c>
      <c r="C39" s="69"/>
      <c r="H39" s="70"/>
      <c r="I39" s="98">
        <f>'Debt Schedule'!J50</f>
        <v>0</v>
      </c>
      <c r="J39" s="98">
        <f>'Debt Schedule'!K50</f>
        <v>0</v>
      </c>
      <c r="K39" s="98">
        <f>'Debt Schedule'!L50</f>
        <v>0</v>
      </c>
      <c r="L39" s="98">
        <f>'Debt Schedule'!M50</f>
        <v>0</v>
      </c>
      <c r="M39" s="98">
        <f>'Debt Schedule'!N50</f>
        <v>0</v>
      </c>
      <c r="N39" s="98">
        <f>'Debt Schedule'!O50</f>
        <v>0</v>
      </c>
      <c r="O39" s="98">
        <f>'Debt Schedule'!P50</f>
        <v>0</v>
      </c>
      <c r="P39" s="98">
        <f>'Debt Schedule'!Q50</f>
        <v>0</v>
      </c>
    </row>
    <row r="40" spans="1:25" ht="14.5" customHeight="1" x14ac:dyDescent="0.35">
      <c r="A40" s="299">
        <f>ROW()</f>
        <v>40</v>
      </c>
      <c r="B40" s="36" t="s">
        <v>105</v>
      </c>
      <c r="C40" s="69"/>
      <c r="H40" s="70"/>
      <c r="I40" s="72">
        <f>SUM(I35:I39)</f>
        <v>0</v>
      </c>
      <c r="J40" s="72">
        <f t="shared" ref="J40:P40" si="10">SUM(J35:J39)</f>
        <v>-81000</v>
      </c>
      <c r="K40" s="72">
        <f t="shared" si="10"/>
        <v>-146000</v>
      </c>
      <c r="L40" s="72">
        <f t="shared" si="10"/>
        <v>-146000</v>
      </c>
      <c r="M40" s="72">
        <f t="shared" si="10"/>
        <v>-211000</v>
      </c>
      <c r="N40" s="72">
        <f t="shared" si="10"/>
        <v>-796000</v>
      </c>
      <c r="O40" s="72">
        <f t="shared" si="10"/>
        <v>-16000</v>
      </c>
      <c r="P40" s="72">
        <f t="shared" ref="P40" si="11">SUM(P35:P39)</f>
        <v>-1504000</v>
      </c>
    </row>
    <row r="41" spans="1:25" ht="14.5" customHeight="1" x14ac:dyDescent="0.35">
      <c r="A41" s="299">
        <f>ROW()</f>
        <v>41</v>
      </c>
      <c r="C41" s="69"/>
      <c r="H41" s="70"/>
      <c r="I41" s="70"/>
      <c r="J41" s="70"/>
      <c r="K41" s="70"/>
      <c r="L41" s="70"/>
      <c r="M41" s="70"/>
      <c r="N41" s="70"/>
      <c r="O41" s="70"/>
      <c r="P41" s="70"/>
      <c r="U41" s="65"/>
    </row>
    <row r="42" spans="1:25" ht="14.5" customHeight="1" x14ac:dyDescent="0.35">
      <c r="A42" s="299">
        <f>ROW()</f>
        <v>42</v>
      </c>
      <c r="B42" s="31" t="s">
        <v>106</v>
      </c>
      <c r="C42" s="69"/>
      <c r="H42" s="70"/>
      <c r="I42" s="72">
        <v>0</v>
      </c>
      <c r="J42" s="72">
        <v>0</v>
      </c>
      <c r="K42" s="72">
        <v>0</v>
      </c>
      <c r="L42" s="72">
        <v>0</v>
      </c>
      <c r="M42" s="72">
        <v>0</v>
      </c>
      <c r="N42" s="72">
        <v>0</v>
      </c>
      <c r="O42" s="72">
        <v>0</v>
      </c>
      <c r="P42" s="72">
        <v>0</v>
      </c>
    </row>
    <row r="43" spans="1:25" ht="14.5" customHeight="1" x14ac:dyDescent="0.35">
      <c r="A43" s="299">
        <f>ROW()</f>
        <v>43</v>
      </c>
      <c r="B43" s="36" t="s">
        <v>107</v>
      </c>
      <c r="C43" s="69"/>
      <c r="H43" s="70"/>
      <c r="I43" s="97">
        <f>+I42+I40</f>
        <v>0</v>
      </c>
      <c r="J43" s="97">
        <f t="shared" ref="J43:P43" si="12">+J42+J40</f>
        <v>-81000</v>
      </c>
      <c r="K43" s="97">
        <f t="shared" si="12"/>
        <v>-146000</v>
      </c>
      <c r="L43" s="97">
        <f t="shared" si="12"/>
        <v>-146000</v>
      </c>
      <c r="M43" s="97">
        <f t="shared" si="12"/>
        <v>-211000</v>
      </c>
      <c r="N43" s="97">
        <f t="shared" si="12"/>
        <v>-796000</v>
      </c>
      <c r="O43" s="97">
        <f t="shared" si="12"/>
        <v>-16000</v>
      </c>
      <c r="P43" s="97">
        <f t="shared" ref="P43" si="13">+P42+P40</f>
        <v>-1504000</v>
      </c>
    </row>
    <row r="44" spans="1:25" ht="14.5" customHeight="1" x14ac:dyDescent="0.35">
      <c r="A44" s="299">
        <f>ROW()</f>
        <v>44</v>
      </c>
      <c r="B44" s="31"/>
      <c r="C44" s="69"/>
      <c r="H44" s="70"/>
      <c r="I44" s="70"/>
      <c r="J44" s="70"/>
      <c r="K44" s="70"/>
      <c r="L44" s="70"/>
      <c r="M44" s="70"/>
      <c r="N44" s="70"/>
      <c r="O44" s="70"/>
      <c r="P44" s="70"/>
      <c r="U44" s="65"/>
      <c r="V44" s="65"/>
      <c r="W44" s="65"/>
      <c r="X44" s="65"/>
      <c r="Y44" s="65"/>
    </row>
    <row r="45" spans="1:25" ht="14.5" customHeight="1" thickBot="1" x14ac:dyDescent="0.4">
      <c r="A45" s="299">
        <f>ROW()</f>
        <v>45</v>
      </c>
      <c r="B45" t="s">
        <v>165</v>
      </c>
      <c r="C45" s="69"/>
      <c r="H45" s="70"/>
      <c r="I45" s="99">
        <f>+I43+I29</f>
        <v>115835.12467670121</v>
      </c>
      <c r="J45" s="99">
        <f t="shared" ref="J45:P45" si="14">+J43+J29</f>
        <v>20309.010471197951</v>
      </c>
      <c r="K45" s="99">
        <f t="shared" si="14"/>
        <v>-38503.036436251423</v>
      </c>
      <c r="L45" s="99">
        <f t="shared" si="14"/>
        <v>-8917.0427043157397</v>
      </c>
      <c r="M45" s="99">
        <f t="shared" si="14"/>
        <v>-43343.016930048936</v>
      </c>
      <c r="N45" s="99">
        <f t="shared" si="14"/>
        <v>-592647.34942840249</v>
      </c>
      <c r="O45" s="99">
        <f t="shared" si="14"/>
        <v>260898.9394512467</v>
      </c>
      <c r="P45" s="99">
        <f t="shared" ref="P45" si="15">+P43+P29</f>
        <v>-1209383.1771618624</v>
      </c>
    </row>
    <row r="46" spans="1:25" ht="14.5" customHeight="1" thickTop="1" x14ac:dyDescent="0.35">
      <c r="A46" s="299">
        <f>ROW()</f>
        <v>46</v>
      </c>
      <c r="B46" t="s">
        <v>166</v>
      </c>
      <c r="C46" s="71"/>
      <c r="H46" s="70"/>
      <c r="I46" s="72">
        <f>'Balance Sheet'!H9</f>
        <v>1045722</v>
      </c>
      <c r="J46" s="72">
        <f>+I47</f>
        <v>1161557.1246767011</v>
      </c>
      <c r="K46" s="72">
        <f t="shared" ref="K46:Q46" si="16">+J47</f>
        <v>1181866.1351478992</v>
      </c>
      <c r="L46" s="72">
        <f t="shared" si="16"/>
        <v>1143363.0987116478</v>
      </c>
      <c r="M46" s="72">
        <f t="shared" si="16"/>
        <v>1134446.0560073322</v>
      </c>
      <c r="N46" s="72">
        <f t="shared" si="16"/>
        <v>1091103.0390772833</v>
      </c>
      <c r="O46" s="72">
        <f t="shared" si="16"/>
        <v>498455.68964888086</v>
      </c>
      <c r="P46" s="72">
        <f t="shared" si="16"/>
        <v>759354.62910012761</v>
      </c>
      <c r="U46" s="65"/>
    </row>
    <row r="47" spans="1:25" ht="14.5" customHeight="1" x14ac:dyDescent="0.35">
      <c r="A47" s="299">
        <f>ROW()</f>
        <v>47</v>
      </c>
      <c r="B47" t="s">
        <v>167</v>
      </c>
      <c r="I47" s="72">
        <f>+I46+I45</f>
        <v>1161557.1246767011</v>
      </c>
      <c r="J47" s="72">
        <f>+J46+J45</f>
        <v>1181866.1351478992</v>
      </c>
      <c r="K47" s="72">
        <f t="shared" ref="K47:P47" si="17">+K46+K45</f>
        <v>1143363.0987116478</v>
      </c>
      <c r="L47" s="72">
        <f t="shared" si="17"/>
        <v>1134446.0560073322</v>
      </c>
      <c r="M47" s="72">
        <f t="shared" si="17"/>
        <v>1091103.0390772833</v>
      </c>
      <c r="N47" s="72">
        <f t="shared" si="17"/>
        <v>498455.68964888086</v>
      </c>
      <c r="O47" s="72">
        <f t="shared" si="17"/>
        <v>759354.62910012761</v>
      </c>
      <c r="P47" s="72">
        <f t="shared" ref="P47" si="18">+P46+P45</f>
        <v>-450028.54806173476</v>
      </c>
    </row>
    <row r="48" spans="1:25" ht="14.5" customHeight="1" x14ac:dyDescent="0.35"/>
    <row r="49" spans="2:21" ht="14.5" customHeight="1" x14ac:dyDescent="0.35"/>
    <row r="62" spans="2:21" ht="21.75" customHeight="1" x14ac:dyDescent="0.35">
      <c r="B62" s="31"/>
      <c r="C62" s="68"/>
      <c r="H62" s="2"/>
      <c r="I62" s="2"/>
      <c r="J62" s="2"/>
      <c r="K62" s="2"/>
      <c r="L62" s="2"/>
      <c r="M62" s="2"/>
      <c r="U62" s="2"/>
    </row>
    <row r="63" spans="2:21" ht="21.75" customHeight="1" x14ac:dyDescent="0.35"/>
    <row r="64" spans="2:21" ht="21.75" customHeight="1" x14ac:dyDescent="0.35"/>
    <row r="65" spans="1:1" ht="21.75" customHeight="1" x14ac:dyDescent="0.35"/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customFormat="1" ht="21.75" customHeight="1" x14ac:dyDescent="0.35"/>
    <row r="82" customFormat="1" ht="21.75" customHeight="1" x14ac:dyDescent="0.35"/>
    <row r="83" customFormat="1" ht="21.75" customHeight="1" x14ac:dyDescent="0.35"/>
    <row r="84" customFormat="1" ht="21.75" customHeight="1" x14ac:dyDescent="0.35"/>
    <row r="85" customFormat="1" ht="21.75" customHeight="1" x14ac:dyDescent="0.35"/>
    <row r="86" customFormat="1" ht="21.75" customHeight="1" x14ac:dyDescent="0.35"/>
    <row r="87" customFormat="1" ht="21.75" customHeight="1" x14ac:dyDescent="0.35"/>
    <row r="88" customFormat="1" ht="21.75" customHeight="1" x14ac:dyDescent="0.35"/>
    <row r="89" customFormat="1" ht="21.75" customHeight="1" x14ac:dyDescent="0.35"/>
    <row r="90" customFormat="1" ht="21.75" customHeight="1" x14ac:dyDescent="0.35"/>
    <row r="91" customFormat="1" ht="21.75" customHeight="1" x14ac:dyDescent="0.35"/>
    <row r="92" customFormat="1" ht="21.75" customHeight="1" x14ac:dyDescent="0.35"/>
    <row r="93" customFormat="1" ht="21.75" customHeight="1" x14ac:dyDescent="0.35"/>
    <row r="94" customFormat="1" ht="21.75" customHeight="1" x14ac:dyDescent="0.35"/>
    <row r="95" customFormat="1" ht="21.75" customHeight="1" x14ac:dyDescent="0.35"/>
    <row r="96" customFormat="1" ht="21.75" customHeight="1" x14ac:dyDescent="0.35"/>
    <row r="97" customFormat="1" ht="21.75" customHeight="1" x14ac:dyDescent="0.35"/>
    <row r="98" customFormat="1" ht="21.75" customHeight="1" x14ac:dyDescent="0.35"/>
    <row r="99" customFormat="1" ht="21.75" customHeight="1" x14ac:dyDescent="0.35"/>
    <row r="100" customFormat="1" ht="21.75" customHeight="1" x14ac:dyDescent="0.35"/>
    <row r="101" customFormat="1" ht="21.75" customHeight="1" x14ac:dyDescent="0.35"/>
    <row r="102" customFormat="1" ht="21.75" customHeight="1" x14ac:dyDescent="0.35"/>
    <row r="103" customFormat="1" ht="21.75" customHeight="1" x14ac:dyDescent="0.35"/>
    <row r="104" customFormat="1" ht="21.75" customHeight="1" x14ac:dyDescent="0.35"/>
    <row r="105" customFormat="1" ht="21.75" customHeight="1" x14ac:dyDescent="0.35"/>
    <row r="106" customFormat="1" ht="21.75" customHeight="1" x14ac:dyDescent="0.35"/>
    <row r="107" customFormat="1" ht="21.75" customHeight="1" x14ac:dyDescent="0.35"/>
    <row r="108" customFormat="1" ht="21.75" customHeight="1" x14ac:dyDescent="0.35"/>
    <row r="109" customFormat="1" ht="21.75" customHeight="1" x14ac:dyDescent="0.35"/>
    <row r="110" customFormat="1" ht="21.75" customHeight="1" x14ac:dyDescent="0.35"/>
    <row r="111" customFormat="1" ht="21.75" customHeight="1" x14ac:dyDescent="0.35"/>
    <row r="112" customFormat="1" ht="21.75" customHeight="1" x14ac:dyDescent="0.35"/>
    <row r="113" customFormat="1" ht="21.75" customHeight="1" x14ac:dyDescent="0.35"/>
    <row r="114" customFormat="1" ht="21.75" customHeight="1" x14ac:dyDescent="0.35"/>
    <row r="115" customFormat="1" ht="21.75" customHeight="1" x14ac:dyDescent="0.35"/>
    <row r="116" customFormat="1" ht="21.75" customHeight="1" x14ac:dyDescent="0.35"/>
    <row r="117" customFormat="1" ht="21.75" customHeight="1" x14ac:dyDescent="0.35"/>
    <row r="118" customFormat="1" ht="21.75" customHeight="1" x14ac:dyDescent="0.35"/>
    <row r="119" customFormat="1" ht="21.75" customHeight="1" x14ac:dyDescent="0.35"/>
    <row r="120" customFormat="1" ht="21.75" customHeight="1" x14ac:dyDescent="0.35"/>
    <row r="121" customFormat="1" ht="21.75" customHeight="1" x14ac:dyDescent="0.35"/>
    <row r="122" customFormat="1" ht="21.75" customHeight="1" x14ac:dyDescent="0.35"/>
    <row r="123" customFormat="1" ht="21.75" customHeight="1" x14ac:dyDescent="0.35"/>
    <row r="124" customFormat="1" ht="21.75" customHeight="1" x14ac:dyDescent="0.35"/>
    <row r="125" customFormat="1" ht="21.75" customHeight="1" x14ac:dyDescent="0.35"/>
    <row r="126" customFormat="1" ht="21.75" customHeight="1" x14ac:dyDescent="0.35"/>
    <row r="127" customFormat="1" ht="21.75" customHeight="1" x14ac:dyDescent="0.35"/>
    <row r="128" customFormat="1" ht="21.75" customHeight="1" x14ac:dyDescent="0.35"/>
    <row r="129" customFormat="1" ht="21.75" customHeight="1" x14ac:dyDescent="0.35"/>
    <row r="130" customFormat="1" ht="21.75" customHeight="1" x14ac:dyDescent="0.35"/>
    <row r="131" customFormat="1" ht="21.75" customHeight="1" x14ac:dyDescent="0.35"/>
    <row r="132" customFormat="1" ht="21.75" customHeight="1" x14ac:dyDescent="0.35"/>
    <row r="133" customFormat="1" ht="21.75" customHeight="1" x14ac:dyDescent="0.35"/>
    <row r="134" customFormat="1" ht="21.75" customHeight="1" x14ac:dyDescent="0.35"/>
    <row r="135" customFormat="1" ht="21.75" customHeight="1" x14ac:dyDescent="0.35"/>
    <row r="136" customFormat="1" ht="21.75" customHeight="1" x14ac:dyDescent="0.35"/>
    <row r="137" customFormat="1" ht="21.75" customHeight="1" x14ac:dyDescent="0.35"/>
    <row r="138" customFormat="1" ht="21.75" customHeight="1" x14ac:dyDescent="0.35"/>
    <row r="139" customFormat="1" ht="21.75" customHeight="1" x14ac:dyDescent="0.35"/>
    <row r="140" customFormat="1" ht="21.75" customHeight="1" x14ac:dyDescent="0.35"/>
    <row r="141" customFormat="1" ht="21.75" customHeight="1" x14ac:dyDescent="0.35"/>
    <row r="142" customFormat="1" ht="21.75" customHeight="1" x14ac:dyDescent="0.35"/>
    <row r="143" customFormat="1" ht="21.75" customHeight="1" x14ac:dyDescent="0.35"/>
    <row r="144" customFormat="1" ht="21.75" customHeight="1" x14ac:dyDescent="0.35"/>
    <row r="145" customFormat="1" ht="21.75" customHeight="1" x14ac:dyDescent="0.35"/>
    <row r="146" customFormat="1" ht="21.75" customHeight="1" x14ac:dyDescent="0.35"/>
    <row r="147" customFormat="1" ht="21.75" customHeight="1" x14ac:dyDescent="0.35"/>
    <row r="148" customFormat="1" ht="21.75" customHeight="1" x14ac:dyDescent="0.35"/>
    <row r="149" customFormat="1" ht="21.75" customHeight="1" x14ac:dyDescent="0.35"/>
    <row r="150" customFormat="1" ht="21.75" customHeight="1" x14ac:dyDescent="0.35"/>
    <row r="151" customFormat="1" ht="21.75" customHeight="1" x14ac:dyDescent="0.35"/>
    <row r="152" customFormat="1" ht="21.75" customHeight="1" x14ac:dyDescent="0.35"/>
    <row r="153" customFormat="1" ht="21.75" customHeight="1" x14ac:dyDescent="0.35"/>
    <row r="154" customFormat="1" ht="21.75" customHeight="1" x14ac:dyDescent="0.35"/>
    <row r="155" customFormat="1" ht="21.75" customHeight="1" x14ac:dyDescent="0.35"/>
    <row r="156" customFormat="1" ht="21.75" customHeight="1" x14ac:dyDescent="0.35"/>
    <row r="157" customFormat="1" ht="21.75" customHeight="1" x14ac:dyDescent="0.35"/>
    <row r="158" customFormat="1" ht="21.75" customHeight="1" x14ac:dyDescent="0.35"/>
    <row r="159" customFormat="1" ht="21.75" customHeight="1" x14ac:dyDescent="0.35"/>
    <row r="160" customFormat="1" ht="21.75" customHeight="1" x14ac:dyDescent="0.35"/>
    <row r="161" customFormat="1" ht="21.75" customHeight="1" x14ac:dyDescent="0.35"/>
    <row r="162" customFormat="1" ht="21.75" customHeight="1" x14ac:dyDescent="0.35"/>
    <row r="163" customFormat="1" ht="21.75" customHeight="1" x14ac:dyDescent="0.35"/>
    <row r="164" customFormat="1" ht="21.75" customHeight="1" x14ac:dyDescent="0.35"/>
    <row r="165" customFormat="1" ht="21.75" customHeight="1" x14ac:dyDescent="0.35"/>
    <row r="166" customFormat="1" ht="21.75" customHeight="1" x14ac:dyDescent="0.35"/>
    <row r="167" customFormat="1" ht="21.75" customHeight="1" x14ac:dyDescent="0.35"/>
    <row r="168" customFormat="1" ht="21.75" customHeight="1" x14ac:dyDescent="0.35"/>
    <row r="169" customFormat="1" ht="21.75" customHeight="1" x14ac:dyDescent="0.35"/>
    <row r="170" customFormat="1" ht="21.75" customHeight="1" x14ac:dyDescent="0.35"/>
    <row r="171" customFormat="1" ht="21.75" customHeight="1" x14ac:dyDescent="0.35"/>
    <row r="172" customFormat="1" ht="21.75" customHeight="1" x14ac:dyDescent="0.35"/>
    <row r="173" customFormat="1" ht="21.75" customHeight="1" x14ac:dyDescent="0.35"/>
    <row r="174" customFormat="1" ht="21.75" customHeight="1" x14ac:dyDescent="0.35"/>
    <row r="175" customFormat="1" ht="21.75" customHeight="1" x14ac:dyDescent="0.35"/>
    <row r="176" customFormat="1" ht="21.75" customHeight="1" x14ac:dyDescent="0.35"/>
    <row r="177" customFormat="1" ht="21.75" customHeight="1" x14ac:dyDescent="0.35"/>
    <row r="178" customFormat="1" ht="21.75" customHeight="1" x14ac:dyDescent="0.35"/>
    <row r="179" customFormat="1" ht="21.75" customHeight="1" x14ac:dyDescent="0.35"/>
    <row r="180" customFormat="1" ht="21.75" customHeight="1" x14ac:dyDescent="0.35"/>
    <row r="181" customFormat="1" ht="21.75" customHeight="1" x14ac:dyDescent="0.35"/>
    <row r="182" customFormat="1" ht="21.75" customHeight="1" x14ac:dyDescent="0.35"/>
    <row r="183" customFormat="1" ht="21.75" customHeight="1" x14ac:dyDescent="0.35"/>
    <row r="184" customFormat="1" ht="21.75" customHeight="1" x14ac:dyDescent="0.35"/>
    <row r="185" customFormat="1" ht="21.75" customHeight="1" x14ac:dyDescent="0.35"/>
    <row r="186" customFormat="1" ht="21.75" customHeight="1" x14ac:dyDescent="0.35"/>
    <row r="187" customFormat="1" ht="21.75" customHeight="1" x14ac:dyDescent="0.35"/>
    <row r="188" customFormat="1" ht="21.75" customHeight="1" x14ac:dyDescent="0.35"/>
    <row r="189" customFormat="1" ht="21.75" customHeight="1" x14ac:dyDescent="0.35"/>
    <row r="190" customFormat="1" ht="21.75" customHeight="1" x14ac:dyDescent="0.35"/>
    <row r="191" customFormat="1" ht="21.75" customHeight="1" x14ac:dyDescent="0.35"/>
    <row r="192" customFormat="1" ht="21.75" customHeight="1" x14ac:dyDescent="0.35"/>
    <row r="193" customFormat="1" ht="21.75" customHeight="1" x14ac:dyDescent="0.35"/>
    <row r="194" customFormat="1" ht="21.75" customHeight="1" x14ac:dyDescent="0.35"/>
    <row r="195" customFormat="1" ht="21.75" customHeight="1" x14ac:dyDescent="0.35"/>
    <row r="196" customFormat="1" ht="21.75" customHeight="1" x14ac:dyDescent="0.35"/>
    <row r="197" customFormat="1" ht="21.75" customHeight="1" x14ac:dyDescent="0.35"/>
    <row r="198" customFormat="1" ht="21.75" customHeight="1" x14ac:dyDescent="0.35"/>
    <row r="199" customFormat="1" ht="21.75" customHeight="1" x14ac:dyDescent="0.35"/>
    <row r="200" customFormat="1" ht="21.75" customHeight="1" x14ac:dyDescent="0.35"/>
    <row r="201" customFormat="1" ht="21.75" customHeight="1" x14ac:dyDescent="0.35"/>
    <row r="202" customFormat="1" ht="21.75" customHeight="1" x14ac:dyDescent="0.35"/>
    <row r="203" customFormat="1" ht="21.75" customHeight="1" x14ac:dyDescent="0.35"/>
    <row r="204" customFormat="1" ht="21.75" customHeight="1" x14ac:dyDescent="0.35"/>
    <row r="205" customFormat="1" ht="21.75" customHeight="1" x14ac:dyDescent="0.35"/>
    <row r="206" customFormat="1" ht="21.75" customHeight="1" x14ac:dyDescent="0.35"/>
    <row r="207" customFormat="1" ht="21.75" customHeight="1" x14ac:dyDescent="0.35"/>
    <row r="208" customFormat="1" ht="21.75" customHeight="1" x14ac:dyDescent="0.35"/>
    <row r="209" customFormat="1" ht="21.75" customHeight="1" x14ac:dyDescent="0.35"/>
    <row r="210" customFormat="1" ht="21.75" customHeight="1" x14ac:dyDescent="0.35"/>
    <row r="211" customFormat="1" ht="21.75" customHeight="1" x14ac:dyDescent="0.35"/>
    <row r="212" customFormat="1" ht="21.75" customHeight="1" x14ac:dyDescent="0.35"/>
    <row r="213" customFormat="1" ht="21.75" customHeight="1" x14ac:dyDescent="0.35"/>
    <row r="214" customFormat="1" ht="21.75" customHeight="1" x14ac:dyDescent="0.35"/>
    <row r="215" customFormat="1" ht="21.75" customHeight="1" x14ac:dyDescent="0.35"/>
    <row r="216" customFormat="1" ht="21.75" customHeight="1" x14ac:dyDescent="0.35"/>
    <row r="217" customFormat="1" ht="21.75" customHeight="1" x14ac:dyDescent="0.35"/>
    <row r="218" customFormat="1" ht="21.75" customHeight="1" x14ac:dyDescent="0.35"/>
    <row r="219" customFormat="1" ht="21.75" customHeight="1" x14ac:dyDescent="0.35"/>
    <row r="220" customFormat="1" ht="21.75" customHeight="1" x14ac:dyDescent="0.35"/>
    <row r="221" customFormat="1" ht="21.75" customHeight="1" x14ac:dyDescent="0.35"/>
    <row r="222" customFormat="1" ht="21.75" customHeight="1" x14ac:dyDescent="0.35"/>
    <row r="223" customFormat="1" ht="21.75" customHeight="1" x14ac:dyDescent="0.35"/>
    <row r="224" customFormat="1" ht="21.75" customHeight="1" x14ac:dyDescent="0.35"/>
    <row r="225" customFormat="1" ht="21.75" customHeight="1" x14ac:dyDescent="0.35"/>
    <row r="226" customFormat="1" ht="21.75" customHeight="1" x14ac:dyDescent="0.35"/>
    <row r="227" customFormat="1" ht="21.75" customHeight="1" x14ac:dyDescent="0.35"/>
    <row r="228" customFormat="1" ht="21.75" customHeight="1" x14ac:dyDescent="0.35"/>
    <row r="229" customFormat="1" ht="21.75" customHeight="1" x14ac:dyDescent="0.35"/>
    <row r="230" customFormat="1" ht="21.75" customHeight="1" x14ac:dyDescent="0.35"/>
    <row r="231" customFormat="1" ht="21.75" customHeight="1" x14ac:dyDescent="0.35"/>
    <row r="232" customFormat="1" ht="21.75" customHeight="1" x14ac:dyDescent="0.35"/>
    <row r="233" customFormat="1" ht="21.75" customHeight="1" x14ac:dyDescent="0.35"/>
    <row r="234" customFormat="1" ht="21.75" customHeight="1" x14ac:dyDescent="0.35"/>
    <row r="235" customFormat="1" ht="21.75" customHeight="1" x14ac:dyDescent="0.35"/>
    <row r="236" customFormat="1" ht="21.75" customHeight="1" x14ac:dyDescent="0.35"/>
    <row r="237" customFormat="1" ht="21.75" customHeight="1" x14ac:dyDescent="0.35"/>
    <row r="238" customFormat="1" ht="21.75" customHeight="1" x14ac:dyDescent="0.35"/>
    <row r="239" customFormat="1" ht="21.75" customHeight="1" x14ac:dyDescent="0.35"/>
    <row r="240" customFormat="1" ht="21.75" customHeight="1" x14ac:dyDescent="0.35"/>
    <row r="241" customFormat="1" ht="21.75" customHeight="1" x14ac:dyDescent="0.35"/>
    <row r="242" customFormat="1" ht="21.75" customHeight="1" x14ac:dyDescent="0.35"/>
    <row r="243" customFormat="1" ht="21.75" customHeight="1" x14ac:dyDescent="0.35"/>
    <row r="244" customFormat="1" ht="21.75" customHeight="1" x14ac:dyDescent="0.35"/>
    <row r="245" customFormat="1" ht="21.75" customHeight="1" x14ac:dyDescent="0.35"/>
    <row r="246" customFormat="1" ht="21.75" customHeight="1" x14ac:dyDescent="0.35"/>
    <row r="247" customFormat="1" ht="21.75" customHeight="1" x14ac:dyDescent="0.35"/>
    <row r="248" customFormat="1" ht="21.75" customHeight="1" x14ac:dyDescent="0.35"/>
    <row r="249" customFormat="1" ht="21.75" customHeight="1" x14ac:dyDescent="0.35"/>
    <row r="250" customFormat="1" ht="21.75" customHeight="1" x14ac:dyDescent="0.35"/>
    <row r="251" customFormat="1" ht="21.75" customHeight="1" x14ac:dyDescent="0.35"/>
    <row r="252" customFormat="1" ht="21.75" customHeight="1" x14ac:dyDescent="0.35"/>
    <row r="253" customFormat="1" ht="21.75" customHeight="1" x14ac:dyDescent="0.35"/>
    <row r="254" customFormat="1" ht="21.75" customHeight="1" x14ac:dyDescent="0.35"/>
    <row r="255" customFormat="1" ht="21.75" customHeight="1" x14ac:dyDescent="0.35"/>
    <row r="256" customFormat="1" ht="21.75" customHeight="1" x14ac:dyDescent="0.35"/>
    <row r="257" customFormat="1" ht="21.75" customHeight="1" x14ac:dyDescent="0.35"/>
    <row r="258" customFormat="1" ht="21.75" customHeight="1" x14ac:dyDescent="0.35"/>
    <row r="259" customFormat="1" ht="21.75" customHeight="1" x14ac:dyDescent="0.35"/>
    <row r="260" customFormat="1" ht="21.75" customHeight="1" x14ac:dyDescent="0.35"/>
    <row r="261" customFormat="1" ht="21.75" customHeight="1" x14ac:dyDescent="0.35"/>
    <row r="262" customFormat="1" ht="21.75" customHeight="1" x14ac:dyDescent="0.35"/>
    <row r="263" customFormat="1" ht="21.75" customHeight="1" x14ac:dyDescent="0.35"/>
    <row r="264" customFormat="1" ht="21.75" customHeight="1" x14ac:dyDescent="0.35"/>
    <row r="265" customFormat="1" ht="21.75" customHeight="1" x14ac:dyDescent="0.35"/>
    <row r="266" customFormat="1" ht="21.75" customHeight="1" x14ac:dyDescent="0.35"/>
    <row r="267" customFormat="1" ht="21.75" customHeight="1" x14ac:dyDescent="0.35"/>
    <row r="268" customFormat="1" ht="21.75" customHeight="1" x14ac:dyDescent="0.35"/>
    <row r="269" customFormat="1" ht="21.75" customHeight="1" x14ac:dyDescent="0.35"/>
    <row r="270" customFormat="1" ht="21.75" customHeight="1" x14ac:dyDescent="0.35"/>
    <row r="271" customFormat="1" ht="21.75" customHeight="1" x14ac:dyDescent="0.35"/>
    <row r="272" customFormat="1" ht="21.75" customHeight="1" x14ac:dyDescent="0.35"/>
    <row r="273" customFormat="1" ht="21.75" customHeight="1" x14ac:dyDescent="0.35"/>
    <row r="274" customFormat="1" ht="21.75" customHeight="1" x14ac:dyDescent="0.35"/>
    <row r="275" customFormat="1" ht="21.75" customHeight="1" x14ac:dyDescent="0.35"/>
    <row r="276" customFormat="1" ht="21.75" customHeight="1" x14ac:dyDescent="0.35"/>
    <row r="277" customFormat="1" ht="21.75" customHeight="1" x14ac:dyDescent="0.35"/>
    <row r="278" customFormat="1" ht="21.75" customHeight="1" x14ac:dyDescent="0.35"/>
    <row r="279" customFormat="1" ht="21.75" customHeight="1" x14ac:dyDescent="0.35"/>
    <row r="280" customFormat="1" ht="21.75" customHeight="1" x14ac:dyDescent="0.35"/>
    <row r="281" customFormat="1" ht="21.75" customHeight="1" x14ac:dyDescent="0.35"/>
    <row r="282" customFormat="1" ht="21.75" customHeight="1" x14ac:dyDescent="0.35"/>
    <row r="283" customFormat="1" ht="21.75" customHeight="1" x14ac:dyDescent="0.35"/>
    <row r="284" customFormat="1" ht="21.75" customHeight="1" x14ac:dyDescent="0.35"/>
    <row r="285" customFormat="1" ht="21.75" customHeight="1" x14ac:dyDescent="0.35"/>
    <row r="286" customFormat="1" ht="21.75" customHeight="1" x14ac:dyDescent="0.35"/>
  </sheetData>
  <mergeCells count="1">
    <mergeCell ref="I6:P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70B68-3899-4BCB-BF09-99B26CF6DAC7}">
  <sheetPr>
    <tabColor rgb="FF0000FF"/>
  </sheetPr>
  <dimension ref="A1:T192"/>
  <sheetViews>
    <sheetView showGridLines="0" topLeftCell="A35" workbookViewId="0">
      <selection activeCell="A6" sqref="A6:A45"/>
    </sheetView>
  </sheetViews>
  <sheetFormatPr defaultRowHeight="14.5" x14ac:dyDescent="0.35"/>
  <cols>
    <col min="1" max="1" width="5.90625" style="5" customWidth="1"/>
    <col min="2" max="2" width="29.08984375" customWidth="1"/>
    <col min="3" max="3" width="12.26953125" bestFit="1" customWidth="1"/>
    <col min="4" max="4" width="2.81640625" customWidth="1"/>
    <col min="5" max="6" width="10.7265625" bestFit="1" customWidth="1"/>
    <col min="7" max="7" width="2.1796875" customWidth="1"/>
    <col min="8" max="8" width="12.26953125" bestFit="1" customWidth="1"/>
    <col min="9" max="16" width="10.7265625" bestFit="1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0" ht="26.25" customHeight="1" x14ac:dyDescent="0.35">
      <c r="A1" s="6"/>
      <c r="B1" s="7" t="s">
        <v>178</v>
      </c>
      <c r="C1" s="8"/>
      <c r="D1" s="8"/>
      <c r="E1" s="8"/>
      <c r="F1" s="8"/>
      <c r="G1" s="8"/>
      <c r="H1" s="8"/>
      <c r="I1" s="8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0" ht="15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1"/>
      <c r="R2" s="1"/>
      <c r="S2" s="1"/>
      <c r="T2" s="1"/>
    </row>
    <row r="3" spans="1:20" ht="11" customHeight="1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Q3" s="1"/>
      <c r="R3" s="1"/>
      <c r="S3" s="1"/>
      <c r="T3" s="1"/>
    </row>
    <row r="4" spans="1:20" ht="12" customHeight="1" x14ac:dyDescent="0.35"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0" ht="21.75" customHeight="1" x14ac:dyDescent="0.35">
      <c r="B5" s="12" t="s">
        <v>133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</row>
    <row r="6" spans="1:20" s="84" customFormat="1" ht="30" customHeight="1" x14ac:dyDescent="0.35">
      <c r="A6" s="299">
        <f>ROW()</f>
        <v>6</v>
      </c>
      <c r="B6" s="64" t="s">
        <v>9</v>
      </c>
      <c r="C6" s="100" t="s">
        <v>134</v>
      </c>
      <c r="D6" s="87"/>
      <c r="E6" s="101" t="s">
        <v>135</v>
      </c>
      <c r="F6" s="101" t="s">
        <v>136</v>
      </c>
      <c r="G6" s="88"/>
      <c r="H6" s="102" t="s">
        <v>137</v>
      </c>
      <c r="I6" s="177" t="s">
        <v>11</v>
      </c>
      <c r="J6" s="177"/>
      <c r="K6" s="177"/>
      <c r="L6" s="177"/>
      <c r="M6" s="177"/>
      <c r="N6" s="178"/>
      <c r="O6" s="178"/>
      <c r="P6" s="178"/>
    </row>
    <row r="7" spans="1:20" ht="14.5" customHeight="1" x14ac:dyDescent="0.35">
      <c r="A7" s="299">
        <f>ROW()</f>
        <v>7</v>
      </c>
      <c r="C7" s="48">
        <v>44926</v>
      </c>
      <c r="D7" s="66"/>
      <c r="E7" s="103"/>
      <c r="F7" s="103"/>
      <c r="G7" s="70"/>
      <c r="H7" s="48">
        <f>'Income Statement'!H7</f>
        <v>44926</v>
      </c>
      <c r="I7" s="49">
        <f>'Income Statement'!I7</f>
        <v>45291</v>
      </c>
      <c r="J7" s="48">
        <f>'Income Statement'!J7</f>
        <v>45657</v>
      </c>
      <c r="K7" s="48">
        <f>'Income Statement'!K7</f>
        <v>46021</v>
      </c>
      <c r="L7" s="48">
        <f>'Income Statement'!L7</f>
        <v>46386</v>
      </c>
      <c r="M7" s="48">
        <f>'Income Statement'!M7</f>
        <v>46751</v>
      </c>
      <c r="N7" s="48">
        <f>'Income Statement'!N7</f>
        <v>47117</v>
      </c>
      <c r="O7" s="48">
        <f>'Income Statement'!O7</f>
        <v>47481</v>
      </c>
      <c r="P7" s="48">
        <f>'Income Statement'!P7</f>
        <v>47846</v>
      </c>
    </row>
    <row r="8" spans="1:20" ht="14.5" customHeight="1" x14ac:dyDescent="0.35">
      <c r="A8" s="299">
        <f>ROW()</f>
        <v>8</v>
      </c>
      <c r="B8" s="60" t="s">
        <v>138</v>
      </c>
      <c r="C8" s="104"/>
      <c r="D8" s="105"/>
      <c r="E8" s="106"/>
      <c r="F8" s="106"/>
      <c r="G8" s="58"/>
      <c r="H8" s="182"/>
      <c r="I8" s="58"/>
      <c r="J8" s="58"/>
      <c r="K8" s="58"/>
      <c r="L8" s="58"/>
      <c r="M8" s="58"/>
      <c r="N8" s="58"/>
      <c r="O8" s="58"/>
      <c r="P8" s="58"/>
    </row>
    <row r="9" spans="1:20" ht="14.5" customHeight="1" x14ac:dyDescent="0.35">
      <c r="A9" s="299">
        <f>ROW()</f>
        <v>9</v>
      </c>
      <c r="B9" s="61" t="s">
        <v>2</v>
      </c>
      <c r="C9" s="284">
        <v>1045722</v>
      </c>
      <c r="D9" s="107"/>
      <c r="E9" s="108"/>
      <c r="F9" s="108"/>
      <c r="G9" s="58"/>
      <c r="H9" s="287">
        <f>C9+E9-F9</f>
        <v>1045722</v>
      </c>
      <c r="I9" s="22">
        <f>+H9+'Cash Flow Statement'!I45</f>
        <v>1161557.1246767011</v>
      </c>
      <c r="J9" s="22">
        <f>+I9+'Cash Flow Statement'!J45</f>
        <v>1181866.1351478992</v>
      </c>
      <c r="K9" s="22">
        <f>+J9+'Cash Flow Statement'!K45</f>
        <v>1143363.0987116478</v>
      </c>
      <c r="L9" s="22">
        <f>+K9+'Cash Flow Statement'!L45</f>
        <v>1134446.0560073322</v>
      </c>
      <c r="M9" s="22">
        <f>+L9+'Cash Flow Statement'!M45</f>
        <v>1091103.0390772833</v>
      </c>
      <c r="N9" s="22">
        <f>+M9+'Cash Flow Statement'!N45</f>
        <v>498455.68964888086</v>
      </c>
      <c r="O9" s="22">
        <f>+N9+'Cash Flow Statement'!O45</f>
        <v>759354.62910012761</v>
      </c>
      <c r="P9" s="22">
        <f>+O9+'Cash Flow Statement'!P45</f>
        <v>-450028.54806173476</v>
      </c>
    </row>
    <row r="10" spans="1:20" ht="14.5" customHeight="1" x14ac:dyDescent="0.35">
      <c r="A10" s="299">
        <f>ROW()</f>
        <v>10</v>
      </c>
      <c r="B10" s="61" t="s">
        <v>139</v>
      </c>
      <c r="C10" s="284">
        <v>22100</v>
      </c>
      <c r="D10" s="107"/>
      <c r="E10" s="108"/>
      <c r="F10" s="108"/>
      <c r="G10" s="58"/>
      <c r="H10" s="287">
        <f t="shared" ref="H10:H12" si="0">C10+E10-F10</f>
        <v>22100</v>
      </c>
      <c r="I10" s="22">
        <f>'Income Statement'!I8/365*Assumptions!E30</f>
        <v>21566.03683068493</v>
      </c>
      <c r="J10" s="22">
        <f>'Income Statement'!J8/365*Assumptions!F30</f>
        <v>21373.121228725478</v>
      </c>
      <c r="K10" s="22">
        <f>'Income Statement'!K8/365*Assumptions!G30</f>
        <v>22392.484357122154</v>
      </c>
      <c r="L10" s="22">
        <f>'Income Statement'!L8/365*Assumptions!H30</f>
        <v>23461.563755642404</v>
      </c>
      <c r="M10" s="22">
        <f>'Income Statement'!M8/365*Assumptions!I30</f>
        <v>24582.819162429263</v>
      </c>
      <c r="N10" s="22">
        <f>'Income Statement'!N8/365*Assumptions!J30</f>
        <v>25758.833101222084</v>
      </c>
      <c r="O10" s="22">
        <f>'Income Statement'!O8/365*Assumptions!K30</f>
        <v>26992.317043993036</v>
      </c>
      <c r="P10" s="22">
        <f>O10/N10*O10</f>
        <v>28284.867429373986</v>
      </c>
    </row>
    <row r="11" spans="1:20" ht="14.5" customHeight="1" x14ac:dyDescent="0.35">
      <c r="A11" s="299">
        <f>ROW()</f>
        <v>11</v>
      </c>
      <c r="B11" s="61" t="s">
        <v>140</v>
      </c>
      <c r="C11" s="17">
        <v>0</v>
      </c>
      <c r="D11" s="107"/>
      <c r="E11" s="108"/>
      <c r="F11" s="108"/>
      <c r="G11" s="58"/>
      <c r="H11" s="287">
        <f t="shared" si="0"/>
        <v>0</v>
      </c>
      <c r="I11" s="22">
        <f>H11</f>
        <v>0</v>
      </c>
      <c r="J11" s="22">
        <f t="shared" ref="J11:P11" si="1">I11</f>
        <v>0</v>
      </c>
      <c r="K11" s="22">
        <f t="shared" si="1"/>
        <v>0</v>
      </c>
      <c r="L11" s="22">
        <f t="shared" si="1"/>
        <v>0</v>
      </c>
      <c r="M11" s="22">
        <f t="shared" si="1"/>
        <v>0</v>
      </c>
      <c r="N11" s="22">
        <f t="shared" si="1"/>
        <v>0</v>
      </c>
      <c r="O11" s="22">
        <f t="shared" si="1"/>
        <v>0</v>
      </c>
      <c r="P11" s="22">
        <f t="shared" si="1"/>
        <v>0</v>
      </c>
    </row>
    <row r="12" spans="1:20" ht="14.5" customHeight="1" x14ac:dyDescent="0.35">
      <c r="A12" s="299">
        <f>ROW()</f>
        <v>12</v>
      </c>
      <c r="B12" s="61" t="s">
        <v>141</v>
      </c>
      <c r="C12" s="17">
        <v>0</v>
      </c>
      <c r="D12" s="107"/>
      <c r="E12" s="108"/>
      <c r="F12" s="108"/>
      <c r="G12" s="58"/>
      <c r="H12" s="287">
        <f t="shared" si="0"/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0</v>
      </c>
      <c r="O12" s="22">
        <v>0</v>
      </c>
      <c r="P12" s="22">
        <v>0</v>
      </c>
    </row>
    <row r="13" spans="1:20" ht="14.5" customHeight="1" x14ac:dyDescent="0.35">
      <c r="A13" s="299">
        <f>ROW()</f>
        <v>13</v>
      </c>
      <c r="B13" s="60" t="s">
        <v>142</v>
      </c>
      <c r="C13" s="109">
        <f>SUM(C9:C12)</f>
        <v>1067822</v>
      </c>
      <c r="D13" s="61"/>
      <c r="E13" s="61"/>
      <c r="F13" s="61"/>
      <c r="G13" s="58"/>
      <c r="H13" s="288">
        <f>SUM(H9:H12)</f>
        <v>1067822</v>
      </c>
      <c r="I13" s="109">
        <f t="shared" ref="I13:P13" si="2">SUM(I9:I12)</f>
        <v>1183123.161507386</v>
      </c>
      <c r="J13" s="109">
        <f t="shared" si="2"/>
        <v>1203239.2563766246</v>
      </c>
      <c r="K13" s="109">
        <f t="shared" si="2"/>
        <v>1165755.5830687699</v>
      </c>
      <c r="L13" s="109">
        <f t="shared" si="2"/>
        <v>1157907.6197629746</v>
      </c>
      <c r="M13" s="109">
        <f t="shared" si="2"/>
        <v>1115685.8582397127</v>
      </c>
      <c r="N13" s="109">
        <f t="shared" si="2"/>
        <v>524214.52275010291</v>
      </c>
      <c r="O13" s="109">
        <f t="shared" si="2"/>
        <v>786346.94614412065</v>
      </c>
      <c r="P13" s="109">
        <f t="shared" si="2"/>
        <v>-421743.6806323608</v>
      </c>
    </row>
    <row r="14" spans="1:20" ht="14.5" customHeight="1" x14ac:dyDescent="0.35">
      <c r="A14" s="299">
        <f>ROW()</f>
        <v>14</v>
      </c>
      <c r="B14" s="61"/>
      <c r="C14" s="61"/>
      <c r="D14" s="61"/>
      <c r="E14" s="61"/>
      <c r="F14" s="61"/>
      <c r="G14" s="58"/>
      <c r="H14" s="182"/>
      <c r="I14" s="58"/>
      <c r="J14" s="58"/>
      <c r="K14" s="58"/>
      <c r="L14" s="58"/>
      <c r="M14" s="58"/>
      <c r="N14" s="58"/>
      <c r="O14" s="58"/>
      <c r="P14" s="58"/>
    </row>
    <row r="15" spans="1:20" ht="14.5" customHeight="1" x14ac:dyDescent="0.35">
      <c r="A15" s="299">
        <f>ROW()</f>
        <v>15</v>
      </c>
      <c r="B15" s="61" t="s">
        <v>143</v>
      </c>
      <c r="C15" s="284">
        <v>105581</v>
      </c>
      <c r="D15" s="61"/>
      <c r="E15" s="61">
        <f>'Transaction S&amp;U'!L9-'Balance Sheet'!C43</f>
        <v>2014987.7999999998</v>
      </c>
      <c r="F15" s="61"/>
      <c r="G15" s="58"/>
      <c r="H15" s="287">
        <f>+C15+E15-F15</f>
        <v>2120568.7999999998</v>
      </c>
      <c r="I15" s="22">
        <f>+H15</f>
        <v>2120568.7999999998</v>
      </c>
      <c r="J15" s="22">
        <f t="shared" ref="J15:P15" si="3">+I15</f>
        <v>2120568.7999999998</v>
      </c>
      <c r="K15" s="22">
        <f t="shared" si="3"/>
        <v>2120568.7999999998</v>
      </c>
      <c r="L15" s="22">
        <f t="shared" si="3"/>
        <v>2120568.7999999998</v>
      </c>
      <c r="M15" s="22">
        <f t="shared" si="3"/>
        <v>2120568.7999999998</v>
      </c>
      <c r="N15" s="22">
        <f t="shared" si="3"/>
        <v>2120568.7999999998</v>
      </c>
      <c r="O15" s="22">
        <f t="shared" si="3"/>
        <v>2120568.7999999998</v>
      </c>
      <c r="P15" s="22">
        <f t="shared" si="3"/>
        <v>2120568.7999999998</v>
      </c>
    </row>
    <row r="16" spans="1:20" ht="14.5" customHeight="1" x14ac:dyDescent="0.35">
      <c r="A16" s="299">
        <f>ROW()</f>
        <v>16</v>
      </c>
      <c r="B16" s="61" t="s">
        <v>144</v>
      </c>
      <c r="C16" s="17">
        <v>0</v>
      </c>
      <c r="D16" s="61"/>
      <c r="E16" s="61">
        <f>'Transaction S&amp;U'!L11</f>
        <v>214057.5</v>
      </c>
      <c r="F16" s="61"/>
      <c r="G16" s="58"/>
      <c r="H16" s="287">
        <f t="shared" ref="H16:H18" si="4">+C16+E16-F16</f>
        <v>214057.5</v>
      </c>
      <c r="I16" s="22">
        <f>H16-'Income Statement'!I21</f>
        <v>183477.85714285713</v>
      </c>
      <c r="J16" s="22">
        <f>I16-'Income Statement'!J21</f>
        <v>152898.21428571426</v>
      </c>
      <c r="K16" s="22">
        <f>J16-'Income Statement'!K21</f>
        <v>122318.57142857141</v>
      </c>
      <c r="L16" s="22">
        <f>K16-'Income Statement'!L21</f>
        <v>91738.928571428551</v>
      </c>
      <c r="M16" s="22">
        <f>L16-'Income Statement'!M21</f>
        <v>61159.285714285696</v>
      </c>
      <c r="N16" s="22">
        <f>M16-'Income Statement'!N21</f>
        <v>30579.642857142837</v>
      </c>
      <c r="O16" s="22">
        <f>N16-'Income Statement'!O21</f>
        <v>0</v>
      </c>
      <c r="P16" s="22">
        <f>O16-'Income Statement'!P21</f>
        <v>0</v>
      </c>
    </row>
    <row r="17" spans="1:16" ht="14.5" customHeight="1" x14ac:dyDescent="0.35">
      <c r="A17" s="299">
        <f>ROW()</f>
        <v>17</v>
      </c>
      <c r="B17" s="61" t="s">
        <v>188</v>
      </c>
      <c r="C17" s="284">
        <v>6495200</v>
      </c>
      <c r="D17" s="61"/>
      <c r="E17" s="61"/>
      <c r="F17" s="61"/>
      <c r="G17" s="58"/>
      <c r="H17" s="287">
        <f t="shared" si="4"/>
        <v>6495200</v>
      </c>
      <c r="I17" s="22">
        <f>H17-'Cash Flow Statement'!I25</f>
        <v>6761686.5749000004</v>
      </c>
      <c r="J17" s="22">
        <f>I17-'Cash Flow Statement'!J25</f>
        <v>7025789.335916413</v>
      </c>
      <c r="K17" s="22">
        <f>J17-'Cash Flow Statement'!K25</f>
        <v>7302488.1335063726</v>
      </c>
      <c r="L17" s="22">
        <f>K17-'Cash Flow Statement'!L25</f>
        <v>7592397.3002264854</v>
      </c>
      <c r="M17" s="22">
        <f>L17-'Cash Flow Statement'!M25</f>
        <v>7896161.5630538994</v>
      </c>
      <c r="N17" s="22">
        <f>M17-'Cash Flow Statement'!N25</f>
        <v>8214457.5606197817</v>
      </c>
      <c r="O17" s="22">
        <f>N17-'Cash Flow Statement'!O25</f>
        <v>8547995.4365930818</v>
      </c>
      <c r="P17" s="22">
        <f>O17-'Cash Flow Statement'!P25</f>
        <v>8898356.2233899012</v>
      </c>
    </row>
    <row r="18" spans="1:16" ht="14.5" customHeight="1" x14ac:dyDescent="0.35">
      <c r="A18" s="299">
        <f>ROW()</f>
        <v>18</v>
      </c>
      <c r="B18" s="61" t="s">
        <v>189</v>
      </c>
      <c r="C18" s="284">
        <v>-2292316</v>
      </c>
      <c r="D18" s="61"/>
      <c r="E18" s="61"/>
      <c r="F18" s="61"/>
      <c r="G18" s="58"/>
      <c r="H18" s="287">
        <f t="shared" si="4"/>
        <v>-2292316</v>
      </c>
      <c r="I18" s="22">
        <f>H18-'Income Statement'!I19</f>
        <v>-2522784.577132754</v>
      </c>
      <c r="J18" s="22">
        <f>I18-'Income Statement'!J19</f>
        <v>-2751191.5337350708</v>
      </c>
      <c r="K18" s="22">
        <f>J18-'Income Statement'!K19</f>
        <v>-2990492.0620968919</v>
      </c>
      <c r="L18" s="22">
        <f>K18-'Income Statement'!L19</f>
        <v>-3241217.4623419107</v>
      </c>
      <c r="M18" s="22">
        <f>L18-'Income Statement'!M19</f>
        <v>-3503925.3209418599</v>
      </c>
      <c r="N18" s="22">
        <f>M18-'Income Statement'!N19</f>
        <v>-3779200.8228825745</v>
      </c>
      <c r="O18" s="22">
        <f>N18-'Income Statement'!O19</f>
        <v>-4067658.1296879658</v>
      </c>
      <c r="P18" s="22">
        <f>O18-'Income Statement'!P19</f>
        <v>-4370664.583376959</v>
      </c>
    </row>
    <row r="19" spans="1:16" ht="14.5" customHeight="1" x14ac:dyDescent="0.35">
      <c r="A19" s="299">
        <f>ROW()</f>
        <v>19</v>
      </c>
      <c r="B19" s="61" t="s">
        <v>190</v>
      </c>
      <c r="C19" s="285">
        <f>+C18+C17</f>
        <v>4202884</v>
      </c>
      <c r="D19" s="61"/>
      <c r="E19" s="61"/>
      <c r="F19" s="61"/>
      <c r="G19" s="58"/>
      <c r="H19" s="289">
        <f>+H18+H17</f>
        <v>4202884</v>
      </c>
      <c r="I19" s="291">
        <f t="shared" ref="I19:P19" si="5">+I18+I17</f>
        <v>4238901.9977672463</v>
      </c>
      <c r="J19" s="285">
        <f t="shared" si="5"/>
        <v>4274597.8021813426</v>
      </c>
      <c r="K19" s="285">
        <f t="shared" si="5"/>
        <v>4311996.0714094806</v>
      </c>
      <c r="L19" s="285">
        <f t="shared" si="5"/>
        <v>4351179.8378845751</v>
      </c>
      <c r="M19" s="285">
        <f t="shared" si="5"/>
        <v>4392236.2421120396</v>
      </c>
      <c r="N19" s="285">
        <f t="shared" si="5"/>
        <v>4435256.7377372067</v>
      </c>
      <c r="O19" s="285">
        <f t="shared" si="5"/>
        <v>4480337.306905116</v>
      </c>
      <c r="P19" s="285">
        <f t="shared" si="5"/>
        <v>4527691.6400129423</v>
      </c>
    </row>
    <row r="20" spans="1:16" ht="14.5" customHeight="1" x14ac:dyDescent="0.35">
      <c r="A20" s="299">
        <f>ROW()</f>
        <v>20</v>
      </c>
      <c r="B20" s="61" t="s">
        <v>145</v>
      </c>
      <c r="C20" s="284">
        <v>97095.2</v>
      </c>
      <c r="D20" s="61"/>
      <c r="E20" s="61"/>
      <c r="F20" s="61"/>
      <c r="G20" s="58"/>
      <c r="H20" s="287">
        <f>+C20+E20-F20</f>
        <v>97095.2</v>
      </c>
      <c r="I20" s="22">
        <f>+H20</f>
        <v>97095.2</v>
      </c>
      <c r="J20" s="22">
        <f t="shared" ref="J20:P20" si="6">+I20</f>
        <v>97095.2</v>
      </c>
      <c r="K20" s="22">
        <f t="shared" si="6"/>
        <v>97095.2</v>
      </c>
      <c r="L20" s="22">
        <f t="shared" si="6"/>
        <v>97095.2</v>
      </c>
      <c r="M20" s="22">
        <f t="shared" si="6"/>
        <v>97095.2</v>
      </c>
      <c r="N20" s="22">
        <f t="shared" si="6"/>
        <v>97095.2</v>
      </c>
      <c r="O20" s="22">
        <f t="shared" si="6"/>
        <v>97095.2</v>
      </c>
      <c r="P20" s="22">
        <f t="shared" si="6"/>
        <v>97095.2</v>
      </c>
    </row>
    <row r="21" spans="1:16" ht="14.5" customHeight="1" thickBot="1" x14ac:dyDescent="0.4">
      <c r="A21" s="299">
        <f>ROW()</f>
        <v>21</v>
      </c>
      <c r="B21" s="60" t="s">
        <v>146</v>
      </c>
      <c r="C21" s="110">
        <f>+C19+C20+C16+C15+C13</f>
        <v>5473382.2000000002</v>
      </c>
      <c r="D21" s="17"/>
      <c r="E21" s="17"/>
      <c r="F21" s="17"/>
      <c r="G21" s="22"/>
      <c r="H21" s="290">
        <f>+H19+H20+H16+H15+H13</f>
        <v>7702427.5</v>
      </c>
      <c r="I21" s="110">
        <f t="shared" ref="I21:P21" si="7">+I19+I20+I16+I15+I13</f>
        <v>7823167.0164174894</v>
      </c>
      <c r="J21" s="110">
        <f t="shared" si="7"/>
        <v>7848399.2728436813</v>
      </c>
      <c r="K21" s="110">
        <f t="shared" si="7"/>
        <v>7817734.2259068228</v>
      </c>
      <c r="L21" s="110">
        <f t="shared" si="7"/>
        <v>7818490.3862189781</v>
      </c>
      <c r="M21" s="110">
        <f t="shared" si="7"/>
        <v>7786745.3860660382</v>
      </c>
      <c r="N21" s="110">
        <f t="shared" si="7"/>
        <v>7207714.9033444524</v>
      </c>
      <c r="O21" s="110">
        <f t="shared" si="7"/>
        <v>7484348.2530492367</v>
      </c>
      <c r="P21" s="110">
        <f t="shared" si="7"/>
        <v>6323611.959380581</v>
      </c>
    </row>
    <row r="22" spans="1:16" ht="14.5" customHeight="1" thickTop="1" x14ac:dyDescent="0.35">
      <c r="A22" s="299">
        <f>ROW()</f>
        <v>22</v>
      </c>
      <c r="B22" s="61"/>
      <c r="C22" s="17"/>
      <c r="D22" s="17"/>
      <c r="E22" s="17"/>
      <c r="F22" s="17"/>
      <c r="G22" s="22"/>
      <c r="H22" s="287"/>
      <c r="I22" s="22"/>
      <c r="J22" s="22"/>
      <c r="K22" s="22"/>
      <c r="L22" s="22"/>
      <c r="M22" s="22"/>
      <c r="N22" s="22"/>
      <c r="O22" s="22"/>
      <c r="P22" s="22"/>
    </row>
    <row r="23" spans="1:16" ht="14.5" customHeight="1" x14ac:dyDescent="0.35">
      <c r="A23" s="299">
        <f>ROW()</f>
        <v>23</v>
      </c>
      <c r="B23" s="60" t="s">
        <v>147</v>
      </c>
      <c r="C23" s="17"/>
      <c r="D23" s="17"/>
      <c r="E23" s="17"/>
      <c r="F23" s="17"/>
      <c r="G23" s="22"/>
      <c r="H23" s="287"/>
      <c r="I23" s="22"/>
      <c r="J23" s="22"/>
      <c r="K23" s="22"/>
      <c r="L23" s="22"/>
      <c r="M23" s="22"/>
      <c r="N23" s="22"/>
      <c r="O23" s="22"/>
      <c r="P23" s="22"/>
    </row>
    <row r="24" spans="1:16" ht="14.5" customHeight="1" x14ac:dyDescent="0.35">
      <c r="A24" s="299">
        <f>ROW()</f>
        <v>24</v>
      </c>
      <c r="B24" s="61" t="s">
        <v>148</v>
      </c>
      <c r="C24" s="284">
        <v>55700</v>
      </c>
      <c r="D24" s="17"/>
      <c r="E24" s="17"/>
      <c r="F24" s="17"/>
      <c r="G24" s="22"/>
      <c r="H24" s="287">
        <f>+C24+F24-E24</f>
        <v>55700</v>
      </c>
      <c r="I24" s="22">
        <f>'Income Statement'!I11/365*Assumptions!E33</f>
        <v>56316.560136295884</v>
      </c>
      <c r="J24" s="22">
        <f>'Income Statement'!J11/365*Assumptions!F33</f>
        <v>55812.789175304068</v>
      </c>
      <c r="K24" s="22">
        <f>'Income Statement'!K11/365*Assumptions!G33</f>
        <v>58474.70732798909</v>
      </c>
      <c r="L24" s="22">
        <f>'Income Statement'!L11/365*Assumptions!H33</f>
        <v>61266.452269812427</v>
      </c>
      <c r="M24" s="22">
        <f>'Income Statement'!M11/365*Assumptions!I33</f>
        <v>64194.447248222823</v>
      </c>
      <c r="N24" s="22">
        <f>'Income Statement'!N11/365*Assumptions!J33</f>
        <v>67265.436147347529</v>
      </c>
      <c r="O24" s="22">
        <f>'Income Statement'!O11/365*Assumptions!K33</f>
        <v>70486.499580818912</v>
      </c>
      <c r="P24" s="22">
        <f>+O24/N24*O24</f>
        <v>73861.806415310086</v>
      </c>
    </row>
    <row r="25" spans="1:16" ht="14.5" customHeight="1" x14ac:dyDescent="0.35">
      <c r="A25" s="299">
        <f>ROW()</f>
        <v>25</v>
      </c>
      <c r="B25" s="61" t="s">
        <v>149</v>
      </c>
      <c r="C25" s="19">
        <v>0</v>
      </c>
      <c r="D25" s="17"/>
      <c r="E25" s="17"/>
      <c r="F25" s="17"/>
      <c r="G25" s="22"/>
      <c r="H25" s="287">
        <f>+C25+F25-E25</f>
        <v>0</v>
      </c>
      <c r="I25" s="98">
        <f>+H25</f>
        <v>0</v>
      </c>
      <c r="J25" s="98">
        <f>+I25</f>
        <v>0</v>
      </c>
      <c r="K25" s="98">
        <f t="shared" ref="K25:P25" si="8">+J25</f>
        <v>0</v>
      </c>
      <c r="L25" s="98">
        <f t="shared" si="8"/>
        <v>0</v>
      </c>
      <c r="M25" s="98">
        <f t="shared" si="8"/>
        <v>0</v>
      </c>
      <c r="N25" s="98">
        <f t="shared" si="8"/>
        <v>0</v>
      </c>
      <c r="O25" s="98">
        <f t="shared" si="8"/>
        <v>0</v>
      </c>
      <c r="P25" s="98">
        <f t="shared" si="8"/>
        <v>0</v>
      </c>
    </row>
    <row r="26" spans="1:16" ht="14.5" customHeight="1" x14ac:dyDescent="0.35">
      <c r="A26" s="299">
        <f>ROW()</f>
        <v>26</v>
      </c>
      <c r="B26" s="60" t="s">
        <v>150</v>
      </c>
      <c r="C26" s="109">
        <f>SUM(C24:C25)</f>
        <v>55700</v>
      </c>
      <c r="D26" s="17"/>
      <c r="E26" s="17"/>
      <c r="F26" s="17"/>
      <c r="G26" s="22"/>
      <c r="H26" s="288">
        <f>SUM(H24:H25)</f>
        <v>55700</v>
      </c>
      <c r="I26" s="17">
        <f t="shared" ref="I26:P26" si="9">SUM(I24:I25)</f>
        <v>56316.560136295884</v>
      </c>
      <c r="J26" s="17">
        <f t="shared" si="9"/>
        <v>55812.789175304068</v>
      </c>
      <c r="K26" s="17">
        <f t="shared" si="9"/>
        <v>58474.70732798909</v>
      </c>
      <c r="L26" s="17">
        <f t="shared" si="9"/>
        <v>61266.452269812427</v>
      </c>
      <c r="M26" s="17">
        <f t="shared" si="9"/>
        <v>64194.447248222823</v>
      </c>
      <c r="N26" s="17">
        <f t="shared" si="9"/>
        <v>67265.436147347529</v>
      </c>
      <c r="O26" s="17">
        <f t="shared" si="9"/>
        <v>70486.499580818912</v>
      </c>
      <c r="P26" s="17">
        <f t="shared" si="9"/>
        <v>73861.806415310086</v>
      </c>
    </row>
    <row r="27" spans="1:16" ht="14.5" customHeight="1" x14ac:dyDescent="0.35">
      <c r="A27" s="299">
        <f>ROW()</f>
        <v>27</v>
      </c>
      <c r="B27" s="61"/>
      <c r="C27" s="17"/>
      <c r="D27" s="17"/>
      <c r="E27" s="17"/>
      <c r="F27" s="17"/>
      <c r="G27" s="22"/>
      <c r="H27" s="287"/>
      <c r="I27" s="22"/>
      <c r="J27" s="22"/>
      <c r="K27" s="22"/>
      <c r="L27" s="22"/>
      <c r="M27" s="22"/>
      <c r="N27" s="22"/>
      <c r="O27" s="22"/>
      <c r="P27" s="22"/>
    </row>
    <row r="28" spans="1:16" ht="14.5" customHeight="1" x14ac:dyDescent="0.35">
      <c r="A28" s="299">
        <f>ROW()</f>
        <v>28</v>
      </c>
      <c r="B28" s="61" t="s">
        <v>151</v>
      </c>
      <c r="C28" s="17">
        <f>'Transaction S&amp;U'!L10</f>
        <v>2980346</v>
      </c>
      <c r="D28" s="17"/>
      <c r="E28" s="17">
        <f>'Transaction S&amp;U'!L10</f>
        <v>2980346</v>
      </c>
      <c r="F28" s="17"/>
      <c r="G28" s="22"/>
      <c r="H28" s="287">
        <f>+C28-E28+F28</f>
        <v>0</v>
      </c>
      <c r="I28" s="22"/>
      <c r="J28" s="22"/>
      <c r="K28" s="22"/>
      <c r="L28" s="22"/>
      <c r="M28" s="22"/>
      <c r="N28" s="22"/>
      <c r="O28" s="22"/>
      <c r="P28" s="22"/>
    </row>
    <row r="29" spans="1:16" ht="14.5" customHeight="1" x14ac:dyDescent="0.35">
      <c r="A29" s="299">
        <f>ROW()</f>
        <v>29</v>
      </c>
      <c r="B29" s="61" t="s">
        <v>160</v>
      </c>
      <c r="C29" s="19">
        <v>0</v>
      </c>
      <c r="D29" s="17"/>
      <c r="E29" s="17"/>
      <c r="F29" s="17">
        <v>0</v>
      </c>
      <c r="G29" s="22"/>
      <c r="H29" s="287">
        <f t="shared" ref="H29:H33" si="10">+C29-E29+F29</f>
        <v>0</v>
      </c>
      <c r="I29" s="22"/>
      <c r="J29" s="22"/>
      <c r="K29" s="22"/>
      <c r="L29" s="22"/>
      <c r="M29" s="22"/>
      <c r="N29" s="22"/>
      <c r="O29" s="22"/>
      <c r="P29" s="22"/>
    </row>
    <row r="30" spans="1:16" ht="14.5" customHeight="1" x14ac:dyDescent="0.35">
      <c r="A30" s="299">
        <f>ROW()</f>
        <v>30</v>
      </c>
      <c r="B30" s="61" t="s">
        <v>3</v>
      </c>
      <c r="C30" s="19">
        <v>0</v>
      </c>
      <c r="D30" s="17"/>
      <c r="E30" s="17"/>
      <c r="F30" s="17">
        <f>'Transaction S&amp;U'!C9</f>
        <v>1300000</v>
      </c>
      <c r="G30" s="22"/>
      <c r="H30" s="287">
        <f t="shared" si="10"/>
        <v>1300000</v>
      </c>
      <c r="I30" s="22">
        <f>'Debt Schedule'!J22</f>
        <v>1300000</v>
      </c>
      <c r="J30" s="22">
        <f>'Debt Schedule'!K22</f>
        <v>1235000</v>
      </c>
      <c r="K30" s="22">
        <f>'Debt Schedule'!L22</f>
        <v>1105000</v>
      </c>
      <c r="L30" s="22">
        <f>'Debt Schedule'!M22</f>
        <v>975000</v>
      </c>
      <c r="M30" s="22">
        <f>'Debt Schedule'!N22</f>
        <v>780000</v>
      </c>
      <c r="N30" s="22">
        <f>'Debt Schedule'!O22</f>
        <v>0</v>
      </c>
      <c r="O30" s="22">
        <f>'Debt Schedule'!P22</f>
        <v>0</v>
      </c>
      <c r="P30" s="22">
        <f>'Debt Schedule'!Q22</f>
        <v>0</v>
      </c>
    </row>
    <row r="31" spans="1:16" ht="14.5" customHeight="1" x14ac:dyDescent="0.35">
      <c r="A31" s="299">
        <f>ROW()</f>
        <v>31</v>
      </c>
      <c r="B31" s="61" t="s">
        <v>4</v>
      </c>
      <c r="C31" s="19">
        <v>0</v>
      </c>
      <c r="D31" s="17"/>
      <c r="E31" s="17"/>
      <c r="F31" s="17">
        <f>'Transaction S&amp;U'!C10</f>
        <v>1600000</v>
      </c>
      <c r="G31" s="22"/>
      <c r="H31" s="287">
        <f t="shared" si="10"/>
        <v>1600000</v>
      </c>
      <c r="I31" s="22">
        <f>'Debt Schedule'!J31</f>
        <v>1600000</v>
      </c>
      <c r="J31" s="22">
        <f>'Debt Schedule'!K31</f>
        <v>1584000</v>
      </c>
      <c r="K31" s="22">
        <f>'Debt Schedule'!L31</f>
        <v>1568000</v>
      </c>
      <c r="L31" s="22">
        <f>'Debt Schedule'!M31</f>
        <v>1552000</v>
      </c>
      <c r="M31" s="22">
        <f>'Debt Schedule'!N31</f>
        <v>1536000</v>
      </c>
      <c r="N31" s="22">
        <f>'Debt Schedule'!O31</f>
        <v>1520000</v>
      </c>
      <c r="O31" s="22">
        <f>'Debt Schedule'!P31</f>
        <v>1504000</v>
      </c>
      <c r="P31" s="22">
        <f>'Debt Schedule'!Q31</f>
        <v>0</v>
      </c>
    </row>
    <row r="32" spans="1:16" ht="14.5" customHeight="1" x14ac:dyDescent="0.35">
      <c r="A32" s="299">
        <f>ROW()</f>
        <v>32</v>
      </c>
      <c r="B32" s="61" t="s">
        <v>126</v>
      </c>
      <c r="C32" s="19"/>
      <c r="D32" s="17"/>
      <c r="E32" s="17"/>
      <c r="F32" s="17"/>
      <c r="G32" s="22"/>
      <c r="H32" s="287">
        <f t="shared" si="10"/>
        <v>0</v>
      </c>
      <c r="I32" s="22">
        <f>+H32</f>
        <v>0</v>
      </c>
      <c r="J32" s="22">
        <f t="shared" ref="J32:P32" si="11">+I32</f>
        <v>0</v>
      </c>
      <c r="K32" s="22">
        <f t="shared" si="11"/>
        <v>0</v>
      </c>
      <c r="L32" s="22">
        <f t="shared" si="11"/>
        <v>0</v>
      </c>
      <c r="M32" s="22">
        <f t="shared" si="11"/>
        <v>0</v>
      </c>
      <c r="N32" s="22">
        <f t="shared" si="11"/>
        <v>0</v>
      </c>
      <c r="O32" s="22">
        <f t="shared" si="11"/>
        <v>0</v>
      </c>
      <c r="P32" s="22">
        <f t="shared" si="11"/>
        <v>0</v>
      </c>
    </row>
    <row r="33" spans="1:16" ht="14.5" customHeight="1" x14ac:dyDescent="0.35">
      <c r="A33" s="299">
        <f>ROW()</f>
        <v>33</v>
      </c>
      <c r="B33" s="61" t="s">
        <v>28</v>
      </c>
      <c r="C33" s="19">
        <v>0</v>
      </c>
      <c r="D33" s="17"/>
      <c r="E33" s="17"/>
      <c r="F33" s="17">
        <f>'Transaction S&amp;U'!C12</f>
        <v>1700000</v>
      </c>
      <c r="G33" s="22"/>
      <c r="H33" s="287">
        <f t="shared" si="10"/>
        <v>1700000</v>
      </c>
      <c r="I33" s="98">
        <f>'Debt Schedule'!J49</f>
        <v>1700000</v>
      </c>
      <c r="J33" s="98">
        <f>'Debt Schedule'!K49</f>
        <v>1700000</v>
      </c>
      <c r="K33" s="98">
        <f>'Debt Schedule'!L49</f>
        <v>1700000</v>
      </c>
      <c r="L33" s="98">
        <f>'Debt Schedule'!M49</f>
        <v>1700000</v>
      </c>
      <c r="M33" s="98">
        <f>'Debt Schedule'!N49</f>
        <v>1700000</v>
      </c>
      <c r="N33" s="98">
        <f>'Debt Schedule'!O49</f>
        <v>1700000</v>
      </c>
      <c r="O33" s="98">
        <f>'Debt Schedule'!P49</f>
        <v>1700000</v>
      </c>
      <c r="P33" s="98">
        <f>'Debt Schedule'!Q49</f>
        <v>1700000</v>
      </c>
    </row>
    <row r="34" spans="1:16" ht="14.5" customHeight="1" x14ac:dyDescent="0.35">
      <c r="A34" s="299">
        <f>ROW()</f>
        <v>34</v>
      </c>
      <c r="B34" s="61" t="s">
        <v>7</v>
      </c>
      <c r="C34" s="109">
        <f>SUM(C28:C33)</f>
        <v>2980346</v>
      </c>
      <c r="D34" s="17"/>
      <c r="E34" s="17"/>
      <c r="F34" s="17"/>
      <c r="G34" s="22"/>
      <c r="H34" s="288">
        <f>SUM(H28:H33)</f>
        <v>4600000</v>
      </c>
      <c r="I34" s="109">
        <f>SUM(I28:I33)</f>
        <v>4600000</v>
      </c>
      <c r="J34" s="109">
        <f t="shared" ref="J34:P34" si="12">SUM(J28:J33)</f>
        <v>4519000</v>
      </c>
      <c r="K34" s="109">
        <f t="shared" si="12"/>
        <v>4373000</v>
      </c>
      <c r="L34" s="109">
        <f t="shared" si="12"/>
        <v>4227000</v>
      </c>
      <c r="M34" s="109">
        <f t="shared" si="12"/>
        <v>4016000</v>
      </c>
      <c r="N34" s="109">
        <f t="shared" si="12"/>
        <v>3220000</v>
      </c>
      <c r="O34" s="109">
        <f t="shared" si="12"/>
        <v>3204000</v>
      </c>
      <c r="P34" s="109">
        <f t="shared" si="12"/>
        <v>1700000</v>
      </c>
    </row>
    <row r="35" spans="1:16" ht="14.5" customHeight="1" x14ac:dyDescent="0.35">
      <c r="A35" s="299">
        <f>ROW()</f>
        <v>35</v>
      </c>
      <c r="B35" s="61"/>
      <c r="C35" s="17"/>
      <c r="D35" s="17"/>
      <c r="E35" s="17"/>
      <c r="F35" s="17"/>
      <c r="G35" s="22"/>
      <c r="H35" s="287"/>
      <c r="I35" s="22"/>
      <c r="J35" s="22"/>
      <c r="K35" s="22"/>
      <c r="L35" s="22"/>
      <c r="M35" s="22"/>
      <c r="N35" s="22"/>
      <c r="O35" s="22"/>
      <c r="P35" s="22"/>
    </row>
    <row r="36" spans="1:16" ht="14.5" customHeight="1" x14ac:dyDescent="0.35">
      <c r="A36" s="299">
        <f>ROW()</f>
        <v>36</v>
      </c>
      <c r="B36" s="61" t="s">
        <v>152</v>
      </c>
      <c r="C36" s="284">
        <v>297420</v>
      </c>
      <c r="D36" s="17"/>
      <c r="E36" s="17"/>
      <c r="F36" s="17"/>
      <c r="G36" s="22"/>
      <c r="H36" s="287">
        <f t="shared" ref="H36" si="13">+C36-E36+F36</f>
        <v>297420</v>
      </c>
      <c r="I36" s="22">
        <f>H36+'Cash Flow Statement'!I11</f>
        <v>301934.24491982488</v>
      </c>
      <c r="J36" s="22">
        <f>I36+'Cash Flow Statement'!J11</f>
        <v>305945.40635234048</v>
      </c>
      <c r="K36" s="22">
        <f>J36+'Cash Flow Statement'!K11</f>
        <v>310179.68172477745</v>
      </c>
      <c r="L36" s="22">
        <f>K36+'Cash Flow Statement'!L11</f>
        <v>315589.89348479907</v>
      </c>
      <c r="M36" s="22">
        <f>L36+'Cash Flow Statement'!M11</f>
        <v>322216.29788407922</v>
      </c>
      <c r="N36" s="22">
        <f>M36+'Cash Flow Statement'!N11</f>
        <v>330254.6477131818</v>
      </c>
      <c r="O36" s="22">
        <f>N36+'Cash Flow Statement'!O11</f>
        <v>341130.8197912054</v>
      </c>
      <c r="P36" s="22">
        <f>O36+'Cash Flow Statement'!P11</f>
        <v>353903.89438274619</v>
      </c>
    </row>
    <row r="37" spans="1:16" ht="14.5" customHeight="1" x14ac:dyDescent="0.35">
      <c r="A37" s="299">
        <f>ROW()</f>
        <v>37</v>
      </c>
      <c r="B37" s="60" t="s">
        <v>153</v>
      </c>
      <c r="C37" s="109">
        <f>+C36+C34+C26</f>
        <v>3333466</v>
      </c>
      <c r="D37" s="17"/>
      <c r="E37" s="17"/>
      <c r="F37" s="17"/>
      <c r="G37" s="22"/>
      <c r="H37" s="288">
        <f>+H36+H34+H26</f>
        <v>4953120</v>
      </c>
      <c r="I37" s="109">
        <f>+I36+I34+I26</f>
        <v>4958250.8050561212</v>
      </c>
      <c r="J37" s="109">
        <f t="shared" ref="J37:P37" si="14">+J36+J34+J26</f>
        <v>4880758.1955276439</v>
      </c>
      <c r="K37" s="109">
        <f t="shared" si="14"/>
        <v>4741654.3890527664</v>
      </c>
      <c r="L37" s="109">
        <f t="shared" si="14"/>
        <v>4603856.3457546113</v>
      </c>
      <c r="M37" s="109">
        <f t="shared" si="14"/>
        <v>4402410.7451323029</v>
      </c>
      <c r="N37" s="109">
        <f t="shared" si="14"/>
        <v>3617520.0838605291</v>
      </c>
      <c r="O37" s="109">
        <f t="shared" si="14"/>
        <v>3615617.3193720239</v>
      </c>
      <c r="P37" s="109">
        <f t="shared" si="14"/>
        <v>2127765.7007980561</v>
      </c>
    </row>
    <row r="38" spans="1:16" ht="14.5" customHeight="1" x14ac:dyDescent="0.35">
      <c r="A38" s="299">
        <f>ROW()</f>
        <v>38</v>
      </c>
      <c r="B38" s="61"/>
      <c r="C38" s="17"/>
      <c r="D38" s="17"/>
      <c r="E38" s="17"/>
      <c r="F38" s="17"/>
      <c r="G38" s="22"/>
      <c r="H38" s="287"/>
      <c r="I38" s="22"/>
      <c r="J38" s="22"/>
      <c r="K38" s="22"/>
      <c r="L38" s="22"/>
      <c r="M38" s="22"/>
      <c r="N38" s="22"/>
      <c r="O38" s="22"/>
      <c r="P38" s="22"/>
    </row>
    <row r="39" spans="1:16" ht="14.5" customHeight="1" x14ac:dyDescent="0.35">
      <c r="A39" s="299">
        <f>ROW()</f>
        <v>39</v>
      </c>
      <c r="B39" s="60" t="s">
        <v>154</v>
      </c>
      <c r="C39" s="17"/>
      <c r="D39" s="17"/>
      <c r="E39" s="17"/>
      <c r="F39" s="17"/>
      <c r="G39" s="22"/>
      <c r="H39" s="287"/>
      <c r="I39" s="22"/>
      <c r="J39" s="22"/>
      <c r="K39" s="22"/>
      <c r="L39" s="22"/>
      <c r="M39" s="22"/>
      <c r="N39" s="22"/>
      <c r="O39" s="22"/>
      <c r="P39" s="22"/>
    </row>
    <row r="40" spans="1:16" ht="14.5" customHeight="1" x14ac:dyDescent="0.35">
      <c r="A40" s="299">
        <f>ROW()</f>
        <v>40</v>
      </c>
      <c r="B40" s="61" t="s">
        <v>155</v>
      </c>
      <c r="C40" s="284">
        <v>2131.1999999999998</v>
      </c>
      <c r="D40" s="17"/>
      <c r="E40" s="17">
        <f>+C40</f>
        <v>2131.1999999999998</v>
      </c>
      <c r="F40" s="17">
        <f>'Transaction S&amp;U'!C15</f>
        <v>2749307.5</v>
      </c>
      <c r="G40" s="22"/>
      <c r="H40" s="287">
        <f>+C40-E40+F40</f>
        <v>2749307.5</v>
      </c>
      <c r="I40" s="22">
        <f>+H40</f>
        <v>2749307.5</v>
      </c>
      <c r="J40" s="22">
        <f t="shared" ref="J40:P41" si="15">+I40</f>
        <v>2749307.5</v>
      </c>
      <c r="K40" s="22">
        <f t="shared" si="15"/>
        <v>2749307.5</v>
      </c>
      <c r="L40" s="22">
        <f t="shared" si="15"/>
        <v>2749307.5</v>
      </c>
      <c r="M40" s="22">
        <f t="shared" si="15"/>
        <v>2749307.5</v>
      </c>
      <c r="N40" s="22">
        <f t="shared" si="15"/>
        <v>2749307.5</v>
      </c>
      <c r="O40" s="22">
        <f t="shared" si="15"/>
        <v>2749307.5</v>
      </c>
      <c r="P40" s="22">
        <f t="shared" si="15"/>
        <v>2749307.5</v>
      </c>
    </row>
    <row r="41" spans="1:16" ht="14.5" customHeight="1" x14ac:dyDescent="0.35">
      <c r="A41" s="299">
        <f>ROW()</f>
        <v>41</v>
      </c>
      <c r="B41" s="61" t="s">
        <v>156</v>
      </c>
      <c r="C41" s="284">
        <v>1312560</v>
      </c>
      <c r="D41" s="17"/>
      <c r="E41" s="17">
        <f>+C41</f>
        <v>1312560</v>
      </c>
      <c r="F41" s="17"/>
      <c r="G41" s="22"/>
      <c r="H41" s="287">
        <f t="shared" ref="H41:H42" si="16">+C41-E41+F41</f>
        <v>0</v>
      </c>
      <c r="I41" s="22">
        <f>+H41</f>
        <v>0</v>
      </c>
      <c r="J41" s="22">
        <f t="shared" si="15"/>
        <v>0</v>
      </c>
      <c r="K41" s="22">
        <f t="shared" si="15"/>
        <v>0</v>
      </c>
      <c r="L41" s="22">
        <f t="shared" si="15"/>
        <v>0</v>
      </c>
      <c r="M41" s="22">
        <f t="shared" si="15"/>
        <v>0</v>
      </c>
      <c r="N41" s="22">
        <f t="shared" si="15"/>
        <v>0</v>
      </c>
      <c r="O41" s="22">
        <f t="shared" si="15"/>
        <v>0</v>
      </c>
      <c r="P41" s="22">
        <f t="shared" si="15"/>
        <v>0</v>
      </c>
    </row>
    <row r="42" spans="1:16" ht="14.5" customHeight="1" x14ac:dyDescent="0.35">
      <c r="A42" s="299">
        <f>ROW()</f>
        <v>42</v>
      </c>
      <c r="B42" s="61" t="s">
        <v>157</v>
      </c>
      <c r="C42" s="17">
        <v>825225</v>
      </c>
      <c r="D42" s="17"/>
      <c r="E42" s="17">
        <f>+C42</f>
        <v>825225</v>
      </c>
      <c r="F42" s="17"/>
      <c r="G42" s="22"/>
      <c r="H42" s="287">
        <f t="shared" si="16"/>
        <v>0</v>
      </c>
      <c r="I42" s="98">
        <f>+H42+'Income Statement'!I36</f>
        <v>115608.71136136871</v>
      </c>
      <c r="J42" s="98">
        <f>+I42+'Income Statement'!J36</f>
        <v>218333.57731603633</v>
      </c>
      <c r="K42" s="98">
        <f>+J42+'Income Statement'!K36</f>
        <v>326772.33685405587</v>
      </c>
      <c r="L42" s="98">
        <f>+K42+'Income Statement'!L36</f>
        <v>465326.54046436638</v>
      </c>
      <c r="M42" s="98">
        <f>+L42+'Income Statement'!M36</f>
        <v>635027.14093373553</v>
      </c>
      <c r="N42" s="98">
        <f>+M42+'Income Statement'!N36</f>
        <v>840887.31948392326</v>
      </c>
      <c r="O42" s="98">
        <f>+N42+'Income Statement'!O36</f>
        <v>1119423.4336772109</v>
      </c>
      <c r="P42" s="98">
        <f>+O42+'Income Statement'!P36</f>
        <v>1446538.7585825245</v>
      </c>
    </row>
    <row r="43" spans="1:16" ht="14.5" customHeight="1" x14ac:dyDescent="0.35">
      <c r="A43" s="299">
        <f>ROW()</f>
        <v>43</v>
      </c>
      <c r="B43" s="60" t="s">
        <v>158</v>
      </c>
      <c r="C43" s="109">
        <f>SUM(C40:C42)</f>
        <v>2139916.2000000002</v>
      </c>
      <c r="D43" s="17"/>
      <c r="E43" s="17"/>
      <c r="F43" s="17"/>
      <c r="G43" s="22"/>
      <c r="H43" s="288">
        <f>SUM(H40:H42)</f>
        <v>2749307.5</v>
      </c>
      <c r="I43" s="22">
        <f>SUM(I40:I42)</f>
        <v>2864916.2113613687</v>
      </c>
      <c r="J43" s="22">
        <f t="shared" ref="J43:P43" si="17">SUM(J40:J42)</f>
        <v>2967641.0773160364</v>
      </c>
      <c r="K43" s="22">
        <f t="shared" si="17"/>
        <v>3076079.836854056</v>
      </c>
      <c r="L43" s="22">
        <f t="shared" si="17"/>
        <v>3214634.0404643663</v>
      </c>
      <c r="M43" s="22">
        <f t="shared" si="17"/>
        <v>3384334.6409337353</v>
      </c>
      <c r="N43" s="22">
        <f t="shared" si="17"/>
        <v>3590194.8194839233</v>
      </c>
      <c r="O43" s="22">
        <f t="shared" si="17"/>
        <v>3868730.9336772109</v>
      </c>
      <c r="P43" s="22">
        <f t="shared" si="17"/>
        <v>4195846.258582525</v>
      </c>
    </row>
    <row r="44" spans="1:16" ht="14.5" customHeight="1" x14ac:dyDescent="0.35">
      <c r="A44" s="299">
        <f>ROW()</f>
        <v>44</v>
      </c>
      <c r="B44" s="61"/>
      <c r="C44" s="17"/>
      <c r="D44" s="17"/>
      <c r="E44" s="17"/>
      <c r="F44" s="17"/>
      <c r="G44" s="22"/>
      <c r="H44" s="287"/>
      <c r="I44" s="22"/>
      <c r="J44" s="22"/>
      <c r="K44" s="22"/>
      <c r="L44" s="22"/>
      <c r="M44" s="22"/>
      <c r="N44" s="22"/>
      <c r="O44" s="22"/>
      <c r="P44" s="22"/>
    </row>
    <row r="45" spans="1:16" ht="14.5" customHeight="1" thickBot="1" x14ac:dyDescent="0.4">
      <c r="A45" s="299">
        <f>ROW()</f>
        <v>45</v>
      </c>
      <c r="B45" s="60" t="s">
        <v>159</v>
      </c>
      <c r="C45" s="110">
        <f>+C43+C37</f>
        <v>5473382.2000000002</v>
      </c>
      <c r="D45" s="17"/>
      <c r="E45" s="110">
        <f>SUM(E8:E44)</f>
        <v>7349307.5</v>
      </c>
      <c r="F45" s="110">
        <f>SUM(F8:F44)</f>
        <v>7349307.5</v>
      </c>
      <c r="G45" s="22"/>
      <c r="H45" s="290">
        <f>+H43+H37</f>
        <v>7702427.5</v>
      </c>
      <c r="I45" s="110">
        <f t="shared" ref="I45:P45" si="18">+I43+I37</f>
        <v>7823167.0164174903</v>
      </c>
      <c r="J45" s="110">
        <f t="shared" si="18"/>
        <v>7848399.2728436803</v>
      </c>
      <c r="K45" s="110">
        <f t="shared" si="18"/>
        <v>7817734.2259068228</v>
      </c>
      <c r="L45" s="110">
        <f t="shared" si="18"/>
        <v>7818490.3862189781</v>
      </c>
      <c r="M45" s="110">
        <f t="shared" si="18"/>
        <v>7786745.3860660382</v>
      </c>
      <c r="N45" s="110">
        <f t="shared" si="18"/>
        <v>7207714.9033444524</v>
      </c>
      <c r="O45" s="110">
        <f t="shared" si="18"/>
        <v>7484348.2530492349</v>
      </c>
      <c r="P45" s="110">
        <f t="shared" si="18"/>
        <v>6323611.959380581</v>
      </c>
    </row>
    <row r="46" spans="1:16" ht="21.75" customHeight="1" thickTop="1" x14ac:dyDescent="0.35">
      <c r="A46"/>
      <c r="C46" s="286">
        <f>+C45-C21</f>
        <v>0</v>
      </c>
      <c r="H46" s="286">
        <f>+H45-H21</f>
        <v>0</v>
      </c>
      <c r="I46" s="286">
        <f t="shared" ref="I46:P46" si="19">+I45-I21</f>
        <v>0</v>
      </c>
      <c r="J46" s="286">
        <f t="shared" si="19"/>
        <v>0</v>
      </c>
      <c r="K46" s="286">
        <f t="shared" si="19"/>
        <v>0</v>
      </c>
      <c r="L46" s="286">
        <f t="shared" si="19"/>
        <v>0</v>
      </c>
      <c r="M46" s="286">
        <f t="shared" si="19"/>
        <v>0</v>
      </c>
      <c r="N46" s="286">
        <f t="shared" si="19"/>
        <v>0</v>
      </c>
      <c r="O46" s="286">
        <f t="shared" si="19"/>
        <v>0</v>
      </c>
      <c r="P46" s="286">
        <f t="shared" si="19"/>
        <v>0</v>
      </c>
    </row>
    <row r="47" spans="1:16" ht="21.75" customHeight="1" x14ac:dyDescent="0.35">
      <c r="A47"/>
    </row>
    <row r="48" spans="1:16" ht="21.75" customHeight="1" x14ac:dyDescent="0.35">
      <c r="A48"/>
    </row>
    <row r="49" spans="1:1" ht="21.75" customHeight="1" x14ac:dyDescent="0.35">
      <c r="A49"/>
    </row>
    <row r="50" spans="1:1" ht="21.75" customHeight="1" x14ac:dyDescent="0.35">
      <c r="A50"/>
    </row>
    <row r="51" spans="1:1" ht="21.75" customHeight="1" x14ac:dyDescent="0.35">
      <c r="A51"/>
    </row>
    <row r="52" spans="1:1" ht="21.75" customHeight="1" x14ac:dyDescent="0.35">
      <c r="A52"/>
    </row>
    <row r="53" spans="1:1" ht="21.75" customHeight="1" x14ac:dyDescent="0.35">
      <c r="A53"/>
    </row>
    <row r="54" spans="1:1" ht="21.75" customHeight="1" x14ac:dyDescent="0.35">
      <c r="A54"/>
    </row>
    <row r="55" spans="1:1" ht="21.75" customHeight="1" x14ac:dyDescent="0.35">
      <c r="A55"/>
    </row>
    <row r="56" spans="1:1" ht="21.75" customHeight="1" x14ac:dyDescent="0.35">
      <c r="A56"/>
    </row>
    <row r="57" spans="1:1" ht="21.75" customHeight="1" x14ac:dyDescent="0.35">
      <c r="A57"/>
    </row>
    <row r="58" spans="1:1" ht="21.75" customHeight="1" x14ac:dyDescent="0.35">
      <c r="A58"/>
    </row>
    <row r="59" spans="1:1" ht="21.75" customHeight="1" x14ac:dyDescent="0.35">
      <c r="A59"/>
    </row>
    <row r="60" spans="1:1" ht="21.75" customHeight="1" x14ac:dyDescent="0.35">
      <c r="A60"/>
    </row>
    <row r="61" spans="1:1" ht="21.75" customHeight="1" x14ac:dyDescent="0.35">
      <c r="A61"/>
    </row>
    <row r="62" spans="1:1" ht="21.75" customHeight="1" x14ac:dyDescent="0.35">
      <c r="A62"/>
    </row>
    <row r="63" spans="1:1" ht="21.75" customHeight="1" x14ac:dyDescent="0.35">
      <c r="A63"/>
    </row>
    <row r="64" spans="1: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</sheetData>
  <mergeCells count="1">
    <mergeCell ref="I6:P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C9F0D-FFAC-4C9B-8706-0E71ACB8C5DF}">
  <sheetPr>
    <tabColor rgb="FFFFFF00"/>
  </sheetPr>
  <dimension ref="A1:Y287"/>
  <sheetViews>
    <sheetView showGridLines="0" workbookViewId="0">
      <selection activeCell="A6" sqref="A6:A26"/>
    </sheetView>
  </sheetViews>
  <sheetFormatPr defaultRowHeight="14.5" x14ac:dyDescent="0.35"/>
  <cols>
    <col min="1" max="1" width="3.08984375" style="5" customWidth="1"/>
    <col min="2" max="2" width="21.6328125" customWidth="1"/>
    <col min="3" max="3" width="4.54296875" customWidth="1"/>
    <col min="4" max="4" width="3.54296875" customWidth="1"/>
    <col min="5" max="8" width="2.453125" customWidth="1"/>
    <col min="9" max="9" width="12.6328125" style="113" customWidth="1"/>
    <col min="10" max="16" width="12.6328125" customWidth="1"/>
    <col min="17" max="20" width="15" customWidth="1"/>
    <col min="259" max="259" width="5.08984375" customWidth="1"/>
    <col min="260" max="260" width="41.7265625" customWidth="1"/>
    <col min="261" max="261" width="14.7265625" customWidth="1"/>
    <col min="262" max="262" width="14.90625" customWidth="1"/>
    <col min="263" max="264" width="11.7265625" customWidth="1"/>
    <col min="265" max="265" width="11.90625" bestFit="1" customWidth="1"/>
    <col min="267" max="267" width="10.26953125" bestFit="1" customWidth="1"/>
    <col min="268" max="268" width="11.26953125" customWidth="1"/>
    <col min="269" max="269" width="5" customWidth="1"/>
    <col min="270" max="275" width="15" customWidth="1"/>
    <col min="515" max="515" width="5.08984375" customWidth="1"/>
    <col min="516" max="516" width="41.7265625" customWidth="1"/>
    <col min="517" max="517" width="14.7265625" customWidth="1"/>
    <col min="518" max="518" width="14.90625" customWidth="1"/>
    <col min="519" max="520" width="11.7265625" customWidth="1"/>
    <col min="521" max="521" width="11.90625" bestFit="1" customWidth="1"/>
    <col min="523" max="523" width="10.26953125" bestFit="1" customWidth="1"/>
    <col min="524" max="524" width="11.26953125" customWidth="1"/>
    <col min="525" max="525" width="5" customWidth="1"/>
    <col min="526" max="531" width="15" customWidth="1"/>
    <col min="771" max="771" width="5.08984375" customWidth="1"/>
    <col min="772" max="772" width="41.7265625" customWidth="1"/>
    <col min="773" max="773" width="14.7265625" customWidth="1"/>
    <col min="774" max="774" width="14.90625" customWidth="1"/>
    <col min="775" max="776" width="11.7265625" customWidth="1"/>
    <col min="777" max="777" width="11.90625" bestFit="1" customWidth="1"/>
    <col min="779" max="779" width="10.26953125" bestFit="1" customWidth="1"/>
    <col min="780" max="780" width="11.26953125" customWidth="1"/>
    <col min="781" max="781" width="5" customWidth="1"/>
    <col min="782" max="787" width="15" customWidth="1"/>
    <col min="1027" max="1027" width="5.08984375" customWidth="1"/>
    <col min="1028" max="1028" width="41.7265625" customWidth="1"/>
    <col min="1029" max="1029" width="14.7265625" customWidth="1"/>
    <col min="1030" max="1030" width="14.90625" customWidth="1"/>
    <col min="1031" max="1032" width="11.7265625" customWidth="1"/>
    <col min="1033" max="1033" width="11.90625" bestFit="1" customWidth="1"/>
    <col min="1035" max="1035" width="10.26953125" bestFit="1" customWidth="1"/>
    <col min="1036" max="1036" width="11.26953125" customWidth="1"/>
    <col min="1037" max="1037" width="5" customWidth="1"/>
    <col min="1038" max="1043" width="15" customWidth="1"/>
    <col min="1283" max="1283" width="5.08984375" customWidth="1"/>
    <col min="1284" max="1284" width="41.7265625" customWidth="1"/>
    <col min="1285" max="1285" width="14.7265625" customWidth="1"/>
    <col min="1286" max="1286" width="14.90625" customWidth="1"/>
    <col min="1287" max="1288" width="11.7265625" customWidth="1"/>
    <col min="1289" max="1289" width="11.90625" bestFit="1" customWidth="1"/>
    <col min="1291" max="1291" width="10.26953125" bestFit="1" customWidth="1"/>
    <col min="1292" max="1292" width="11.26953125" customWidth="1"/>
    <col min="1293" max="1293" width="5" customWidth="1"/>
    <col min="1294" max="1299" width="15" customWidth="1"/>
    <col min="1539" max="1539" width="5.08984375" customWidth="1"/>
    <col min="1540" max="1540" width="41.7265625" customWidth="1"/>
    <col min="1541" max="1541" width="14.7265625" customWidth="1"/>
    <col min="1542" max="1542" width="14.90625" customWidth="1"/>
    <col min="1543" max="1544" width="11.7265625" customWidth="1"/>
    <col min="1545" max="1545" width="11.90625" bestFit="1" customWidth="1"/>
    <col min="1547" max="1547" width="10.26953125" bestFit="1" customWidth="1"/>
    <col min="1548" max="1548" width="11.26953125" customWidth="1"/>
    <col min="1549" max="1549" width="5" customWidth="1"/>
    <col min="1550" max="1555" width="15" customWidth="1"/>
    <col min="1795" max="1795" width="5.08984375" customWidth="1"/>
    <col min="1796" max="1796" width="41.7265625" customWidth="1"/>
    <col min="1797" max="1797" width="14.7265625" customWidth="1"/>
    <col min="1798" max="1798" width="14.90625" customWidth="1"/>
    <col min="1799" max="1800" width="11.7265625" customWidth="1"/>
    <col min="1801" max="1801" width="11.90625" bestFit="1" customWidth="1"/>
    <col min="1803" max="1803" width="10.26953125" bestFit="1" customWidth="1"/>
    <col min="1804" max="1804" width="11.26953125" customWidth="1"/>
    <col min="1805" max="1805" width="5" customWidth="1"/>
    <col min="1806" max="1811" width="15" customWidth="1"/>
    <col min="2051" max="2051" width="5.08984375" customWidth="1"/>
    <col min="2052" max="2052" width="41.7265625" customWidth="1"/>
    <col min="2053" max="2053" width="14.7265625" customWidth="1"/>
    <col min="2054" max="2054" width="14.90625" customWidth="1"/>
    <col min="2055" max="2056" width="11.7265625" customWidth="1"/>
    <col min="2057" max="2057" width="11.90625" bestFit="1" customWidth="1"/>
    <col min="2059" max="2059" width="10.26953125" bestFit="1" customWidth="1"/>
    <col min="2060" max="2060" width="11.26953125" customWidth="1"/>
    <col min="2061" max="2061" width="5" customWidth="1"/>
    <col min="2062" max="2067" width="15" customWidth="1"/>
    <col min="2307" max="2307" width="5.08984375" customWidth="1"/>
    <col min="2308" max="2308" width="41.7265625" customWidth="1"/>
    <col min="2309" max="2309" width="14.7265625" customWidth="1"/>
    <col min="2310" max="2310" width="14.90625" customWidth="1"/>
    <col min="2311" max="2312" width="11.7265625" customWidth="1"/>
    <col min="2313" max="2313" width="11.90625" bestFit="1" customWidth="1"/>
    <col min="2315" max="2315" width="10.26953125" bestFit="1" customWidth="1"/>
    <col min="2316" max="2316" width="11.26953125" customWidth="1"/>
    <col min="2317" max="2317" width="5" customWidth="1"/>
    <col min="2318" max="2323" width="15" customWidth="1"/>
    <col min="2563" max="2563" width="5.08984375" customWidth="1"/>
    <col min="2564" max="2564" width="41.7265625" customWidth="1"/>
    <col min="2565" max="2565" width="14.7265625" customWidth="1"/>
    <col min="2566" max="2566" width="14.90625" customWidth="1"/>
    <col min="2567" max="2568" width="11.7265625" customWidth="1"/>
    <col min="2569" max="2569" width="11.90625" bestFit="1" customWidth="1"/>
    <col min="2571" max="2571" width="10.26953125" bestFit="1" customWidth="1"/>
    <col min="2572" max="2572" width="11.26953125" customWidth="1"/>
    <col min="2573" max="2573" width="5" customWidth="1"/>
    <col min="2574" max="2579" width="15" customWidth="1"/>
    <col min="2819" max="2819" width="5.08984375" customWidth="1"/>
    <col min="2820" max="2820" width="41.7265625" customWidth="1"/>
    <col min="2821" max="2821" width="14.7265625" customWidth="1"/>
    <col min="2822" max="2822" width="14.90625" customWidth="1"/>
    <col min="2823" max="2824" width="11.7265625" customWidth="1"/>
    <col min="2825" max="2825" width="11.90625" bestFit="1" customWidth="1"/>
    <col min="2827" max="2827" width="10.26953125" bestFit="1" customWidth="1"/>
    <col min="2828" max="2828" width="11.26953125" customWidth="1"/>
    <col min="2829" max="2829" width="5" customWidth="1"/>
    <col min="2830" max="2835" width="15" customWidth="1"/>
    <col min="3075" max="3075" width="5.08984375" customWidth="1"/>
    <col min="3076" max="3076" width="41.7265625" customWidth="1"/>
    <col min="3077" max="3077" width="14.7265625" customWidth="1"/>
    <col min="3078" max="3078" width="14.90625" customWidth="1"/>
    <col min="3079" max="3080" width="11.7265625" customWidth="1"/>
    <col min="3081" max="3081" width="11.90625" bestFit="1" customWidth="1"/>
    <col min="3083" max="3083" width="10.26953125" bestFit="1" customWidth="1"/>
    <col min="3084" max="3084" width="11.26953125" customWidth="1"/>
    <col min="3085" max="3085" width="5" customWidth="1"/>
    <col min="3086" max="3091" width="15" customWidth="1"/>
    <col min="3331" max="3331" width="5.08984375" customWidth="1"/>
    <col min="3332" max="3332" width="41.7265625" customWidth="1"/>
    <col min="3333" max="3333" width="14.7265625" customWidth="1"/>
    <col min="3334" max="3334" width="14.90625" customWidth="1"/>
    <col min="3335" max="3336" width="11.7265625" customWidth="1"/>
    <col min="3337" max="3337" width="11.90625" bestFit="1" customWidth="1"/>
    <col min="3339" max="3339" width="10.26953125" bestFit="1" customWidth="1"/>
    <col min="3340" max="3340" width="11.26953125" customWidth="1"/>
    <col min="3341" max="3341" width="5" customWidth="1"/>
    <col min="3342" max="3347" width="15" customWidth="1"/>
    <col min="3587" max="3587" width="5.08984375" customWidth="1"/>
    <col min="3588" max="3588" width="41.7265625" customWidth="1"/>
    <col min="3589" max="3589" width="14.7265625" customWidth="1"/>
    <col min="3590" max="3590" width="14.90625" customWidth="1"/>
    <col min="3591" max="3592" width="11.7265625" customWidth="1"/>
    <col min="3593" max="3593" width="11.90625" bestFit="1" customWidth="1"/>
    <col min="3595" max="3595" width="10.26953125" bestFit="1" customWidth="1"/>
    <col min="3596" max="3596" width="11.26953125" customWidth="1"/>
    <col min="3597" max="3597" width="5" customWidth="1"/>
    <col min="3598" max="3603" width="15" customWidth="1"/>
    <col min="3843" max="3843" width="5.08984375" customWidth="1"/>
    <col min="3844" max="3844" width="41.7265625" customWidth="1"/>
    <col min="3845" max="3845" width="14.7265625" customWidth="1"/>
    <col min="3846" max="3846" width="14.90625" customWidth="1"/>
    <col min="3847" max="3848" width="11.7265625" customWidth="1"/>
    <col min="3849" max="3849" width="11.90625" bestFit="1" customWidth="1"/>
    <col min="3851" max="3851" width="10.26953125" bestFit="1" customWidth="1"/>
    <col min="3852" max="3852" width="11.26953125" customWidth="1"/>
    <col min="3853" max="3853" width="5" customWidth="1"/>
    <col min="3854" max="3859" width="15" customWidth="1"/>
    <col min="4099" max="4099" width="5.08984375" customWidth="1"/>
    <col min="4100" max="4100" width="41.7265625" customWidth="1"/>
    <col min="4101" max="4101" width="14.7265625" customWidth="1"/>
    <col min="4102" max="4102" width="14.90625" customWidth="1"/>
    <col min="4103" max="4104" width="11.7265625" customWidth="1"/>
    <col min="4105" max="4105" width="11.90625" bestFit="1" customWidth="1"/>
    <col min="4107" max="4107" width="10.26953125" bestFit="1" customWidth="1"/>
    <col min="4108" max="4108" width="11.26953125" customWidth="1"/>
    <col min="4109" max="4109" width="5" customWidth="1"/>
    <col min="4110" max="4115" width="15" customWidth="1"/>
    <col min="4355" max="4355" width="5.08984375" customWidth="1"/>
    <col min="4356" max="4356" width="41.7265625" customWidth="1"/>
    <col min="4357" max="4357" width="14.7265625" customWidth="1"/>
    <col min="4358" max="4358" width="14.90625" customWidth="1"/>
    <col min="4359" max="4360" width="11.7265625" customWidth="1"/>
    <col min="4361" max="4361" width="11.90625" bestFit="1" customWidth="1"/>
    <col min="4363" max="4363" width="10.26953125" bestFit="1" customWidth="1"/>
    <col min="4364" max="4364" width="11.26953125" customWidth="1"/>
    <col min="4365" max="4365" width="5" customWidth="1"/>
    <col min="4366" max="4371" width="15" customWidth="1"/>
    <col min="4611" max="4611" width="5.08984375" customWidth="1"/>
    <col min="4612" max="4612" width="41.7265625" customWidth="1"/>
    <col min="4613" max="4613" width="14.7265625" customWidth="1"/>
    <col min="4614" max="4614" width="14.90625" customWidth="1"/>
    <col min="4615" max="4616" width="11.7265625" customWidth="1"/>
    <col min="4617" max="4617" width="11.90625" bestFit="1" customWidth="1"/>
    <col min="4619" max="4619" width="10.26953125" bestFit="1" customWidth="1"/>
    <col min="4620" max="4620" width="11.26953125" customWidth="1"/>
    <col min="4621" max="4621" width="5" customWidth="1"/>
    <col min="4622" max="4627" width="15" customWidth="1"/>
    <col min="4867" max="4867" width="5.08984375" customWidth="1"/>
    <col min="4868" max="4868" width="41.7265625" customWidth="1"/>
    <col min="4869" max="4869" width="14.7265625" customWidth="1"/>
    <col min="4870" max="4870" width="14.90625" customWidth="1"/>
    <col min="4871" max="4872" width="11.7265625" customWidth="1"/>
    <col min="4873" max="4873" width="11.90625" bestFit="1" customWidth="1"/>
    <col min="4875" max="4875" width="10.26953125" bestFit="1" customWidth="1"/>
    <col min="4876" max="4876" width="11.26953125" customWidth="1"/>
    <col min="4877" max="4877" width="5" customWidth="1"/>
    <col min="4878" max="4883" width="15" customWidth="1"/>
    <col min="5123" max="5123" width="5.08984375" customWidth="1"/>
    <col min="5124" max="5124" width="41.7265625" customWidth="1"/>
    <col min="5125" max="5125" width="14.7265625" customWidth="1"/>
    <col min="5126" max="5126" width="14.90625" customWidth="1"/>
    <col min="5127" max="5128" width="11.7265625" customWidth="1"/>
    <col min="5129" max="5129" width="11.90625" bestFit="1" customWidth="1"/>
    <col min="5131" max="5131" width="10.26953125" bestFit="1" customWidth="1"/>
    <col min="5132" max="5132" width="11.26953125" customWidth="1"/>
    <col min="5133" max="5133" width="5" customWidth="1"/>
    <col min="5134" max="5139" width="15" customWidth="1"/>
    <col min="5379" max="5379" width="5.08984375" customWidth="1"/>
    <col min="5380" max="5380" width="41.7265625" customWidth="1"/>
    <col min="5381" max="5381" width="14.7265625" customWidth="1"/>
    <col min="5382" max="5382" width="14.90625" customWidth="1"/>
    <col min="5383" max="5384" width="11.7265625" customWidth="1"/>
    <col min="5385" max="5385" width="11.90625" bestFit="1" customWidth="1"/>
    <col min="5387" max="5387" width="10.26953125" bestFit="1" customWidth="1"/>
    <col min="5388" max="5388" width="11.26953125" customWidth="1"/>
    <col min="5389" max="5389" width="5" customWidth="1"/>
    <col min="5390" max="5395" width="15" customWidth="1"/>
    <col min="5635" max="5635" width="5.08984375" customWidth="1"/>
    <col min="5636" max="5636" width="41.7265625" customWidth="1"/>
    <col min="5637" max="5637" width="14.7265625" customWidth="1"/>
    <col min="5638" max="5638" width="14.90625" customWidth="1"/>
    <col min="5639" max="5640" width="11.7265625" customWidth="1"/>
    <col min="5641" max="5641" width="11.90625" bestFit="1" customWidth="1"/>
    <col min="5643" max="5643" width="10.26953125" bestFit="1" customWidth="1"/>
    <col min="5644" max="5644" width="11.26953125" customWidth="1"/>
    <col min="5645" max="5645" width="5" customWidth="1"/>
    <col min="5646" max="5651" width="15" customWidth="1"/>
    <col min="5891" max="5891" width="5.08984375" customWidth="1"/>
    <col min="5892" max="5892" width="41.7265625" customWidth="1"/>
    <col min="5893" max="5893" width="14.7265625" customWidth="1"/>
    <col min="5894" max="5894" width="14.90625" customWidth="1"/>
    <col min="5895" max="5896" width="11.7265625" customWidth="1"/>
    <col min="5897" max="5897" width="11.90625" bestFit="1" customWidth="1"/>
    <col min="5899" max="5899" width="10.26953125" bestFit="1" customWidth="1"/>
    <col min="5900" max="5900" width="11.26953125" customWidth="1"/>
    <col min="5901" max="5901" width="5" customWidth="1"/>
    <col min="5902" max="5907" width="15" customWidth="1"/>
    <col min="6147" max="6147" width="5.08984375" customWidth="1"/>
    <col min="6148" max="6148" width="41.7265625" customWidth="1"/>
    <col min="6149" max="6149" width="14.7265625" customWidth="1"/>
    <col min="6150" max="6150" width="14.90625" customWidth="1"/>
    <col min="6151" max="6152" width="11.7265625" customWidth="1"/>
    <col min="6153" max="6153" width="11.90625" bestFit="1" customWidth="1"/>
    <col min="6155" max="6155" width="10.26953125" bestFit="1" customWidth="1"/>
    <col min="6156" max="6156" width="11.26953125" customWidth="1"/>
    <col min="6157" max="6157" width="5" customWidth="1"/>
    <col min="6158" max="6163" width="15" customWidth="1"/>
    <col min="6403" max="6403" width="5.08984375" customWidth="1"/>
    <col min="6404" max="6404" width="41.7265625" customWidth="1"/>
    <col min="6405" max="6405" width="14.7265625" customWidth="1"/>
    <col min="6406" max="6406" width="14.90625" customWidth="1"/>
    <col min="6407" max="6408" width="11.7265625" customWidth="1"/>
    <col min="6409" max="6409" width="11.90625" bestFit="1" customWidth="1"/>
    <col min="6411" max="6411" width="10.26953125" bestFit="1" customWidth="1"/>
    <col min="6412" max="6412" width="11.26953125" customWidth="1"/>
    <col min="6413" max="6413" width="5" customWidth="1"/>
    <col min="6414" max="6419" width="15" customWidth="1"/>
    <col min="6659" max="6659" width="5.08984375" customWidth="1"/>
    <col min="6660" max="6660" width="41.7265625" customWidth="1"/>
    <col min="6661" max="6661" width="14.7265625" customWidth="1"/>
    <col min="6662" max="6662" width="14.90625" customWidth="1"/>
    <col min="6663" max="6664" width="11.7265625" customWidth="1"/>
    <col min="6665" max="6665" width="11.90625" bestFit="1" customWidth="1"/>
    <col min="6667" max="6667" width="10.26953125" bestFit="1" customWidth="1"/>
    <col min="6668" max="6668" width="11.26953125" customWidth="1"/>
    <col min="6669" max="6669" width="5" customWidth="1"/>
    <col min="6670" max="6675" width="15" customWidth="1"/>
    <col min="6915" max="6915" width="5.08984375" customWidth="1"/>
    <col min="6916" max="6916" width="41.7265625" customWidth="1"/>
    <col min="6917" max="6917" width="14.7265625" customWidth="1"/>
    <col min="6918" max="6918" width="14.90625" customWidth="1"/>
    <col min="6919" max="6920" width="11.7265625" customWidth="1"/>
    <col min="6921" max="6921" width="11.90625" bestFit="1" customWidth="1"/>
    <col min="6923" max="6923" width="10.26953125" bestFit="1" customWidth="1"/>
    <col min="6924" max="6924" width="11.26953125" customWidth="1"/>
    <col min="6925" max="6925" width="5" customWidth="1"/>
    <col min="6926" max="6931" width="15" customWidth="1"/>
    <col min="7171" max="7171" width="5.08984375" customWidth="1"/>
    <col min="7172" max="7172" width="41.7265625" customWidth="1"/>
    <col min="7173" max="7173" width="14.7265625" customWidth="1"/>
    <col min="7174" max="7174" width="14.90625" customWidth="1"/>
    <col min="7175" max="7176" width="11.7265625" customWidth="1"/>
    <col min="7177" max="7177" width="11.90625" bestFit="1" customWidth="1"/>
    <col min="7179" max="7179" width="10.26953125" bestFit="1" customWidth="1"/>
    <col min="7180" max="7180" width="11.26953125" customWidth="1"/>
    <col min="7181" max="7181" width="5" customWidth="1"/>
    <col min="7182" max="7187" width="15" customWidth="1"/>
    <col min="7427" max="7427" width="5.08984375" customWidth="1"/>
    <col min="7428" max="7428" width="41.7265625" customWidth="1"/>
    <col min="7429" max="7429" width="14.7265625" customWidth="1"/>
    <col min="7430" max="7430" width="14.90625" customWidth="1"/>
    <col min="7431" max="7432" width="11.7265625" customWidth="1"/>
    <col min="7433" max="7433" width="11.90625" bestFit="1" customWidth="1"/>
    <col min="7435" max="7435" width="10.26953125" bestFit="1" customWidth="1"/>
    <col min="7436" max="7436" width="11.26953125" customWidth="1"/>
    <col min="7437" max="7437" width="5" customWidth="1"/>
    <col min="7438" max="7443" width="15" customWidth="1"/>
    <col min="7683" max="7683" width="5.08984375" customWidth="1"/>
    <col min="7684" max="7684" width="41.7265625" customWidth="1"/>
    <col min="7685" max="7685" width="14.7265625" customWidth="1"/>
    <col min="7686" max="7686" width="14.90625" customWidth="1"/>
    <col min="7687" max="7688" width="11.7265625" customWidth="1"/>
    <col min="7689" max="7689" width="11.90625" bestFit="1" customWidth="1"/>
    <col min="7691" max="7691" width="10.26953125" bestFit="1" customWidth="1"/>
    <col min="7692" max="7692" width="11.26953125" customWidth="1"/>
    <col min="7693" max="7693" width="5" customWidth="1"/>
    <col min="7694" max="7699" width="15" customWidth="1"/>
    <col min="7939" max="7939" width="5.08984375" customWidth="1"/>
    <col min="7940" max="7940" width="41.7265625" customWidth="1"/>
    <col min="7941" max="7941" width="14.7265625" customWidth="1"/>
    <col min="7942" max="7942" width="14.90625" customWidth="1"/>
    <col min="7943" max="7944" width="11.7265625" customWidth="1"/>
    <col min="7945" max="7945" width="11.90625" bestFit="1" customWidth="1"/>
    <col min="7947" max="7947" width="10.26953125" bestFit="1" customWidth="1"/>
    <col min="7948" max="7948" width="11.26953125" customWidth="1"/>
    <col min="7949" max="7949" width="5" customWidth="1"/>
    <col min="7950" max="7955" width="15" customWidth="1"/>
    <col min="8195" max="8195" width="5.08984375" customWidth="1"/>
    <col min="8196" max="8196" width="41.7265625" customWidth="1"/>
    <col min="8197" max="8197" width="14.7265625" customWidth="1"/>
    <col min="8198" max="8198" width="14.90625" customWidth="1"/>
    <col min="8199" max="8200" width="11.7265625" customWidth="1"/>
    <col min="8201" max="8201" width="11.90625" bestFit="1" customWidth="1"/>
    <col min="8203" max="8203" width="10.26953125" bestFit="1" customWidth="1"/>
    <col min="8204" max="8204" width="11.26953125" customWidth="1"/>
    <col min="8205" max="8205" width="5" customWidth="1"/>
    <col min="8206" max="8211" width="15" customWidth="1"/>
    <col min="8451" max="8451" width="5.08984375" customWidth="1"/>
    <col min="8452" max="8452" width="41.7265625" customWidth="1"/>
    <col min="8453" max="8453" width="14.7265625" customWidth="1"/>
    <col min="8454" max="8454" width="14.90625" customWidth="1"/>
    <col min="8455" max="8456" width="11.7265625" customWidth="1"/>
    <col min="8457" max="8457" width="11.90625" bestFit="1" customWidth="1"/>
    <col min="8459" max="8459" width="10.26953125" bestFit="1" customWidth="1"/>
    <col min="8460" max="8460" width="11.26953125" customWidth="1"/>
    <col min="8461" max="8461" width="5" customWidth="1"/>
    <col min="8462" max="8467" width="15" customWidth="1"/>
    <col min="8707" max="8707" width="5.08984375" customWidth="1"/>
    <col min="8708" max="8708" width="41.7265625" customWidth="1"/>
    <col min="8709" max="8709" width="14.7265625" customWidth="1"/>
    <col min="8710" max="8710" width="14.90625" customWidth="1"/>
    <col min="8711" max="8712" width="11.7265625" customWidth="1"/>
    <col min="8713" max="8713" width="11.90625" bestFit="1" customWidth="1"/>
    <col min="8715" max="8715" width="10.26953125" bestFit="1" customWidth="1"/>
    <col min="8716" max="8716" width="11.26953125" customWidth="1"/>
    <col min="8717" max="8717" width="5" customWidth="1"/>
    <col min="8718" max="8723" width="15" customWidth="1"/>
    <col min="8963" max="8963" width="5.08984375" customWidth="1"/>
    <col min="8964" max="8964" width="41.7265625" customWidth="1"/>
    <col min="8965" max="8965" width="14.7265625" customWidth="1"/>
    <col min="8966" max="8966" width="14.90625" customWidth="1"/>
    <col min="8967" max="8968" width="11.7265625" customWidth="1"/>
    <col min="8969" max="8969" width="11.90625" bestFit="1" customWidth="1"/>
    <col min="8971" max="8971" width="10.26953125" bestFit="1" customWidth="1"/>
    <col min="8972" max="8972" width="11.26953125" customWidth="1"/>
    <col min="8973" max="8973" width="5" customWidth="1"/>
    <col min="8974" max="8979" width="15" customWidth="1"/>
    <col min="9219" max="9219" width="5.08984375" customWidth="1"/>
    <col min="9220" max="9220" width="41.7265625" customWidth="1"/>
    <col min="9221" max="9221" width="14.7265625" customWidth="1"/>
    <col min="9222" max="9222" width="14.90625" customWidth="1"/>
    <col min="9223" max="9224" width="11.7265625" customWidth="1"/>
    <col min="9225" max="9225" width="11.90625" bestFit="1" customWidth="1"/>
    <col min="9227" max="9227" width="10.26953125" bestFit="1" customWidth="1"/>
    <col min="9228" max="9228" width="11.26953125" customWidth="1"/>
    <col min="9229" max="9229" width="5" customWidth="1"/>
    <col min="9230" max="9235" width="15" customWidth="1"/>
    <col min="9475" max="9475" width="5.08984375" customWidth="1"/>
    <col min="9476" max="9476" width="41.7265625" customWidth="1"/>
    <col min="9477" max="9477" width="14.7265625" customWidth="1"/>
    <col min="9478" max="9478" width="14.90625" customWidth="1"/>
    <col min="9479" max="9480" width="11.7265625" customWidth="1"/>
    <col min="9481" max="9481" width="11.90625" bestFit="1" customWidth="1"/>
    <col min="9483" max="9483" width="10.26953125" bestFit="1" customWidth="1"/>
    <col min="9484" max="9484" width="11.26953125" customWidth="1"/>
    <col min="9485" max="9485" width="5" customWidth="1"/>
    <col min="9486" max="9491" width="15" customWidth="1"/>
    <col min="9731" max="9731" width="5.08984375" customWidth="1"/>
    <col min="9732" max="9732" width="41.7265625" customWidth="1"/>
    <col min="9733" max="9733" width="14.7265625" customWidth="1"/>
    <col min="9734" max="9734" width="14.90625" customWidth="1"/>
    <col min="9735" max="9736" width="11.7265625" customWidth="1"/>
    <col min="9737" max="9737" width="11.90625" bestFit="1" customWidth="1"/>
    <col min="9739" max="9739" width="10.26953125" bestFit="1" customWidth="1"/>
    <col min="9740" max="9740" width="11.26953125" customWidth="1"/>
    <col min="9741" max="9741" width="5" customWidth="1"/>
    <col min="9742" max="9747" width="15" customWidth="1"/>
    <col min="9987" max="9987" width="5.08984375" customWidth="1"/>
    <col min="9988" max="9988" width="41.7265625" customWidth="1"/>
    <col min="9989" max="9989" width="14.7265625" customWidth="1"/>
    <col min="9990" max="9990" width="14.90625" customWidth="1"/>
    <col min="9991" max="9992" width="11.7265625" customWidth="1"/>
    <col min="9993" max="9993" width="11.90625" bestFit="1" customWidth="1"/>
    <col min="9995" max="9995" width="10.26953125" bestFit="1" customWidth="1"/>
    <col min="9996" max="9996" width="11.26953125" customWidth="1"/>
    <col min="9997" max="9997" width="5" customWidth="1"/>
    <col min="9998" max="10003" width="15" customWidth="1"/>
    <col min="10243" max="10243" width="5.08984375" customWidth="1"/>
    <col min="10244" max="10244" width="41.7265625" customWidth="1"/>
    <col min="10245" max="10245" width="14.7265625" customWidth="1"/>
    <col min="10246" max="10246" width="14.90625" customWidth="1"/>
    <col min="10247" max="10248" width="11.7265625" customWidth="1"/>
    <col min="10249" max="10249" width="11.90625" bestFit="1" customWidth="1"/>
    <col min="10251" max="10251" width="10.26953125" bestFit="1" customWidth="1"/>
    <col min="10252" max="10252" width="11.26953125" customWidth="1"/>
    <col min="10253" max="10253" width="5" customWidth="1"/>
    <col min="10254" max="10259" width="15" customWidth="1"/>
    <col min="10499" max="10499" width="5.08984375" customWidth="1"/>
    <col min="10500" max="10500" width="41.7265625" customWidth="1"/>
    <col min="10501" max="10501" width="14.7265625" customWidth="1"/>
    <col min="10502" max="10502" width="14.90625" customWidth="1"/>
    <col min="10503" max="10504" width="11.7265625" customWidth="1"/>
    <col min="10505" max="10505" width="11.90625" bestFit="1" customWidth="1"/>
    <col min="10507" max="10507" width="10.26953125" bestFit="1" customWidth="1"/>
    <col min="10508" max="10508" width="11.26953125" customWidth="1"/>
    <col min="10509" max="10509" width="5" customWidth="1"/>
    <col min="10510" max="10515" width="15" customWidth="1"/>
    <col min="10755" max="10755" width="5.08984375" customWidth="1"/>
    <col min="10756" max="10756" width="41.7265625" customWidth="1"/>
    <col min="10757" max="10757" width="14.7265625" customWidth="1"/>
    <col min="10758" max="10758" width="14.90625" customWidth="1"/>
    <col min="10759" max="10760" width="11.7265625" customWidth="1"/>
    <col min="10761" max="10761" width="11.90625" bestFit="1" customWidth="1"/>
    <col min="10763" max="10763" width="10.26953125" bestFit="1" customWidth="1"/>
    <col min="10764" max="10764" width="11.26953125" customWidth="1"/>
    <col min="10765" max="10765" width="5" customWidth="1"/>
    <col min="10766" max="10771" width="15" customWidth="1"/>
    <col min="11011" max="11011" width="5.08984375" customWidth="1"/>
    <col min="11012" max="11012" width="41.7265625" customWidth="1"/>
    <col min="11013" max="11013" width="14.7265625" customWidth="1"/>
    <col min="11014" max="11014" width="14.90625" customWidth="1"/>
    <col min="11015" max="11016" width="11.7265625" customWidth="1"/>
    <col min="11017" max="11017" width="11.90625" bestFit="1" customWidth="1"/>
    <col min="11019" max="11019" width="10.26953125" bestFit="1" customWidth="1"/>
    <col min="11020" max="11020" width="11.26953125" customWidth="1"/>
    <col min="11021" max="11021" width="5" customWidth="1"/>
    <col min="11022" max="11027" width="15" customWidth="1"/>
    <col min="11267" max="11267" width="5.08984375" customWidth="1"/>
    <col min="11268" max="11268" width="41.7265625" customWidth="1"/>
    <col min="11269" max="11269" width="14.7265625" customWidth="1"/>
    <col min="11270" max="11270" width="14.90625" customWidth="1"/>
    <col min="11271" max="11272" width="11.7265625" customWidth="1"/>
    <col min="11273" max="11273" width="11.90625" bestFit="1" customWidth="1"/>
    <col min="11275" max="11275" width="10.26953125" bestFit="1" customWidth="1"/>
    <col min="11276" max="11276" width="11.26953125" customWidth="1"/>
    <col min="11277" max="11277" width="5" customWidth="1"/>
    <col min="11278" max="11283" width="15" customWidth="1"/>
    <col min="11523" max="11523" width="5.08984375" customWidth="1"/>
    <col min="11524" max="11524" width="41.7265625" customWidth="1"/>
    <col min="11525" max="11525" width="14.7265625" customWidth="1"/>
    <col min="11526" max="11526" width="14.90625" customWidth="1"/>
    <col min="11527" max="11528" width="11.7265625" customWidth="1"/>
    <col min="11529" max="11529" width="11.90625" bestFit="1" customWidth="1"/>
    <col min="11531" max="11531" width="10.26953125" bestFit="1" customWidth="1"/>
    <col min="11532" max="11532" width="11.26953125" customWidth="1"/>
    <col min="11533" max="11533" width="5" customWidth="1"/>
    <col min="11534" max="11539" width="15" customWidth="1"/>
    <col min="11779" max="11779" width="5.08984375" customWidth="1"/>
    <col min="11780" max="11780" width="41.7265625" customWidth="1"/>
    <col min="11781" max="11781" width="14.7265625" customWidth="1"/>
    <col min="11782" max="11782" width="14.90625" customWidth="1"/>
    <col min="11783" max="11784" width="11.7265625" customWidth="1"/>
    <col min="11785" max="11785" width="11.90625" bestFit="1" customWidth="1"/>
    <col min="11787" max="11787" width="10.26953125" bestFit="1" customWidth="1"/>
    <col min="11788" max="11788" width="11.26953125" customWidth="1"/>
    <col min="11789" max="11789" width="5" customWidth="1"/>
    <col min="11790" max="11795" width="15" customWidth="1"/>
    <col min="12035" max="12035" width="5.08984375" customWidth="1"/>
    <col min="12036" max="12036" width="41.7265625" customWidth="1"/>
    <col min="12037" max="12037" width="14.7265625" customWidth="1"/>
    <col min="12038" max="12038" width="14.90625" customWidth="1"/>
    <col min="12039" max="12040" width="11.7265625" customWidth="1"/>
    <col min="12041" max="12041" width="11.90625" bestFit="1" customWidth="1"/>
    <col min="12043" max="12043" width="10.26953125" bestFit="1" customWidth="1"/>
    <col min="12044" max="12044" width="11.26953125" customWidth="1"/>
    <col min="12045" max="12045" width="5" customWidth="1"/>
    <col min="12046" max="12051" width="15" customWidth="1"/>
    <col min="12291" max="12291" width="5.08984375" customWidth="1"/>
    <col min="12292" max="12292" width="41.7265625" customWidth="1"/>
    <col min="12293" max="12293" width="14.7265625" customWidth="1"/>
    <col min="12294" max="12294" width="14.90625" customWidth="1"/>
    <col min="12295" max="12296" width="11.7265625" customWidth="1"/>
    <col min="12297" max="12297" width="11.90625" bestFit="1" customWidth="1"/>
    <col min="12299" max="12299" width="10.26953125" bestFit="1" customWidth="1"/>
    <col min="12300" max="12300" width="11.26953125" customWidth="1"/>
    <col min="12301" max="12301" width="5" customWidth="1"/>
    <col min="12302" max="12307" width="15" customWidth="1"/>
    <col min="12547" max="12547" width="5.08984375" customWidth="1"/>
    <col min="12548" max="12548" width="41.7265625" customWidth="1"/>
    <col min="12549" max="12549" width="14.7265625" customWidth="1"/>
    <col min="12550" max="12550" width="14.90625" customWidth="1"/>
    <col min="12551" max="12552" width="11.7265625" customWidth="1"/>
    <col min="12553" max="12553" width="11.90625" bestFit="1" customWidth="1"/>
    <col min="12555" max="12555" width="10.26953125" bestFit="1" customWidth="1"/>
    <col min="12556" max="12556" width="11.26953125" customWidth="1"/>
    <col min="12557" max="12557" width="5" customWidth="1"/>
    <col min="12558" max="12563" width="15" customWidth="1"/>
    <col min="12803" max="12803" width="5.08984375" customWidth="1"/>
    <col min="12804" max="12804" width="41.7265625" customWidth="1"/>
    <col min="12805" max="12805" width="14.7265625" customWidth="1"/>
    <col min="12806" max="12806" width="14.90625" customWidth="1"/>
    <col min="12807" max="12808" width="11.7265625" customWidth="1"/>
    <col min="12809" max="12809" width="11.90625" bestFit="1" customWidth="1"/>
    <col min="12811" max="12811" width="10.26953125" bestFit="1" customWidth="1"/>
    <col min="12812" max="12812" width="11.26953125" customWidth="1"/>
    <col min="12813" max="12813" width="5" customWidth="1"/>
    <col min="12814" max="12819" width="15" customWidth="1"/>
    <col min="13059" max="13059" width="5.08984375" customWidth="1"/>
    <col min="13060" max="13060" width="41.7265625" customWidth="1"/>
    <col min="13061" max="13061" width="14.7265625" customWidth="1"/>
    <col min="13062" max="13062" width="14.90625" customWidth="1"/>
    <col min="13063" max="13064" width="11.7265625" customWidth="1"/>
    <col min="13065" max="13065" width="11.90625" bestFit="1" customWidth="1"/>
    <col min="13067" max="13067" width="10.26953125" bestFit="1" customWidth="1"/>
    <col min="13068" max="13068" width="11.26953125" customWidth="1"/>
    <col min="13069" max="13069" width="5" customWidth="1"/>
    <col min="13070" max="13075" width="15" customWidth="1"/>
    <col min="13315" max="13315" width="5.08984375" customWidth="1"/>
    <col min="13316" max="13316" width="41.7265625" customWidth="1"/>
    <col min="13317" max="13317" width="14.7265625" customWidth="1"/>
    <col min="13318" max="13318" width="14.90625" customWidth="1"/>
    <col min="13319" max="13320" width="11.7265625" customWidth="1"/>
    <col min="13321" max="13321" width="11.90625" bestFit="1" customWidth="1"/>
    <col min="13323" max="13323" width="10.26953125" bestFit="1" customWidth="1"/>
    <col min="13324" max="13324" width="11.26953125" customWidth="1"/>
    <col min="13325" max="13325" width="5" customWidth="1"/>
    <col min="13326" max="13331" width="15" customWidth="1"/>
    <col min="13571" max="13571" width="5.08984375" customWidth="1"/>
    <col min="13572" max="13572" width="41.7265625" customWidth="1"/>
    <col min="13573" max="13573" width="14.7265625" customWidth="1"/>
    <col min="13574" max="13574" width="14.90625" customWidth="1"/>
    <col min="13575" max="13576" width="11.7265625" customWidth="1"/>
    <col min="13577" max="13577" width="11.90625" bestFit="1" customWidth="1"/>
    <col min="13579" max="13579" width="10.26953125" bestFit="1" customWidth="1"/>
    <col min="13580" max="13580" width="11.26953125" customWidth="1"/>
    <col min="13581" max="13581" width="5" customWidth="1"/>
    <col min="13582" max="13587" width="15" customWidth="1"/>
    <col min="13827" max="13827" width="5.08984375" customWidth="1"/>
    <col min="13828" max="13828" width="41.7265625" customWidth="1"/>
    <col min="13829" max="13829" width="14.7265625" customWidth="1"/>
    <col min="13830" max="13830" width="14.90625" customWidth="1"/>
    <col min="13831" max="13832" width="11.7265625" customWidth="1"/>
    <col min="13833" max="13833" width="11.90625" bestFit="1" customWidth="1"/>
    <col min="13835" max="13835" width="10.26953125" bestFit="1" customWidth="1"/>
    <col min="13836" max="13836" width="11.26953125" customWidth="1"/>
    <col min="13837" max="13837" width="5" customWidth="1"/>
    <col min="13838" max="13843" width="15" customWidth="1"/>
    <col min="14083" max="14083" width="5.08984375" customWidth="1"/>
    <col min="14084" max="14084" width="41.7265625" customWidth="1"/>
    <col min="14085" max="14085" width="14.7265625" customWidth="1"/>
    <col min="14086" max="14086" width="14.90625" customWidth="1"/>
    <col min="14087" max="14088" width="11.7265625" customWidth="1"/>
    <col min="14089" max="14089" width="11.90625" bestFit="1" customWidth="1"/>
    <col min="14091" max="14091" width="10.26953125" bestFit="1" customWidth="1"/>
    <col min="14092" max="14092" width="11.26953125" customWidth="1"/>
    <col min="14093" max="14093" width="5" customWidth="1"/>
    <col min="14094" max="14099" width="15" customWidth="1"/>
    <col min="14339" max="14339" width="5.08984375" customWidth="1"/>
    <col min="14340" max="14340" width="41.7265625" customWidth="1"/>
    <col min="14341" max="14341" width="14.7265625" customWidth="1"/>
    <col min="14342" max="14342" width="14.90625" customWidth="1"/>
    <col min="14343" max="14344" width="11.7265625" customWidth="1"/>
    <col min="14345" max="14345" width="11.90625" bestFit="1" customWidth="1"/>
    <col min="14347" max="14347" width="10.26953125" bestFit="1" customWidth="1"/>
    <col min="14348" max="14348" width="11.26953125" customWidth="1"/>
    <col min="14349" max="14349" width="5" customWidth="1"/>
    <col min="14350" max="14355" width="15" customWidth="1"/>
    <col min="14595" max="14595" width="5.08984375" customWidth="1"/>
    <col min="14596" max="14596" width="41.7265625" customWidth="1"/>
    <col min="14597" max="14597" width="14.7265625" customWidth="1"/>
    <col min="14598" max="14598" width="14.90625" customWidth="1"/>
    <col min="14599" max="14600" width="11.7265625" customWidth="1"/>
    <col min="14601" max="14601" width="11.90625" bestFit="1" customWidth="1"/>
    <col min="14603" max="14603" width="10.26953125" bestFit="1" customWidth="1"/>
    <col min="14604" max="14604" width="11.26953125" customWidth="1"/>
    <col min="14605" max="14605" width="5" customWidth="1"/>
    <col min="14606" max="14611" width="15" customWidth="1"/>
    <col min="14851" max="14851" width="5.08984375" customWidth="1"/>
    <col min="14852" max="14852" width="41.7265625" customWidth="1"/>
    <col min="14853" max="14853" width="14.7265625" customWidth="1"/>
    <col min="14854" max="14854" width="14.90625" customWidth="1"/>
    <col min="14855" max="14856" width="11.7265625" customWidth="1"/>
    <col min="14857" max="14857" width="11.90625" bestFit="1" customWidth="1"/>
    <col min="14859" max="14859" width="10.26953125" bestFit="1" customWidth="1"/>
    <col min="14860" max="14860" width="11.26953125" customWidth="1"/>
    <col min="14861" max="14861" width="5" customWidth="1"/>
    <col min="14862" max="14867" width="15" customWidth="1"/>
    <col min="15107" max="15107" width="5.08984375" customWidth="1"/>
    <col min="15108" max="15108" width="41.7265625" customWidth="1"/>
    <col min="15109" max="15109" width="14.7265625" customWidth="1"/>
    <col min="15110" max="15110" width="14.90625" customWidth="1"/>
    <col min="15111" max="15112" width="11.7265625" customWidth="1"/>
    <col min="15113" max="15113" width="11.90625" bestFit="1" customWidth="1"/>
    <col min="15115" max="15115" width="10.26953125" bestFit="1" customWidth="1"/>
    <col min="15116" max="15116" width="11.26953125" customWidth="1"/>
    <col min="15117" max="15117" width="5" customWidth="1"/>
    <col min="15118" max="15123" width="15" customWidth="1"/>
    <col min="15363" max="15363" width="5.08984375" customWidth="1"/>
    <col min="15364" max="15364" width="41.7265625" customWidth="1"/>
    <col min="15365" max="15365" width="14.7265625" customWidth="1"/>
    <col min="15366" max="15366" width="14.90625" customWidth="1"/>
    <col min="15367" max="15368" width="11.7265625" customWidth="1"/>
    <col min="15369" max="15369" width="11.90625" bestFit="1" customWidth="1"/>
    <col min="15371" max="15371" width="10.26953125" bestFit="1" customWidth="1"/>
    <col min="15372" max="15372" width="11.26953125" customWidth="1"/>
    <col min="15373" max="15373" width="5" customWidth="1"/>
    <col min="15374" max="15379" width="15" customWidth="1"/>
    <col min="15619" max="15619" width="5.08984375" customWidth="1"/>
    <col min="15620" max="15620" width="41.7265625" customWidth="1"/>
    <col min="15621" max="15621" width="14.7265625" customWidth="1"/>
    <col min="15622" max="15622" width="14.90625" customWidth="1"/>
    <col min="15623" max="15624" width="11.7265625" customWidth="1"/>
    <col min="15625" max="15625" width="11.90625" bestFit="1" customWidth="1"/>
    <col min="15627" max="15627" width="10.26953125" bestFit="1" customWidth="1"/>
    <col min="15628" max="15628" width="11.26953125" customWidth="1"/>
    <col min="15629" max="15629" width="5" customWidth="1"/>
    <col min="15630" max="15635" width="15" customWidth="1"/>
    <col min="15875" max="15875" width="5.08984375" customWidth="1"/>
    <col min="15876" max="15876" width="41.7265625" customWidth="1"/>
    <col min="15877" max="15877" width="14.7265625" customWidth="1"/>
    <col min="15878" max="15878" width="14.90625" customWidth="1"/>
    <col min="15879" max="15880" width="11.7265625" customWidth="1"/>
    <col min="15881" max="15881" width="11.90625" bestFit="1" customWidth="1"/>
    <col min="15883" max="15883" width="10.26953125" bestFit="1" customWidth="1"/>
    <col min="15884" max="15884" width="11.26953125" customWidth="1"/>
    <col min="15885" max="15885" width="5" customWidth="1"/>
    <col min="15886" max="15891" width="15" customWidth="1"/>
    <col min="16131" max="16131" width="5.08984375" customWidth="1"/>
    <col min="16132" max="16132" width="41.7265625" customWidth="1"/>
    <col min="16133" max="16133" width="14.7265625" customWidth="1"/>
    <col min="16134" max="16134" width="14.90625" customWidth="1"/>
    <col min="16135" max="16136" width="11.7265625" customWidth="1"/>
    <col min="16137" max="16137" width="11.90625" bestFit="1" customWidth="1"/>
    <col min="16139" max="16139" width="10.26953125" bestFit="1" customWidth="1"/>
    <col min="16140" max="16140" width="11.26953125" customWidth="1"/>
    <col min="16141" max="16141" width="5" customWidth="1"/>
    <col min="16142" max="16147" width="15" customWidth="1"/>
  </cols>
  <sheetData>
    <row r="1" spans="1:21" x14ac:dyDescent="0.35">
      <c r="A1" s="6"/>
      <c r="B1" s="7" t="s">
        <v>18</v>
      </c>
      <c r="C1" s="8"/>
      <c r="D1" s="8"/>
      <c r="E1" s="8"/>
      <c r="F1" s="8"/>
      <c r="G1" s="8"/>
      <c r="H1" s="8"/>
      <c r="I1" s="111"/>
      <c r="J1" s="8"/>
      <c r="K1" s="8"/>
      <c r="L1" s="1"/>
      <c r="M1" s="1"/>
      <c r="N1" s="1"/>
      <c r="O1" s="1"/>
      <c r="P1" s="1"/>
      <c r="Q1" s="1"/>
      <c r="R1" s="1"/>
      <c r="S1" s="1"/>
      <c r="T1" s="1"/>
    </row>
    <row r="2" spans="1:21" ht="14.5" customHeight="1" x14ac:dyDescent="0.35">
      <c r="A2" s="9"/>
      <c r="B2" s="10" t="str">
        <f>Assumptions!B2</f>
        <v>Base Case</v>
      </c>
      <c r="C2" s="9"/>
      <c r="D2" s="9"/>
      <c r="E2" s="9"/>
      <c r="F2" s="9"/>
      <c r="G2" s="9"/>
      <c r="H2" s="9"/>
      <c r="I2" s="112"/>
      <c r="J2" s="9"/>
      <c r="K2" s="9"/>
      <c r="L2" s="9"/>
      <c r="M2" s="9"/>
      <c r="Q2" s="1"/>
      <c r="R2" s="1"/>
      <c r="S2" s="1"/>
      <c r="T2" s="1"/>
    </row>
    <row r="3" spans="1:21" ht="14.5" customHeight="1" x14ac:dyDescent="0.35">
      <c r="A3" s="9"/>
    </row>
    <row r="4" spans="1:21" ht="14.5" customHeight="1" x14ac:dyDescent="0.35">
      <c r="A4" s="9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21" ht="14.5" customHeight="1" x14ac:dyDescent="0.35">
      <c r="B5" s="114" t="s">
        <v>108</v>
      </c>
      <c r="C5" s="12"/>
      <c r="D5" s="12"/>
      <c r="E5" s="12"/>
      <c r="F5" s="12"/>
      <c r="G5" s="12"/>
      <c r="H5" s="12"/>
      <c r="I5" s="115"/>
      <c r="J5" s="12"/>
      <c r="K5" s="12"/>
      <c r="L5" s="12"/>
      <c r="M5" s="12"/>
      <c r="N5" s="12"/>
      <c r="O5" s="12"/>
      <c r="P5" s="12"/>
    </row>
    <row r="6" spans="1:21" ht="14.5" customHeight="1" x14ac:dyDescent="0.35">
      <c r="A6" s="299">
        <f>ROW()</f>
        <v>6</v>
      </c>
      <c r="B6" s="64"/>
      <c r="C6" s="65"/>
      <c r="D6" s="66"/>
      <c r="E6" s="65"/>
      <c r="F6" s="65"/>
      <c r="G6" s="70"/>
      <c r="H6" s="70"/>
      <c r="I6" s="174"/>
      <c r="J6" s="174"/>
      <c r="K6" s="174"/>
      <c r="L6" s="174"/>
      <c r="M6" s="174"/>
    </row>
    <row r="7" spans="1:21" ht="14.5" customHeight="1" x14ac:dyDescent="0.35">
      <c r="A7" s="299">
        <f>ROW()</f>
        <v>7</v>
      </c>
      <c r="C7" s="65"/>
      <c r="D7" s="66"/>
      <c r="E7" s="65"/>
      <c r="F7" s="65"/>
      <c r="G7" s="70"/>
      <c r="H7" s="70"/>
      <c r="I7" s="116">
        <f>+'Balance Sheet'!I7</f>
        <v>45291</v>
      </c>
      <c r="J7" s="116">
        <f>+'Balance Sheet'!J7</f>
        <v>45657</v>
      </c>
      <c r="K7" s="116">
        <f>+'Balance Sheet'!K7</f>
        <v>46021</v>
      </c>
      <c r="L7" s="116">
        <f>+'Balance Sheet'!L7</f>
        <v>46386</v>
      </c>
      <c r="M7" s="116">
        <f>+'Balance Sheet'!M7</f>
        <v>46751</v>
      </c>
      <c r="N7" s="116">
        <f>+'Balance Sheet'!N7</f>
        <v>47117</v>
      </c>
      <c r="O7" s="116">
        <f>+'Balance Sheet'!O7</f>
        <v>47481</v>
      </c>
      <c r="P7" s="116">
        <f>+'Balance Sheet'!P7</f>
        <v>47846</v>
      </c>
    </row>
    <row r="8" spans="1:21" ht="14.5" customHeight="1" x14ac:dyDescent="0.35">
      <c r="A8" s="299">
        <f>ROW()</f>
        <v>8</v>
      </c>
      <c r="B8" s="117" t="s">
        <v>168</v>
      </c>
      <c r="C8" s="71"/>
      <c r="D8" s="66"/>
      <c r="E8" s="66"/>
      <c r="F8" s="66"/>
      <c r="G8" s="66"/>
      <c r="H8" s="66"/>
      <c r="I8" s="37"/>
      <c r="J8" s="66"/>
      <c r="K8" s="66"/>
      <c r="L8" s="66"/>
      <c r="M8" s="66"/>
      <c r="N8" s="66"/>
      <c r="O8" s="66"/>
      <c r="P8" s="66"/>
      <c r="Q8" s="66"/>
    </row>
    <row r="9" spans="1:21" x14ac:dyDescent="0.35">
      <c r="A9" s="299">
        <f>ROW()</f>
        <v>9</v>
      </c>
      <c r="B9" t="s">
        <v>109</v>
      </c>
      <c r="C9" s="71"/>
      <c r="D9" s="66"/>
      <c r="E9" s="65"/>
      <c r="F9" s="65"/>
      <c r="H9" s="70"/>
      <c r="I9" s="118">
        <f>'Income Statement'!I16/'Income Statement'!I31</f>
        <v>2.0036732163362143</v>
      </c>
      <c r="J9" s="118">
        <f>'Income Statement'!J16/'Income Statement'!J31</f>
        <v>1.9255078276866788</v>
      </c>
      <c r="K9" s="118">
        <f>'Income Statement'!K16/'Income Statement'!K31</f>
        <v>1.9244911203559609</v>
      </c>
      <c r="L9" s="118">
        <f>'Income Statement'!L16/'Income Statement'!L31</f>
        <v>2.0759162500005357</v>
      </c>
      <c r="M9" s="118">
        <f>'Income Statement'!M16/'Income Statement'!M31</f>
        <v>2.2413139499157686</v>
      </c>
      <c r="N9" s="118">
        <f>'Income Statement'!N16/'Income Statement'!N31</f>
        <v>2.4559424852830753</v>
      </c>
      <c r="O9" s="118">
        <f>'Income Statement'!O16/'Income Statement'!O31</f>
        <v>3.1042031406515127</v>
      </c>
      <c r="P9" s="118">
        <f>'Income Statement'!P16/'Income Statement'!P31</f>
        <v>3.2765629280196191</v>
      </c>
    </row>
    <row r="10" spans="1:21" x14ac:dyDescent="0.35">
      <c r="A10" s="299">
        <f>ROW()</f>
        <v>10</v>
      </c>
      <c r="B10" t="s">
        <v>110</v>
      </c>
      <c r="C10" s="71"/>
      <c r="H10" s="70"/>
      <c r="I10" s="292">
        <v>1.75</v>
      </c>
      <c r="J10" s="292">
        <v>1.75</v>
      </c>
      <c r="K10" s="292">
        <v>1.75</v>
      </c>
      <c r="L10" s="292">
        <v>2</v>
      </c>
      <c r="M10" s="292">
        <v>2</v>
      </c>
      <c r="N10" s="292">
        <v>2</v>
      </c>
      <c r="O10" s="292">
        <v>2</v>
      </c>
      <c r="P10" s="292">
        <v>2</v>
      </c>
    </row>
    <row r="11" spans="1:21" x14ac:dyDescent="0.35">
      <c r="A11" s="299">
        <f>ROW()</f>
        <v>11</v>
      </c>
      <c r="B11" s="31" t="s">
        <v>169</v>
      </c>
      <c r="C11" s="71"/>
      <c r="H11" s="73"/>
      <c r="I11" s="119">
        <f>I10*'Income Statement'!I31-'Income Statement'!I16</f>
        <v>-109459.9928490764</v>
      </c>
      <c r="J11" s="119">
        <f>J10*'Income Statement'!J31-'Income Statement'!J16</f>
        <v>-78100.983320572064</v>
      </c>
      <c r="K11" s="119">
        <f>K10*'Income Statement'!K31-'Income Statement'!K16</f>
        <v>-81394.872912445106</v>
      </c>
      <c r="L11" s="119">
        <f>L10*'Income Statement'!L31-'Income Statement'!L16</f>
        <v>-34396.89371274272</v>
      </c>
      <c r="M11" s="119">
        <f>M10*'Income Statement'!M31-'Income Statement'!M16</f>
        <v>-106108.15691746271</v>
      </c>
      <c r="N11" s="119">
        <f>N10*'Income Statement'!N31-'Income Statement'!N16</f>
        <v>-191714.69621182757</v>
      </c>
      <c r="O11" s="119">
        <f>O10*'Income Statement'!O31-'Income Statement'!O16</f>
        <v>-384925.21483111731</v>
      </c>
      <c r="P11" s="119">
        <f>P10*'Income Statement'!P31-'Income Statement'!P16</f>
        <v>-442865.21098856628</v>
      </c>
    </row>
    <row r="12" spans="1:21" x14ac:dyDescent="0.35">
      <c r="A12" s="299">
        <f>ROW()</f>
        <v>12</v>
      </c>
      <c r="C12" s="71"/>
      <c r="H12" s="70"/>
      <c r="I12" s="94"/>
      <c r="J12" s="70"/>
      <c r="K12" s="70"/>
      <c r="L12" s="70"/>
      <c r="M12" s="70"/>
      <c r="N12" s="70"/>
      <c r="O12" s="70"/>
      <c r="P12" s="70"/>
      <c r="U12" s="65"/>
    </row>
    <row r="13" spans="1:21" x14ac:dyDescent="0.35">
      <c r="A13" s="299">
        <f>ROW()</f>
        <v>13</v>
      </c>
      <c r="B13" s="74" t="s">
        <v>170</v>
      </c>
      <c r="C13" s="71"/>
      <c r="H13" s="70"/>
      <c r="I13" s="94"/>
      <c r="J13" s="70"/>
      <c r="K13" s="70"/>
      <c r="L13" s="70"/>
      <c r="M13" s="70"/>
      <c r="N13" s="70"/>
      <c r="O13" s="70"/>
      <c r="P13" s="70"/>
      <c r="U13" s="65"/>
    </row>
    <row r="14" spans="1:21" x14ac:dyDescent="0.35">
      <c r="A14" s="299">
        <f>ROW()</f>
        <v>14</v>
      </c>
      <c r="B14" s="31" t="s">
        <v>111</v>
      </c>
      <c r="C14" s="71"/>
      <c r="H14" s="70"/>
      <c r="I14" s="118">
        <f>'Debt Schedule'!J57/'Income Statement'!I16</f>
        <v>3.3542104292645636</v>
      </c>
      <c r="J14" s="118">
        <f>'Debt Schedule'!K57/'Income Statement'!J16</f>
        <v>3.2899536265634799</v>
      </c>
      <c r="K14" s="118">
        <f>'Debt Schedule'!L57/'Income Statement'!K16</f>
        <v>2.977551822716813</v>
      </c>
      <c r="L14" s="118">
        <f>'Debt Schedule'!M57/'Income Statement'!L16</f>
        <v>2.6866490309209738</v>
      </c>
      <c r="M14" s="118">
        <f>'Debt Schedule'!N57/'Income Statement'!M16</f>
        <v>2.3500089609250638</v>
      </c>
      <c r="N14" s="118">
        <f>'Debt Schedule'!O57/'Income Statement'!N16</f>
        <v>1.471905921173273</v>
      </c>
      <c r="O14" s="118">
        <f>'Debt Schedule'!P57/'Income Statement'!O16</f>
        <v>1.3898576425231186</v>
      </c>
      <c r="P14" s="118">
        <f>'Debt Schedule'!Q57/'Income Statement'!P16</f>
        <v>0</v>
      </c>
      <c r="U14" s="65"/>
    </row>
    <row r="15" spans="1:21" x14ac:dyDescent="0.35">
      <c r="A15" s="299">
        <f>ROW()</f>
        <v>15</v>
      </c>
      <c r="B15" s="31" t="s">
        <v>171</v>
      </c>
      <c r="C15" s="71"/>
      <c r="H15" s="70"/>
      <c r="I15" s="118">
        <f>('Debt Schedule'!J57-'Balance Sheet'!H9)/'Income Statement'!I16</f>
        <v>2.1447029677089091</v>
      </c>
      <c r="J15" s="118">
        <f>('Debt Schedule'!K57-'Balance Sheet'!I9)/'Income Statement'!J16</f>
        <v>1.9343420356479919</v>
      </c>
      <c r="K15" s="118">
        <f>('Debt Schedule'!L57-'Balance Sheet'!J9)/'Income Statement'!K16</f>
        <v>1.6610281919959369</v>
      </c>
      <c r="L15" s="118">
        <f>('Debt Schedule'!M57-'Balance Sheet'!K9)/'Income Statement'!L16</f>
        <v>1.4710513415088446</v>
      </c>
      <c r="M15" s="118">
        <f>('Debt Schedule'!N57-'Balance Sheet'!L9)/'Income Statement'!M16</f>
        <v>1.1989042988769951</v>
      </c>
      <c r="N15" s="118">
        <f>('Debt Schedule'!O57-'Balance Sheet'!M9)/'Income Statement'!N16</f>
        <v>0.41532630023379513</v>
      </c>
      <c r="O15" s="118">
        <f>('Debt Schedule'!P57-'Balance Sheet'!N9)/'Income Statement'!O16</f>
        <v>0.92923101372150374</v>
      </c>
      <c r="P15" s="118">
        <f>('Debt Schedule'!Q57-'Balance Sheet'!O9)/'Income Statement'!P16</f>
        <v>-0.66803127298038378</v>
      </c>
      <c r="U15" s="65"/>
    </row>
    <row r="16" spans="1:21" x14ac:dyDescent="0.35">
      <c r="A16" s="299">
        <f>ROW()</f>
        <v>16</v>
      </c>
      <c r="B16" t="s">
        <v>172</v>
      </c>
      <c r="C16" s="71"/>
      <c r="D16" s="75"/>
      <c r="E16" s="75"/>
      <c r="F16" s="75"/>
      <c r="H16" s="70"/>
      <c r="I16" s="292">
        <v>4.25</v>
      </c>
      <c r="J16" s="293">
        <v>4.25</v>
      </c>
      <c r="K16" s="293">
        <v>3.75</v>
      </c>
      <c r="L16" s="293">
        <v>3.75</v>
      </c>
      <c r="M16" s="293">
        <v>3.25</v>
      </c>
      <c r="N16" s="293">
        <v>3.25</v>
      </c>
      <c r="O16" s="293">
        <v>3.25</v>
      </c>
      <c r="P16" s="293">
        <v>3.25</v>
      </c>
    </row>
    <row r="17" spans="1:23" x14ac:dyDescent="0.35">
      <c r="A17" s="299">
        <f>ROW()</f>
        <v>17</v>
      </c>
      <c r="B17" s="31" t="s">
        <v>169</v>
      </c>
      <c r="C17" s="71"/>
      <c r="D17" s="75"/>
      <c r="E17" s="75"/>
      <c r="F17" s="75"/>
      <c r="H17" s="70"/>
      <c r="I17" s="120">
        <f>+('Debt Schedule'!J57-'Balance Sheet'!H9)/'Ratio &amp; Cov Analysis'!I16-'Income Statement'!I16</f>
        <v>-428284.28696672345</v>
      </c>
      <c r="J17" s="120">
        <f>+('Debt Schedule'!K57-'Balance Sheet'!I9)/'Ratio &amp; Cov Analysis'!J16-'Income Statement'!J16</f>
        <v>-466864.42442097235</v>
      </c>
      <c r="K17" s="120">
        <f>+('Debt Schedule'!L57-'Balance Sheet'!J9)/'Ratio &amp; Cov Analysis'!K16-'Income Statement'!K16</f>
        <v>-500081.67561855156</v>
      </c>
      <c r="L17" s="120">
        <f>+('Debt Schedule'!M57-'Balance Sheet'!K9)/'Ratio &amp; Cov Analysis'!L16-'Income Statement'!L16</f>
        <v>-571607.05336918216</v>
      </c>
      <c r="M17" s="120">
        <f>+('Debt Schedule'!N57-'Balance Sheet'!L9)/'Ratio &amp; Cov Analysis'!M16-'Income Statement'!M16</f>
        <v>-621973.09722741111</v>
      </c>
      <c r="N17" s="120">
        <f>+('Debt Schedule'!O57-'Balance Sheet'!M9)/'Ratio &amp; Cov Analysis'!N16-'Income Statement'!N16</f>
        <v>-900706.40054329939</v>
      </c>
      <c r="O17" s="120">
        <f>+('Debt Schedule'!P57-'Balance Sheet'!N9)/'Ratio &amp; Cov Analysis'!O16-'Income Statement'!O16</f>
        <v>-772726.9654923114</v>
      </c>
      <c r="P17" s="120">
        <f>+('Debt Schedule'!Q57-'Balance Sheet'!O9)/'Ratio &amp; Cov Analysis'!P16-'Income Statement'!P16</f>
        <v>-1370352.789173221</v>
      </c>
    </row>
    <row r="18" spans="1:23" x14ac:dyDescent="0.35">
      <c r="A18" s="299">
        <f>ROW()</f>
        <v>18</v>
      </c>
      <c r="C18" s="71"/>
      <c r="D18" s="75"/>
      <c r="E18" s="75"/>
      <c r="F18" s="75"/>
      <c r="H18" s="70"/>
      <c r="I18" s="120"/>
      <c r="J18" s="95"/>
      <c r="K18" s="95"/>
      <c r="L18" s="95"/>
      <c r="M18" s="95"/>
      <c r="N18" s="95"/>
      <c r="O18" s="95"/>
      <c r="P18" s="95"/>
    </row>
    <row r="19" spans="1:23" x14ac:dyDescent="0.35">
      <c r="A19" s="299">
        <f>ROW()</f>
        <v>19</v>
      </c>
      <c r="B19" s="74" t="s">
        <v>173</v>
      </c>
      <c r="C19" s="71"/>
      <c r="H19" s="70"/>
      <c r="I19" s="94"/>
      <c r="J19" s="70"/>
      <c r="K19" s="70"/>
      <c r="L19" s="70"/>
      <c r="M19" s="70"/>
      <c r="N19" s="70"/>
      <c r="O19" s="70"/>
      <c r="P19" s="70"/>
      <c r="U19" s="65"/>
    </row>
    <row r="20" spans="1:23" x14ac:dyDescent="0.35">
      <c r="A20" s="299">
        <f>ROW()</f>
        <v>20</v>
      </c>
      <c r="B20" s="31" t="s">
        <v>112</v>
      </c>
      <c r="C20" s="71"/>
      <c r="H20" s="70"/>
      <c r="I20" s="118">
        <f>'Debt Schedule'!J58/'Income Statement'!I16</f>
        <v>5.3204717153851693</v>
      </c>
      <c r="J20" s="118">
        <f>'Debt Schedule'!K58/'Income Statement'!J16</f>
        <v>5.2739625535439396</v>
      </c>
      <c r="K20" s="118">
        <f>'Debt Schedule'!L58/'Income Statement'!K16</f>
        <v>4.8712435917473345</v>
      </c>
      <c r="L20" s="118">
        <f>'Debt Schedule'!M58/'Income Statement'!L16</f>
        <v>4.4940504367641303</v>
      </c>
      <c r="M20" s="118">
        <f>'Debt Schedule'!N58/'Income Statement'!M16</f>
        <v>4.0749723605678136</v>
      </c>
      <c r="N20" s="118">
        <f>'Debt Schedule'!O58/'Income Statement'!N16</f>
        <v>3.1181164909065391</v>
      </c>
      <c r="O20" s="118">
        <f>'Debt Schedule'!P58/'Income Statement'!O16</f>
        <v>2.960840350162282</v>
      </c>
      <c r="P20" s="118">
        <f>'Debt Schedule'!Q58/'Income Statement'!P16</f>
        <v>1.4955504589633659</v>
      </c>
      <c r="U20" s="65"/>
    </row>
    <row r="21" spans="1:23" x14ac:dyDescent="0.35">
      <c r="A21" s="299">
        <f>ROW()</f>
        <v>21</v>
      </c>
      <c r="B21" s="31" t="s">
        <v>174</v>
      </c>
      <c r="C21" s="71"/>
      <c r="H21" s="70"/>
      <c r="I21" s="118">
        <f>('Debt Schedule'!J58-'Balance Sheet'!H9)/'Income Statement'!I16</f>
        <v>4.1109642538295148</v>
      </c>
      <c r="J21" s="118">
        <f>('Debt Schedule'!K58-'Balance Sheet'!I9)/'Income Statement'!J16</f>
        <v>3.9183509626284514</v>
      </c>
      <c r="K21" s="118">
        <f>('Debt Schedule'!L58-'Balance Sheet'!J9)/'Income Statement'!K16</f>
        <v>3.5547199610264575</v>
      </c>
      <c r="L21" s="118">
        <f>('Debt Schedule'!M58-'Balance Sheet'!K9)/'Income Statement'!L16</f>
        <v>3.2784527473520004</v>
      </c>
      <c r="M21" s="118">
        <f>('Debt Schedule'!N58-'Balance Sheet'!L9)/'Income Statement'!M16</f>
        <v>2.9238676985197452</v>
      </c>
      <c r="N21" s="118">
        <f>('Debt Schedule'!O58-'Balance Sheet'!M9)/'Income Statement'!N16</f>
        <v>2.0615368699670609</v>
      </c>
      <c r="O21" s="118">
        <f>('Debt Schedule'!P58-'Balance Sheet'!N9)/'Income Statement'!O16</f>
        <v>2.5002137213606672</v>
      </c>
      <c r="P21" s="118">
        <f>('Debt Schedule'!Q58-'Balance Sheet'!O9)/'Income Statement'!P16</f>
        <v>0.82751918598298224</v>
      </c>
      <c r="U21" s="65"/>
    </row>
    <row r="22" spans="1:23" x14ac:dyDescent="0.35">
      <c r="A22" s="299">
        <f>ROW()</f>
        <v>22</v>
      </c>
      <c r="B22" t="s">
        <v>175</v>
      </c>
      <c r="C22" s="71"/>
      <c r="D22" s="75"/>
      <c r="E22" s="75"/>
      <c r="F22" s="75"/>
      <c r="H22" s="70"/>
      <c r="I22" s="292">
        <v>6</v>
      </c>
      <c r="J22" s="293">
        <v>6</v>
      </c>
      <c r="K22" s="293">
        <v>5</v>
      </c>
      <c r="L22" s="293">
        <v>5</v>
      </c>
      <c r="M22" s="293">
        <v>4</v>
      </c>
      <c r="N22" s="293">
        <v>4</v>
      </c>
      <c r="O22" s="293">
        <v>4</v>
      </c>
      <c r="P22" s="293">
        <v>4</v>
      </c>
    </row>
    <row r="23" spans="1:23" x14ac:dyDescent="0.35">
      <c r="A23" s="299">
        <f>ROW()</f>
        <v>23</v>
      </c>
      <c r="B23" s="31" t="s">
        <v>169</v>
      </c>
      <c r="C23" s="71"/>
      <c r="D23" s="75"/>
      <c r="E23" s="75"/>
      <c r="F23" s="75"/>
      <c r="H23" s="70"/>
      <c r="I23" s="120">
        <f>('Debt Schedule'!J58-'Balance Sheet'!H9)/'Ratio &amp; Cov Analysis'!I22-'Income Statement'!I16</f>
        <v>-272205.32618240977</v>
      </c>
      <c r="J23" s="120">
        <f>('Debt Schedule'!K58-'Balance Sheet'!I9)/'Ratio &amp; Cov Analysis'!J22-'Income Statement'!J16</f>
        <v>-297277.17076668888</v>
      </c>
      <c r="K23" s="120">
        <f>('Debt Schedule'!L58-'Balance Sheet'!J9)/'Ratio &amp; Cov Analysis'!K22-'Income Statement'!K16</f>
        <v>-259490.59994202503</v>
      </c>
      <c r="L23" s="120">
        <f>('Debt Schedule'!M58-'Balance Sheet'!K9)/'Ratio &amp; Cov Analysis'!L22-'Income Statement'!L16</f>
        <v>-323849.5134550723</v>
      </c>
      <c r="M23" s="120">
        <f>('Debt Schedule'!N58-'Balance Sheet'!L9)/'Ratio &amp; Cov Analysis'!M22-'Income Statement'!M16</f>
        <v>-265139.67091929575</v>
      </c>
      <c r="N23" s="120">
        <f>('Debt Schedule'!O58-'Balance Sheet'!M9)/'Ratio &amp; Cov Analysis'!N22-'Income Statement'!N16</f>
        <v>-500450.45598114841</v>
      </c>
      <c r="O23" s="120">
        <f>('Debt Schedule'!P58-'Balance Sheet'!N9)/'Ratio &amp; Cov Analysis'!O22-'Income Statement'!O16</f>
        <v>-405739.13724333746</v>
      </c>
      <c r="P23" s="120">
        <f>('Debt Schedule'!Q58-'Balance Sheet'!O9)/'Ratio &amp; Cov Analysis'!P22-'Income Statement'!P16</f>
        <v>-901543.86826359818</v>
      </c>
    </row>
    <row r="24" spans="1:23" x14ac:dyDescent="0.35">
      <c r="A24" s="299">
        <f>ROW()</f>
        <v>24</v>
      </c>
      <c r="C24" s="71"/>
      <c r="D24" s="75"/>
      <c r="E24" s="75"/>
      <c r="F24" s="75"/>
      <c r="H24" s="70"/>
      <c r="I24" s="120"/>
      <c r="J24" s="95"/>
      <c r="K24" s="95"/>
      <c r="L24" s="95"/>
      <c r="M24" s="95"/>
      <c r="N24" s="95"/>
      <c r="O24" s="95"/>
      <c r="P24" s="95"/>
    </row>
    <row r="25" spans="1:23" x14ac:dyDescent="0.35">
      <c r="A25" s="299">
        <f>ROW()</f>
        <v>25</v>
      </c>
      <c r="B25" t="s">
        <v>176</v>
      </c>
      <c r="C25" s="71"/>
      <c r="D25" s="75"/>
      <c r="E25" s="75"/>
      <c r="F25" s="75"/>
      <c r="H25" s="70"/>
      <c r="I25" s="121">
        <f>'Balance Sheet'!I34/('Balance Sheet'!I34+'Balance Sheet'!I43)</f>
        <v>0.6162158917469085</v>
      </c>
      <c r="J25" s="121">
        <f>'Balance Sheet'!J34/('Balance Sheet'!J34+'Balance Sheet'!J43)</f>
        <v>0.60360847452567645</v>
      </c>
      <c r="K25" s="121">
        <f>'Balance Sheet'!K34/('Balance Sheet'!K34+'Balance Sheet'!K43)</f>
        <v>0.58705237368577246</v>
      </c>
      <c r="L25" s="121">
        <f>'Balance Sheet'!L34/('Balance Sheet'!L34+'Balance Sheet'!L43)</f>
        <v>0.56802040748247151</v>
      </c>
      <c r="M25" s="121">
        <f>'Balance Sheet'!M34/('Balance Sheet'!M34+'Balance Sheet'!M43)</f>
        <v>0.54267816184772999</v>
      </c>
      <c r="N25" s="121">
        <f>'Balance Sheet'!N34/('Balance Sheet'!N34+'Balance Sheet'!N43)</f>
        <v>0.47282054116684019</v>
      </c>
      <c r="O25" s="121">
        <f>'Balance Sheet'!O34/('Balance Sheet'!O34+'Balance Sheet'!O43)</f>
        <v>0.45300747759878313</v>
      </c>
      <c r="P25" s="121">
        <f>'Balance Sheet'!P34/('Balance Sheet'!P34+'Balance Sheet'!P43)</f>
        <v>0.28833859049925648</v>
      </c>
    </row>
    <row r="26" spans="1:23" x14ac:dyDescent="0.35">
      <c r="A26" s="299">
        <f>ROW()</f>
        <v>26</v>
      </c>
      <c r="B26" s="122" t="s">
        <v>177</v>
      </c>
      <c r="C26" s="71"/>
      <c r="D26" s="75"/>
      <c r="E26" s="75"/>
      <c r="F26" s="75"/>
      <c r="H26" s="70"/>
      <c r="I26" s="121"/>
      <c r="J26" s="67"/>
      <c r="K26" s="67"/>
      <c r="L26" s="67"/>
      <c r="M26" s="67"/>
      <c r="N26" s="67"/>
      <c r="O26" s="67"/>
      <c r="P26" s="67"/>
    </row>
    <row r="27" spans="1:23" ht="21.75" customHeight="1" x14ac:dyDescent="0.35">
      <c r="B27" s="36"/>
      <c r="C27" s="71"/>
      <c r="I27" s="120"/>
      <c r="J27" s="95"/>
      <c r="K27" s="95"/>
      <c r="L27" s="95"/>
      <c r="M27" s="95"/>
      <c r="N27" s="95"/>
      <c r="O27" s="95"/>
      <c r="P27" s="95"/>
    </row>
    <row r="28" spans="1:23" ht="21.75" customHeight="1" x14ac:dyDescent="0.35">
      <c r="C28" s="71"/>
      <c r="P28" s="95"/>
    </row>
    <row r="29" spans="1:23" ht="21.75" customHeight="1" x14ac:dyDescent="0.35">
      <c r="B29" s="74"/>
      <c r="C29" s="71"/>
    </row>
    <row r="30" spans="1:23" ht="21.75" customHeight="1" x14ac:dyDescent="0.35">
      <c r="C30" s="71"/>
      <c r="D30" s="75"/>
      <c r="E30" s="75"/>
      <c r="F30" s="75"/>
      <c r="G30" s="75"/>
      <c r="H30" s="75"/>
      <c r="I30" s="123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</row>
    <row r="31" spans="1:23" ht="21.75" customHeight="1" x14ac:dyDescent="0.35">
      <c r="C31" s="71"/>
      <c r="D31" s="75"/>
      <c r="E31" s="75"/>
      <c r="F31" s="75"/>
      <c r="G31" s="75"/>
      <c r="H31" s="75"/>
      <c r="I31" s="123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</row>
    <row r="32" spans="1:23" ht="21.75" customHeight="1" x14ac:dyDescent="0.35">
      <c r="B32" s="36"/>
      <c r="C32" s="71"/>
    </row>
    <row r="33" spans="2:25" ht="21.75" customHeight="1" x14ac:dyDescent="0.35">
      <c r="C33" s="71"/>
    </row>
    <row r="34" spans="2:25" ht="21.75" customHeight="1" x14ac:dyDescent="0.35">
      <c r="B34" s="36"/>
      <c r="C34" s="71"/>
    </row>
    <row r="35" spans="2:25" ht="21.75" customHeight="1" x14ac:dyDescent="0.35">
      <c r="C35" s="71"/>
    </row>
    <row r="36" spans="2:25" ht="21.75" customHeight="1" x14ac:dyDescent="0.35">
      <c r="B36" s="74"/>
      <c r="C36" s="71"/>
    </row>
    <row r="37" spans="2:25" ht="21.75" customHeight="1" x14ac:dyDescent="0.35">
      <c r="C37" s="71"/>
    </row>
    <row r="38" spans="2:25" ht="21.75" customHeight="1" x14ac:dyDescent="0.35">
      <c r="C38" s="71"/>
    </row>
    <row r="39" spans="2:25" ht="21.75" customHeight="1" x14ac:dyDescent="0.35">
      <c r="C39" s="71"/>
    </row>
    <row r="40" spans="2:25" ht="21.75" customHeight="1" x14ac:dyDescent="0.35">
      <c r="C40" s="71"/>
    </row>
    <row r="41" spans="2:25" ht="21.75" customHeight="1" x14ac:dyDescent="0.35">
      <c r="B41" s="36"/>
      <c r="C41" s="71"/>
    </row>
    <row r="42" spans="2:25" ht="21.75" customHeight="1" x14ac:dyDescent="0.35">
      <c r="C42" s="71"/>
    </row>
    <row r="43" spans="2:25" ht="21.75" customHeight="1" x14ac:dyDescent="0.35">
      <c r="B43" s="31"/>
      <c r="C43" s="71"/>
    </row>
    <row r="44" spans="2:25" ht="21.75" customHeight="1" x14ac:dyDescent="0.35">
      <c r="B44" s="36"/>
      <c r="C44" s="71"/>
    </row>
    <row r="45" spans="2:25" ht="21.75" customHeight="1" x14ac:dyDescent="0.35">
      <c r="B45" s="31"/>
      <c r="C45" s="71"/>
      <c r="X45" s="65"/>
      <c r="Y45" s="65"/>
    </row>
    <row r="46" spans="2:25" ht="21.75" customHeight="1" x14ac:dyDescent="0.35">
      <c r="C46" s="71"/>
    </row>
    <row r="47" spans="2:25" ht="21.75" customHeight="1" x14ac:dyDescent="0.35">
      <c r="C47" s="71"/>
      <c r="H47" s="70"/>
      <c r="I47" s="94"/>
      <c r="J47" s="70"/>
      <c r="K47" s="70"/>
      <c r="L47" s="70"/>
      <c r="M47" s="70"/>
      <c r="U47" s="65"/>
    </row>
    <row r="63" spans="1:21" ht="21.75" customHeight="1" x14ac:dyDescent="0.35">
      <c r="A63"/>
      <c r="B63" s="31"/>
      <c r="C63" s="68"/>
      <c r="H63" s="2"/>
      <c r="I63" s="124"/>
      <c r="J63" s="2"/>
      <c r="K63" s="2"/>
      <c r="L63" s="2"/>
      <c r="M63" s="2"/>
      <c r="U63" s="2"/>
    </row>
    <row r="64" spans="1:21" ht="21.75" customHeight="1" x14ac:dyDescent="0.35">
      <c r="A64"/>
    </row>
    <row r="65" spans="1:1" ht="21.75" customHeight="1" x14ac:dyDescent="0.35">
      <c r="A65"/>
    </row>
    <row r="66" spans="1:1" ht="21.75" customHeight="1" x14ac:dyDescent="0.35">
      <c r="A66"/>
    </row>
    <row r="67" spans="1:1" ht="21.75" customHeight="1" x14ac:dyDescent="0.35">
      <c r="A67"/>
    </row>
    <row r="68" spans="1:1" ht="21.75" customHeight="1" x14ac:dyDescent="0.35">
      <c r="A68"/>
    </row>
    <row r="69" spans="1:1" ht="21.75" customHeight="1" x14ac:dyDescent="0.35">
      <c r="A69"/>
    </row>
    <row r="70" spans="1:1" ht="21.75" customHeight="1" x14ac:dyDescent="0.35">
      <c r="A70"/>
    </row>
    <row r="71" spans="1:1" ht="21.75" customHeight="1" x14ac:dyDescent="0.35">
      <c r="A71"/>
    </row>
    <row r="72" spans="1:1" ht="21.75" customHeight="1" x14ac:dyDescent="0.35">
      <c r="A72"/>
    </row>
    <row r="73" spans="1:1" ht="21.75" customHeight="1" x14ac:dyDescent="0.35">
      <c r="A73"/>
    </row>
    <row r="74" spans="1:1" ht="21.75" customHeight="1" x14ac:dyDescent="0.35">
      <c r="A74"/>
    </row>
    <row r="75" spans="1:1" ht="21.75" customHeight="1" x14ac:dyDescent="0.35">
      <c r="A75"/>
    </row>
    <row r="76" spans="1:1" ht="21.75" customHeight="1" x14ac:dyDescent="0.35">
      <c r="A76"/>
    </row>
    <row r="77" spans="1:1" ht="21.75" customHeight="1" x14ac:dyDescent="0.35">
      <c r="A77"/>
    </row>
    <row r="78" spans="1:1" ht="21.75" customHeight="1" x14ac:dyDescent="0.35">
      <c r="A78"/>
    </row>
    <row r="79" spans="1:1" ht="21.75" customHeight="1" x14ac:dyDescent="0.35">
      <c r="A79"/>
    </row>
    <row r="80" spans="1:1" ht="21.75" customHeight="1" x14ac:dyDescent="0.35">
      <c r="A80"/>
    </row>
    <row r="81" spans="1:1" ht="21.75" customHeight="1" x14ac:dyDescent="0.35">
      <c r="A81"/>
    </row>
    <row r="82" spans="1:1" ht="21.75" customHeight="1" x14ac:dyDescent="0.35">
      <c r="A82"/>
    </row>
    <row r="83" spans="1:1" ht="21.75" customHeight="1" x14ac:dyDescent="0.35">
      <c r="A83"/>
    </row>
    <row r="84" spans="1:1" ht="21.75" customHeight="1" x14ac:dyDescent="0.35">
      <c r="A84"/>
    </row>
    <row r="85" spans="1:1" ht="21.75" customHeight="1" x14ac:dyDescent="0.35">
      <c r="A85"/>
    </row>
    <row r="86" spans="1:1" ht="21.75" customHeight="1" x14ac:dyDescent="0.35">
      <c r="A86"/>
    </row>
    <row r="87" spans="1:1" ht="21.75" customHeight="1" x14ac:dyDescent="0.35">
      <c r="A87"/>
    </row>
    <row r="88" spans="1:1" ht="21.75" customHeight="1" x14ac:dyDescent="0.35">
      <c r="A88"/>
    </row>
    <row r="89" spans="1:1" ht="21.75" customHeight="1" x14ac:dyDescent="0.35">
      <c r="A89"/>
    </row>
    <row r="90" spans="1:1" ht="21.75" customHeight="1" x14ac:dyDescent="0.35">
      <c r="A90"/>
    </row>
    <row r="91" spans="1:1" ht="21.75" customHeight="1" x14ac:dyDescent="0.35">
      <c r="A91"/>
    </row>
    <row r="92" spans="1:1" ht="21.75" customHeight="1" x14ac:dyDescent="0.35">
      <c r="A92"/>
    </row>
    <row r="93" spans="1:1" ht="21.75" customHeight="1" x14ac:dyDescent="0.35">
      <c r="A93"/>
    </row>
    <row r="94" spans="1:1" ht="21.75" customHeight="1" x14ac:dyDescent="0.35">
      <c r="A94"/>
    </row>
    <row r="95" spans="1:1" ht="21.75" customHeight="1" x14ac:dyDescent="0.35">
      <c r="A95"/>
    </row>
    <row r="96" spans="1:1" ht="21.75" customHeight="1" x14ac:dyDescent="0.35">
      <c r="A96"/>
    </row>
    <row r="97" spans="1:1" ht="21.75" customHeight="1" x14ac:dyDescent="0.35">
      <c r="A97"/>
    </row>
    <row r="98" spans="1:1" ht="21.75" customHeight="1" x14ac:dyDescent="0.35">
      <c r="A98"/>
    </row>
    <row r="99" spans="1:1" ht="21.75" customHeight="1" x14ac:dyDescent="0.35">
      <c r="A99"/>
    </row>
    <row r="100" spans="1:1" ht="21.75" customHeight="1" x14ac:dyDescent="0.35">
      <c r="A100"/>
    </row>
    <row r="101" spans="1:1" ht="21.75" customHeight="1" x14ac:dyDescent="0.35">
      <c r="A101"/>
    </row>
    <row r="102" spans="1:1" ht="21.75" customHeight="1" x14ac:dyDescent="0.35">
      <c r="A102"/>
    </row>
    <row r="103" spans="1:1" ht="21.75" customHeight="1" x14ac:dyDescent="0.35">
      <c r="A103"/>
    </row>
    <row r="104" spans="1:1" ht="21.75" customHeight="1" x14ac:dyDescent="0.35">
      <c r="A104"/>
    </row>
    <row r="105" spans="1:1" ht="21.75" customHeight="1" x14ac:dyDescent="0.35">
      <c r="A105"/>
    </row>
    <row r="106" spans="1:1" ht="21.75" customHeight="1" x14ac:dyDescent="0.35">
      <c r="A106"/>
    </row>
    <row r="107" spans="1:1" ht="21.75" customHeight="1" x14ac:dyDescent="0.35">
      <c r="A107"/>
    </row>
    <row r="108" spans="1:1" ht="21.75" customHeight="1" x14ac:dyDescent="0.35">
      <c r="A108"/>
    </row>
    <row r="109" spans="1:1" ht="21.75" customHeight="1" x14ac:dyDescent="0.35">
      <c r="A109"/>
    </row>
    <row r="110" spans="1:1" ht="21.75" customHeight="1" x14ac:dyDescent="0.35">
      <c r="A110"/>
    </row>
    <row r="111" spans="1:1" ht="21.75" customHeight="1" x14ac:dyDescent="0.35">
      <c r="A111"/>
    </row>
    <row r="112" spans="1:1" ht="21.75" customHeight="1" x14ac:dyDescent="0.35">
      <c r="A112"/>
    </row>
    <row r="113" spans="1:1" ht="21.75" customHeight="1" x14ac:dyDescent="0.35">
      <c r="A113"/>
    </row>
    <row r="114" spans="1:1" ht="21.75" customHeight="1" x14ac:dyDescent="0.35">
      <c r="A114"/>
    </row>
    <row r="115" spans="1:1" ht="21.75" customHeight="1" x14ac:dyDescent="0.35">
      <c r="A115"/>
    </row>
    <row r="116" spans="1:1" ht="21.75" customHeight="1" x14ac:dyDescent="0.35">
      <c r="A116"/>
    </row>
    <row r="117" spans="1:1" ht="21.75" customHeight="1" x14ac:dyDescent="0.35">
      <c r="A117"/>
    </row>
    <row r="118" spans="1:1" ht="21.75" customHeight="1" x14ac:dyDescent="0.35">
      <c r="A118"/>
    </row>
    <row r="119" spans="1:1" ht="21.75" customHeight="1" x14ac:dyDescent="0.35">
      <c r="A119"/>
    </row>
    <row r="120" spans="1:1" ht="21.75" customHeight="1" x14ac:dyDescent="0.35">
      <c r="A120"/>
    </row>
    <row r="121" spans="1:1" ht="21.75" customHeight="1" x14ac:dyDescent="0.35">
      <c r="A121"/>
    </row>
    <row r="122" spans="1:1" ht="21.75" customHeight="1" x14ac:dyDescent="0.35">
      <c r="A122"/>
    </row>
    <row r="123" spans="1:1" ht="21.75" customHeight="1" x14ac:dyDescent="0.35">
      <c r="A123"/>
    </row>
    <row r="124" spans="1:1" ht="21.75" customHeight="1" x14ac:dyDescent="0.35">
      <c r="A124"/>
    </row>
    <row r="125" spans="1:1" ht="21.75" customHeight="1" x14ac:dyDescent="0.35">
      <c r="A125"/>
    </row>
    <row r="126" spans="1:1" ht="21.75" customHeight="1" x14ac:dyDescent="0.35">
      <c r="A126"/>
    </row>
    <row r="127" spans="1:1" ht="21.75" customHeight="1" x14ac:dyDescent="0.35">
      <c r="A127"/>
    </row>
    <row r="128" spans="1:1" ht="21.75" customHeight="1" x14ac:dyDescent="0.35">
      <c r="A128"/>
    </row>
    <row r="129" spans="1:1" ht="21.75" customHeight="1" x14ac:dyDescent="0.35">
      <c r="A129"/>
    </row>
    <row r="130" spans="1:1" ht="21.75" customHeight="1" x14ac:dyDescent="0.35">
      <c r="A130"/>
    </row>
    <row r="131" spans="1:1" ht="21.75" customHeight="1" x14ac:dyDescent="0.35">
      <c r="A131"/>
    </row>
    <row r="132" spans="1:1" ht="21.75" customHeight="1" x14ac:dyDescent="0.35">
      <c r="A132"/>
    </row>
    <row r="133" spans="1:1" ht="21.75" customHeight="1" x14ac:dyDescent="0.35">
      <c r="A133"/>
    </row>
    <row r="134" spans="1:1" ht="21.75" customHeight="1" x14ac:dyDescent="0.35">
      <c r="A134"/>
    </row>
    <row r="135" spans="1:1" ht="21.75" customHeight="1" x14ac:dyDescent="0.35">
      <c r="A135"/>
    </row>
    <row r="136" spans="1:1" ht="21.75" customHeight="1" x14ac:dyDescent="0.35">
      <c r="A136"/>
    </row>
    <row r="137" spans="1:1" ht="21.75" customHeight="1" x14ac:dyDescent="0.35">
      <c r="A137"/>
    </row>
    <row r="138" spans="1:1" ht="21.75" customHeight="1" x14ac:dyDescent="0.35">
      <c r="A138"/>
    </row>
    <row r="139" spans="1:1" ht="21.75" customHeight="1" x14ac:dyDescent="0.35">
      <c r="A139"/>
    </row>
    <row r="140" spans="1:1" ht="21.75" customHeight="1" x14ac:dyDescent="0.35">
      <c r="A140"/>
    </row>
    <row r="141" spans="1:1" ht="21.75" customHeight="1" x14ac:dyDescent="0.35">
      <c r="A141"/>
    </row>
    <row r="142" spans="1:1" ht="21.75" customHeight="1" x14ac:dyDescent="0.35">
      <c r="A142"/>
    </row>
    <row r="143" spans="1:1" ht="21.75" customHeight="1" x14ac:dyDescent="0.35">
      <c r="A143"/>
    </row>
    <row r="144" spans="1:1" ht="21.75" customHeight="1" x14ac:dyDescent="0.35">
      <c r="A144"/>
    </row>
    <row r="145" spans="1:1" ht="21.75" customHeight="1" x14ac:dyDescent="0.35">
      <c r="A145"/>
    </row>
    <row r="146" spans="1:1" ht="21.75" customHeight="1" x14ac:dyDescent="0.35">
      <c r="A146"/>
    </row>
    <row r="147" spans="1:1" ht="21.75" customHeight="1" x14ac:dyDescent="0.35">
      <c r="A147"/>
    </row>
    <row r="148" spans="1:1" ht="21.75" customHeight="1" x14ac:dyDescent="0.35">
      <c r="A148"/>
    </row>
    <row r="149" spans="1:1" ht="21.75" customHeight="1" x14ac:dyDescent="0.35">
      <c r="A149"/>
    </row>
    <row r="150" spans="1:1" ht="21.75" customHeight="1" x14ac:dyDescent="0.35">
      <c r="A150"/>
    </row>
    <row r="151" spans="1:1" ht="21.75" customHeight="1" x14ac:dyDescent="0.35">
      <c r="A151"/>
    </row>
    <row r="152" spans="1:1" ht="21.75" customHeight="1" x14ac:dyDescent="0.35">
      <c r="A152"/>
    </row>
    <row r="153" spans="1:1" ht="21.75" customHeight="1" x14ac:dyDescent="0.35">
      <c r="A153"/>
    </row>
    <row r="154" spans="1:1" ht="21.75" customHeight="1" x14ac:dyDescent="0.35">
      <c r="A154"/>
    </row>
    <row r="155" spans="1:1" ht="21.75" customHeight="1" x14ac:dyDescent="0.35">
      <c r="A155"/>
    </row>
    <row r="156" spans="1:1" ht="21.75" customHeight="1" x14ac:dyDescent="0.35">
      <c r="A156"/>
    </row>
    <row r="157" spans="1:1" ht="21.75" customHeight="1" x14ac:dyDescent="0.35">
      <c r="A157"/>
    </row>
    <row r="158" spans="1:1" ht="21.75" customHeight="1" x14ac:dyDescent="0.35">
      <c r="A158"/>
    </row>
    <row r="159" spans="1:1" ht="21.75" customHeight="1" x14ac:dyDescent="0.35">
      <c r="A159"/>
    </row>
    <row r="160" spans="1:1" ht="21.75" customHeight="1" x14ac:dyDescent="0.35">
      <c r="A160"/>
    </row>
    <row r="161" spans="1:1" ht="21.75" customHeight="1" x14ac:dyDescent="0.35">
      <c r="A161"/>
    </row>
    <row r="162" spans="1:1" ht="21.75" customHeight="1" x14ac:dyDescent="0.35">
      <c r="A162"/>
    </row>
    <row r="163" spans="1:1" ht="21.75" customHeight="1" x14ac:dyDescent="0.35">
      <c r="A163"/>
    </row>
    <row r="164" spans="1:1" ht="21.75" customHeight="1" x14ac:dyDescent="0.35">
      <c r="A164"/>
    </row>
    <row r="165" spans="1:1" ht="21.75" customHeight="1" x14ac:dyDescent="0.35">
      <c r="A165"/>
    </row>
    <row r="166" spans="1:1" ht="21.75" customHeight="1" x14ac:dyDescent="0.35">
      <c r="A166"/>
    </row>
    <row r="167" spans="1:1" ht="21.75" customHeight="1" x14ac:dyDescent="0.35">
      <c r="A167"/>
    </row>
    <row r="168" spans="1:1" ht="21.75" customHeight="1" x14ac:dyDescent="0.35">
      <c r="A168"/>
    </row>
    <row r="169" spans="1:1" ht="21.75" customHeight="1" x14ac:dyDescent="0.35">
      <c r="A169"/>
    </row>
    <row r="170" spans="1:1" ht="21.75" customHeight="1" x14ac:dyDescent="0.35">
      <c r="A170"/>
    </row>
    <row r="171" spans="1:1" ht="21.75" customHeight="1" x14ac:dyDescent="0.35">
      <c r="A171"/>
    </row>
    <row r="172" spans="1:1" ht="21.75" customHeight="1" x14ac:dyDescent="0.35">
      <c r="A172"/>
    </row>
    <row r="173" spans="1:1" ht="21.75" customHeight="1" x14ac:dyDescent="0.35">
      <c r="A173"/>
    </row>
    <row r="174" spans="1:1" ht="21.75" customHeight="1" x14ac:dyDescent="0.35">
      <c r="A174"/>
    </row>
    <row r="175" spans="1:1" ht="21.75" customHeight="1" x14ac:dyDescent="0.35">
      <c r="A175"/>
    </row>
    <row r="176" spans="1:1" ht="21.75" customHeight="1" x14ac:dyDescent="0.35">
      <c r="A176"/>
    </row>
    <row r="177" spans="1:1" ht="21.75" customHeight="1" x14ac:dyDescent="0.35">
      <c r="A177"/>
    </row>
    <row r="178" spans="1:1" ht="21.75" customHeight="1" x14ac:dyDescent="0.35">
      <c r="A178"/>
    </row>
    <row r="179" spans="1:1" ht="21.75" customHeight="1" x14ac:dyDescent="0.35">
      <c r="A179"/>
    </row>
    <row r="180" spans="1:1" ht="21.75" customHeight="1" x14ac:dyDescent="0.35">
      <c r="A180"/>
    </row>
    <row r="181" spans="1:1" ht="21.75" customHeight="1" x14ac:dyDescent="0.35">
      <c r="A181"/>
    </row>
    <row r="182" spans="1:1" ht="21.75" customHeight="1" x14ac:dyDescent="0.35">
      <c r="A182"/>
    </row>
    <row r="183" spans="1:1" ht="21.75" customHeight="1" x14ac:dyDescent="0.35">
      <c r="A183"/>
    </row>
    <row r="184" spans="1:1" ht="21.75" customHeight="1" x14ac:dyDescent="0.35">
      <c r="A184"/>
    </row>
    <row r="185" spans="1:1" ht="21.75" customHeight="1" x14ac:dyDescent="0.35">
      <c r="A185"/>
    </row>
    <row r="186" spans="1:1" ht="21.75" customHeight="1" x14ac:dyDescent="0.35">
      <c r="A186"/>
    </row>
    <row r="187" spans="1:1" ht="21.75" customHeight="1" x14ac:dyDescent="0.35">
      <c r="A187"/>
    </row>
    <row r="188" spans="1:1" ht="21.75" customHeight="1" x14ac:dyDescent="0.35">
      <c r="A188"/>
    </row>
    <row r="189" spans="1:1" ht="21.75" customHeight="1" x14ac:dyDescent="0.35">
      <c r="A189"/>
    </row>
    <row r="190" spans="1:1" ht="21.75" customHeight="1" x14ac:dyDescent="0.35">
      <c r="A190"/>
    </row>
    <row r="191" spans="1:1" ht="21.75" customHeight="1" x14ac:dyDescent="0.35">
      <c r="A191"/>
    </row>
    <row r="192" spans="1:1" ht="21.75" customHeight="1" x14ac:dyDescent="0.35">
      <c r="A192"/>
    </row>
    <row r="193" spans="1:1" ht="21.75" customHeight="1" x14ac:dyDescent="0.35">
      <c r="A193"/>
    </row>
    <row r="194" spans="1:1" ht="21.75" customHeight="1" x14ac:dyDescent="0.35">
      <c r="A194"/>
    </row>
    <row r="195" spans="1:1" ht="21.75" customHeight="1" x14ac:dyDescent="0.35">
      <c r="A195"/>
    </row>
    <row r="196" spans="1:1" ht="21.75" customHeight="1" x14ac:dyDescent="0.35">
      <c r="A196"/>
    </row>
    <row r="197" spans="1:1" ht="21.75" customHeight="1" x14ac:dyDescent="0.35">
      <c r="A197"/>
    </row>
    <row r="198" spans="1:1" ht="21.75" customHeight="1" x14ac:dyDescent="0.35">
      <c r="A198"/>
    </row>
    <row r="199" spans="1:1" ht="21.75" customHeight="1" x14ac:dyDescent="0.35">
      <c r="A199"/>
    </row>
    <row r="200" spans="1:1" ht="21.75" customHeight="1" x14ac:dyDescent="0.35">
      <c r="A200"/>
    </row>
    <row r="201" spans="1:1" ht="21.75" customHeight="1" x14ac:dyDescent="0.35">
      <c r="A201"/>
    </row>
    <row r="202" spans="1:1" ht="21.75" customHeight="1" x14ac:dyDescent="0.35">
      <c r="A202"/>
    </row>
    <row r="203" spans="1:1" ht="21.75" customHeight="1" x14ac:dyDescent="0.35">
      <c r="A203"/>
    </row>
    <row r="204" spans="1:1" ht="21.75" customHeight="1" x14ac:dyDescent="0.35">
      <c r="A204"/>
    </row>
    <row r="205" spans="1:1" ht="21.75" customHeight="1" x14ac:dyDescent="0.35">
      <c r="A205"/>
    </row>
    <row r="206" spans="1:1" ht="21.75" customHeight="1" x14ac:dyDescent="0.35">
      <c r="A206"/>
    </row>
    <row r="207" spans="1:1" ht="21.75" customHeight="1" x14ac:dyDescent="0.35">
      <c r="A207"/>
    </row>
    <row r="208" spans="1:1" ht="21.75" customHeight="1" x14ac:dyDescent="0.35">
      <c r="A208"/>
    </row>
    <row r="209" spans="1:1" ht="21.75" customHeight="1" x14ac:dyDescent="0.35">
      <c r="A209"/>
    </row>
    <row r="210" spans="1:1" ht="21.75" customHeight="1" x14ac:dyDescent="0.35">
      <c r="A210"/>
    </row>
    <row r="211" spans="1:1" ht="21.75" customHeight="1" x14ac:dyDescent="0.35">
      <c r="A211"/>
    </row>
    <row r="212" spans="1:1" ht="21.75" customHeight="1" x14ac:dyDescent="0.35">
      <c r="A212"/>
    </row>
    <row r="213" spans="1:1" ht="21.75" customHeight="1" x14ac:dyDescent="0.35">
      <c r="A213"/>
    </row>
    <row r="214" spans="1:1" ht="21.75" customHeight="1" x14ac:dyDescent="0.35">
      <c r="A214"/>
    </row>
    <row r="215" spans="1:1" ht="21.75" customHeight="1" x14ac:dyDescent="0.35">
      <c r="A215"/>
    </row>
    <row r="216" spans="1:1" ht="21.75" customHeight="1" x14ac:dyDescent="0.35">
      <c r="A216"/>
    </row>
    <row r="217" spans="1:1" ht="21.75" customHeight="1" x14ac:dyDescent="0.35">
      <c r="A217"/>
    </row>
    <row r="218" spans="1:1" ht="21.75" customHeight="1" x14ac:dyDescent="0.35">
      <c r="A218"/>
    </row>
    <row r="219" spans="1:1" ht="21.75" customHeight="1" x14ac:dyDescent="0.35">
      <c r="A219"/>
    </row>
    <row r="220" spans="1:1" ht="21.75" customHeight="1" x14ac:dyDescent="0.35">
      <c r="A220"/>
    </row>
    <row r="221" spans="1:1" ht="21.75" customHeight="1" x14ac:dyDescent="0.35">
      <c r="A221"/>
    </row>
    <row r="222" spans="1:1" ht="21.75" customHeight="1" x14ac:dyDescent="0.35">
      <c r="A222"/>
    </row>
    <row r="223" spans="1:1" ht="21.75" customHeight="1" x14ac:dyDescent="0.35">
      <c r="A223"/>
    </row>
    <row r="224" spans="1:1" ht="21.75" customHeight="1" x14ac:dyDescent="0.35">
      <c r="A224"/>
    </row>
    <row r="225" spans="1:1" ht="21.75" customHeight="1" x14ac:dyDescent="0.35">
      <c r="A225"/>
    </row>
    <row r="226" spans="1:1" ht="21.75" customHeight="1" x14ac:dyDescent="0.35">
      <c r="A226"/>
    </row>
    <row r="227" spans="1:1" ht="21.75" customHeight="1" x14ac:dyDescent="0.35">
      <c r="A227"/>
    </row>
    <row r="228" spans="1:1" ht="21.75" customHeight="1" x14ac:dyDescent="0.35">
      <c r="A228"/>
    </row>
    <row r="229" spans="1:1" ht="21.75" customHeight="1" x14ac:dyDescent="0.35">
      <c r="A229"/>
    </row>
    <row r="230" spans="1:1" ht="21.75" customHeight="1" x14ac:dyDescent="0.35">
      <c r="A230"/>
    </row>
    <row r="231" spans="1:1" ht="21.75" customHeight="1" x14ac:dyDescent="0.35">
      <c r="A231"/>
    </row>
    <row r="232" spans="1:1" ht="21.75" customHeight="1" x14ac:dyDescent="0.35">
      <c r="A232"/>
    </row>
    <row r="233" spans="1:1" ht="21.75" customHeight="1" x14ac:dyDescent="0.35">
      <c r="A233"/>
    </row>
    <row r="234" spans="1:1" ht="21.75" customHeight="1" x14ac:dyDescent="0.35">
      <c r="A234"/>
    </row>
    <row r="235" spans="1:1" ht="21.75" customHeight="1" x14ac:dyDescent="0.35">
      <c r="A235"/>
    </row>
    <row r="236" spans="1:1" ht="21.75" customHeight="1" x14ac:dyDescent="0.35">
      <c r="A236"/>
    </row>
    <row r="237" spans="1:1" ht="21.75" customHeight="1" x14ac:dyDescent="0.35">
      <c r="A237"/>
    </row>
    <row r="238" spans="1:1" ht="21.75" customHeight="1" x14ac:dyDescent="0.35">
      <c r="A238"/>
    </row>
    <row r="239" spans="1:1" ht="21.75" customHeight="1" x14ac:dyDescent="0.35">
      <c r="A239"/>
    </row>
    <row r="240" spans="1:1" ht="21.75" customHeight="1" x14ac:dyDescent="0.35">
      <c r="A240"/>
    </row>
    <row r="241" spans="1:1" ht="21.75" customHeight="1" x14ac:dyDescent="0.35">
      <c r="A241"/>
    </row>
    <row r="242" spans="1:1" ht="21.75" customHeight="1" x14ac:dyDescent="0.35">
      <c r="A242"/>
    </row>
    <row r="243" spans="1:1" ht="21.75" customHeight="1" x14ac:dyDescent="0.35">
      <c r="A243"/>
    </row>
    <row r="244" spans="1:1" ht="21.75" customHeight="1" x14ac:dyDescent="0.35">
      <c r="A244"/>
    </row>
    <row r="245" spans="1:1" ht="21.75" customHeight="1" x14ac:dyDescent="0.35">
      <c r="A245"/>
    </row>
    <row r="246" spans="1:1" ht="21.75" customHeight="1" x14ac:dyDescent="0.35">
      <c r="A246"/>
    </row>
    <row r="247" spans="1:1" ht="21.75" customHeight="1" x14ac:dyDescent="0.35">
      <c r="A247"/>
    </row>
    <row r="248" spans="1:1" ht="21.75" customHeight="1" x14ac:dyDescent="0.35">
      <c r="A248"/>
    </row>
    <row r="249" spans="1:1" ht="21.75" customHeight="1" x14ac:dyDescent="0.35">
      <c r="A249"/>
    </row>
    <row r="250" spans="1:1" ht="21.75" customHeight="1" x14ac:dyDescent="0.35">
      <c r="A250"/>
    </row>
    <row r="251" spans="1:1" ht="21.75" customHeight="1" x14ac:dyDescent="0.35">
      <c r="A251"/>
    </row>
    <row r="252" spans="1:1" ht="21.75" customHeight="1" x14ac:dyDescent="0.35">
      <c r="A252"/>
    </row>
    <row r="253" spans="1:1" ht="21.75" customHeight="1" x14ac:dyDescent="0.35">
      <c r="A253"/>
    </row>
    <row r="254" spans="1:1" ht="21.75" customHeight="1" x14ac:dyDescent="0.35">
      <c r="A254"/>
    </row>
    <row r="255" spans="1:1" ht="21.75" customHeight="1" x14ac:dyDescent="0.35">
      <c r="A255"/>
    </row>
    <row r="256" spans="1:1" ht="21.75" customHeight="1" x14ac:dyDescent="0.35">
      <c r="A256"/>
    </row>
    <row r="257" spans="1:1" ht="21.75" customHeight="1" x14ac:dyDescent="0.35">
      <c r="A257"/>
    </row>
    <row r="258" spans="1:1" ht="21.75" customHeight="1" x14ac:dyDescent="0.35">
      <c r="A258"/>
    </row>
    <row r="259" spans="1:1" ht="21.75" customHeight="1" x14ac:dyDescent="0.35">
      <c r="A259"/>
    </row>
    <row r="260" spans="1:1" ht="21.75" customHeight="1" x14ac:dyDescent="0.35">
      <c r="A260"/>
    </row>
    <row r="261" spans="1:1" ht="21.75" customHeight="1" x14ac:dyDescent="0.35">
      <c r="A261"/>
    </row>
    <row r="262" spans="1:1" ht="21.75" customHeight="1" x14ac:dyDescent="0.35">
      <c r="A262"/>
    </row>
    <row r="263" spans="1:1" ht="21.75" customHeight="1" x14ac:dyDescent="0.35">
      <c r="A263"/>
    </row>
    <row r="264" spans="1:1" ht="21.75" customHeight="1" x14ac:dyDescent="0.35">
      <c r="A264"/>
    </row>
    <row r="265" spans="1:1" ht="21.75" customHeight="1" x14ac:dyDescent="0.35">
      <c r="A265"/>
    </row>
    <row r="266" spans="1:1" ht="21.75" customHeight="1" x14ac:dyDescent="0.35">
      <c r="A266"/>
    </row>
    <row r="267" spans="1:1" ht="21.75" customHeight="1" x14ac:dyDescent="0.35">
      <c r="A267"/>
    </row>
    <row r="268" spans="1:1" ht="21.75" customHeight="1" x14ac:dyDescent="0.35">
      <c r="A268"/>
    </row>
    <row r="269" spans="1:1" ht="21.75" customHeight="1" x14ac:dyDescent="0.35">
      <c r="A269"/>
    </row>
    <row r="270" spans="1:1" ht="21.75" customHeight="1" x14ac:dyDescent="0.35">
      <c r="A270"/>
    </row>
    <row r="271" spans="1:1" ht="21.75" customHeight="1" x14ac:dyDescent="0.35">
      <c r="A271"/>
    </row>
    <row r="272" spans="1:1" ht="21.75" customHeight="1" x14ac:dyDescent="0.35">
      <c r="A272"/>
    </row>
    <row r="273" spans="1:1" ht="21.75" customHeight="1" x14ac:dyDescent="0.35">
      <c r="A273"/>
    </row>
    <row r="274" spans="1:1" ht="21.75" customHeight="1" x14ac:dyDescent="0.35">
      <c r="A274"/>
    </row>
    <row r="275" spans="1:1" ht="21.75" customHeight="1" x14ac:dyDescent="0.35">
      <c r="A275"/>
    </row>
    <row r="276" spans="1:1" ht="21.75" customHeight="1" x14ac:dyDescent="0.35">
      <c r="A276"/>
    </row>
    <row r="277" spans="1:1" ht="21.75" customHeight="1" x14ac:dyDescent="0.35">
      <c r="A277"/>
    </row>
    <row r="278" spans="1:1" ht="21.75" customHeight="1" x14ac:dyDescent="0.35">
      <c r="A278"/>
    </row>
    <row r="279" spans="1:1" ht="21.75" customHeight="1" x14ac:dyDescent="0.35">
      <c r="A279"/>
    </row>
    <row r="280" spans="1:1" ht="21.75" customHeight="1" x14ac:dyDescent="0.35">
      <c r="A280"/>
    </row>
    <row r="281" spans="1:1" ht="21.75" customHeight="1" x14ac:dyDescent="0.35">
      <c r="A281"/>
    </row>
    <row r="282" spans="1:1" ht="21.75" customHeight="1" x14ac:dyDescent="0.35">
      <c r="A282"/>
    </row>
    <row r="283" spans="1:1" ht="21.75" customHeight="1" x14ac:dyDescent="0.35">
      <c r="A283"/>
    </row>
    <row r="284" spans="1:1" ht="21.75" customHeight="1" x14ac:dyDescent="0.35">
      <c r="A284"/>
    </row>
    <row r="285" spans="1:1" ht="21.75" customHeight="1" x14ac:dyDescent="0.35">
      <c r="A285"/>
    </row>
    <row r="286" spans="1:1" ht="21.75" customHeight="1" x14ac:dyDescent="0.35">
      <c r="A286"/>
    </row>
    <row r="287" spans="1:1" ht="21.75" customHeight="1" x14ac:dyDescent="0.35">
      <c r="A287"/>
    </row>
  </sheetData>
  <mergeCells count="1">
    <mergeCell ref="I6:M6"/>
  </mergeCells>
  <conditionalFormatting sqref="I21:P21">
    <cfRule type="expression" dxfId="2" priority="3">
      <formula>(I21&gt;I22)</formula>
    </cfRule>
  </conditionalFormatting>
  <conditionalFormatting sqref="I15:P15">
    <cfRule type="expression" dxfId="1" priority="2">
      <formula>(I15&gt;I16)</formula>
    </cfRule>
  </conditionalFormatting>
  <conditionalFormatting sqref="I9:P9">
    <cfRule type="expression" dxfId="0" priority="1">
      <formula>(I9&lt;I10)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Transaction S&amp;U</vt:lpstr>
      <vt:lpstr>Proforma Cap</vt:lpstr>
      <vt:lpstr>Assumptions</vt:lpstr>
      <vt:lpstr>Debt Schedule</vt:lpstr>
      <vt:lpstr>Income Statement</vt:lpstr>
      <vt:lpstr>Cash Flow Statement</vt:lpstr>
      <vt:lpstr>Balance Sheet</vt:lpstr>
      <vt:lpstr>Ratio &amp; Cov Analysis</vt:lpstr>
      <vt:lpstr>Case_Choice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dcterms:created xsi:type="dcterms:W3CDTF">2019-02-27T14:32:04Z</dcterms:created>
  <dcterms:modified xsi:type="dcterms:W3CDTF">2023-03-27T02:38:20Z</dcterms:modified>
</cp:coreProperties>
</file>