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d.docs.live.net/66921b89f68d3868/Documents/CSD^0A/CSD^0A Education/Cyprus Presentations/IP Valuation Training/"/>
    </mc:Choice>
  </mc:AlternateContent>
  <xr:revisionPtr revIDLastSave="33" documentId="8_{59C80B80-3C07-46EE-95E0-3FF0B876DE31}" xr6:coauthVersionLast="47" xr6:coauthVersionMax="47" xr10:uidLastSave="{1E58F957-4A82-4982-9935-BF2777A23ED5}"/>
  <bookViews>
    <workbookView xWindow="-110" yWindow="-110" windowWidth="19420" windowHeight="11500" xr2:uid="{00000000-000D-0000-FFFF-FFFF00000000}"/>
  </bookViews>
  <sheets>
    <sheet name="Valuation Scenarios" sheetId="7" r:id="rId1"/>
    <sheet name="Company" sheetId="3" r:id="rId2"/>
    <sheet name="Sheet1" sheetId="8" r:id="rId3"/>
    <sheet name="Sheet2" sheetId="9" r:id="rId4"/>
    <sheet name="Sheet3" sheetId="10" r:id="rId5"/>
    <sheet name="Sheet4" sheetId="11" r:id="rId6"/>
  </sheets>
  <externalReferences>
    <externalReference r:id="rId7"/>
  </externalReferences>
  <definedNames>
    <definedName name="_xlnm.Print_Area" localSheetId="0">'Valuation Scenarios'!$A$1:$P$89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1" l="1"/>
  <c r="C13" i="11"/>
  <c r="C17" i="11" s="1"/>
  <c r="C21" i="11" s="1"/>
  <c r="C33" i="11"/>
  <c r="C37" i="11" s="1"/>
  <c r="C41" i="11" s="1"/>
  <c r="C45" i="11" s="1"/>
  <c r="C43" i="11"/>
  <c r="F36" i="7" l="1"/>
  <c r="F30" i="7"/>
  <c r="E9" i="7"/>
  <c r="E10" i="7" l="1"/>
  <c r="AL20" i="7"/>
  <c r="AL21" i="7"/>
  <c r="AL22" i="7"/>
  <c r="AL23" i="7"/>
  <c r="AL24" i="7"/>
  <c r="AL25" i="7"/>
  <c r="AL26" i="7"/>
  <c r="AL27" i="7"/>
  <c r="AL28" i="7"/>
  <c r="AL29" i="7"/>
  <c r="AL30" i="7"/>
  <c r="P24" i="7"/>
  <c r="J24" i="7"/>
  <c r="I24" i="7"/>
  <c r="O24" i="7"/>
  <c r="M24" i="7"/>
  <c r="N24" i="7"/>
  <c r="L24" i="7"/>
  <c r="AH25" i="7"/>
  <c r="Q40" i="7" l="1"/>
  <c r="J40" i="7" s="1"/>
  <c r="K24" i="7"/>
  <c r="H24" i="7"/>
  <c r="G24" i="7"/>
  <c r="F24" i="7"/>
  <c r="AI30" i="7"/>
  <c r="AH30" i="7" s="1"/>
  <c r="AI29" i="7"/>
  <c r="AH29" i="7" s="1"/>
  <c r="AI28" i="7"/>
  <c r="AH28" i="7" s="1"/>
  <c r="AI27" i="7"/>
  <c r="AH27" i="7" s="1"/>
  <c r="AI26" i="7"/>
  <c r="AH26" i="7" s="1"/>
  <c r="AI23" i="7"/>
  <c r="AH23" i="7" s="1"/>
  <c r="AI22" i="7"/>
  <c r="AH22" i="7" s="1"/>
  <c r="AI21" i="7"/>
  <c r="AH21" i="7" s="1"/>
  <c r="AI20" i="7"/>
  <c r="AH20" i="7" s="1"/>
  <c r="AI24" i="7"/>
  <c r="AH24" i="7" s="1"/>
  <c r="F6" i="7"/>
  <c r="L40" i="7" l="1"/>
  <c r="I40" i="7"/>
  <c r="M40" i="7"/>
  <c r="K40" i="7"/>
  <c r="N40" i="7"/>
  <c r="F40" i="7"/>
  <c r="G40" i="7"/>
  <c r="H40" i="7"/>
  <c r="O40" i="7"/>
  <c r="P40" i="7"/>
  <c r="Q56" i="7"/>
  <c r="J56" i="7" s="1"/>
  <c r="AC30" i="7"/>
  <c r="AC29" i="7"/>
  <c r="AC28" i="7"/>
  <c r="AC27" i="7"/>
  <c r="AC26" i="7"/>
  <c r="AC23" i="7"/>
  <c r="AC22" i="7"/>
  <c r="AC21" i="7"/>
  <c r="AC20" i="7"/>
  <c r="AC24" i="7"/>
  <c r="AE30" i="7"/>
  <c r="AE29" i="7"/>
  <c r="AE28" i="7"/>
  <c r="AE27" i="7"/>
  <c r="AE26" i="7"/>
  <c r="AE24" i="7"/>
  <c r="AE23" i="7"/>
  <c r="AE22" i="7"/>
  <c r="AE21" i="7"/>
  <c r="AE20" i="7"/>
  <c r="AE25" i="7"/>
  <c r="I56" i="7" l="1"/>
  <c r="M56" i="7"/>
  <c r="N56" i="7"/>
  <c r="K56" i="7"/>
  <c r="F56" i="7"/>
  <c r="P56" i="7"/>
  <c r="H56" i="7"/>
  <c r="L56" i="7"/>
  <c r="O56" i="7"/>
  <c r="G56" i="7"/>
  <c r="G30" i="7"/>
  <c r="H30" i="7" s="1"/>
  <c r="I30" i="7" s="1"/>
  <c r="J30" i="7" s="1"/>
  <c r="K30" i="7" s="1"/>
  <c r="L30" i="7" s="1"/>
  <c r="M30" i="7" s="1"/>
  <c r="N30" i="7" s="1"/>
  <c r="O30" i="7" s="1"/>
  <c r="P30" i="7" s="1"/>
  <c r="H15" i="7"/>
  <c r="F52" i="7"/>
  <c r="G28" i="7"/>
  <c r="F45" i="7"/>
  <c r="F44" i="7"/>
  <c r="G85" i="7"/>
  <c r="H85" i="7" s="1"/>
  <c r="AJ11" i="7"/>
  <c r="AE11" i="7"/>
  <c r="Z10" i="7"/>
  <c r="Z11" i="7"/>
  <c r="U16" i="7"/>
  <c r="U15" i="7"/>
  <c r="U14" i="7"/>
  <c r="U13" i="7"/>
  <c r="U12" i="7"/>
  <c r="U9" i="7"/>
  <c r="U8" i="7"/>
  <c r="U7" i="7"/>
  <c r="U6" i="7"/>
  <c r="U10" i="7"/>
  <c r="U11" i="7"/>
  <c r="F9" i="7"/>
  <c r="Z30" i="7"/>
  <c r="X30" i="7"/>
  <c r="U30" i="7"/>
  <c r="S30" i="7"/>
  <c r="AJ16" i="7"/>
  <c r="AH16" i="7"/>
  <c r="AE16" i="7"/>
  <c r="AC16" i="7"/>
  <c r="Z16" i="7"/>
  <c r="X16" i="7"/>
  <c r="S16" i="7"/>
  <c r="Z29" i="7"/>
  <c r="X29" i="7"/>
  <c r="U29" i="7"/>
  <c r="S29" i="7"/>
  <c r="AJ15" i="7"/>
  <c r="AH15" i="7"/>
  <c r="AE15" i="7"/>
  <c r="AC15" i="7"/>
  <c r="Z15" i="7"/>
  <c r="X15" i="7"/>
  <c r="S15" i="7"/>
  <c r="Z28" i="7"/>
  <c r="X28" i="7"/>
  <c r="U28" i="7"/>
  <c r="S28" i="7"/>
  <c r="AJ14" i="7"/>
  <c r="AH14" i="7"/>
  <c r="AE14" i="7"/>
  <c r="AC14" i="7"/>
  <c r="Z14" i="7"/>
  <c r="X14" i="7"/>
  <c r="S14" i="7"/>
  <c r="Z27" i="7"/>
  <c r="X27" i="7"/>
  <c r="U27" i="7"/>
  <c r="S27" i="7"/>
  <c r="AJ13" i="7"/>
  <c r="AH13" i="7"/>
  <c r="AE13" i="7"/>
  <c r="AC13" i="7"/>
  <c r="Z13" i="7"/>
  <c r="X13" i="7"/>
  <c r="S13" i="7"/>
  <c r="Z26" i="7"/>
  <c r="X26" i="7"/>
  <c r="U26" i="7"/>
  <c r="S26" i="7"/>
  <c r="AJ12" i="7"/>
  <c r="AH12" i="7"/>
  <c r="AE12" i="7"/>
  <c r="AC12" i="7"/>
  <c r="Z12" i="7"/>
  <c r="X12" i="7"/>
  <c r="S12" i="7"/>
  <c r="Z25" i="7"/>
  <c r="U25" i="7"/>
  <c r="Z24" i="7"/>
  <c r="X24" i="7"/>
  <c r="U24" i="7"/>
  <c r="S24" i="7"/>
  <c r="AJ10" i="7"/>
  <c r="AH10" i="7"/>
  <c r="AE10" i="7"/>
  <c r="AC10" i="7"/>
  <c r="X10" i="7"/>
  <c r="S10" i="7"/>
  <c r="Z23" i="7"/>
  <c r="X23" i="7"/>
  <c r="U23" i="7"/>
  <c r="S23" i="7"/>
  <c r="AJ9" i="7"/>
  <c r="AH9" i="7"/>
  <c r="AE9" i="7"/>
  <c r="AC9" i="7"/>
  <c r="Z9" i="7"/>
  <c r="X9" i="7"/>
  <c r="S9" i="7"/>
  <c r="Z22" i="7"/>
  <c r="X22" i="7"/>
  <c r="U22" i="7"/>
  <c r="S22" i="7"/>
  <c r="AJ8" i="7"/>
  <c r="AH8" i="7"/>
  <c r="AE8" i="7"/>
  <c r="AC8" i="7"/>
  <c r="Z8" i="7"/>
  <c r="X8" i="7"/>
  <c r="S8" i="7"/>
  <c r="Z21" i="7"/>
  <c r="X21" i="7"/>
  <c r="U21" i="7"/>
  <c r="S21" i="7"/>
  <c r="AJ7" i="7"/>
  <c r="AH7" i="7"/>
  <c r="AE7" i="7"/>
  <c r="AC7" i="7"/>
  <c r="Z7" i="7"/>
  <c r="X7" i="7"/>
  <c r="S7" i="7"/>
  <c r="Z20" i="7"/>
  <c r="X20" i="7"/>
  <c r="U20" i="7"/>
  <c r="S20" i="7"/>
  <c r="AJ6" i="7"/>
  <c r="AH6" i="7"/>
  <c r="AE6" i="7"/>
  <c r="AC6" i="7"/>
  <c r="Z6" i="7"/>
  <c r="X6" i="7"/>
  <c r="S6" i="7"/>
  <c r="F46" i="7" l="1"/>
  <c r="G46" i="7" s="1"/>
  <c r="H46" i="7" s="1"/>
  <c r="I46" i="7" s="1"/>
  <c r="J46" i="7" s="1"/>
  <c r="K46" i="7" s="1"/>
  <c r="L46" i="7" s="1"/>
  <c r="M46" i="7" s="1"/>
  <c r="N46" i="7" s="1"/>
  <c r="O46" i="7" s="1"/>
  <c r="P46" i="7" s="1"/>
  <c r="F10" i="7"/>
  <c r="I15" i="7" s="1"/>
  <c r="G33" i="7" l="1"/>
  <c r="O36" i="10" l="1"/>
  <c r="O28" i="10"/>
  <c r="A77" i="7"/>
  <c r="A78" i="7"/>
  <c r="A79" i="7"/>
  <c r="A13" i="7"/>
  <c r="A14" i="7"/>
  <c r="A15" i="7"/>
  <c r="A16" i="7"/>
  <c r="A17" i="7"/>
  <c r="A82" i="7"/>
  <c r="A83" i="7"/>
  <c r="A84" i="7"/>
  <c r="A85" i="7"/>
  <c r="A86" i="7"/>
  <c r="A87" i="7"/>
  <c r="A88" i="7"/>
  <c r="A80" i="7"/>
  <c r="A81" i="7"/>
  <c r="A10" i="7"/>
  <c r="A11" i="7"/>
  <c r="A12" i="7"/>
  <c r="A18" i="7"/>
  <c r="A19" i="7"/>
  <c r="A20" i="7"/>
  <c r="G16" i="7"/>
  <c r="F16" i="7"/>
  <c r="G14" i="7"/>
  <c r="H14" i="7" s="1"/>
  <c r="I14" i="7" s="1"/>
  <c r="J14" i="7" s="1"/>
  <c r="K14" i="7" s="1"/>
  <c r="L14" i="7" s="1"/>
  <c r="M14" i="7" s="1"/>
  <c r="N14" i="7" s="1"/>
  <c r="H23" i="7"/>
  <c r="I23" i="7" s="1"/>
  <c r="J23" i="7" s="1"/>
  <c r="K23" i="7" s="1"/>
  <c r="L23" i="7" s="1"/>
  <c r="M23" i="7" s="1"/>
  <c r="N23" i="7" s="1"/>
  <c r="O23" i="7" s="1"/>
  <c r="P23" i="7" s="1"/>
  <c r="F49" i="7" l="1"/>
  <c r="G49" i="7" s="1"/>
  <c r="I6" i="7"/>
  <c r="D96" i="7" s="1"/>
  <c r="D79" i="7" l="1"/>
  <c r="E79" i="7" s="1"/>
  <c r="I125" i="7"/>
  <c r="D81" i="7" l="1"/>
  <c r="E81" i="7" s="1"/>
  <c r="P111" i="7"/>
  <c r="H49" i="7"/>
  <c r="I49" i="7" s="1"/>
  <c r="J49" i="7" s="1"/>
  <c r="K49" i="7" s="1"/>
  <c r="L49" i="7" s="1"/>
  <c r="M49" i="7" s="1"/>
  <c r="N49" i="7" s="1"/>
  <c r="O49" i="7" s="1"/>
  <c r="P49" i="7" s="1"/>
  <c r="H33" i="7"/>
  <c r="I33" i="7" s="1"/>
  <c r="J33" i="7" s="1"/>
  <c r="K33" i="7" s="1"/>
  <c r="L33" i="7" s="1"/>
  <c r="M33" i="7" s="1"/>
  <c r="N33" i="7" s="1"/>
  <c r="O33" i="7" s="1"/>
  <c r="P33" i="7" s="1"/>
  <c r="A68" i="7"/>
  <c r="A69" i="7"/>
  <c r="A70" i="7"/>
  <c r="A71" i="7"/>
  <c r="A72" i="7"/>
  <c r="A73" i="7"/>
  <c r="A74" i="7"/>
  <c r="A75" i="7"/>
  <c r="A76" i="7"/>
  <c r="A67" i="7"/>
  <c r="A66" i="7"/>
  <c r="G52" i="7"/>
  <c r="G44" i="7"/>
  <c r="H44" i="7" s="1"/>
  <c r="A57" i="7"/>
  <c r="A56" i="7"/>
  <c r="A55" i="7"/>
  <c r="A54" i="7"/>
  <c r="A53" i="7"/>
  <c r="A52" i="7"/>
  <c r="A51" i="7"/>
  <c r="A50" i="7"/>
  <c r="A49" i="7"/>
  <c r="A48" i="7"/>
  <c r="A47" i="7"/>
  <c r="A46" i="7"/>
  <c r="A45" i="7"/>
  <c r="A44" i="7"/>
  <c r="A43" i="7"/>
  <c r="A42" i="7"/>
  <c r="A37" i="7"/>
  <c r="A38" i="7"/>
  <c r="A39" i="7"/>
  <c r="A40" i="7"/>
  <c r="A41" i="7"/>
  <c r="A58" i="7"/>
  <c r="A59" i="7"/>
  <c r="A63" i="7"/>
  <c r="A64" i="7"/>
  <c r="A65" i="7"/>
  <c r="F34" i="7"/>
  <c r="F39" i="7" s="1"/>
  <c r="F63" i="7" s="1"/>
  <c r="G29" i="7"/>
  <c r="H29" i="7" s="1"/>
  <c r="I29" i="7" s="1"/>
  <c r="J29" i="7" s="1"/>
  <c r="K29" i="7" s="1"/>
  <c r="L29" i="7" s="1"/>
  <c r="M29" i="7" s="1"/>
  <c r="N29" i="7" s="1"/>
  <c r="O29" i="7" s="1"/>
  <c r="P29" i="7" s="1"/>
  <c r="A28" i="7"/>
  <c r="A29" i="7"/>
  <c r="A30" i="7"/>
  <c r="A31" i="7"/>
  <c r="A32" i="7"/>
  <c r="A33" i="7"/>
  <c r="A34" i="7"/>
  <c r="A35" i="7"/>
  <c r="A36" i="7"/>
  <c r="A25" i="7"/>
  <c r="A26" i="7"/>
  <c r="A27" i="7"/>
  <c r="H28" i="7"/>
  <c r="I28" i="7" s="1"/>
  <c r="J28" i="7" s="1"/>
  <c r="K28" i="7" s="1"/>
  <c r="L28" i="7" s="1"/>
  <c r="M28" i="7" s="1"/>
  <c r="N28" i="7" s="1"/>
  <c r="O28" i="7" s="1"/>
  <c r="P28" i="7" s="1"/>
  <c r="A60" i="7"/>
  <c r="A61" i="7"/>
  <c r="A62" i="7"/>
  <c r="H52" i="7" l="1"/>
  <c r="D80" i="7"/>
  <c r="E80" i="7" s="1"/>
  <c r="F50" i="7"/>
  <c r="G45" i="7"/>
  <c r="H45" i="7" s="1"/>
  <c r="I45" i="7" s="1"/>
  <c r="J45" i="7" s="1"/>
  <c r="K45" i="7" s="1"/>
  <c r="L45" i="7" s="1"/>
  <c r="M45" i="7" s="1"/>
  <c r="N45" i="7" s="1"/>
  <c r="O45" i="7" s="1"/>
  <c r="P45" i="7" s="1"/>
  <c r="I44" i="7"/>
  <c r="G36" i="7"/>
  <c r="P34" i="7"/>
  <c r="M34" i="7"/>
  <c r="L34" i="7"/>
  <c r="K34" i="7"/>
  <c r="J34" i="7"/>
  <c r="I34" i="7"/>
  <c r="H34" i="7"/>
  <c r="O34" i="7"/>
  <c r="G34" i="7"/>
  <c r="N34" i="7"/>
  <c r="F22" i="7"/>
  <c r="F60" i="7" s="1"/>
  <c r="A119" i="7"/>
  <c r="A120" i="7"/>
  <c r="A121" i="7"/>
  <c r="A122" i="7"/>
  <c r="A123" i="7"/>
  <c r="A124" i="7"/>
  <c r="A125" i="7"/>
  <c r="A104" i="7"/>
  <c r="A105" i="7"/>
  <c r="A106" i="7"/>
  <c r="A107" i="7"/>
  <c r="A108" i="7"/>
  <c r="A109" i="7"/>
  <c r="A110" i="7"/>
  <c r="A111" i="7"/>
  <c r="A112" i="7"/>
  <c r="A113" i="7"/>
  <c r="A114" i="7"/>
  <c r="A115" i="7"/>
  <c r="A116" i="7"/>
  <c r="A117" i="7"/>
  <c r="A118" i="7"/>
  <c r="D99" i="7"/>
  <c r="D107" i="7" s="1"/>
  <c r="K111" i="7"/>
  <c r="N109" i="7"/>
  <c r="N111" i="7" s="1"/>
  <c r="M109" i="7"/>
  <c r="M111" i="7" s="1"/>
  <c r="O105" i="7"/>
  <c r="L105" i="7"/>
  <c r="O106" i="7"/>
  <c r="O107" i="7"/>
  <c r="O101" i="7"/>
  <c r="O108" i="7"/>
  <c r="O110" i="7"/>
  <c r="G39" i="7" l="1"/>
  <c r="G63" i="7" s="1"/>
  <c r="F55" i="7"/>
  <c r="I52" i="7"/>
  <c r="J52" i="7" s="1"/>
  <c r="G50" i="7"/>
  <c r="H50" i="7"/>
  <c r="G22" i="7"/>
  <c r="G60" i="7" s="1"/>
  <c r="I50" i="7"/>
  <c r="J44" i="7"/>
  <c r="H36" i="7"/>
  <c r="H39" i="7" s="1"/>
  <c r="D106" i="7"/>
  <c r="O109" i="7"/>
  <c r="L101" i="7"/>
  <c r="L111" i="7" s="1"/>
  <c r="O103" i="7"/>
  <c r="A4" i="7"/>
  <c r="F101" i="7"/>
  <c r="F66" i="7" l="1"/>
  <c r="I55" i="7"/>
  <c r="I66" i="7" s="1"/>
  <c r="G55" i="7"/>
  <c r="G66" i="7" s="1"/>
  <c r="H55" i="7"/>
  <c r="H66" i="7" s="1"/>
  <c r="G64" i="7"/>
  <c r="G61" i="7"/>
  <c r="K52" i="7"/>
  <c r="J50" i="7"/>
  <c r="J55" i="7" s="1"/>
  <c r="K44" i="7"/>
  <c r="I36" i="7"/>
  <c r="I39" i="7" s="1"/>
  <c r="H63" i="7"/>
  <c r="H64" i="7" s="1"/>
  <c r="O111" i="7"/>
  <c r="A100" i="7"/>
  <c r="A101" i="7"/>
  <c r="A103" i="7"/>
  <c r="A21" i="7"/>
  <c r="A93" i="7"/>
  <c r="A94" i="7"/>
  <c r="A95" i="7"/>
  <c r="A96" i="7"/>
  <c r="A97" i="7"/>
  <c r="A98" i="7"/>
  <c r="A99" i="7"/>
  <c r="A102" i="7"/>
  <c r="A89" i="7"/>
  <c r="A90" i="7"/>
  <c r="A23" i="7"/>
  <c r="A24" i="7"/>
  <c r="G76" i="7"/>
  <c r="A91" i="7"/>
  <c r="A92" i="7"/>
  <c r="A22" i="7"/>
  <c r="H9" i="7"/>
  <c r="I7" i="7"/>
  <c r="I8" i="7" s="1"/>
  <c r="A9" i="7"/>
  <c r="I9" i="7"/>
  <c r="G9" i="7"/>
  <c r="N5" i="10"/>
  <c r="L5" i="10"/>
  <c r="K5" i="10"/>
  <c r="J5" i="10"/>
  <c r="I5" i="10"/>
  <c r="H5" i="10"/>
  <c r="G5" i="10"/>
  <c r="F5" i="10"/>
  <c r="E5" i="10"/>
  <c r="D5" i="10"/>
  <c r="O5" i="10" s="1"/>
  <c r="O4" i="10"/>
  <c r="O3" i="10"/>
  <c r="O2" i="10"/>
  <c r="P21" i="3"/>
  <c r="K21" i="3"/>
  <c r="J21" i="3"/>
  <c r="I21" i="3"/>
  <c r="H21" i="3"/>
  <c r="G21" i="3"/>
  <c r="F21" i="3"/>
  <c r="E21" i="3"/>
  <c r="D21" i="3"/>
  <c r="C21" i="3"/>
  <c r="D16" i="3"/>
  <c r="C16" i="3"/>
  <c r="E15" i="3"/>
  <c r="D15" i="3"/>
  <c r="C15" i="3"/>
  <c r="E13" i="3"/>
  <c r="F13" i="3" s="1"/>
  <c r="L12" i="3"/>
  <c r="K12" i="3"/>
  <c r="H12" i="3"/>
  <c r="F12" i="3"/>
  <c r="E12" i="3"/>
  <c r="X10" i="3"/>
  <c r="W9" i="3"/>
  <c r="W21" i="3" s="1"/>
  <c r="R9" i="3"/>
  <c r="Q9" i="3"/>
  <c r="P9" i="3"/>
  <c r="O9" i="3"/>
  <c r="O21" i="3" s="1"/>
  <c r="W8" i="3"/>
  <c r="V8" i="3"/>
  <c r="V9" i="3" s="1"/>
  <c r="U8" i="3"/>
  <c r="U9" i="3" s="1"/>
  <c r="T8" i="3"/>
  <c r="T9" i="3" s="1"/>
  <c r="S8" i="3"/>
  <c r="S9" i="3" s="1"/>
  <c r="R8" i="3"/>
  <c r="Q8" i="3"/>
  <c r="P8" i="3"/>
  <c r="O8" i="3"/>
  <c r="N8" i="3"/>
  <c r="N9" i="3" s="1"/>
  <c r="M8" i="3"/>
  <c r="M9" i="3" s="1"/>
  <c r="L8" i="3"/>
  <c r="L9" i="3" s="1"/>
  <c r="X7" i="3"/>
  <c r="D5" i="3"/>
  <c r="E5" i="3" s="1"/>
  <c r="F5" i="3" s="1"/>
  <c r="G5" i="3" s="1"/>
  <c r="H5" i="3" s="1"/>
  <c r="I5" i="3" s="1"/>
  <c r="J5" i="3" s="1"/>
  <c r="K5" i="3" s="1"/>
  <c r="L5" i="3" s="1"/>
  <c r="M5" i="3" s="1"/>
  <c r="N5" i="3" s="1"/>
  <c r="O5" i="3" s="1"/>
  <c r="P5" i="3" s="1"/>
  <c r="Q5" i="3" s="1"/>
  <c r="R5" i="3" s="1"/>
  <c r="S5" i="3" s="1"/>
  <c r="T5" i="3" s="1"/>
  <c r="U5" i="3" s="1"/>
  <c r="V5" i="3" s="1"/>
  <c r="W5" i="3" s="1"/>
  <c r="E8" i="7"/>
  <c r="H67" i="7" l="1"/>
  <c r="F69" i="7"/>
  <c r="G69" i="7"/>
  <c r="M115" i="7" s="1"/>
  <c r="G67" i="7"/>
  <c r="I67" i="7"/>
  <c r="J66" i="7"/>
  <c r="J67" i="7" s="1"/>
  <c r="K50" i="7"/>
  <c r="K55" i="7" s="1"/>
  <c r="L44" i="7"/>
  <c r="L52" i="7"/>
  <c r="J36" i="7"/>
  <c r="J39" i="7" s="1"/>
  <c r="I63" i="7"/>
  <c r="H22" i="7"/>
  <c r="H60" i="7" s="1"/>
  <c r="H76" i="7"/>
  <c r="I85" i="7"/>
  <c r="T21" i="3"/>
  <c r="H13" i="3"/>
  <c r="F15" i="3"/>
  <c r="F16" i="3" s="1"/>
  <c r="V21" i="3"/>
  <c r="L21" i="3"/>
  <c r="X9" i="3"/>
  <c r="X11" i="3" s="1"/>
  <c r="U21" i="3"/>
  <c r="N21" i="3"/>
  <c r="S21" i="3"/>
  <c r="M21" i="3"/>
  <c r="Q21" i="3"/>
  <c r="R21" i="3"/>
  <c r="C23" i="3" s="1"/>
  <c r="E16" i="3"/>
  <c r="A5" i="7"/>
  <c r="A6" i="7"/>
  <c r="A7" i="7"/>
  <c r="A8" i="7"/>
  <c r="L115" i="7" l="1"/>
  <c r="F86" i="7"/>
  <c r="F87" i="7" s="1"/>
  <c r="G72" i="7"/>
  <c r="G75" i="7"/>
  <c r="G70" i="7"/>
  <c r="G86" i="7"/>
  <c r="G87" i="7" s="1"/>
  <c r="F75" i="7"/>
  <c r="F72" i="7"/>
  <c r="K66" i="7"/>
  <c r="K67" i="7" s="1"/>
  <c r="I64" i="7"/>
  <c r="G10" i="7"/>
  <c r="J15" i="7" s="1"/>
  <c r="H16" i="7"/>
  <c r="H69" i="7"/>
  <c r="H61" i="7"/>
  <c r="M52" i="7"/>
  <c r="L50" i="7"/>
  <c r="M44" i="7"/>
  <c r="K36" i="7"/>
  <c r="K39" i="7" s="1"/>
  <c r="J63" i="7"/>
  <c r="J64" i="7" s="1"/>
  <c r="I22" i="7"/>
  <c r="I60" i="7" s="1"/>
  <c r="I76" i="7"/>
  <c r="J85" i="7"/>
  <c r="G15" i="3"/>
  <c r="K13" i="3"/>
  <c r="H15" i="3"/>
  <c r="H16" i="3" s="1"/>
  <c r="P2" i="7"/>
  <c r="G79" i="7" l="1"/>
  <c r="M116" i="7" s="1"/>
  <c r="M118" i="7" s="1"/>
  <c r="M119" i="7" s="1"/>
  <c r="F79" i="7"/>
  <c r="L116" i="7" s="1"/>
  <c r="L118" i="7" s="1"/>
  <c r="L119" i="7" s="1"/>
  <c r="L55" i="7"/>
  <c r="L66" i="7" s="1"/>
  <c r="I16" i="7"/>
  <c r="H10" i="7"/>
  <c r="I10" i="7" s="1"/>
  <c r="J16" i="7"/>
  <c r="I69" i="7"/>
  <c r="I61" i="7"/>
  <c r="N44" i="7"/>
  <c r="M50" i="7"/>
  <c r="M55" i="7" s="1"/>
  <c r="N52" i="7"/>
  <c r="L36" i="7"/>
  <c r="L39" i="7" s="1"/>
  <c r="K63" i="7"/>
  <c r="K64" i="7" s="1"/>
  <c r="H75" i="7"/>
  <c r="N115" i="7"/>
  <c r="H72" i="7"/>
  <c r="H70" i="7"/>
  <c r="H86" i="7"/>
  <c r="J22" i="7"/>
  <c r="J60" i="7" s="1"/>
  <c r="J76" i="7"/>
  <c r="K85" i="7"/>
  <c r="G16" i="3"/>
  <c r="K15" i="3"/>
  <c r="K16" i="3" s="1"/>
  <c r="I15" i="3"/>
  <c r="I16" i="3" s="1"/>
  <c r="J15" i="3"/>
  <c r="J16" i="3" s="1"/>
  <c r="L13" i="3"/>
  <c r="F89" i="7" l="1"/>
  <c r="L67" i="7"/>
  <c r="M66" i="7"/>
  <c r="M67" i="7" s="1"/>
  <c r="K15" i="7"/>
  <c r="K16" i="7" s="1"/>
  <c r="H89" i="7"/>
  <c r="H90" i="7" s="1"/>
  <c r="L15" i="7"/>
  <c r="L16" i="7" s="1"/>
  <c r="J61" i="7"/>
  <c r="J69" i="7"/>
  <c r="P115" i="7" s="1"/>
  <c r="O52" i="7"/>
  <c r="O44" i="7"/>
  <c r="N50" i="7"/>
  <c r="M36" i="7"/>
  <c r="M39" i="7" s="1"/>
  <c r="L63" i="7"/>
  <c r="L64" i="7" s="1"/>
  <c r="H79" i="7"/>
  <c r="I75" i="7"/>
  <c r="O115" i="7"/>
  <c r="H87" i="7"/>
  <c r="I72" i="7"/>
  <c r="I70" i="7"/>
  <c r="I86" i="7"/>
  <c r="K22" i="7"/>
  <c r="K60" i="7" s="1"/>
  <c r="K76" i="7"/>
  <c r="L85" i="7"/>
  <c r="T15" i="3"/>
  <c r="T16" i="3" s="1"/>
  <c r="U15" i="3"/>
  <c r="U16" i="3" s="1"/>
  <c r="M15" i="3"/>
  <c r="M16" i="3" s="1"/>
  <c r="O15" i="3"/>
  <c r="O16" i="3" s="1"/>
  <c r="P15" i="3"/>
  <c r="P16" i="3" s="1"/>
  <c r="W15" i="3"/>
  <c r="W16" i="3" s="1"/>
  <c r="N15" i="3"/>
  <c r="N16" i="3" s="1"/>
  <c r="V15" i="3"/>
  <c r="V16" i="3" s="1"/>
  <c r="Q15" i="3"/>
  <c r="Q16" i="3" s="1"/>
  <c r="S15" i="3"/>
  <c r="S16" i="3" s="1"/>
  <c r="R15" i="3"/>
  <c r="R16" i="3" s="1"/>
  <c r="L15" i="3"/>
  <c r="L16" i="3" s="1"/>
  <c r="C19" i="3"/>
  <c r="X15" i="3"/>
  <c r="C17" i="3"/>
  <c r="N55" i="7" l="1"/>
  <c r="N66" i="7" s="1"/>
  <c r="N67" i="7" s="1"/>
  <c r="M15" i="7"/>
  <c r="F81" i="7"/>
  <c r="G89" i="7"/>
  <c r="G81" i="7"/>
  <c r="H81" i="7"/>
  <c r="P44" i="7"/>
  <c r="P50" i="7" s="1"/>
  <c r="O50" i="7"/>
  <c r="P52" i="7"/>
  <c r="N36" i="7"/>
  <c r="N39" i="7" s="1"/>
  <c r="M63" i="7"/>
  <c r="M64" i="7" s="1"/>
  <c r="I79" i="7"/>
  <c r="N116" i="7"/>
  <c r="N118" i="7" s="1"/>
  <c r="N119" i="7" s="1"/>
  <c r="N121" i="7"/>
  <c r="N122" i="7" s="1"/>
  <c r="N124" i="7" s="1"/>
  <c r="N125" i="7" s="1"/>
  <c r="I89" i="7"/>
  <c r="I90" i="7" s="1"/>
  <c r="I87" i="7"/>
  <c r="J72" i="7"/>
  <c r="J70" i="7"/>
  <c r="J86" i="7"/>
  <c r="J75" i="7"/>
  <c r="L22" i="7"/>
  <c r="L60" i="7" s="1"/>
  <c r="L76" i="7"/>
  <c r="M85" i="7"/>
  <c r="F8" i="7"/>
  <c r="P55" i="7" l="1"/>
  <c r="P66" i="7" s="1"/>
  <c r="O55" i="7"/>
  <c r="O66" i="7" s="1"/>
  <c r="O67" i="7" s="1"/>
  <c r="L121" i="7"/>
  <c r="L122" i="7" s="1"/>
  <c r="L124" i="7" s="1"/>
  <c r="L125" i="7" s="1"/>
  <c r="F90" i="7"/>
  <c r="G90" i="7"/>
  <c r="M121" i="7"/>
  <c r="M122" i="7" s="1"/>
  <c r="M124" i="7" s="1"/>
  <c r="M125" i="7" s="1"/>
  <c r="N15" i="7"/>
  <c r="N16" i="7" s="1"/>
  <c r="M16" i="7"/>
  <c r="O116" i="7"/>
  <c r="O118" i="7" s="1"/>
  <c r="O119" i="7" s="1"/>
  <c r="K61" i="7"/>
  <c r="K69" i="7"/>
  <c r="K72" i="7" s="1"/>
  <c r="L69" i="7"/>
  <c r="L75" i="7" s="1"/>
  <c r="L61" i="7"/>
  <c r="O36" i="7"/>
  <c r="O39" i="7" s="1"/>
  <c r="N63" i="7"/>
  <c r="N64" i="7" s="1"/>
  <c r="I81" i="7"/>
  <c r="O121" i="7"/>
  <c r="O122" i="7" s="1"/>
  <c r="O124" i="7" s="1"/>
  <c r="O125" i="7" s="1"/>
  <c r="J89" i="7"/>
  <c r="J90" i="7" s="1"/>
  <c r="J87" i="7"/>
  <c r="J79" i="7"/>
  <c r="M22" i="7"/>
  <c r="M60" i="7" s="1"/>
  <c r="M76" i="7"/>
  <c r="N85" i="7"/>
  <c r="G8" i="7"/>
  <c r="Q66" i="7" l="1"/>
  <c r="D16" i="7"/>
  <c r="P67" i="7"/>
  <c r="K86" i="7"/>
  <c r="K89" i="7" s="1"/>
  <c r="K90" i="7" s="1"/>
  <c r="K75" i="7"/>
  <c r="K79" i="7" s="1"/>
  <c r="M69" i="7"/>
  <c r="M75" i="7" s="1"/>
  <c r="M61" i="7"/>
  <c r="K70" i="7"/>
  <c r="P36" i="7"/>
  <c r="P39" i="7" s="1"/>
  <c r="O63" i="7"/>
  <c r="O64" i="7" s="1"/>
  <c r="P116" i="7"/>
  <c r="P117" i="7" s="1"/>
  <c r="P121" i="7"/>
  <c r="P122" i="7" s="1"/>
  <c r="J81" i="7"/>
  <c r="N22" i="7"/>
  <c r="N60" i="7" s="1"/>
  <c r="L72" i="7"/>
  <c r="L79" i="7" s="1"/>
  <c r="L70" i="7"/>
  <c r="L86" i="7"/>
  <c r="N76" i="7"/>
  <c r="O85" i="7"/>
  <c r="P118" i="7" l="1"/>
  <c r="P119" i="7" s="1"/>
  <c r="K119" i="7" s="1"/>
  <c r="N7" i="7" s="1"/>
  <c r="P63" i="7"/>
  <c r="Q63" i="7" s="1"/>
  <c r="K81" i="7"/>
  <c r="K87" i="7"/>
  <c r="N69" i="7"/>
  <c r="N75" i="7" s="1"/>
  <c r="N61" i="7"/>
  <c r="P123" i="7"/>
  <c r="P124" i="7" s="1"/>
  <c r="P125" i="7" s="1"/>
  <c r="K125" i="7" s="1"/>
  <c r="O7" i="7" s="1"/>
  <c r="P7" i="7" s="1"/>
  <c r="L81" i="7"/>
  <c r="L89" i="7"/>
  <c r="L90" i="7" s="1"/>
  <c r="L87" i="7"/>
  <c r="M72" i="7"/>
  <c r="M79" i="7" s="1"/>
  <c r="M70" i="7"/>
  <c r="M86" i="7"/>
  <c r="O22" i="7"/>
  <c r="O60" i="7" s="1"/>
  <c r="O76" i="7"/>
  <c r="P85" i="7"/>
  <c r="P64" i="7" l="1"/>
  <c r="O69" i="7"/>
  <c r="O61" i="7"/>
  <c r="M81" i="7"/>
  <c r="M89" i="7"/>
  <c r="M90" i="7" s="1"/>
  <c r="M87" i="7"/>
  <c r="N72" i="7"/>
  <c r="N79" i="7" s="1"/>
  <c r="N70" i="7"/>
  <c r="N86" i="7"/>
  <c r="P22" i="7"/>
  <c r="P60" i="7" s="1"/>
  <c r="Q60" i="7" s="1"/>
  <c r="P76" i="7"/>
  <c r="P69" i="7" l="1"/>
  <c r="P61" i="7"/>
  <c r="N81" i="7"/>
  <c r="N89" i="7"/>
  <c r="N90" i="7" s="1"/>
  <c r="N87" i="7"/>
  <c r="O72" i="7"/>
  <c r="O70" i="7"/>
  <c r="O86" i="7"/>
  <c r="O75" i="7"/>
  <c r="P86" i="7" l="1"/>
  <c r="Q69" i="7"/>
  <c r="AK19" i="7" s="1"/>
  <c r="P75" i="7"/>
  <c r="P70" i="7"/>
  <c r="P72" i="7"/>
  <c r="O79" i="7"/>
  <c r="O89" i="7"/>
  <c r="O90" i="7" s="1"/>
  <c r="O87" i="7"/>
  <c r="P89" i="7" l="1"/>
  <c r="P90" i="7" s="1"/>
  <c r="C90" i="7" s="1"/>
  <c r="R86" i="7"/>
  <c r="P87" i="7"/>
  <c r="C87" i="7" s="1"/>
  <c r="P79" i="7"/>
  <c r="O81" i="7"/>
  <c r="F97" i="7" l="1"/>
  <c r="F105" i="7" s="1"/>
  <c r="C92" i="7"/>
  <c r="C79" i="7"/>
  <c r="N10" i="7" s="1"/>
  <c r="P81" i="7"/>
  <c r="C81" i="7" s="1"/>
  <c r="O6" i="7"/>
  <c r="P6" i="7" s="1"/>
  <c r="N11" i="7" l="1"/>
  <c r="F80" i="7" l="1"/>
  <c r="G80" i="7"/>
  <c r="H80" i="7"/>
  <c r="I80" i="7"/>
  <c r="J80" i="7"/>
  <c r="K80" i="7"/>
  <c r="L80" i="7"/>
  <c r="M80" i="7"/>
  <c r="N80" i="7"/>
  <c r="O80" i="7"/>
  <c r="P80" i="7"/>
  <c r="C80" i="7" l="1"/>
  <c r="N6" i="7" s="1"/>
  <c r="D97" i="7" l="1"/>
  <c r="D109" i="7" s="1"/>
  <c r="D105" i="7" l="1"/>
  <c r="H8" i="7" l="1"/>
  <c r="F99" i="7" l="1"/>
  <c r="F109" i="7" l="1"/>
  <c r="F110" i="7" s="1"/>
  <c r="F112" i="7" s="1"/>
  <c r="F107" i="7"/>
  <c r="F106" i="7"/>
  <c r="D110" i="7"/>
  <c r="D112" i="7" s="1"/>
  <c r="D100" i="7"/>
  <c r="F100" i="7"/>
  <c r="F111" i="7" l="1"/>
  <c r="D111" i="7"/>
  <c r="D113" i="7" l="1"/>
  <c r="N8" i="7" s="1"/>
  <c r="N9" i="7" s="1"/>
  <c r="F113" i="7"/>
  <c r="O8" i="7" s="1"/>
  <c r="O9" i="7" l="1"/>
  <c r="P8" i="7"/>
  <c r="P9" i="7" s="1"/>
  <c r="AJ19" i="7" l="1"/>
  <c r="Y19" i="7"/>
  <c r="AD19" i="7"/>
  <c r="T19" i="7"/>
  <c r="AI5" i="7"/>
  <c r="AD5" i="7"/>
  <c r="T5" i="7"/>
  <c r="Y5" i="7"/>
</calcChain>
</file>

<file path=xl/sharedStrings.xml><?xml version="1.0" encoding="utf-8"?>
<sst xmlns="http://schemas.openxmlformats.org/spreadsheetml/2006/main" count="277" uniqueCount="203">
  <si>
    <t>Gross Profit</t>
  </si>
  <si>
    <t>EBITDA</t>
  </si>
  <si>
    <t>Risk Free Rate=</t>
  </si>
  <si>
    <t>Revenue</t>
  </si>
  <si>
    <t>Terminal Value</t>
  </si>
  <si>
    <r>
      <t>Volatility (</t>
    </r>
    <r>
      <rPr>
        <sz val="10"/>
        <color rgb="FF000000"/>
        <rFont val="Calibri"/>
        <family val="2"/>
      </rPr>
      <t>σ</t>
    </r>
    <r>
      <rPr>
        <sz val="8"/>
        <color rgb="FF000000"/>
        <rFont val="Arial"/>
        <family val="2"/>
      </rPr>
      <t>)</t>
    </r>
  </si>
  <si>
    <r>
      <t>Cost of Delay (</t>
    </r>
    <r>
      <rPr>
        <sz val="10"/>
        <color theme="1"/>
        <rFont val="Calibri"/>
        <family val="2"/>
      </rPr>
      <t>δ</t>
    </r>
    <r>
      <rPr>
        <sz val="8"/>
        <color theme="1"/>
        <rFont val="Arial"/>
        <family val="2"/>
      </rPr>
      <t>)</t>
    </r>
  </si>
  <si>
    <t xml:space="preserve"> Equity Investment</t>
  </si>
  <si>
    <t>Phase I</t>
  </si>
  <si>
    <t>Phase II</t>
  </si>
  <si>
    <t>Phase III</t>
  </si>
  <si>
    <t>Scenario Valuation Analysis</t>
  </si>
  <si>
    <t>Milestone Royalties</t>
  </si>
  <si>
    <r>
      <t>Source of Capital (</t>
    </r>
    <r>
      <rPr>
        <b/>
        <sz val="11"/>
        <color theme="0"/>
        <rFont val="Calibri"/>
        <family val="2"/>
      </rPr>
      <t>€ 000's))</t>
    </r>
  </si>
  <si>
    <t>Sales</t>
  </si>
  <si>
    <t>Probabilities of Succes</t>
  </si>
  <si>
    <t>Royalty Rate</t>
  </si>
  <si>
    <t>Royalty Payment</t>
  </si>
  <si>
    <t>Total</t>
  </si>
  <si>
    <t>Stage</t>
  </si>
  <si>
    <t>Preclinical</t>
  </si>
  <si>
    <t>Approval &amp; Sales</t>
  </si>
  <si>
    <t>Royalty rate</t>
  </si>
  <si>
    <t>Royalties</t>
  </si>
  <si>
    <t>Milestone Payments</t>
  </si>
  <si>
    <t>Preclin Expenses</t>
  </si>
  <si>
    <t>Probabilities</t>
  </si>
  <si>
    <t>Cumulative</t>
  </si>
  <si>
    <t>Year</t>
  </si>
  <si>
    <t>Risk-adj Net CF</t>
  </si>
  <si>
    <t>Discounted</t>
  </si>
  <si>
    <t>rNPV</t>
  </si>
  <si>
    <t>WACC</t>
  </si>
  <si>
    <t>Net CF</t>
  </si>
  <si>
    <t>NPV</t>
  </si>
  <si>
    <t>Success Rates</t>
  </si>
  <si>
    <t>Royalty Rate Bands</t>
  </si>
  <si>
    <t>Approval</t>
  </si>
  <si>
    <t>SG&amp;A</t>
  </si>
  <si>
    <t>Cummulative Prob. of Success</t>
  </si>
  <si>
    <t>Market Pentration %</t>
  </si>
  <si>
    <t xml:space="preserve"> Gross Margin</t>
  </si>
  <si>
    <t>SG&amp;A % of Sales</t>
  </si>
  <si>
    <t xml:space="preserve"> Sales Growth</t>
  </si>
  <si>
    <t>IRR</t>
  </si>
  <si>
    <t>2022-2030</t>
  </si>
  <si>
    <t>Present Value of Royalty Pmts</t>
  </si>
  <si>
    <t xml:space="preserve"> Total Sources of Capital provided by Pharma Company</t>
  </si>
  <si>
    <r>
      <t>Commercialization Phase (</t>
    </r>
    <r>
      <rPr>
        <b/>
        <sz val="11"/>
        <color theme="0"/>
        <rFont val="Calibri"/>
        <family val="2"/>
      </rPr>
      <t xml:space="preserve">€ </t>
    </r>
    <r>
      <rPr>
        <b/>
        <sz val="11"/>
        <color theme="0"/>
        <rFont val="Arial"/>
        <family val="2"/>
      </rPr>
      <t>000's)</t>
    </r>
  </si>
  <si>
    <t>Cost of Drug Development (X)</t>
  </si>
  <si>
    <t>Theramir</t>
  </si>
  <si>
    <t>Deviation (d1)</t>
  </si>
  <si>
    <t>Deviation (d2)</t>
  </si>
  <si>
    <t>Normal Distribution N (d1)</t>
  </si>
  <si>
    <t>Normal Distribution N (d2)</t>
  </si>
  <si>
    <t>Valuation using Optioh Pricing - Call</t>
  </si>
  <si>
    <r>
      <t>Variance (</t>
    </r>
    <r>
      <rPr>
        <sz val="10"/>
        <color rgb="FF000000"/>
        <rFont val="Calibri"/>
        <family val="2"/>
      </rPr>
      <t>σ^2</t>
    </r>
    <r>
      <rPr>
        <sz val="8"/>
        <color rgb="FF000000"/>
        <rFont val="Arial"/>
        <family val="2"/>
      </rPr>
      <t>)</t>
    </r>
  </si>
  <si>
    <t>Patent Technology Expiration (t) years</t>
  </si>
  <si>
    <t>PharmaCo</t>
  </si>
  <si>
    <t>MARKET METHOD and ANOVA</t>
  </si>
  <si>
    <t>Pharma Company</t>
  </si>
  <si>
    <t>INCOME VALUATION APPROACH</t>
  </si>
  <si>
    <t>OPTION PRICING METHOD (OPM)</t>
  </si>
  <si>
    <t>Pfizer</t>
  </si>
  <si>
    <t>Novartis</t>
  </si>
  <si>
    <t>Merck</t>
  </si>
  <si>
    <t>Johnson &amp; Johnson</t>
  </si>
  <si>
    <t>Bristol-Myers Squibb</t>
  </si>
  <si>
    <t>Revlimid</t>
  </si>
  <si>
    <t>Celgene</t>
  </si>
  <si>
    <t>Opdivo</t>
  </si>
  <si>
    <t>Imbruvica</t>
  </si>
  <si>
    <t>AbbVie</t>
  </si>
  <si>
    <t>Keytruda</t>
  </si>
  <si>
    <t>Ibrance</t>
  </si>
  <si>
    <t>Tecentriq</t>
  </si>
  <si>
    <t>Roche</t>
  </si>
  <si>
    <t>Darzalex</t>
  </si>
  <si>
    <t>Perjeta</t>
  </si>
  <si>
    <t>Xtandi</t>
  </si>
  <si>
    <t>Astellas Pharma</t>
  </si>
  <si>
    <t>Avastin</t>
  </si>
  <si>
    <t>2022E
Sales
$ billions</t>
  </si>
  <si>
    <t>Herceptin</t>
  </si>
  <si>
    <t>Gazyva</t>
  </si>
  <si>
    <t>Jakafi</t>
  </si>
  <si>
    <t>Venclexta</t>
  </si>
  <si>
    <t>Rituxan</t>
  </si>
  <si>
    <t>Company
Level
EBITDA</t>
  </si>
  <si>
    <t>Company
Level
EV/EBITDA</t>
  </si>
  <si>
    <t xml:space="preserve">  Average</t>
  </si>
  <si>
    <t>Company
Level
EV ($ Bln)</t>
  </si>
  <si>
    <t>Cancer
Drug 
Name</t>
  </si>
  <si>
    <t>Valuation Methods</t>
  </si>
  <si>
    <t>IRR (Adj. Probability Of Success)</t>
  </si>
  <si>
    <t>Probability Adjusted Royalty Pmts</t>
  </si>
  <si>
    <t>Options Method (€ 000's)</t>
  </si>
  <si>
    <t>Market Method (€ 000's)</t>
  </si>
  <si>
    <t>PharmaCo
New Drug</t>
  </si>
  <si>
    <t>DCF/TV Methodology</t>
  </si>
  <si>
    <r>
      <t xml:space="preserve">Company
Stock
Variable
</t>
    </r>
    <r>
      <rPr>
        <b/>
        <sz val="12"/>
        <rFont val="Calibri"/>
        <family val="2"/>
      </rPr>
      <t>(σ)</t>
    </r>
  </si>
  <si>
    <t xml:space="preserve">Cash Flow </t>
  </si>
  <si>
    <t xml:space="preserve"> PV</t>
  </si>
  <si>
    <r>
      <t>Income Method (</t>
    </r>
    <r>
      <rPr>
        <b/>
        <sz val="10"/>
        <color theme="1"/>
        <rFont val="Calibri"/>
        <family val="2"/>
      </rPr>
      <t xml:space="preserve">€ </t>
    </r>
    <r>
      <rPr>
        <b/>
        <sz val="9"/>
        <color theme="1"/>
        <rFont val="Arial"/>
        <family val="2"/>
      </rPr>
      <t>000's</t>
    </r>
    <r>
      <rPr>
        <b/>
        <sz val="10"/>
        <color theme="1"/>
        <rFont val="Arial"/>
        <family val="2"/>
      </rPr>
      <t>)</t>
    </r>
  </si>
  <si>
    <t>Ln ( S / X)</t>
  </si>
  <si>
    <t>Value of Drug -commerecialized (S)</t>
  </si>
  <si>
    <r>
      <t xml:space="preserve">[(i - </t>
    </r>
    <r>
      <rPr>
        <sz val="10"/>
        <color theme="1"/>
        <rFont val="Calibri"/>
        <family val="2"/>
      </rPr>
      <t>δ</t>
    </r>
    <r>
      <rPr>
        <sz val="9"/>
        <color theme="1"/>
        <rFont val="Arial"/>
        <family val="2"/>
      </rPr>
      <t xml:space="preserve"> + (</t>
    </r>
    <r>
      <rPr>
        <sz val="9"/>
        <color theme="1"/>
        <rFont val="Calibri"/>
        <family val="2"/>
      </rPr>
      <t>σ^2)/2)]t</t>
    </r>
  </si>
  <si>
    <r>
      <rPr>
        <sz val="10"/>
        <color theme="1"/>
        <rFont val="Calibri"/>
        <family val="2"/>
      </rPr>
      <t>σ</t>
    </r>
    <r>
      <rPr>
        <sz val="9"/>
        <color theme="1"/>
        <rFont val="Arial"/>
        <family val="2"/>
      </rPr>
      <t>.(</t>
    </r>
    <r>
      <rPr>
        <sz val="9"/>
        <color theme="1"/>
        <rFont val="Calibri"/>
        <family val="2"/>
      </rPr>
      <t>√</t>
    </r>
    <r>
      <rPr>
        <sz val="8.1"/>
        <color theme="1"/>
        <rFont val="Arial"/>
        <family val="2"/>
      </rPr>
      <t>t )</t>
    </r>
  </si>
  <si>
    <t>Revenue (Average w/ probability Adjusted)</t>
  </si>
  <si>
    <t>Options Pricing Black Scholes Methodology Steps</t>
  </si>
  <si>
    <t>SUMMARY OF VALUATIONS</t>
  </si>
  <si>
    <r>
      <t>Addressable Market (</t>
    </r>
    <r>
      <rPr>
        <sz val="10"/>
        <color theme="1"/>
        <rFont val="Calibri"/>
        <family val="2"/>
      </rPr>
      <t>€</t>
    </r>
    <r>
      <rPr>
        <sz val="10"/>
        <color theme="1"/>
        <rFont val="Arial"/>
        <family val="2"/>
      </rPr>
      <t xml:space="preserve"> billions)</t>
    </r>
  </si>
  <si>
    <t>Addressable Market Growth</t>
  </si>
  <si>
    <t>Case 1: Focus on a common indication like breast cancer</t>
  </si>
  <si>
    <t>Breast cancer new cases:</t>
  </si>
  <si>
    <t>USA</t>
  </si>
  <si>
    <t>EU</t>
  </si>
  <si>
    <t>LCP-1 positive</t>
  </si>
  <si>
    <t xml:space="preserve">of all breast cancers exhibit the oncoprotein that the Theramir drug is targeting </t>
  </si>
  <si>
    <r>
      <rPr>
        <i/>
        <sz val="12"/>
        <color theme="1"/>
        <rFont val="Calibri"/>
        <family val="2"/>
        <scheme val="minor"/>
      </rPr>
      <t>(this figure is very low, and could be as high as 50%</t>
    </r>
    <r>
      <rPr>
        <sz val="10"/>
        <color theme="1"/>
        <rFont val="Arial"/>
        <family val="2"/>
      </rPr>
      <t>)</t>
    </r>
  </si>
  <si>
    <t># of patients</t>
  </si>
  <si>
    <t>potential number of treatable patients</t>
  </si>
  <si>
    <t>Assume</t>
  </si>
  <si>
    <t>treated with Theramir drug (in competition with other drugs)</t>
  </si>
  <si>
    <t>Cost of therapy</t>
  </si>
  <si>
    <t>(per patient for 1 year treatment course)</t>
  </si>
  <si>
    <t>per year</t>
  </si>
  <si>
    <t>Reference:</t>
  </si>
  <si>
    <r>
      <t xml:space="preserve">The </t>
    </r>
    <r>
      <rPr>
        <i/>
        <sz val="12"/>
        <color theme="1"/>
        <rFont val="Calibri"/>
        <family val="2"/>
        <scheme val="minor"/>
      </rPr>
      <t>L-plastin</t>
    </r>
    <r>
      <rPr>
        <sz val="10"/>
        <color theme="1"/>
        <rFont val="Arial"/>
        <family val="2"/>
      </rPr>
      <t xml:space="preserve"> (LCP-1) gene is frequently activated in human cancers. 68 percent of carcinomas and 53 percent of other nonhaemopoietic cancers exhibit constitutive activation of the </t>
    </r>
    <r>
      <rPr>
        <i/>
        <sz val="12"/>
        <color theme="1"/>
        <rFont val="Calibri"/>
        <family val="2"/>
        <scheme val="minor"/>
      </rPr>
      <t>L-plastin</t>
    </r>
    <r>
      <rPr>
        <sz val="10"/>
        <color theme="1"/>
        <rFont val="Arial"/>
        <family val="2"/>
      </rPr>
      <t xml:space="preserve"> gene</t>
    </r>
  </si>
  <si>
    <t>Source: The leukocyte protein L-plastin induces proliferation, invasion and loss of E-cadherin expression in colon cancer cells (Int J Cancer 2005)</t>
  </si>
  <si>
    <t>Case 2: Alternatively, we can focus on less common cancers with significant unmet need (no effective therapies available)</t>
  </si>
  <si>
    <r>
      <t xml:space="preserve">Assumption: Theramir drug approved for </t>
    </r>
    <r>
      <rPr>
        <b/>
        <u/>
        <sz val="12"/>
        <color theme="1"/>
        <rFont val="Calibri"/>
        <family val="2"/>
        <scheme val="minor"/>
      </rPr>
      <t xml:space="preserve">triple-negative breast cancer (TNBC) </t>
    </r>
    <r>
      <rPr>
        <u/>
        <sz val="12"/>
        <color theme="1"/>
        <rFont val="Calibri"/>
        <family val="2"/>
        <scheme val="minor"/>
      </rPr>
      <t>in US and EU regions</t>
    </r>
  </si>
  <si>
    <t>Triple-negative breast cancer new cases (10-15% of all breast cases):</t>
  </si>
  <si>
    <t>of all triple-negative breast cancers with the oncoprotein that the Theramir drug is targeting</t>
  </si>
  <si>
    <t>treated with Theramir drug (no/very little competition from other drugs)</t>
  </si>
  <si>
    <t>Oncology’s growth, status as a strategic focus area, and potential areas for focus are influenced by high-level trends among indications and groups of indications such as:</t>
  </si>
  <si>
    <r>
      <rPr>
        <b/>
        <sz val="12"/>
        <color theme="1"/>
        <rFont val="Calibri"/>
        <family val="2"/>
        <scheme val="minor"/>
      </rPr>
      <t>Large patient populations with remaining unmet need</t>
    </r>
    <r>
      <rPr>
        <sz val="10"/>
        <color theme="1"/>
        <rFont val="Arial"/>
        <family val="2"/>
      </rPr>
      <t xml:space="preserve">. A large group of cancers present significant remaining unmet need (in most cases, five-year survival below 30 percent) and sizable patient populations—typically 5,000 to 30,000 new patients diagnosed each year in the United States (Exhibit 6). While the unmet need is relatively smaller, development of effective therapies is commercially attractive—for most patients, because more innovative treatments are not yet available, chemotherapy is still the standard of care. Key indications include soft tissue sarcoma, gastrointestinal stromal tumors, and </t>
    </r>
    <r>
      <rPr>
        <b/>
        <sz val="12"/>
        <color theme="1"/>
        <rFont val="Calibri"/>
        <family val="2"/>
        <scheme val="minor"/>
      </rPr>
      <t>triple negative breast</t>
    </r>
    <r>
      <rPr>
        <sz val="10"/>
        <color theme="1"/>
        <rFont val="Arial"/>
        <family val="2"/>
      </rPr>
      <t>, small cell lung, ovarian, uterine, and esophageal cancers.</t>
    </r>
  </si>
  <si>
    <t>Source: Delivering innovation: 2020 oncology market outlook, McKinsey &amp; Company</t>
  </si>
  <si>
    <r>
      <t xml:space="preserve">Theramir drug approved for </t>
    </r>
    <r>
      <rPr>
        <b/>
        <u/>
        <sz val="12"/>
        <color theme="1"/>
        <rFont val="Calibri"/>
        <family val="2"/>
        <scheme val="minor"/>
      </rPr>
      <t>breast cancer</t>
    </r>
    <r>
      <rPr>
        <u/>
        <sz val="12"/>
        <color theme="1"/>
        <rFont val="Calibri"/>
        <family val="2"/>
        <scheme val="minor"/>
      </rPr>
      <t xml:space="preserve"> in US and EU regions</t>
    </r>
  </si>
  <si>
    <t>TOTAL INDUSTRY</t>
  </si>
  <si>
    <t>BREAST CANCER</t>
  </si>
  <si>
    <t>Addressable Market - Number of Patients</t>
  </si>
  <si>
    <t xml:space="preserve">  USA</t>
  </si>
  <si>
    <t xml:space="preserve">  Europe</t>
  </si>
  <si>
    <t xml:space="preserve">Total </t>
  </si>
  <si>
    <t>Cost per patience per year</t>
  </si>
  <si>
    <t xml:space="preserve">  Cost Increase/Decrease</t>
  </si>
  <si>
    <t>Pharma Sales - using total Industry</t>
  </si>
  <si>
    <t>Pharma Sales - using Breast Cancer</t>
  </si>
  <si>
    <t>TRIPLE-NEGATIVE BREAST CANCER (TNBC)</t>
  </si>
  <si>
    <t>Pharma Sales - using TNBC</t>
  </si>
  <si>
    <t>Average Sales</t>
  </si>
  <si>
    <t>Market Penetration %</t>
  </si>
  <si>
    <t xml:space="preserve"> Europe</t>
  </si>
  <si>
    <t xml:space="preserve"> USA</t>
  </si>
  <si>
    <t>Cost per patient per year</t>
  </si>
  <si>
    <t xml:space="preserve"> Cost Increase/Decrease</t>
  </si>
  <si>
    <t xml:space="preserve">Target positive % </t>
  </si>
  <si>
    <t xml:space="preserve">Target positive </t>
  </si>
  <si>
    <t>Phase II
2026-2027</t>
  </si>
  <si>
    <t>Value</t>
  </si>
  <si>
    <t>DR</t>
  </si>
  <si>
    <t>Valuation</t>
  </si>
  <si>
    <t>Milest. Pmts</t>
  </si>
  <si>
    <t>NPV (Adj for Probability)</t>
  </si>
  <si>
    <t>Adjusted Probability WACC</t>
  </si>
  <si>
    <t>Probability Adjusted EBITDA-IRR</t>
  </si>
  <si>
    <t xml:space="preserve"> PV (Establ.)</t>
  </si>
  <si>
    <r>
      <t>Pre-Commercialization Phases (</t>
    </r>
    <r>
      <rPr>
        <b/>
        <sz val="11"/>
        <color theme="0"/>
        <rFont val="Calibri"/>
        <family val="2"/>
      </rPr>
      <t xml:space="preserve">€ </t>
    </r>
    <r>
      <rPr>
        <b/>
        <sz val="11"/>
        <color theme="0"/>
        <rFont val="Arial"/>
        <family val="2"/>
      </rPr>
      <t>000's)</t>
    </r>
  </si>
  <si>
    <t>Cost of Development</t>
  </si>
  <si>
    <t>+ Oper. Cost</t>
  </si>
  <si>
    <t>Oper. Cost</t>
  </si>
  <si>
    <t xml:space="preserve">            Probability Adjusted Positive Return</t>
  </si>
  <si>
    <t>(Average total revenues)</t>
  </si>
  <si>
    <t>PHARMACEUTICAL CO. (PHARMACO) VALUATION (000's)</t>
  </si>
  <si>
    <t>Total Potential Revenue per Year (millions)</t>
  </si>
  <si>
    <t>SENSITIVITY ANALYSIS</t>
  </si>
  <si>
    <t>% change in NPV</t>
  </si>
  <si>
    <t>Addressable patients</t>
  </si>
  <si>
    <t>Cost of therapy per patient</t>
  </si>
  <si>
    <t xml:space="preserve"> (-/+ %)</t>
  </si>
  <si>
    <t>Pre-Clinical
2022-2023</t>
  </si>
  <si>
    <t>Phase I *
2024-2025</t>
  </si>
  <si>
    <t>plus Milestone payment for completion of Phase I =</t>
  </si>
  <si>
    <t xml:space="preserve"> * Phase I Milestone Royalties include Upfront payment =</t>
  </si>
  <si>
    <t>Phase III
2028-2030</t>
  </si>
  <si>
    <t>Pre-commercial Discount rate</t>
  </si>
  <si>
    <t>Average Value =</t>
  </si>
  <si>
    <t>Factor</t>
  </si>
  <si>
    <t>Market penetration factor</t>
  </si>
  <si>
    <t xml:space="preserve">Market penetration </t>
  </si>
  <si>
    <t>NPV ('000s)</t>
  </si>
  <si>
    <t>Total Drug Sales ('000s)</t>
  </si>
  <si>
    <t>(Average Total Sales)</t>
  </si>
  <si>
    <t>Upfront payment ('000s)</t>
  </si>
  <si>
    <t>Probability of licensing deal</t>
  </si>
  <si>
    <t>Cummulative probability of success</t>
  </si>
  <si>
    <t>FortyEight Inc.</t>
  </si>
  <si>
    <t>FortyEight - Pre commercalization Value</t>
  </si>
  <si>
    <t>FORTY-EIGHT VALUATION</t>
  </si>
  <si>
    <t>Forty-Eight</t>
  </si>
  <si>
    <t>Forty-Eight
Post-
Commercial</t>
  </si>
  <si>
    <t>Forty-Eight
Pre + Post-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</si>
</sst>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0.0\x"/>
    <numFmt numFmtId="167" formatCode="0.0"/>
    <numFmt numFmtId="168" formatCode="yyyy\-mm\-dd;@"/>
    <numFmt numFmtId="169" formatCode="#,##0;\(#,##0\);&quot;-&quot;"/>
    <numFmt numFmtId="170" formatCode="&quot;€&quot;#,##0.0_);[Red]\(&quot;€&quot;#,##0.0\)"/>
    <numFmt numFmtId="172" formatCode="#,##0.0;\(#,##0.0\);&quot;-&quot;"/>
    <numFmt numFmtId="176" formatCode="0.00000"/>
    <numFmt numFmtId="177" formatCode="[$€-2]\ #,##0_);[Red]\([$€-2]\ #,##0\)"/>
    <numFmt numFmtId="178" formatCode="_([$€-2]\ * #,##0_);_([$€-2]\ * \(#,##0\);_([$€-2]\ * &quot;-&quot;??_);_(@_)"/>
    <numFmt numFmtId="179" formatCode="_(&quot;€&quot;* #,##0_);_(&quot;€&quot;* \(#,##0\);_(&quot;€&quot;* &quot;-&quot;??_);_(@_)"/>
    <numFmt numFmtId="180" formatCode="_(* #,##0.0_);_(* \(#,##0.0\);_(* &quot;-&quot;??_);_(@_)"/>
    <numFmt numFmtId="181" formatCode="0.000%"/>
  </numFmts>
  <fonts count="43" x14ac:knownFonts="1">
    <font>
      <sz val="10"/>
      <color theme="1"/>
      <name val="Arial"/>
      <family val="2"/>
    </font>
    <font>
      <sz val="10"/>
      <color theme="1"/>
      <name val="Arial"/>
      <family val="2"/>
    </font>
    <font>
      <b/>
      <sz val="12"/>
      <name val="Arial"/>
      <family val="2"/>
    </font>
    <font>
      <b/>
      <sz val="10"/>
      <name val="Arial"/>
      <family val="2"/>
    </font>
    <font>
      <sz val="10"/>
      <color rgb="FF000000"/>
      <name val="Arial"/>
      <family val="2"/>
    </font>
    <font>
      <b/>
      <sz val="10"/>
      <color rgb="FF000000"/>
      <name val="Arial"/>
      <family val="2"/>
    </font>
    <font>
      <b/>
      <sz val="10"/>
      <color theme="1"/>
      <name val="Arial"/>
      <family val="2"/>
    </font>
    <font>
      <sz val="8"/>
      <color theme="1"/>
      <name val="Arial"/>
      <family val="2"/>
    </font>
    <font>
      <sz val="8"/>
      <color rgb="FF000000"/>
      <name val="Arial"/>
      <family val="2"/>
    </font>
    <font>
      <sz val="9"/>
      <color theme="1"/>
      <name val="Arial"/>
      <family val="2"/>
    </font>
    <font>
      <b/>
      <sz val="9"/>
      <color theme="1"/>
      <name val="Arial"/>
      <family val="2"/>
    </font>
    <font>
      <sz val="10"/>
      <color rgb="FF1712DE"/>
      <name val="Arial"/>
      <family val="2"/>
    </font>
    <font>
      <b/>
      <u/>
      <sz val="10"/>
      <color theme="1"/>
      <name val="Arial"/>
      <family val="2"/>
    </font>
    <font>
      <b/>
      <sz val="10"/>
      <color theme="0"/>
      <name val="Arial"/>
      <family val="2"/>
    </font>
    <font>
      <b/>
      <sz val="11"/>
      <color indexed="9"/>
      <name val="Arial"/>
      <family val="2"/>
    </font>
    <font>
      <b/>
      <sz val="10"/>
      <color rgb="FF1712DE"/>
      <name val="Arial"/>
      <family val="2"/>
    </font>
    <font>
      <b/>
      <sz val="11"/>
      <color theme="1"/>
      <name val="Calibri"/>
      <family val="2"/>
      <scheme val="minor"/>
    </font>
    <font>
      <sz val="10"/>
      <color rgb="FF000000"/>
      <name val="Calibri"/>
      <family val="2"/>
    </font>
    <font>
      <sz val="10"/>
      <color theme="1"/>
      <name val="Calibri"/>
      <family val="2"/>
    </font>
    <font>
      <b/>
      <sz val="20"/>
      <name val="Arial"/>
      <family val="2"/>
    </font>
    <font>
      <b/>
      <sz val="11"/>
      <color theme="0"/>
      <name val="Arial"/>
      <family val="2"/>
    </font>
    <font>
      <sz val="12"/>
      <name val="Arial"/>
      <family val="2"/>
    </font>
    <font>
      <sz val="10"/>
      <color theme="0"/>
      <name val="Arial"/>
      <family val="2"/>
    </font>
    <font>
      <sz val="8"/>
      <name val="Arial"/>
      <family val="2"/>
    </font>
    <font>
      <b/>
      <sz val="11"/>
      <color theme="0"/>
      <name val="Calibri"/>
      <family val="2"/>
    </font>
    <font>
      <u/>
      <sz val="10"/>
      <color theme="1"/>
      <name val="Arial"/>
      <family val="2"/>
    </font>
    <font>
      <b/>
      <sz val="9"/>
      <color rgb="FF000000"/>
      <name val="Arial"/>
      <family val="2"/>
    </font>
    <font>
      <sz val="10"/>
      <color rgb="FFFF0000"/>
      <name val="Arial"/>
      <family val="2"/>
    </font>
    <font>
      <b/>
      <sz val="12"/>
      <color theme="1"/>
      <name val="Calibri"/>
      <family val="2"/>
      <scheme val="minor"/>
    </font>
    <font>
      <sz val="11"/>
      <color rgb="FF1712DE"/>
      <name val="Calibri"/>
      <family val="2"/>
      <scheme val="minor"/>
    </font>
    <font>
      <b/>
      <sz val="12"/>
      <name val="Calibri"/>
      <family val="2"/>
    </font>
    <font>
      <b/>
      <sz val="10"/>
      <color theme="1"/>
      <name val="Calibri"/>
      <family val="2"/>
    </font>
    <font>
      <sz val="9"/>
      <color theme="1"/>
      <name val="Calibri"/>
      <family val="2"/>
    </font>
    <font>
      <sz val="8.1"/>
      <color theme="1"/>
      <name val="Arial"/>
      <family val="2"/>
    </font>
    <font>
      <b/>
      <i/>
      <sz val="12"/>
      <color theme="1"/>
      <name val="Calibri"/>
      <family val="2"/>
      <scheme val="minor"/>
    </font>
    <font>
      <i/>
      <sz val="12"/>
      <color theme="1"/>
      <name val="Calibri"/>
      <family val="2"/>
      <scheme val="minor"/>
    </font>
    <font>
      <u/>
      <sz val="12"/>
      <color theme="1"/>
      <name val="Calibri"/>
      <family val="2"/>
      <scheme val="minor"/>
    </font>
    <font>
      <b/>
      <u/>
      <sz val="12"/>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9"/>
      <color theme="0"/>
      <name val="Arial"/>
      <family val="2"/>
    </font>
    <font>
      <sz val="10"/>
      <name val="Arial"/>
      <family val="2"/>
    </font>
  </fonts>
  <fills count="21">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DCE6F1"/>
        <bgColor rgb="FF000000"/>
      </patternFill>
    </fill>
    <fill>
      <patternFill patternType="solid">
        <fgColor rgb="FFB8CCE4"/>
        <bgColor rgb="FF000000"/>
      </patternFill>
    </fill>
    <fill>
      <patternFill patternType="solid">
        <fgColor rgb="FFD8E4BC"/>
        <bgColor rgb="FF000000"/>
      </patternFill>
    </fill>
    <fill>
      <patternFill patternType="solid">
        <fgColor theme="2" tint="-9.9978637043366805E-2"/>
        <bgColor indexed="64"/>
      </patternFill>
    </fill>
    <fill>
      <patternFill patternType="solid">
        <fgColor rgb="FF00B0F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indexed="4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s>
  <borders count="26">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8" fillId="0" borderId="0"/>
    <xf numFmtId="9" fontId="38" fillId="0" borderId="0" applyFont="0" applyFill="0" applyBorder="0" applyAlignment="0" applyProtection="0"/>
  </cellStyleXfs>
  <cellXfs count="269">
    <xf numFmtId="0" fontId="0" fillId="0" borderId="0" xfId="0"/>
    <xf numFmtId="0" fontId="0" fillId="0" borderId="0" xfId="0" applyAlignment="1">
      <alignment horizontal="center"/>
    </xf>
    <xf numFmtId="164" fontId="0" fillId="0" borderId="0" xfId="0" applyNumberFormat="1"/>
    <xf numFmtId="164" fontId="0" fillId="0" borderId="0" xfId="1" applyNumberFormat="1" applyFont="1"/>
    <xf numFmtId="0" fontId="0" fillId="0" borderId="0" xfId="0" applyAlignment="1">
      <alignment horizontal="right"/>
    </xf>
    <xf numFmtId="0" fontId="0" fillId="0" borderId="0" xfId="0" applyAlignment="1">
      <alignment horizontal="center" vertical="center"/>
    </xf>
    <xf numFmtId="0" fontId="0" fillId="0" borderId="7" xfId="0" applyBorder="1"/>
    <xf numFmtId="0" fontId="0" fillId="0" borderId="5" xfId="0" applyBorder="1"/>
    <xf numFmtId="0" fontId="6" fillId="0" borderId="0" xfId="0" applyFont="1"/>
    <xf numFmtId="0" fontId="9" fillId="0" borderId="0" xfId="0" applyFont="1"/>
    <xf numFmtId="0" fontId="2" fillId="0" borderId="0" xfId="0" applyFont="1" applyAlignment="1">
      <alignment horizontal="left"/>
    </xf>
    <xf numFmtId="165" fontId="0" fillId="0" borderId="0" xfId="2" applyNumberFormat="1" applyFont="1"/>
    <xf numFmtId="40" fontId="19" fillId="0" borderId="0" xfId="0" applyNumberFormat="1" applyFont="1" applyAlignment="1">
      <alignment horizontal="left"/>
    </xf>
    <xf numFmtId="0" fontId="21" fillId="0" borderId="0" xfId="0" applyFont="1" applyAlignment="1">
      <alignment horizontal="left"/>
    </xf>
    <xf numFmtId="1" fontId="6" fillId="0" borderId="0" xfId="0" applyNumberFormat="1" applyFont="1" applyAlignment="1">
      <alignment horizont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1" fillId="0" borderId="0" xfId="0" applyFont="1" applyAlignment="1">
      <alignment vertical="center"/>
    </xf>
    <xf numFmtId="0" fontId="6" fillId="0" borderId="0" xfId="0" applyFont="1" applyAlignment="1">
      <alignment horizontal="righ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2" fillId="3" borderId="0" xfId="0" applyFont="1" applyFill="1" applyAlignment="1">
      <alignment vertical="center"/>
    </xf>
    <xf numFmtId="0" fontId="25" fillId="3" borderId="0" xfId="0" applyFont="1" applyFill="1" applyAlignment="1">
      <alignment vertical="center"/>
    </xf>
    <xf numFmtId="169" fontId="1" fillId="3" borderId="0" xfId="0" applyNumberFormat="1" applyFont="1" applyFill="1" applyAlignment="1">
      <alignment vertical="center"/>
    </xf>
    <xf numFmtId="169" fontId="0" fillId="0" borderId="0" xfId="0" applyNumberFormat="1"/>
    <xf numFmtId="167" fontId="0" fillId="0" borderId="0" xfId="0" applyNumberFormat="1"/>
    <xf numFmtId="1" fontId="0" fillId="0" borderId="9" xfId="0" applyNumberFormat="1" applyBorder="1"/>
    <xf numFmtId="165" fontId="26" fillId="9" borderId="0" xfId="0" applyNumberFormat="1" applyFont="1" applyFill="1" applyAlignment="1">
      <alignment horizontal="center" vertical="center" shrinkToFit="1"/>
    </xf>
    <xf numFmtId="165" fontId="26" fillId="10" borderId="0" xfId="2" applyNumberFormat="1" applyFont="1" applyFill="1" applyBorder="1" applyAlignment="1">
      <alignment horizontal="center" vertical="center" shrinkToFit="1"/>
    </xf>
    <xf numFmtId="165" fontId="26" fillId="11" borderId="0" xfId="2" applyNumberFormat="1" applyFont="1" applyFill="1" applyBorder="1" applyAlignment="1">
      <alignment horizontal="center" shrinkToFit="1"/>
    </xf>
    <xf numFmtId="165" fontId="10" fillId="5" borderId="0" xfId="2" applyNumberFormat="1" applyFont="1" applyFill="1" applyAlignment="1">
      <alignment horizontal="center" shrinkToFit="1"/>
    </xf>
    <xf numFmtId="165" fontId="26" fillId="12" borderId="0" xfId="2" applyNumberFormat="1" applyFont="1" applyFill="1" applyBorder="1" applyAlignment="1">
      <alignment horizontal="center" shrinkToFit="1"/>
    </xf>
    <xf numFmtId="165" fontId="10" fillId="0" borderId="0" xfId="0" applyNumberFormat="1" applyFont="1" applyAlignment="1">
      <alignment horizontal="center" vertical="center" shrinkToFit="1"/>
    </xf>
    <xf numFmtId="165" fontId="10" fillId="0" borderId="0" xfId="2" applyNumberFormat="1" applyFont="1" applyFill="1" applyAlignment="1">
      <alignment horizontal="center" vertical="center" shrinkToFit="1"/>
    </xf>
    <xf numFmtId="165" fontId="10" fillId="0" borderId="0" xfId="2" applyNumberFormat="1" applyFont="1" applyFill="1" applyAlignment="1">
      <alignment horizontal="center" shrinkToFit="1"/>
    </xf>
    <xf numFmtId="0" fontId="16" fillId="0" borderId="0" xfId="0" applyFont="1" applyAlignment="1">
      <alignment horizontal="right"/>
    </xf>
    <xf numFmtId="1" fontId="0" fillId="0" borderId="0" xfId="0" applyNumberFormat="1"/>
    <xf numFmtId="2" fontId="0" fillId="0" borderId="0" xfId="0" applyNumberFormat="1"/>
    <xf numFmtId="170" fontId="0" fillId="13" borderId="0" xfId="0" applyNumberFormat="1" applyFill="1"/>
    <xf numFmtId="170" fontId="0" fillId="0" borderId="0" xfId="0" applyNumberFormat="1"/>
    <xf numFmtId="0" fontId="12" fillId="0" borderId="0" xfId="0" applyFont="1" applyAlignment="1">
      <alignment vertical="center"/>
    </xf>
    <xf numFmtId="165" fontId="1" fillId="0" borderId="0" xfId="0" applyNumberFormat="1" applyFont="1" applyAlignment="1">
      <alignment vertical="center"/>
    </xf>
    <xf numFmtId="165" fontId="1" fillId="0" borderId="0" xfId="2" applyNumberFormat="1" applyFont="1" applyAlignment="1">
      <alignment vertical="center"/>
    </xf>
    <xf numFmtId="0" fontId="27" fillId="0" borderId="0" xfId="0" applyFont="1" applyAlignment="1">
      <alignment vertical="center"/>
    </xf>
    <xf numFmtId="0" fontId="6" fillId="0" borderId="0" xfId="0" applyFont="1" applyAlignment="1">
      <alignment vertical="center"/>
    </xf>
    <xf numFmtId="172" fontId="1" fillId="5" borderId="0" xfId="0" applyNumberFormat="1" applyFont="1" applyFill="1" applyAlignment="1">
      <alignment vertical="center"/>
    </xf>
    <xf numFmtId="169" fontId="1" fillId="0" borderId="0" xfId="0" applyNumberFormat="1" applyFont="1" applyAlignment="1">
      <alignment vertical="center"/>
    </xf>
    <xf numFmtId="172" fontId="1" fillId="3" borderId="0" xfId="0" applyNumberFormat="1" applyFont="1" applyFill="1" applyAlignment="1">
      <alignment vertical="center"/>
    </xf>
    <xf numFmtId="10" fontId="0" fillId="0" borderId="0" xfId="0" applyNumberFormat="1"/>
    <xf numFmtId="1" fontId="0" fillId="0" borderId="0" xfId="0" applyNumberFormat="1" applyAlignment="1">
      <alignment horizontal="center"/>
    </xf>
    <xf numFmtId="9" fontId="15" fillId="0" borderId="0" xfId="0" applyNumberFormat="1" applyFont="1"/>
    <xf numFmtId="40" fontId="12" fillId="8" borderId="0" xfId="0" applyNumberFormat="1" applyFont="1" applyFill="1"/>
    <xf numFmtId="0" fontId="6" fillId="8" borderId="0" xfId="0" applyFont="1" applyFill="1" applyAlignment="1">
      <alignment horizontal="center"/>
    </xf>
    <xf numFmtId="0" fontId="0" fillId="0" borderId="0" xfId="0" applyAlignment="1">
      <alignment horizontal="left" vertical="center"/>
    </xf>
    <xf numFmtId="0" fontId="20" fillId="6" borderId="5" xfId="0" applyFont="1" applyFill="1" applyBorder="1" applyAlignment="1">
      <alignment horizontal="left" vertical="center"/>
    </xf>
    <xf numFmtId="0" fontId="11" fillId="0" borderId="0" xfId="0" applyFont="1"/>
    <xf numFmtId="0" fontId="3" fillId="8" borderId="1" xfId="0" quotePrefix="1" applyFont="1" applyFill="1" applyBorder="1" applyAlignment="1">
      <alignment horizontal="center" vertical="center" wrapText="1"/>
    </xf>
    <xf numFmtId="0" fontId="11" fillId="0" borderId="0" xfId="0" applyFont="1" applyAlignment="1">
      <alignment horizontal="center"/>
    </xf>
    <xf numFmtId="10" fontId="0" fillId="0" borderId="0" xfId="0" applyNumberFormat="1" applyAlignment="1">
      <alignment horizontal="center"/>
    </xf>
    <xf numFmtId="9" fontId="11" fillId="0" borderId="0" xfId="0" applyNumberFormat="1" applyFont="1" applyAlignment="1">
      <alignment horizontal="center"/>
    </xf>
    <xf numFmtId="2" fontId="0" fillId="0" borderId="0" xfId="0" applyNumberFormat="1" applyAlignment="1">
      <alignment horizontal="center"/>
    </xf>
    <xf numFmtId="164" fontId="6" fillId="0" borderId="8" xfId="1" applyNumberFormat="1" applyFont="1" applyBorder="1"/>
    <xf numFmtId="0" fontId="0" fillId="8" borderId="1" xfId="0" applyFill="1" applyBorder="1" applyAlignment="1">
      <alignment horizontal="center" vertical="center"/>
    </xf>
    <xf numFmtId="0" fontId="6" fillId="8" borderId="1" xfId="0" applyFont="1" applyFill="1" applyBorder="1" applyAlignment="1">
      <alignment horizontal="center" vertical="center" wrapText="1"/>
    </xf>
    <xf numFmtId="0" fontId="2" fillId="14" borderId="8" xfId="0" applyFont="1" applyFill="1" applyBorder="1" applyAlignment="1">
      <alignment horizontal="left" vertical="center"/>
    </xf>
    <xf numFmtId="0" fontId="0" fillId="14" borderId="8" xfId="0" applyFill="1" applyBorder="1" applyAlignment="1">
      <alignment vertical="center"/>
    </xf>
    <xf numFmtId="0" fontId="20" fillId="6" borderId="19" xfId="0" applyFont="1" applyFill="1" applyBorder="1" applyAlignment="1">
      <alignment horizontal="left" vertical="center"/>
    </xf>
    <xf numFmtId="0" fontId="14" fillId="2" borderId="20" xfId="0" applyFont="1" applyFill="1" applyBorder="1"/>
    <xf numFmtId="0" fontId="3" fillId="8" borderId="1" xfId="0" applyFont="1" applyFill="1" applyBorder="1" applyAlignment="1">
      <alignment horizontal="left" vertical="center"/>
    </xf>
    <xf numFmtId="40" fontId="12" fillId="8" borderId="0" xfId="0" applyNumberFormat="1" applyFont="1" applyFill="1" applyAlignment="1">
      <alignment horizontal="center"/>
    </xf>
    <xf numFmtId="166" fontId="0" fillId="0" borderId="0" xfId="0" applyNumberFormat="1" applyAlignment="1">
      <alignment horizontal="center" vertical="center"/>
    </xf>
    <xf numFmtId="2" fontId="6" fillId="0" borderId="8" xfId="0" applyNumberFormat="1" applyFont="1" applyBorder="1" applyAlignment="1">
      <alignment horizontal="center" vertical="center"/>
    </xf>
    <xf numFmtId="0" fontId="0" fillId="0" borderId="10" xfId="0" applyBorder="1"/>
    <xf numFmtId="2" fontId="0" fillId="0" borderId="10" xfId="0" applyNumberFormat="1" applyBorder="1" applyAlignment="1">
      <alignment horizontal="center"/>
    </xf>
    <xf numFmtId="166" fontId="0" fillId="0" borderId="10" xfId="0" applyNumberFormat="1" applyBorder="1" applyAlignment="1">
      <alignment horizontal="center" vertical="center"/>
    </xf>
    <xf numFmtId="10" fontId="0" fillId="0" borderId="10" xfId="0" applyNumberFormat="1" applyBorder="1"/>
    <xf numFmtId="2" fontId="0" fillId="0" borderId="5" xfId="0" applyNumberFormat="1" applyBorder="1" applyAlignment="1">
      <alignment horizontal="center"/>
    </xf>
    <xf numFmtId="166" fontId="0" fillId="0" borderId="5" xfId="0" applyNumberFormat="1" applyBorder="1" applyAlignment="1">
      <alignment horizontal="center" vertical="center"/>
    </xf>
    <xf numFmtId="10" fontId="0" fillId="0" borderId="5" xfId="0" applyNumberFormat="1" applyBorder="1"/>
    <xf numFmtId="166" fontId="0" fillId="0" borderId="8" xfId="0" applyNumberFormat="1" applyBorder="1" applyAlignment="1">
      <alignment horizontal="center" vertical="center"/>
    </xf>
    <xf numFmtId="0" fontId="0" fillId="0" borderId="5" xfId="0" applyBorder="1" applyAlignment="1">
      <alignment horizontal="center" vertical="center"/>
    </xf>
    <xf numFmtId="164" fontId="0" fillId="0" borderId="0" xfId="1" applyNumberFormat="1" applyFont="1" applyAlignment="1">
      <alignment horizontal="center"/>
    </xf>
    <xf numFmtId="164" fontId="6" fillId="0" borderId="8" xfId="0" applyNumberFormat="1" applyFont="1" applyBorder="1"/>
    <xf numFmtId="164" fontId="0" fillId="0" borderId="11" xfId="1" applyNumberFormat="1" applyFont="1" applyFill="1" applyBorder="1" applyAlignment="1">
      <alignment vertical="center"/>
    </xf>
    <xf numFmtId="164" fontId="0" fillId="0" borderId="11" xfId="0" applyNumberFormat="1" applyBorder="1" applyAlignment="1">
      <alignment vertical="center"/>
    </xf>
    <xf numFmtId="0" fontId="0" fillId="0" borderId="6" xfId="0" applyBorder="1" applyAlignment="1">
      <alignment vertical="center"/>
    </xf>
    <xf numFmtId="0" fontId="6" fillId="0" borderId="17" xfId="0" applyFont="1" applyBorder="1" applyAlignment="1">
      <alignment vertical="center"/>
    </xf>
    <xf numFmtId="0" fontId="0" fillId="0" borderId="8" xfId="0" applyBorder="1" applyAlignment="1">
      <alignment vertical="center"/>
    </xf>
    <xf numFmtId="0" fontId="0" fillId="0" borderId="12" xfId="0" applyBorder="1" applyAlignment="1">
      <alignment vertical="center"/>
    </xf>
    <xf numFmtId="164" fontId="6" fillId="0" borderId="15" xfId="1" applyNumberFormat="1" applyFont="1" applyFill="1" applyBorder="1" applyAlignment="1">
      <alignment vertical="center"/>
    </xf>
    <xf numFmtId="165" fontId="6" fillId="0" borderId="11" xfId="2"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5" fontId="6" fillId="0" borderId="2" xfId="2" applyNumberFormat="1" applyFont="1" applyFill="1" applyBorder="1" applyAlignment="1">
      <alignment vertical="center"/>
    </xf>
    <xf numFmtId="164" fontId="6" fillId="16" borderId="13" xfId="1" applyNumberFormat="1" applyFont="1" applyFill="1" applyBorder="1" applyAlignment="1">
      <alignment vertical="center"/>
    </xf>
    <xf numFmtId="0" fontId="6" fillId="16" borderId="14" xfId="0" applyFont="1" applyFill="1" applyBorder="1" applyAlignment="1">
      <alignment vertical="center"/>
    </xf>
    <xf numFmtId="0" fontId="6" fillId="16" borderId="10" xfId="0" applyFont="1" applyFill="1" applyBorder="1" applyAlignment="1">
      <alignment vertical="center"/>
    </xf>
    <xf numFmtId="164" fontId="6" fillId="16" borderId="13" xfId="0" applyNumberFormat="1" applyFont="1" applyFill="1" applyBorder="1" applyAlignment="1">
      <alignment horizontal="center"/>
    </xf>
    <xf numFmtId="0" fontId="0" fillId="0" borderId="7" xfId="0" applyBorder="1" applyAlignment="1">
      <alignment vertical="center"/>
    </xf>
    <xf numFmtId="0" fontId="6" fillId="0" borderId="8" xfId="0" applyFont="1" applyBorder="1" applyAlignment="1">
      <alignment vertical="center"/>
    </xf>
    <xf numFmtId="10" fontId="6" fillId="0" borderId="8" xfId="2" applyNumberFormat="1" applyFont="1" applyBorder="1" applyAlignment="1">
      <alignment vertical="center"/>
    </xf>
    <xf numFmtId="0" fontId="0" fillId="0" borderId="13" xfId="0" applyBorder="1" applyAlignment="1">
      <alignment vertical="center"/>
    </xf>
    <xf numFmtId="164" fontId="6" fillId="16" borderId="13" xfId="0" applyNumberFormat="1" applyFont="1" applyFill="1" applyBorder="1" applyAlignment="1">
      <alignment vertical="center"/>
    </xf>
    <xf numFmtId="164" fontId="0" fillId="0" borderId="0" xfId="1" applyNumberFormat="1" applyFont="1" applyAlignment="1">
      <alignment vertical="center"/>
    </xf>
    <xf numFmtId="0" fontId="0" fillId="14" borderId="9" xfId="0" applyFill="1" applyBorder="1" applyAlignment="1">
      <alignment vertical="center"/>
    </xf>
    <xf numFmtId="0" fontId="6" fillId="16" borderId="4" xfId="0" applyFont="1" applyFill="1" applyBorder="1" applyAlignment="1">
      <alignment vertical="center"/>
    </xf>
    <xf numFmtId="0" fontId="6" fillId="16" borderId="5" xfId="0" applyFont="1" applyFill="1" applyBorder="1" applyAlignment="1">
      <alignment vertical="center"/>
    </xf>
    <xf numFmtId="164" fontId="6" fillId="16" borderId="2" xfId="1" applyNumberFormat="1" applyFont="1" applyFill="1" applyBorder="1" applyAlignment="1">
      <alignment vertical="center"/>
    </xf>
    <xf numFmtId="0" fontId="13" fillId="6" borderId="1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15" xfId="0" applyFont="1" applyFill="1" applyBorder="1" applyAlignment="1">
      <alignment horizontal="center" vertical="center" wrapText="1"/>
    </xf>
    <xf numFmtId="0" fontId="13" fillId="6" borderId="15" xfId="0" applyFont="1" applyFill="1" applyBorder="1" applyAlignment="1">
      <alignment horizontal="center" vertical="center"/>
    </xf>
    <xf numFmtId="0" fontId="2" fillId="14" borderId="9" xfId="0" applyFont="1" applyFill="1" applyBorder="1" applyAlignment="1">
      <alignment horizontal="left" vertical="center"/>
    </xf>
    <xf numFmtId="0" fontId="20" fillId="6" borderId="17" xfId="0" applyFont="1" applyFill="1" applyBorder="1" applyAlignment="1">
      <alignment horizontal="left" vertical="center"/>
    </xf>
    <xf numFmtId="0" fontId="20" fillId="6" borderId="8" xfId="0" applyFont="1" applyFill="1" applyBorder="1" applyAlignment="1">
      <alignment horizontal="left"/>
    </xf>
    <xf numFmtId="0" fontId="6" fillId="8" borderId="8" xfId="0" applyFont="1" applyFill="1" applyBorder="1" applyAlignment="1">
      <alignment vertical="center"/>
    </xf>
    <xf numFmtId="0" fontId="0" fillId="8" borderId="8" xfId="0" applyFill="1" applyBorder="1" applyAlignment="1">
      <alignment vertical="center"/>
    </xf>
    <xf numFmtId="0" fontId="6" fillId="8" borderId="8" xfId="0" applyFont="1" applyFill="1" applyBorder="1" applyAlignment="1">
      <alignment horizontal="center" vertical="center"/>
    </xf>
    <xf numFmtId="1" fontId="6" fillId="7" borderId="10" xfId="0" applyNumberFormat="1" applyFont="1" applyFill="1" applyBorder="1" applyAlignment="1">
      <alignment horizontal="center" vertical="center"/>
    </xf>
    <xf numFmtId="1" fontId="6" fillId="7" borderId="10" xfId="0" quotePrefix="1" applyNumberFormat="1" applyFont="1" applyFill="1" applyBorder="1" applyAlignment="1">
      <alignment horizontal="center" vertical="center"/>
    </xf>
    <xf numFmtId="165" fontId="6" fillId="16" borderId="2" xfId="2" applyNumberFormat="1" applyFont="1" applyFill="1" applyBorder="1" applyAlignment="1">
      <alignment vertical="center"/>
    </xf>
    <xf numFmtId="0" fontId="6" fillId="16" borderId="17" xfId="0" applyFont="1" applyFill="1" applyBorder="1" applyAlignment="1">
      <alignment vertical="center"/>
    </xf>
    <xf numFmtId="0" fontId="6" fillId="16" borderId="8" xfId="0" applyFont="1" applyFill="1" applyBorder="1" applyAlignment="1">
      <alignment vertical="center"/>
    </xf>
    <xf numFmtId="164" fontId="6" fillId="16" borderId="15" xfId="1" applyNumberFormat="1" applyFont="1" applyFill="1" applyBorder="1" applyAlignment="1">
      <alignment vertical="center"/>
    </xf>
    <xf numFmtId="0" fontId="6" fillId="15" borderId="0" xfId="0" applyFont="1" applyFill="1" applyAlignment="1">
      <alignment vertical="center"/>
    </xf>
    <xf numFmtId="0" fontId="0" fillId="15" borderId="0" xfId="0" applyFill="1" applyAlignment="1">
      <alignment vertical="center"/>
    </xf>
    <xf numFmtId="0" fontId="0" fillId="0" borderId="0" xfId="0" applyAlignment="1">
      <alignment horizontal="right" vertical="center"/>
    </xf>
    <xf numFmtId="165" fontId="6" fillId="16" borderId="15" xfId="2" applyNumberFormat="1" applyFont="1" applyFill="1" applyBorder="1" applyAlignment="1">
      <alignment vertical="center"/>
    </xf>
    <xf numFmtId="168" fontId="6" fillId="0" borderId="0" xfId="0" applyNumberFormat="1" applyFont="1"/>
    <xf numFmtId="0" fontId="0" fillId="0" borderId="18" xfId="0" applyBorder="1" applyAlignment="1">
      <alignment vertical="center"/>
    </xf>
    <xf numFmtId="0" fontId="0" fillId="0" borderId="16" xfId="0" applyBorder="1" applyAlignment="1">
      <alignment vertical="center"/>
    </xf>
    <xf numFmtId="164" fontId="0" fillId="0" borderId="21" xfId="1" applyNumberFormat="1" applyFont="1" applyFill="1" applyBorder="1" applyAlignment="1">
      <alignment vertical="center"/>
    </xf>
    <xf numFmtId="164" fontId="0" fillId="0" borderId="21" xfId="0" applyNumberFormat="1" applyBorder="1" applyAlignment="1">
      <alignment vertical="center"/>
    </xf>
    <xf numFmtId="9" fontId="21" fillId="0" borderId="0" xfId="0" applyNumberFormat="1" applyFont="1" applyAlignment="1">
      <alignment horizontal="left"/>
    </xf>
    <xf numFmtId="0" fontId="12" fillId="0" borderId="0" xfId="0" applyFont="1" applyAlignment="1">
      <alignment horizontal="left" vertical="center"/>
    </xf>
    <xf numFmtId="0" fontId="34" fillId="0" borderId="0" xfId="0" applyFont="1"/>
    <xf numFmtId="0" fontId="35" fillId="0" borderId="0" xfId="0" applyFont="1"/>
    <xf numFmtId="0" fontId="36" fillId="0" borderId="0" xfId="0" applyFont="1"/>
    <xf numFmtId="0" fontId="37" fillId="0" borderId="0" xfId="0" applyFont="1"/>
    <xf numFmtId="164" fontId="0" fillId="0" borderId="9" xfId="1" applyNumberFormat="1" applyFont="1" applyBorder="1"/>
    <xf numFmtId="9" fontId="0" fillId="0" borderId="0" xfId="0" applyNumberFormat="1"/>
    <xf numFmtId="178" fontId="0" fillId="0" borderId="0" xfId="0" applyNumberFormat="1"/>
    <xf numFmtId="179" fontId="0" fillId="0" borderId="0" xfId="3" applyNumberFormat="1" applyFont="1"/>
    <xf numFmtId="165" fontId="6" fillId="0" borderId="0" xfId="2" applyNumberFormat="1" applyFont="1" applyFill="1" applyBorder="1" applyAlignment="1">
      <alignment vertical="center"/>
    </xf>
    <xf numFmtId="164" fontId="0" fillId="0" borderId="0" xfId="1" applyNumberFormat="1" applyFont="1" applyFill="1" applyBorder="1" applyAlignment="1">
      <alignment vertical="center"/>
    </xf>
    <xf numFmtId="164" fontId="22" fillId="0" borderId="0" xfId="1" applyNumberFormat="1" applyFont="1" applyFill="1" applyBorder="1" applyAlignment="1">
      <alignment vertical="center"/>
    </xf>
    <xf numFmtId="165" fontId="11" fillId="0" borderId="0" xfId="2" applyNumberFormat="1" applyFont="1" applyFill="1" applyBorder="1" applyAlignment="1">
      <alignment vertical="center"/>
    </xf>
    <xf numFmtId="164" fontId="6" fillId="0" borderId="3" xfId="1" applyNumberFormat="1" applyFont="1" applyFill="1" applyBorder="1" applyAlignment="1">
      <alignment vertical="center"/>
    </xf>
    <xf numFmtId="9" fontId="15" fillId="0" borderId="0" xfId="0" applyNumberFormat="1" applyFont="1" applyAlignment="1">
      <alignment horizontal="center"/>
    </xf>
    <xf numFmtId="43" fontId="0" fillId="0" borderId="0" xfId="1" applyFont="1"/>
    <xf numFmtId="43" fontId="0" fillId="0" borderId="0" xfId="0" applyNumberFormat="1"/>
    <xf numFmtId="0" fontId="12" fillId="0" borderId="0" xfId="0" applyFont="1"/>
    <xf numFmtId="0" fontId="13" fillId="6" borderId="17" xfId="0" applyFont="1" applyFill="1" applyBorder="1" applyAlignment="1">
      <alignment horizontal="center" vertical="center" wrapText="1"/>
    </xf>
    <xf numFmtId="164" fontId="6" fillId="16" borderId="4" xfId="1" applyNumberFormat="1" applyFont="1" applyFill="1" applyBorder="1" applyAlignment="1">
      <alignment vertical="center"/>
    </xf>
    <xf numFmtId="164" fontId="6" fillId="16" borderId="14" xfId="1" applyNumberFormat="1" applyFont="1" applyFill="1" applyBorder="1" applyAlignment="1">
      <alignment vertical="center"/>
    </xf>
    <xf numFmtId="164" fontId="6" fillId="18" borderId="17" xfId="1" applyNumberFormat="1" applyFont="1" applyFill="1" applyBorder="1" applyAlignment="1">
      <alignment vertical="center"/>
    </xf>
    <xf numFmtId="0" fontId="13" fillId="6" borderId="13" xfId="0" applyFont="1" applyFill="1" applyBorder="1" applyAlignment="1">
      <alignment horizontal="center" vertical="center" wrapText="1"/>
    </xf>
    <xf numFmtId="164" fontId="0" fillId="0" borderId="13" xfId="0" applyNumberFormat="1" applyBorder="1" applyAlignment="1">
      <alignment horizontal="center"/>
    </xf>
    <xf numFmtId="10" fontId="39" fillId="0" borderId="13" xfId="5" applyNumberFormat="1" applyFont="1" applyBorder="1" applyAlignment="1">
      <alignment vertical="center" wrapText="1"/>
    </xf>
    <xf numFmtId="164" fontId="0" fillId="0" borderId="13" xfId="0" applyNumberFormat="1" applyBorder="1"/>
    <xf numFmtId="9" fontId="39" fillId="0" borderId="13" xfId="5" applyFont="1" applyBorder="1" applyAlignment="1">
      <alignment horizontal="right" vertical="center"/>
    </xf>
    <xf numFmtId="165" fontId="39" fillId="0" borderId="13" xfId="5" applyNumberFormat="1" applyFont="1" applyBorder="1" applyAlignment="1">
      <alignment horizontal="center" vertical="center"/>
    </xf>
    <xf numFmtId="164" fontId="0" fillId="0" borderId="13" xfId="1" applyNumberFormat="1" applyFont="1" applyFill="1" applyBorder="1" applyAlignment="1">
      <alignment vertical="center"/>
    </xf>
    <xf numFmtId="9" fontId="40" fillId="17" borderId="13" xfId="2" applyFont="1" applyFill="1" applyBorder="1" applyAlignment="1">
      <alignment vertical="center"/>
    </xf>
    <xf numFmtId="9" fontId="39" fillId="0" borderId="13" xfId="5" applyFont="1" applyBorder="1" applyAlignment="1">
      <alignment horizontal="center" vertical="center"/>
    </xf>
    <xf numFmtId="164" fontId="40" fillId="0" borderId="13" xfId="1" applyNumberFormat="1" applyFont="1" applyFill="1" applyBorder="1" applyAlignment="1">
      <alignment horizontal="center" vertical="center"/>
    </xf>
    <xf numFmtId="9" fontId="39" fillId="19" borderId="13" xfId="5" applyFont="1" applyFill="1" applyBorder="1" applyAlignment="1">
      <alignment horizontal="right" vertical="center"/>
    </xf>
    <xf numFmtId="165" fontId="40" fillId="19" borderId="13" xfId="5" applyNumberFormat="1" applyFont="1" applyFill="1" applyBorder="1" applyAlignment="1">
      <alignment horizontal="center" vertical="center"/>
    </xf>
    <xf numFmtId="164" fontId="0" fillId="19" borderId="13" xfId="1" applyNumberFormat="1" applyFont="1" applyFill="1" applyBorder="1" applyAlignment="1">
      <alignment vertical="center"/>
    </xf>
    <xf numFmtId="9" fontId="40" fillId="19" borderId="13" xfId="2" applyFont="1" applyFill="1" applyBorder="1" applyAlignment="1">
      <alignment vertical="center"/>
    </xf>
    <xf numFmtId="9" fontId="40" fillId="19" borderId="13" xfId="5" applyFont="1" applyFill="1" applyBorder="1" applyAlignment="1">
      <alignment horizontal="center" vertical="center"/>
    </xf>
    <xf numFmtId="164" fontId="40" fillId="19" borderId="13" xfId="1" applyNumberFormat="1" applyFont="1" applyFill="1" applyBorder="1" applyAlignment="1">
      <alignment horizontal="center" vertical="center"/>
    </xf>
    <xf numFmtId="164" fontId="0" fillId="0" borderId="13" xfId="1" applyNumberFormat="1" applyFont="1" applyFill="1" applyBorder="1"/>
    <xf numFmtId="3" fontId="0" fillId="0" borderId="0" xfId="0" applyNumberFormat="1" applyAlignment="1">
      <alignment vertical="center"/>
    </xf>
    <xf numFmtId="0" fontId="0" fillId="0" borderId="0" xfId="0" quotePrefix="1" applyAlignment="1">
      <alignment horizontal="right" vertical="center"/>
    </xf>
    <xf numFmtId="0" fontId="41" fillId="6" borderId="13" xfId="0" applyFont="1" applyFill="1" applyBorder="1" applyAlignment="1">
      <alignment horizontal="center" vertical="center" wrapText="1"/>
    </xf>
    <xf numFmtId="180" fontId="40" fillId="0" borderId="13" xfId="1" applyNumberFormat="1" applyFont="1" applyFill="1" applyBorder="1" applyAlignment="1">
      <alignment horizontal="center" vertical="center"/>
    </xf>
    <xf numFmtId="180" fontId="40" fillId="19" borderId="13" xfId="1" applyNumberFormat="1" applyFont="1" applyFill="1" applyBorder="1" applyAlignment="1">
      <alignment horizontal="center" vertical="center"/>
    </xf>
    <xf numFmtId="181" fontId="0" fillId="0" borderId="13" xfId="2" applyNumberFormat="1" applyFont="1" applyFill="1" applyBorder="1" applyAlignment="1">
      <alignment vertical="center"/>
    </xf>
    <xf numFmtId="181" fontId="42" fillId="19" borderId="13" xfId="5" applyNumberFormat="1" applyFont="1" applyFill="1" applyBorder="1" applyAlignment="1">
      <alignment horizontal="right" vertical="center"/>
    </xf>
    <xf numFmtId="168" fontId="12" fillId="0" borderId="0" xfId="0" applyNumberFormat="1" applyFont="1"/>
    <xf numFmtId="0" fontId="25" fillId="0" borderId="0" xfId="0" applyFont="1"/>
    <xf numFmtId="0" fontId="6" fillId="0" borderId="0" xfId="0" applyFont="1" applyAlignment="1">
      <alignment horizontal="center" wrapText="1"/>
    </xf>
    <xf numFmtId="9" fontId="15" fillId="0" borderId="0" xfId="0" applyNumberFormat="1" applyFont="1" applyAlignment="1">
      <alignment horizontal="center" vertical="center"/>
    </xf>
    <xf numFmtId="9" fontId="6" fillId="0" borderId="0" xfId="0" applyNumberFormat="1" applyFont="1" applyAlignment="1">
      <alignment horizontal="center" vertical="center"/>
    </xf>
    <xf numFmtId="0" fontId="2" fillId="14" borderId="17" xfId="0" applyFont="1" applyFill="1" applyBorder="1" applyAlignment="1">
      <alignment horizontal="left" vertical="center"/>
    </xf>
    <xf numFmtId="0" fontId="0" fillId="14" borderId="12" xfId="0" applyFill="1" applyBorder="1" applyAlignment="1">
      <alignment vertical="center"/>
    </xf>
    <xf numFmtId="0" fontId="14" fillId="2" borderId="23" xfId="0" applyFont="1" applyFill="1" applyBorder="1"/>
    <xf numFmtId="0" fontId="3" fillId="8" borderId="25" xfId="0" quotePrefix="1" applyFont="1" applyFill="1" applyBorder="1" applyAlignment="1">
      <alignment horizontal="center" vertical="center" wrapText="1"/>
    </xf>
    <xf numFmtId="0" fontId="4" fillId="0" borderId="6" xfId="0" applyFont="1" applyBorder="1"/>
    <xf numFmtId="177" fontId="0" fillId="0" borderId="0" xfId="0" applyNumberFormat="1"/>
    <xf numFmtId="177" fontId="0" fillId="0" borderId="7" xfId="0" applyNumberFormat="1" applyBorder="1"/>
    <xf numFmtId="0" fontId="11" fillId="0" borderId="7" xfId="0" applyFont="1" applyBorder="1" applyAlignment="1">
      <alignment horizontal="center"/>
    </xf>
    <xf numFmtId="10" fontId="11" fillId="0" borderId="0" xfId="0" applyNumberFormat="1" applyFont="1" applyAlignment="1">
      <alignment horizontal="center"/>
    </xf>
    <xf numFmtId="10" fontId="0" fillId="0" borderId="7" xfId="0" applyNumberFormat="1" applyBorder="1" applyAlignment="1">
      <alignment horizontal="center"/>
    </xf>
    <xf numFmtId="0" fontId="0" fillId="0" borderId="6" xfId="0" applyBorder="1"/>
    <xf numFmtId="10" fontId="29" fillId="0" borderId="0" xfId="0" applyNumberFormat="1" applyFont="1" applyAlignment="1">
      <alignment horizontal="center"/>
    </xf>
    <xf numFmtId="9" fontId="11" fillId="0" borderId="7" xfId="0" applyNumberFormat="1" applyFont="1" applyBorder="1" applyAlignment="1">
      <alignment horizontal="center"/>
    </xf>
    <xf numFmtId="0" fontId="12" fillId="0" borderId="6" xfId="0" applyFont="1" applyBorder="1"/>
    <xf numFmtId="176" fontId="0" fillId="0" borderId="0" xfId="0" applyNumberFormat="1" applyAlignment="1">
      <alignment horizontal="center"/>
    </xf>
    <xf numFmtId="176" fontId="0" fillId="0" borderId="7" xfId="0" applyNumberFormat="1" applyBorder="1" applyAlignment="1">
      <alignment horizontal="center"/>
    </xf>
    <xf numFmtId="0" fontId="0" fillId="0" borderId="6" xfId="0" quotePrefix="1" applyBorder="1"/>
    <xf numFmtId="176" fontId="0" fillId="0" borderId="0" xfId="0" quotePrefix="1" applyNumberFormat="1" applyAlignment="1">
      <alignment horizontal="center"/>
    </xf>
    <xf numFmtId="176" fontId="0" fillId="0" borderId="7" xfId="0" quotePrefix="1" applyNumberFormat="1" applyBorder="1" applyAlignment="1">
      <alignment horizontal="center"/>
    </xf>
    <xf numFmtId="0" fontId="6" fillId="0" borderId="14" xfId="0" applyFont="1" applyBorder="1" applyAlignment="1">
      <alignment vertical="center"/>
    </xf>
    <xf numFmtId="0" fontId="6" fillId="0" borderId="10" xfId="0" applyFont="1" applyBorder="1" applyAlignment="1">
      <alignment vertical="center"/>
    </xf>
    <xf numFmtId="164" fontId="3" fillId="16" borderId="10" xfId="1" applyNumberFormat="1" applyFont="1" applyFill="1" applyBorder="1" applyAlignment="1">
      <alignment vertical="center"/>
    </xf>
    <xf numFmtId="164" fontId="3" fillId="16" borderId="22" xfId="1" applyNumberFormat="1" applyFont="1" applyFill="1" applyBorder="1" applyAlignment="1">
      <alignment vertical="center"/>
    </xf>
    <xf numFmtId="0" fontId="10" fillId="0" borderId="0" xfId="0" applyFont="1" applyAlignment="1">
      <alignment horizontal="center" wrapText="1"/>
    </xf>
    <xf numFmtId="0" fontId="3" fillId="8" borderId="24" xfId="0" applyFont="1" applyFill="1" applyBorder="1" applyAlignment="1">
      <alignment horizontal="left" vertical="center"/>
    </xf>
    <xf numFmtId="0" fontId="0" fillId="8" borderId="1" xfId="0" applyFill="1" applyBorder="1" applyAlignment="1">
      <alignment horizontal="left" vertical="center"/>
    </xf>
    <xf numFmtId="0" fontId="12" fillId="8" borderId="0" xfId="0" applyFont="1" applyFill="1" applyAlignment="1">
      <alignment horizontal="center" vertical="center"/>
    </xf>
    <xf numFmtId="0" fontId="12" fillId="7" borderId="0" xfId="0" applyFont="1" applyFill="1" applyAlignment="1">
      <alignment horizontal="center" vertical="center"/>
    </xf>
    <xf numFmtId="0" fontId="12" fillId="5" borderId="0" xfId="0" applyFont="1" applyFill="1" applyAlignment="1">
      <alignment horizontal="center" vertical="center"/>
    </xf>
    <xf numFmtId="1" fontId="12" fillId="20" borderId="0" xfId="0" applyNumberFormat="1" applyFont="1" applyFill="1"/>
    <xf numFmtId="1" fontId="6" fillId="20" borderId="0" xfId="0" applyNumberFormat="1" applyFont="1" applyFill="1" applyAlignment="1">
      <alignment horizontal="center"/>
    </xf>
    <xf numFmtId="0" fontId="0" fillId="20" borderId="0" xfId="0" applyFill="1"/>
    <xf numFmtId="1" fontId="0" fillId="20" borderId="0" xfId="0" applyNumberFormat="1" applyFill="1"/>
    <xf numFmtId="167" fontId="0" fillId="20" borderId="0" xfId="1" applyNumberFormat="1" applyFont="1" applyFill="1" applyBorder="1" applyAlignment="1">
      <alignment horizontal="center"/>
    </xf>
    <xf numFmtId="164" fontId="0" fillId="20" borderId="0" xfId="1" applyNumberFormat="1" applyFont="1" applyFill="1" applyBorder="1" applyAlignment="1">
      <alignment horizontal="right"/>
    </xf>
    <xf numFmtId="165" fontId="11" fillId="20" borderId="0" xfId="2" applyNumberFormat="1" applyFont="1" applyFill="1" applyBorder="1" applyAlignment="1">
      <alignment horizontal="right"/>
    </xf>
    <xf numFmtId="0" fontId="0" fillId="20" borderId="0" xfId="0" applyFill="1" applyAlignment="1">
      <alignment horizontal="center"/>
    </xf>
    <xf numFmtId="1" fontId="0" fillId="20" borderId="8" xfId="0" applyNumberFormat="1" applyFill="1" applyBorder="1"/>
    <xf numFmtId="10" fontId="11" fillId="20" borderId="8" xfId="2" applyNumberFormat="1" applyFont="1" applyFill="1" applyBorder="1" applyAlignment="1">
      <alignment horizontal="right"/>
    </xf>
    <xf numFmtId="2" fontId="11" fillId="20" borderId="8" xfId="2" applyNumberFormat="1" applyFont="1" applyFill="1" applyBorder="1" applyAlignment="1">
      <alignment horizontal="right"/>
    </xf>
    <xf numFmtId="1" fontId="0" fillId="20" borderId="0" xfId="0" applyNumberFormat="1" applyFill="1" applyAlignment="1">
      <alignment horizontal="center"/>
    </xf>
    <xf numFmtId="164" fontId="11" fillId="20" borderId="0" xfId="1" applyNumberFormat="1" applyFont="1" applyFill="1" applyBorder="1" applyAlignment="1">
      <alignment horizontal="center"/>
    </xf>
    <xf numFmtId="164" fontId="0" fillId="20" borderId="0" xfId="1" applyNumberFormat="1" applyFont="1" applyFill="1" applyBorder="1" applyAlignment="1">
      <alignment horizontal="center"/>
    </xf>
    <xf numFmtId="164" fontId="0" fillId="20" borderId="8" xfId="1" applyNumberFormat="1" applyFont="1" applyFill="1" applyBorder="1" applyAlignment="1">
      <alignment horizontal="center"/>
    </xf>
    <xf numFmtId="165" fontId="11" fillId="20" borderId="0" xfId="2" applyNumberFormat="1" applyFont="1" applyFill="1" applyBorder="1" applyAlignment="1">
      <alignment horizontal="center"/>
    </xf>
    <xf numFmtId="1" fontId="12" fillId="19" borderId="0" xfId="0" applyNumberFormat="1" applyFont="1" applyFill="1"/>
    <xf numFmtId="1" fontId="6" fillId="19" borderId="0" xfId="0" applyNumberFormat="1" applyFont="1" applyFill="1" applyAlignment="1">
      <alignment horizontal="center"/>
    </xf>
    <xf numFmtId="0" fontId="0" fillId="19" borderId="0" xfId="0" applyFill="1"/>
    <xf numFmtId="0" fontId="6" fillId="19" borderId="0" xfId="0" applyFont="1" applyFill="1"/>
    <xf numFmtId="164" fontId="6" fillId="19" borderId="8" xfId="1" quotePrefix="1" applyNumberFormat="1" applyFont="1" applyFill="1" applyBorder="1"/>
    <xf numFmtId="164" fontId="6" fillId="19" borderId="8" xfId="1" applyNumberFormat="1" applyFont="1" applyFill="1" applyBorder="1"/>
    <xf numFmtId="1" fontId="0" fillId="19" borderId="0" xfId="0" applyNumberFormat="1" applyFill="1"/>
    <xf numFmtId="9" fontId="0" fillId="19" borderId="0" xfId="2" applyFont="1" applyFill="1"/>
    <xf numFmtId="0" fontId="9" fillId="19" borderId="0" xfId="0" applyFont="1" applyFill="1" applyAlignment="1">
      <alignment horizontal="center"/>
    </xf>
    <xf numFmtId="1" fontId="6" fillId="19" borderId="0" xfId="0" applyNumberFormat="1" applyFont="1" applyFill="1"/>
    <xf numFmtId="164" fontId="0" fillId="19" borderId="0" xfId="1" applyNumberFormat="1" applyFont="1" applyFill="1"/>
    <xf numFmtId="9" fontId="11" fillId="19" borderId="0" xfId="0" applyNumberFormat="1" applyFont="1" applyFill="1"/>
    <xf numFmtId="164" fontId="0" fillId="19" borderId="0" xfId="0" applyNumberFormat="1" applyFill="1"/>
    <xf numFmtId="0" fontId="6" fillId="19" borderId="13" xfId="0" applyFont="1" applyFill="1" applyBorder="1" applyAlignment="1">
      <alignment horizontal="center" vertical="center"/>
    </xf>
    <xf numFmtId="9" fontId="0" fillId="19" borderId="13" xfId="0" applyNumberFormat="1" applyFill="1" applyBorder="1" applyAlignment="1">
      <alignment horizontal="center"/>
    </xf>
    <xf numFmtId="0" fontId="9" fillId="19" borderId="13" xfId="0" applyFont="1" applyFill="1" applyBorder="1" applyAlignment="1">
      <alignment horizontal="center"/>
    </xf>
    <xf numFmtId="0" fontId="9" fillId="19" borderId="13" xfId="0" quotePrefix="1" applyFont="1" applyFill="1" applyBorder="1" applyAlignment="1">
      <alignment horizontal="center"/>
    </xf>
    <xf numFmtId="164" fontId="15" fillId="19" borderId="22" xfId="0" applyNumberFormat="1" applyFont="1" applyFill="1" applyBorder="1"/>
    <xf numFmtId="9" fontId="6" fillId="19" borderId="14" xfId="0" applyNumberFormat="1" applyFont="1" applyFill="1" applyBorder="1" applyAlignment="1">
      <alignment horizontal="center"/>
    </xf>
    <xf numFmtId="164" fontId="6" fillId="19" borderId="13" xfId="0" applyNumberFormat="1" applyFont="1" applyFill="1" applyBorder="1"/>
    <xf numFmtId="164" fontId="6" fillId="19" borderId="9" xfId="0" applyNumberFormat="1" applyFont="1" applyFill="1" applyBorder="1"/>
    <xf numFmtId="164" fontId="6" fillId="19" borderId="14" xfId="0" applyNumberFormat="1" applyFont="1" applyFill="1" applyBorder="1" applyAlignment="1">
      <alignment horizontal="center"/>
    </xf>
    <xf numFmtId="164" fontId="0" fillId="19" borderId="8" xfId="0" applyNumberFormat="1" applyFill="1" applyBorder="1"/>
    <xf numFmtId="9" fontId="15" fillId="19" borderId="13" xfId="0" applyNumberFormat="1" applyFont="1" applyFill="1" applyBorder="1" applyAlignment="1">
      <alignment horizontal="center"/>
    </xf>
    <xf numFmtId="0" fontId="16" fillId="16" borderId="0" xfId="0" applyFont="1" applyFill="1"/>
    <xf numFmtId="0" fontId="16" fillId="16" borderId="0" xfId="0" applyFont="1" applyFill="1" applyAlignment="1">
      <alignment horizontal="center"/>
    </xf>
    <xf numFmtId="10" fontId="11" fillId="16" borderId="0" xfId="0" applyNumberFormat="1" applyFont="1" applyFill="1"/>
    <xf numFmtId="10" fontId="0" fillId="16" borderId="0" xfId="0" applyNumberFormat="1" applyFill="1"/>
    <xf numFmtId="0" fontId="0" fillId="16" borderId="0" xfId="0" applyFill="1"/>
    <xf numFmtId="0" fontId="6" fillId="16" borderId="0" xfId="0" applyFont="1" applyFill="1" applyAlignment="1">
      <alignment horizontal="right"/>
    </xf>
    <xf numFmtId="6" fontId="6" fillId="16" borderId="0" xfId="0" applyNumberFormat="1" applyFont="1" applyFill="1" applyAlignment="1">
      <alignment horizontal="right"/>
    </xf>
    <xf numFmtId="164" fontId="0" fillId="16" borderId="0" xfId="0" applyNumberFormat="1" applyFill="1"/>
    <xf numFmtId="9" fontId="15" fillId="16" borderId="0" xfId="0" applyNumberFormat="1" applyFont="1" applyFill="1"/>
    <xf numFmtId="0" fontId="0" fillId="16" borderId="0" xfId="0" applyFill="1" applyAlignment="1">
      <alignment horizontal="center"/>
    </xf>
    <xf numFmtId="6" fontId="0" fillId="16" borderId="0" xfId="0" applyNumberFormat="1" applyFill="1"/>
    <xf numFmtId="0" fontId="6" fillId="16" borderId="0" xfId="0" applyFont="1" applyFill="1" applyAlignment="1">
      <alignment horizontal="center"/>
    </xf>
    <xf numFmtId="0" fontId="16" fillId="16" borderId="0" xfId="0" applyFont="1" applyFill="1" applyAlignment="1">
      <alignment horizontal="right"/>
    </xf>
  </cellXfs>
  <cellStyles count="6">
    <cellStyle name="Comma" xfId="1" builtinId="3"/>
    <cellStyle name="Currency" xfId="3" builtinId="4"/>
    <cellStyle name="Normal" xfId="0" builtinId="0"/>
    <cellStyle name="Normal 2" xfId="4" xr:uid="{DF27C355-0860-B34A-A422-BE9933BB9B30}"/>
    <cellStyle name="Per cent 2" xfId="5" xr:uid="{9ED1A5D0-8A71-6F45-9487-28FEAF5111FC}"/>
    <cellStyle name="Percent" xfId="2" builtinId="5"/>
  </cellStyles>
  <dxfs count="0"/>
  <tableStyles count="0" defaultTableStyle="TableStyleMedium2" defaultPivotStyle="PivotStyleLight16"/>
  <colors>
    <mruColors>
      <color rgb="FF1712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Market</a:t>
            </a:r>
            <a:r>
              <a:rPr lang="en-GB" b="1" baseline="0"/>
              <a:t> Penetration</a:t>
            </a:r>
            <a:r>
              <a:rPr lang="en-GB" b="1"/>
              <a:t> Projections</a:t>
            </a:r>
          </a:p>
        </c:rich>
      </c:tx>
      <c:layout>
        <c:manualLayout>
          <c:xMode val="edge"/>
          <c:yMode val="edge"/>
          <c:x val="0.3124026684164479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801797423834242"/>
          <c:y val="8.9044128464738859E-2"/>
          <c:w val="0.81400043744531936"/>
          <c:h val="0.80040772727560738"/>
        </c:manualLayout>
      </c:layout>
      <c:lineChart>
        <c:grouping val="standard"/>
        <c:varyColors val="0"/>
        <c:ser>
          <c:idx val="0"/>
          <c:order val="0"/>
          <c:tx>
            <c:v>Oncology market</c:v>
          </c:tx>
          <c:spPr>
            <a:ln w="28575" cap="rnd">
              <a:solidFill>
                <a:schemeClr val="accent1"/>
              </a:solidFill>
              <a:round/>
            </a:ln>
            <a:effectLst/>
          </c:spPr>
          <c:marker>
            <c:symbol val="none"/>
          </c:marker>
          <c:cat>
            <c:numRef>
              <c:f>'Valuation Scenarios'!$F$19:$P$19</c:f>
              <c:numCache>
                <c:formatCode>0</c:formatCode>
                <c:ptCount val="11"/>
                <c:pt idx="0">
                  <c:v>2031</c:v>
                </c:pt>
                <c:pt idx="1">
                  <c:v>2032</c:v>
                </c:pt>
                <c:pt idx="2">
                  <c:v>2033</c:v>
                </c:pt>
                <c:pt idx="3">
                  <c:v>2034</c:v>
                </c:pt>
                <c:pt idx="4">
                  <c:v>2035</c:v>
                </c:pt>
                <c:pt idx="5">
                  <c:v>2036</c:v>
                </c:pt>
                <c:pt idx="6">
                  <c:v>2037</c:v>
                </c:pt>
                <c:pt idx="7">
                  <c:v>2038</c:v>
                </c:pt>
                <c:pt idx="8">
                  <c:v>2039</c:v>
                </c:pt>
                <c:pt idx="9">
                  <c:v>2040</c:v>
                </c:pt>
                <c:pt idx="10">
                  <c:v>2041</c:v>
                </c:pt>
              </c:numCache>
            </c:numRef>
          </c:cat>
          <c:val>
            <c:numRef>
              <c:f>'Valuation Scenarios'!$F$24:$P$24</c:f>
              <c:numCache>
                <c:formatCode>0.00%</c:formatCode>
                <c:ptCount val="11"/>
                <c:pt idx="0">
                  <c:v>1E-3</c:v>
                </c:pt>
                <c:pt idx="1">
                  <c:v>1.5E-3</c:v>
                </c:pt>
                <c:pt idx="2">
                  <c:v>2E-3</c:v>
                </c:pt>
                <c:pt idx="3">
                  <c:v>2.3499999999999997E-3</c:v>
                </c:pt>
                <c:pt idx="4">
                  <c:v>2.5000000000000001E-3</c:v>
                </c:pt>
                <c:pt idx="5">
                  <c:v>2.5000000000000001E-3</c:v>
                </c:pt>
                <c:pt idx="6">
                  <c:v>2.3499999999999997E-3</c:v>
                </c:pt>
                <c:pt idx="7">
                  <c:v>2.15E-3</c:v>
                </c:pt>
                <c:pt idx="8">
                  <c:v>1.8500000000000001E-3</c:v>
                </c:pt>
                <c:pt idx="9">
                  <c:v>1.4499999999999999E-3</c:v>
                </c:pt>
                <c:pt idx="10">
                  <c:v>1E-3</c:v>
                </c:pt>
              </c:numCache>
            </c:numRef>
          </c:val>
          <c:smooth val="0"/>
          <c:extLst>
            <c:ext xmlns:c16="http://schemas.microsoft.com/office/drawing/2014/chart" uri="{C3380CC4-5D6E-409C-BE32-E72D297353CC}">
              <c16:uniqueId val="{00000000-3DAF-5E49-BDE2-F41DCC56D0CB}"/>
            </c:ext>
          </c:extLst>
        </c:ser>
        <c:ser>
          <c:idx val="1"/>
          <c:order val="1"/>
          <c:tx>
            <c:v>Breast cancer market</c:v>
          </c:tx>
          <c:spPr>
            <a:ln w="28575" cap="rnd">
              <a:solidFill>
                <a:schemeClr val="accent2"/>
              </a:solidFill>
              <a:round/>
            </a:ln>
            <a:effectLst/>
          </c:spPr>
          <c:marker>
            <c:symbol val="none"/>
          </c:marker>
          <c:cat>
            <c:numRef>
              <c:f>'Valuation Scenarios'!$F$19:$P$19</c:f>
              <c:numCache>
                <c:formatCode>0</c:formatCode>
                <c:ptCount val="11"/>
                <c:pt idx="0">
                  <c:v>2031</c:v>
                </c:pt>
                <c:pt idx="1">
                  <c:v>2032</c:v>
                </c:pt>
                <c:pt idx="2">
                  <c:v>2033</c:v>
                </c:pt>
                <c:pt idx="3">
                  <c:v>2034</c:v>
                </c:pt>
                <c:pt idx="4">
                  <c:v>2035</c:v>
                </c:pt>
                <c:pt idx="5">
                  <c:v>2036</c:v>
                </c:pt>
                <c:pt idx="6">
                  <c:v>2037</c:v>
                </c:pt>
                <c:pt idx="7">
                  <c:v>2038</c:v>
                </c:pt>
                <c:pt idx="8">
                  <c:v>2039</c:v>
                </c:pt>
                <c:pt idx="9">
                  <c:v>2040</c:v>
                </c:pt>
                <c:pt idx="10">
                  <c:v>2041</c:v>
                </c:pt>
              </c:numCache>
            </c:numRef>
          </c:cat>
          <c:val>
            <c:numRef>
              <c:f>'Valuation Scenarios'!$F$40:$P$40</c:f>
              <c:numCache>
                <c:formatCode>0.00%</c:formatCode>
                <c:ptCount val="11"/>
                <c:pt idx="0">
                  <c:v>2.5000000000000001E-3</c:v>
                </c:pt>
                <c:pt idx="1">
                  <c:v>5.0000000000000001E-3</c:v>
                </c:pt>
                <c:pt idx="2">
                  <c:v>0.01</c:v>
                </c:pt>
                <c:pt idx="3">
                  <c:v>1.4999999999999999E-2</c:v>
                </c:pt>
                <c:pt idx="4">
                  <c:v>1.9E-2</c:v>
                </c:pt>
                <c:pt idx="5">
                  <c:v>0.02</c:v>
                </c:pt>
                <c:pt idx="6">
                  <c:v>1.95E-2</c:v>
                </c:pt>
                <c:pt idx="7">
                  <c:v>1.7500000000000002E-2</c:v>
                </c:pt>
                <c:pt idx="8">
                  <c:v>1.4999999999999999E-2</c:v>
                </c:pt>
                <c:pt idx="9">
                  <c:v>0.01</c:v>
                </c:pt>
                <c:pt idx="10">
                  <c:v>5.0000000000000001E-3</c:v>
                </c:pt>
              </c:numCache>
            </c:numRef>
          </c:val>
          <c:smooth val="0"/>
          <c:extLst>
            <c:ext xmlns:c16="http://schemas.microsoft.com/office/drawing/2014/chart" uri="{C3380CC4-5D6E-409C-BE32-E72D297353CC}">
              <c16:uniqueId val="{00000001-3DAF-5E49-BDE2-F41DCC56D0CB}"/>
            </c:ext>
          </c:extLst>
        </c:ser>
        <c:ser>
          <c:idx val="2"/>
          <c:order val="2"/>
          <c:tx>
            <c:v>TNBC market</c:v>
          </c:tx>
          <c:spPr>
            <a:ln w="28575" cap="rnd">
              <a:solidFill>
                <a:schemeClr val="accent3"/>
              </a:solidFill>
              <a:round/>
            </a:ln>
            <a:effectLst/>
          </c:spPr>
          <c:marker>
            <c:symbol val="none"/>
          </c:marker>
          <c:cat>
            <c:numRef>
              <c:f>'Valuation Scenarios'!$F$19:$P$19</c:f>
              <c:numCache>
                <c:formatCode>0</c:formatCode>
                <c:ptCount val="11"/>
                <c:pt idx="0">
                  <c:v>2031</c:v>
                </c:pt>
                <c:pt idx="1">
                  <c:v>2032</c:v>
                </c:pt>
                <c:pt idx="2">
                  <c:v>2033</c:v>
                </c:pt>
                <c:pt idx="3">
                  <c:v>2034</c:v>
                </c:pt>
                <c:pt idx="4">
                  <c:v>2035</c:v>
                </c:pt>
                <c:pt idx="5">
                  <c:v>2036</c:v>
                </c:pt>
                <c:pt idx="6">
                  <c:v>2037</c:v>
                </c:pt>
                <c:pt idx="7">
                  <c:v>2038</c:v>
                </c:pt>
                <c:pt idx="8">
                  <c:v>2039</c:v>
                </c:pt>
                <c:pt idx="9">
                  <c:v>2040</c:v>
                </c:pt>
                <c:pt idx="10">
                  <c:v>2041</c:v>
                </c:pt>
              </c:numCache>
            </c:numRef>
          </c:cat>
          <c:val>
            <c:numRef>
              <c:f>'Valuation Scenarios'!$F$56:$P$56</c:f>
              <c:numCache>
                <c:formatCode>0.00%</c:formatCode>
                <c:ptCount val="11"/>
                <c:pt idx="0">
                  <c:v>0.02</c:v>
                </c:pt>
                <c:pt idx="1">
                  <c:v>0.04</c:v>
                </c:pt>
                <c:pt idx="2">
                  <c:v>0.08</c:v>
                </c:pt>
                <c:pt idx="3">
                  <c:v>0.14000000000000001</c:v>
                </c:pt>
                <c:pt idx="4">
                  <c:v>0.185</c:v>
                </c:pt>
                <c:pt idx="5">
                  <c:v>0.2</c:v>
                </c:pt>
                <c:pt idx="6">
                  <c:v>0.2</c:v>
                </c:pt>
                <c:pt idx="7">
                  <c:v>0.18</c:v>
                </c:pt>
                <c:pt idx="8">
                  <c:v>0.16</c:v>
                </c:pt>
                <c:pt idx="9">
                  <c:v>0.12</c:v>
                </c:pt>
                <c:pt idx="10">
                  <c:v>0.06</c:v>
                </c:pt>
              </c:numCache>
            </c:numRef>
          </c:val>
          <c:smooth val="0"/>
          <c:extLst>
            <c:ext xmlns:c16="http://schemas.microsoft.com/office/drawing/2014/chart" uri="{C3380CC4-5D6E-409C-BE32-E72D297353CC}">
              <c16:uniqueId val="{00000002-3DAF-5E49-BDE2-F41DCC56D0CB}"/>
            </c:ext>
          </c:extLst>
        </c:ser>
        <c:dLbls>
          <c:showLegendKey val="0"/>
          <c:showVal val="0"/>
          <c:showCatName val="0"/>
          <c:showSerName val="0"/>
          <c:showPercent val="0"/>
          <c:showBubbleSize val="0"/>
        </c:dLbls>
        <c:smooth val="0"/>
        <c:axId val="621693504"/>
        <c:axId val="1002753872"/>
      </c:lineChart>
      <c:catAx>
        <c:axId val="6216935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753872"/>
        <c:crosses val="autoZero"/>
        <c:auto val="1"/>
        <c:lblAlgn val="ctr"/>
        <c:lblOffset val="100"/>
        <c:noMultiLvlLbl val="0"/>
      </c:catAx>
      <c:valAx>
        <c:axId val="1002753872"/>
        <c:scaling>
          <c:orientation val="minMax"/>
          <c:max val="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Market Penetration</a:t>
                </a:r>
                <a:r>
                  <a:rPr lang="en-GB" b="1" baseline="0"/>
                  <a:t> Rates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693504"/>
        <c:crosses val="autoZero"/>
        <c:crossBetween val="between"/>
      </c:valAx>
      <c:spPr>
        <a:noFill/>
        <a:ln>
          <a:noFill/>
        </a:ln>
        <a:effectLst/>
      </c:spPr>
    </c:plotArea>
    <c:legend>
      <c:legendPos val="r"/>
      <c:layout>
        <c:manualLayout>
          <c:xMode val="edge"/>
          <c:yMode val="edge"/>
          <c:x val="0.50935958005249349"/>
          <c:y val="0.54229228369627824"/>
          <c:w val="0.28786264216972879"/>
          <c:h val="0.21441599053949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Drug Sales Projections</a:t>
            </a:r>
          </a:p>
        </c:rich>
      </c:tx>
      <c:layout>
        <c:manualLayout>
          <c:xMode val="edge"/>
          <c:yMode val="edge"/>
          <c:x val="0.3124026684164479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480358705161854"/>
          <c:y val="8.9044021939769333E-2"/>
          <c:w val="0.81400043744531936"/>
          <c:h val="0.80040772727560738"/>
        </c:manualLayout>
      </c:layout>
      <c:lineChart>
        <c:grouping val="standard"/>
        <c:varyColors val="0"/>
        <c:ser>
          <c:idx val="0"/>
          <c:order val="0"/>
          <c:tx>
            <c:v>Oncology market</c:v>
          </c:tx>
          <c:spPr>
            <a:ln w="28575" cap="rnd">
              <a:solidFill>
                <a:schemeClr val="accent1"/>
              </a:solidFill>
              <a:round/>
            </a:ln>
            <a:effectLst/>
          </c:spPr>
          <c:marker>
            <c:symbol val="none"/>
          </c:marker>
          <c:cat>
            <c:numRef>
              <c:f>'Valuation Scenarios'!$F$19:$P$19</c:f>
              <c:numCache>
                <c:formatCode>0</c:formatCode>
                <c:ptCount val="11"/>
                <c:pt idx="0">
                  <c:v>2031</c:v>
                </c:pt>
                <c:pt idx="1">
                  <c:v>2032</c:v>
                </c:pt>
                <c:pt idx="2">
                  <c:v>2033</c:v>
                </c:pt>
                <c:pt idx="3">
                  <c:v>2034</c:v>
                </c:pt>
                <c:pt idx="4">
                  <c:v>2035</c:v>
                </c:pt>
                <c:pt idx="5">
                  <c:v>2036</c:v>
                </c:pt>
                <c:pt idx="6">
                  <c:v>2037</c:v>
                </c:pt>
                <c:pt idx="7">
                  <c:v>2038</c:v>
                </c:pt>
                <c:pt idx="8">
                  <c:v>2039</c:v>
                </c:pt>
                <c:pt idx="9">
                  <c:v>2040</c:v>
                </c:pt>
                <c:pt idx="10">
                  <c:v>2041</c:v>
                </c:pt>
              </c:numCache>
            </c:numRef>
          </c:cat>
          <c:val>
            <c:numRef>
              <c:f>'Valuation Scenarios'!$F$60:$P$60</c:f>
              <c:numCache>
                <c:formatCode>_(* #,##0_);_(* \(#,##0\);_(* "-"??_);_(@_)</c:formatCode>
                <c:ptCount val="11"/>
                <c:pt idx="0">
                  <c:v>238609.24347826088</c:v>
                </c:pt>
                <c:pt idx="1">
                  <c:v>375809.55847826088</c:v>
                </c:pt>
                <c:pt idx="2">
                  <c:v>526133.38186956523</c:v>
                </c:pt>
                <c:pt idx="3">
                  <c:v>649117.0598815761</c:v>
                </c:pt>
                <c:pt idx="4">
                  <c:v>725077.56688899465</c:v>
                </c:pt>
                <c:pt idx="5">
                  <c:v>761331.44523344445</c:v>
                </c:pt>
                <c:pt idx="6">
                  <c:v>751434.13644540962</c:v>
                </c:pt>
                <c:pt idx="7">
                  <c:v>721856.40979809035</c:v>
                </c:pt>
                <c:pt idx="8">
                  <c:v>652188.87257339107</c:v>
                </c:pt>
                <c:pt idx="9">
                  <c:v>536733.81540161499</c:v>
                </c:pt>
                <c:pt idx="10">
                  <c:v>388669.31460116955</c:v>
                </c:pt>
              </c:numCache>
            </c:numRef>
          </c:val>
          <c:smooth val="0"/>
          <c:extLst>
            <c:ext xmlns:c16="http://schemas.microsoft.com/office/drawing/2014/chart" uri="{C3380CC4-5D6E-409C-BE32-E72D297353CC}">
              <c16:uniqueId val="{00000000-82D8-1248-8065-2F9BE66DF0F3}"/>
            </c:ext>
          </c:extLst>
        </c:ser>
        <c:ser>
          <c:idx val="1"/>
          <c:order val="1"/>
          <c:tx>
            <c:v>Breast cancer market</c:v>
          </c:tx>
          <c:spPr>
            <a:ln w="28575" cap="rnd">
              <a:solidFill>
                <a:schemeClr val="accent2"/>
              </a:solidFill>
              <a:round/>
            </a:ln>
            <a:effectLst/>
          </c:spPr>
          <c:marker>
            <c:symbol val="none"/>
          </c:marker>
          <c:cat>
            <c:numRef>
              <c:f>'Valuation Scenarios'!$F$19:$P$19</c:f>
              <c:numCache>
                <c:formatCode>0</c:formatCode>
                <c:ptCount val="11"/>
                <c:pt idx="0">
                  <c:v>2031</c:v>
                </c:pt>
                <c:pt idx="1">
                  <c:v>2032</c:v>
                </c:pt>
                <c:pt idx="2">
                  <c:v>2033</c:v>
                </c:pt>
                <c:pt idx="3">
                  <c:v>2034</c:v>
                </c:pt>
                <c:pt idx="4">
                  <c:v>2035</c:v>
                </c:pt>
                <c:pt idx="5">
                  <c:v>2036</c:v>
                </c:pt>
                <c:pt idx="6">
                  <c:v>2037</c:v>
                </c:pt>
                <c:pt idx="7">
                  <c:v>2038</c:v>
                </c:pt>
                <c:pt idx="8">
                  <c:v>2039</c:v>
                </c:pt>
                <c:pt idx="9">
                  <c:v>2040</c:v>
                </c:pt>
                <c:pt idx="10">
                  <c:v>2041</c:v>
                </c:pt>
              </c:numCache>
            </c:numRef>
          </c:cat>
          <c:val>
            <c:numRef>
              <c:f>'Valuation Scenarios'!$F$63:$P$63</c:f>
              <c:numCache>
                <c:formatCode>_(* #,##0_);_(* \(#,##0\);_(* "-"??_);_(@_)</c:formatCode>
                <c:ptCount val="11"/>
                <c:pt idx="0">
                  <c:v>62760</c:v>
                </c:pt>
                <c:pt idx="1">
                  <c:v>138385.79999999999</c:v>
                </c:pt>
                <c:pt idx="2">
                  <c:v>305140.68900000001</c:v>
                </c:pt>
                <c:pt idx="3">
                  <c:v>504626.41443375003</c:v>
                </c:pt>
                <c:pt idx="4">
                  <c:v>704710.78775673197</c:v>
                </c:pt>
                <c:pt idx="5">
                  <c:v>817835.41421241791</c:v>
                </c:pt>
                <c:pt idx="6">
                  <c:v>879121.95556496107</c:v>
                </c:pt>
                <c:pt idx="7">
                  <c:v>869823.55026571651</c:v>
                </c:pt>
                <c:pt idx="8">
                  <c:v>821983.25500110188</c:v>
                </c:pt>
                <c:pt idx="9">
                  <c:v>604157.69242581003</c:v>
                </c:pt>
                <c:pt idx="10">
                  <c:v>333041.9279497278</c:v>
                </c:pt>
              </c:numCache>
            </c:numRef>
          </c:val>
          <c:smooth val="0"/>
          <c:extLst>
            <c:ext xmlns:c16="http://schemas.microsoft.com/office/drawing/2014/chart" uri="{C3380CC4-5D6E-409C-BE32-E72D297353CC}">
              <c16:uniqueId val="{00000001-82D8-1248-8065-2F9BE66DF0F3}"/>
            </c:ext>
          </c:extLst>
        </c:ser>
        <c:ser>
          <c:idx val="2"/>
          <c:order val="2"/>
          <c:tx>
            <c:v>TNBC market</c:v>
          </c:tx>
          <c:spPr>
            <a:ln w="28575" cap="rnd">
              <a:solidFill>
                <a:schemeClr val="accent3"/>
              </a:solidFill>
              <a:round/>
            </a:ln>
            <a:effectLst/>
          </c:spPr>
          <c:marker>
            <c:symbol val="none"/>
          </c:marker>
          <c:cat>
            <c:numRef>
              <c:f>'Valuation Scenarios'!$F$19:$P$19</c:f>
              <c:numCache>
                <c:formatCode>0</c:formatCode>
                <c:ptCount val="11"/>
                <c:pt idx="0">
                  <c:v>2031</c:v>
                </c:pt>
                <c:pt idx="1">
                  <c:v>2032</c:v>
                </c:pt>
                <c:pt idx="2">
                  <c:v>2033</c:v>
                </c:pt>
                <c:pt idx="3">
                  <c:v>2034</c:v>
                </c:pt>
                <c:pt idx="4">
                  <c:v>2035</c:v>
                </c:pt>
                <c:pt idx="5">
                  <c:v>2036</c:v>
                </c:pt>
                <c:pt idx="6">
                  <c:v>2037</c:v>
                </c:pt>
                <c:pt idx="7">
                  <c:v>2038</c:v>
                </c:pt>
                <c:pt idx="8">
                  <c:v>2039</c:v>
                </c:pt>
                <c:pt idx="9">
                  <c:v>2040</c:v>
                </c:pt>
                <c:pt idx="10">
                  <c:v>2041</c:v>
                </c:pt>
              </c:numCache>
            </c:numRef>
          </c:cat>
          <c:val>
            <c:numRef>
              <c:f>'Valuation Scenarios'!$F$66:$P$66</c:f>
              <c:numCache>
                <c:formatCode>_(* #,##0_);_(* \(#,##0\);_(* "-"??_);_(@_)</c:formatCode>
                <c:ptCount val="11"/>
                <c:pt idx="0">
                  <c:v>50208.000000000007</c:v>
                </c:pt>
                <c:pt idx="1">
                  <c:v>110708.64</c:v>
                </c:pt>
                <c:pt idx="2">
                  <c:v>244112.55120000007</c:v>
                </c:pt>
                <c:pt idx="3">
                  <c:v>470984.65347150009</c:v>
                </c:pt>
                <c:pt idx="4">
                  <c:v>686165.76702629169</c:v>
                </c:pt>
                <c:pt idx="5">
                  <c:v>817835.41421241802</c:v>
                </c:pt>
                <c:pt idx="6">
                  <c:v>901663.54416919104</c:v>
                </c:pt>
                <c:pt idx="7">
                  <c:v>894675.6517018798</c:v>
                </c:pt>
                <c:pt idx="8">
                  <c:v>876782.13866784249</c:v>
                </c:pt>
                <c:pt idx="9">
                  <c:v>724989.23091097223</c:v>
                </c:pt>
                <c:pt idx="10">
                  <c:v>399650.31353967346</c:v>
                </c:pt>
              </c:numCache>
            </c:numRef>
          </c:val>
          <c:smooth val="0"/>
          <c:extLst>
            <c:ext xmlns:c16="http://schemas.microsoft.com/office/drawing/2014/chart" uri="{C3380CC4-5D6E-409C-BE32-E72D297353CC}">
              <c16:uniqueId val="{00000002-82D8-1248-8065-2F9BE66DF0F3}"/>
            </c:ext>
          </c:extLst>
        </c:ser>
        <c:dLbls>
          <c:showLegendKey val="0"/>
          <c:showVal val="0"/>
          <c:showCatName val="0"/>
          <c:showSerName val="0"/>
          <c:showPercent val="0"/>
          <c:showBubbleSize val="0"/>
        </c:dLbls>
        <c:smooth val="0"/>
        <c:axId val="621693504"/>
        <c:axId val="1002753872"/>
      </c:lineChart>
      <c:catAx>
        <c:axId val="6216935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753872"/>
        <c:crosses val="autoZero"/>
        <c:auto val="1"/>
        <c:lblAlgn val="ctr"/>
        <c:lblOffset val="100"/>
        <c:noMultiLvlLbl val="0"/>
      </c:catAx>
      <c:valAx>
        <c:axId val="1002753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Sales Revenue</a:t>
                </a:r>
                <a:r>
                  <a:rPr lang="en-GB" b="1" baseline="0"/>
                  <a:t> ('000s)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693504"/>
        <c:crosses val="autoZero"/>
        <c:crossBetween val="between"/>
      </c:valAx>
      <c:spPr>
        <a:noFill/>
        <a:ln>
          <a:noFill/>
        </a:ln>
        <a:effectLst/>
      </c:spPr>
    </c:plotArea>
    <c:legend>
      <c:legendPos val="r"/>
      <c:layout>
        <c:manualLayout>
          <c:xMode val="edge"/>
          <c:yMode val="edge"/>
          <c:x val="0.55658180227471565"/>
          <c:y val="0.61429316127150768"/>
          <c:w val="0.28786257920765984"/>
          <c:h val="0.21441599053949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Market</a:t>
            </a:r>
            <a:r>
              <a:rPr lang="en-GB" b="1" baseline="0"/>
              <a:t> Penetration</a:t>
            </a:r>
            <a:r>
              <a:rPr lang="en-GB" b="1"/>
              <a:t> Projections</a:t>
            </a:r>
          </a:p>
        </c:rich>
      </c:tx>
      <c:layout>
        <c:manualLayout>
          <c:xMode val="edge"/>
          <c:yMode val="edge"/>
          <c:x val="0.3124026684164479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480358705161854"/>
          <c:y val="8.9044021939769333E-2"/>
          <c:w val="0.81400043744531936"/>
          <c:h val="0.80040772727560738"/>
        </c:manualLayout>
      </c:layout>
      <c:lineChart>
        <c:grouping val="standard"/>
        <c:varyColors val="0"/>
        <c:ser>
          <c:idx val="0"/>
          <c:order val="0"/>
          <c:tx>
            <c:v>Oncology market</c:v>
          </c:tx>
          <c:spPr>
            <a:ln w="28575" cap="rnd">
              <a:solidFill>
                <a:schemeClr val="accent1"/>
              </a:solidFill>
              <a:round/>
            </a:ln>
            <a:effectLst/>
          </c:spPr>
          <c:marker>
            <c:symbol val="none"/>
          </c:marker>
          <c:cat>
            <c:numRef>
              <c:f>'Valuation Scenarios'!$F$19:$P$19</c:f>
              <c:numCache>
                <c:formatCode>0</c:formatCode>
                <c:ptCount val="11"/>
                <c:pt idx="0">
                  <c:v>2031</c:v>
                </c:pt>
                <c:pt idx="1">
                  <c:v>2032</c:v>
                </c:pt>
                <c:pt idx="2">
                  <c:v>2033</c:v>
                </c:pt>
                <c:pt idx="3">
                  <c:v>2034</c:v>
                </c:pt>
                <c:pt idx="4">
                  <c:v>2035</c:v>
                </c:pt>
                <c:pt idx="5">
                  <c:v>2036</c:v>
                </c:pt>
                <c:pt idx="6">
                  <c:v>2037</c:v>
                </c:pt>
                <c:pt idx="7">
                  <c:v>2038</c:v>
                </c:pt>
                <c:pt idx="8">
                  <c:v>2039</c:v>
                </c:pt>
                <c:pt idx="9">
                  <c:v>2040</c:v>
                </c:pt>
                <c:pt idx="10">
                  <c:v>2041</c:v>
                </c:pt>
              </c:numCache>
            </c:numRef>
          </c:cat>
          <c:val>
            <c:numRef>
              <c:f>'Valuation Scenarios'!$F$24:$P$24</c:f>
              <c:numCache>
                <c:formatCode>0.00%</c:formatCode>
                <c:ptCount val="11"/>
                <c:pt idx="0">
                  <c:v>1E-3</c:v>
                </c:pt>
                <c:pt idx="1">
                  <c:v>1.5E-3</c:v>
                </c:pt>
                <c:pt idx="2">
                  <c:v>2E-3</c:v>
                </c:pt>
                <c:pt idx="3">
                  <c:v>2.3499999999999997E-3</c:v>
                </c:pt>
                <c:pt idx="4">
                  <c:v>2.5000000000000001E-3</c:v>
                </c:pt>
                <c:pt idx="5">
                  <c:v>2.5000000000000001E-3</c:v>
                </c:pt>
                <c:pt idx="6">
                  <c:v>2.3499999999999997E-3</c:v>
                </c:pt>
                <c:pt idx="7">
                  <c:v>2.15E-3</c:v>
                </c:pt>
                <c:pt idx="8">
                  <c:v>1.8500000000000001E-3</c:v>
                </c:pt>
                <c:pt idx="9">
                  <c:v>1.4499999999999999E-3</c:v>
                </c:pt>
                <c:pt idx="10">
                  <c:v>1E-3</c:v>
                </c:pt>
              </c:numCache>
            </c:numRef>
          </c:val>
          <c:smooth val="0"/>
          <c:extLst>
            <c:ext xmlns:c16="http://schemas.microsoft.com/office/drawing/2014/chart" uri="{C3380CC4-5D6E-409C-BE32-E72D297353CC}">
              <c16:uniqueId val="{00000000-8933-F54E-8C88-24FBB22703E7}"/>
            </c:ext>
          </c:extLst>
        </c:ser>
        <c:dLbls>
          <c:showLegendKey val="0"/>
          <c:showVal val="0"/>
          <c:showCatName val="0"/>
          <c:showSerName val="0"/>
          <c:showPercent val="0"/>
          <c:showBubbleSize val="0"/>
        </c:dLbls>
        <c:smooth val="0"/>
        <c:axId val="621693504"/>
        <c:axId val="1002753872"/>
      </c:lineChart>
      <c:catAx>
        <c:axId val="6216935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753872"/>
        <c:crosses val="autoZero"/>
        <c:auto val="1"/>
        <c:lblAlgn val="ctr"/>
        <c:lblOffset val="100"/>
        <c:noMultiLvlLbl val="0"/>
      </c:catAx>
      <c:valAx>
        <c:axId val="1002753872"/>
        <c:scaling>
          <c:orientation val="minMax"/>
          <c:max val="5.000000000000001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Market Penetration</a:t>
                </a:r>
                <a:r>
                  <a:rPr lang="en-GB" b="1" baseline="0"/>
                  <a:t> Rates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693504"/>
        <c:crosses val="autoZero"/>
        <c:crossBetween val="between"/>
      </c:valAx>
      <c:spPr>
        <a:noFill/>
        <a:ln>
          <a:noFill/>
        </a:ln>
        <a:effectLst/>
      </c:spPr>
    </c:plotArea>
    <c:legend>
      <c:legendPos val="r"/>
      <c:layout>
        <c:manualLayout>
          <c:xMode val="edge"/>
          <c:yMode val="edge"/>
          <c:x val="0.50935958005249349"/>
          <c:y val="0.54229228369627824"/>
          <c:w val="0.28786264216972879"/>
          <c:h val="0.21441599053949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Drug 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6699197175276"/>
          <c:y val="9.6671692932912487E-2"/>
          <c:w val="0.86886133180498692"/>
          <c:h val="0.78981369568390924"/>
        </c:manualLayout>
      </c:layout>
      <c:lineChart>
        <c:grouping val="standard"/>
        <c:varyColors val="0"/>
        <c:ser>
          <c:idx val="0"/>
          <c:order val="0"/>
          <c:spPr>
            <a:ln w="28575" cap="rnd">
              <a:solidFill>
                <a:schemeClr val="accent1"/>
              </a:solidFill>
              <a:round/>
            </a:ln>
            <a:effectLst/>
          </c:spPr>
          <c:marker>
            <c:symbol val="none"/>
          </c:marker>
          <c:val>
            <c:numRef>
              <c:f>'[1]Drug Sales'!$C$2:$N$2</c:f>
              <c:numCache>
                <c:formatCode>General</c:formatCode>
                <c:ptCount val="12"/>
                <c:pt idx="0">
                  <c:v>100</c:v>
                </c:pt>
                <c:pt idx="1">
                  <c:v>200</c:v>
                </c:pt>
                <c:pt idx="2">
                  <c:v>400</c:v>
                </c:pt>
                <c:pt idx="3">
                  <c:v>650</c:v>
                </c:pt>
                <c:pt idx="4">
                  <c:v>1150</c:v>
                </c:pt>
                <c:pt idx="5">
                  <c:v>1450</c:v>
                </c:pt>
                <c:pt idx="6">
                  <c:v>1600</c:v>
                </c:pt>
                <c:pt idx="7">
                  <c:v>1600</c:v>
                </c:pt>
                <c:pt idx="8">
                  <c:v>1400</c:v>
                </c:pt>
                <c:pt idx="9">
                  <c:v>800</c:v>
                </c:pt>
                <c:pt idx="10">
                  <c:v>400</c:v>
                </c:pt>
                <c:pt idx="11">
                  <c:v>250</c:v>
                </c:pt>
              </c:numCache>
            </c:numRef>
          </c:val>
          <c:smooth val="0"/>
          <c:extLst>
            <c:ext xmlns:c16="http://schemas.microsoft.com/office/drawing/2014/chart" uri="{C3380CC4-5D6E-409C-BE32-E72D297353CC}">
              <c16:uniqueId val="{00000000-A584-4EA1-81BA-C070805AF281}"/>
            </c:ext>
          </c:extLst>
        </c:ser>
        <c:ser>
          <c:idx val="1"/>
          <c:order val="1"/>
          <c:spPr>
            <a:ln w="28575" cap="rnd">
              <a:solidFill>
                <a:schemeClr val="accent2"/>
              </a:solidFill>
              <a:round/>
            </a:ln>
            <a:effectLst/>
          </c:spPr>
          <c:marker>
            <c:symbol val="none"/>
          </c:marker>
          <c:val>
            <c:numRef>
              <c:f>'[1]Drug Sales'!$B$3:$N$3</c:f>
              <c:numCache>
                <c:formatCode>General</c:formatCode>
                <c:ptCount val="13"/>
                <c:pt idx="0">
                  <c:v>100</c:v>
                </c:pt>
                <c:pt idx="1">
                  <c:v>250</c:v>
                </c:pt>
                <c:pt idx="2">
                  <c:v>500</c:v>
                </c:pt>
                <c:pt idx="3">
                  <c:v>750</c:v>
                </c:pt>
                <c:pt idx="4">
                  <c:v>1250</c:v>
                </c:pt>
                <c:pt idx="5">
                  <c:v>1650</c:v>
                </c:pt>
                <c:pt idx="6">
                  <c:v>1850</c:v>
                </c:pt>
                <c:pt idx="7">
                  <c:v>1850</c:v>
                </c:pt>
                <c:pt idx="8">
                  <c:v>1700</c:v>
                </c:pt>
                <c:pt idx="9">
                  <c:v>1350</c:v>
                </c:pt>
                <c:pt idx="10">
                  <c:v>850</c:v>
                </c:pt>
                <c:pt idx="11">
                  <c:v>500</c:v>
                </c:pt>
                <c:pt idx="12">
                  <c:v>400</c:v>
                </c:pt>
              </c:numCache>
            </c:numRef>
          </c:val>
          <c:smooth val="0"/>
          <c:extLst>
            <c:ext xmlns:c16="http://schemas.microsoft.com/office/drawing/2014/chart" uri="{C3380CC4-5D6E-409C-BE32-E72D297353CC}">
              <c16:uniqueId val="{00000001-A584-4EA1-81BA-C070805AF281}"/>
            </c:ext>
          </c:extLst>
        </c:ser>
        <c:ser>
          <c:idx val="2"/>
          <c:order val="2"/>
          <c:spPr>
            <a:ln w="28575" cap="rnd">
              <a:solidFill>
                <a:schemeClr val="accent3"/>
              </a:solidFill>
              <a:round/>
            </a:ln>
            <a:effectLst/>
          </c:spPr>
          <c:marker>
            <c:symbol val="none"/>
          </c:marker>
          <c:val>
            <c:numRef>
              <c:f>'[1]Drug Sales'!$D$4:$N$4</c:f>
              <c:numCache>
                <c:formatCode>General</c:formatCode>
                <c:ptCount val="11"/>
                <c:pt idx="0">
                  <c:v>100</c:v>
                </c:pt>
                <c:pt idx="1">
                  <c:v>150</c:v>
                </c:pt>
                <c:pt idx="2">
                  <c:v>300</c:v>
                </c:pt>
                <c:pt idx="3">
                  <c:v>600</c:v>
                </c:pt>
                <c:pt idx="4">
                  <c:v>1100</c:v>
                </c:pt>
                <c:pt idx="5">
                  <c:v>1400</c:v>
                </c:pt>
                <c:pt idx="6">
                  <c:v>1400</c:v>
                </c:pt>
                <c:pt idx="7">
                  <c:v>1150</c:v>
                </c:pt>
                <c:pt idx="8">
                  <c:v>550</c:v>
                </c:pt>
                <c:pt idx="9">
                  <c:v>150</c:v>
                </c:pt>
                <c:pt idx="10">
                  <c:v>100</c:v>
                </c:pt>
              </c:numCache>
            </c:numRef>
          </c:val>
          <c:smooth val="0"/>
          <c:extLst>
            <c:ext xmlns:c16="http://schemas.microsoft.com/office/drawing/2014/chart" uri="{C3380CC4-5D6E-409C-BE32-E72D297353CC}">
              <c16:uniqueId val="{00000002-A584-4EA1-81BA-C070805AF281}"/>
            </c:ext>
          </c:extLst>
        </c:ser>
        <c:dLbls>
          <c:showLegendKey val="0"/>
          <c:showVal val="0"/>
          <c:showCatName val="0"/>
          <c:showSerName val="0"/>
          <c:showPercent val="0"/>
          <c:showBubbleSize val="0"/>
        </c:dLbls>
        <c:smooth val="0"/>
        <c:axId val="-2105478784"/>
        <c:axId val="-2105476464"/>
      </c:lineChart>
      <c:catAx>
        <c:axId val="-2105478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476464"/>
        <c:crosses val="autoZero"/>
        <c:auto val="1"/>
        <c:lblAlgn val="ctr"/>
        <c:lblOffset val="100"/>
        <c:noMultiLvlLbl val="0"/>
      </c:catAx>
      <c:valAx>
        <c:axId val="-2105476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Sales </a:t>
                </a:r>
                <a:r>
                  <a:rPr lang="en-GB" sz="1400" b="1" baseline="0"/>
                  <a:t> Revenue (USD million)</a:t>
                </a:r>
                <a:endParaRPr lang="en-GB" sz="1400" b="1"/>
              </a:p>
            </c:rich>
          </c:tx>
          <c:layout>
            <c:manualLayout>
              <c:xMode val="edge"/>
              <c:yMode val="edge"/>
              <c:x val="7.0312493079479031E-3"/>
              <c:y val="0.295782560639348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478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647700</xdr:colOff>
      <xdr:row>80</xdr:row>
      <xdr:rowOff>114300</xdr:rowOff>
    </xdr:from>
    <xdr:to>
      <xdr:col>3</xdr:col>
      <xdr:colOff>438150</xdr:colOff>
      <xdr:row>82</xdr:row>
      <xdr:rowOff>95250</xdr:rowOff>
    </xdr:to>
    <xdr:cxnSp macro="">
      <xdr:nvCxnSpPr>
        <xdr:cNvPr id="3" name="Connector: Elbow 2">
          <a:extLst>
            <a:ext uri="{FF2B5EF4-FFF2-40B4-BE49-F238E27FC236}">
              <a16:creationId xmlns:a16="http://schemas.microsoft.com/office/drawing/2014/main" id="{00000000-0008-0000-0000-000003000000}"/>
            </a:ext>
          </a:extLst>
        </xdr:cNvPr>
        <xdr:cNvCxnSpPr/>
      </xdr:nvCxnSpPr>
      <xdr:spPr>
        <a:xfrm>
          <a:off x="3076575" y="15230475"/>
          <a:ext cx="571500" cy="342900"/>
        </a:xfrm>
        <a:prstGeom prst="bentConnector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444671</xdr:colOff>
      <xdr:row>31</xdr:row>
      <xdr:rowOff>20852</xdr:rowOff>
    </xdr:from>
    <xdr:to>
      <xdr:col>32</xdr:col>
      <xdr:colOff>96709</xdr:colOff>
      <xdr:row>48</xdr:row>
      <xdr:rowOff>130175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686</xdr:colOff>
      <xdr:row>30</xdr:row>
      <xdr:rowOff>152914</xdr:rowOff>
    </xdr:from>
    <xdr:to>
      <xdr:col>24</xdr:col>
      <xdr:colOff>284549</xdr:colOff>
      <xdr:row>49</xdr:row>
      <xdr:rowOff>47281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244475</xdr:colOff>
      <xdr:row>31</xdr:row>
      <xdr:rowOff>29261</xdr:rowOff>
    </xdr:from>
    <xdr:to>
      <xdr:col>39</xdr:col>
      <xdr:colOff>311837</xdr:colOff>
      <xdr:row>48</xdr:row>
      <xdr:rowOff>151284</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2034540</xdr:colOff>
      <xdr:row>0</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618740" y="13148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0</xdr:row>
          <xdr:rowOff>0</xdr:rowOff>
        </xdr:from>
        <xdr:to>
          <xdr:col>2</xdr:col>
          <xdr:colOff>508000</xdr:colOff>
          <xdr:row>0</xdr:row>
          <xdr:rowOff>177961</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0</xdr:row>
          <xdr:rowOff>0</xdr:rowOff>
        </xdr:from>
        <xdr:to>
          <xdr:col>2</xdr:col>
          <xdr:colOff>508000</xdr:colOff>
          <xdr:row>0</xdr:row>
          <xdr:rowOff>146212</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0</xdr:row>
          <xdr:rowOff>0</xdr:rowOff>
        </xdr:from>
        <xdr:to>
          <xdr:col>2</xdr:col>
          <xdr:colOff>508000</xdr:colOff>
          <xdr:row>0</xdr:row>
          <xdr:rowOff>152400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16</xdr:col>
      <xdr:colOff>50801</xdr:colOff>
      <xdr:row>0</xdr:row>
      <xdr:rowOff>0</xdr:rowOff>
    </xdr:from>
    <xdr:to>
      <xdr:col>24</xdr:col>
      <xdr:colOff>395400</xdr:colOff>
      <xdr:row>23</xdr:row>
      <xdr:rowOff>167378</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7200901" y="26848859"/>
          <a:ext cx="5470405" cy="4145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38357</xdr:rowOff>
    </xdr:from>
    <xdr:to>
      <xdr:col>12</xdr:col>
      <xdr:colOff>1</xdr:colOff>
      <xdr:row>34</xdr:row>
      <xdr:rowOff>10904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6921b89f68d3868/Documents/CSD%5e0A/CSD%5e0A%20Consultant/PROJECTS/Theramir/DCF%20Valuation%20model%20for%20Theramir%20Jan%202022%20(De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lc"/>
      <sheetName val="Drug Sales"/>
    </sheetNames>
    <sheetDataSet>
      <sheetData sheetId="0">
        <row r="8">
          <cell r="D8">
            <v>2022</v>
          </cell>
          <cell r="E8">
            <v>2023</v>
          </cell>
          <cell r="F8">
            <v>2024</v>
          </cell>
          <cell r="G8">
            <v>2025</v>
          </cell>
          <cell r="H8">
            <v>2026</v>
          </cell>
          <cell r="I8">
            <v>2027</v>
          </cell>
          <cell r="J8">
            <v>2028</v>
          </cell>
          <cell r="K8">
            <v>2029</v>
          </cell>
          <cell r="L8">
            <v>2030</v>
          </cell>
          <cell r="M8">
            <v>2031</v>
          </cell>
          <cell r="N8">
            <v>2032</v>
          </cell>
          <cell r="O8">
            <v>2033</v>
          </cell>
          <cell r="P8">
            <v>2034</v>
          </cell>
          <cell r="Q8">
            <v>2035</v>
          </cell>
          <cell r="R8">
            <v>2036</v>
          </cell>
          <cell r="S8">
            <v>2037</v>
          </cell>
          <cell r="T8">
            <v>2038</v>
          </cell>
          <cell r="U8">
            <v>2039</v>
          </cell>
          <cell r="V8">
            <v>2040</v>
          </cell>
          <cell r="W8">
            <v>2041</v>
          </cell>
          <cell r="X8">
            <v>2042</v>
          </cell>
        </row>
        <row r="230">
          <cell r="D230">
            <v>0</v>
          </cell>
          <cell r="E230">
            <v>0</v>
          </cell>
          <cell r="F230">
            <v>6.75</v>
          </cell>
          <cell r="G230">
            <v>6.4799999999999995</v>
          </cell>
          <cell r="H230">
            <v>0</v>
          </cell>
          <cell r="I230">
            <v>6.3504000000000005</v>
          </cell>
          <cell r="J230">
            <v>0</v>
          </cell>
          <cell r="K230">
            <v>0</v>
          </cell>
          <cell r="L230">
            <v>4.3659000000000008</v>
          </cell>
          <cell r="M230">
            <v>0.31434479999999998</v>
          </cell>
          <cell r="N230">
            <v>0.62868959999999996</v>
          </cell>
          <cell r="O230">
            <v>1.2573791999999999</v>
          </cell>
          <cell r="P230">
            <v>2.2986463499999998</v>
          </cell>
          <cell r="Q230">
            <v>4.9705771499999996</v>
          </cell>
          <cell r="R230">
            <v>6.2672494500000004</v>
          </cell>
          <cell r="S230">
            <v>6.9155856</v>
          </cell>
          <cell r="T230">
            <v>6.9155856</v>
          </cell>
          <cell r="U230">
            <v>6.0511374</v>
          </cell>
          <cell r="V230">
            <v>2.8291031999999996</v>
          </cell>
          <cell r="W230">
            <v>1.2573791999999999</v>
          </cell>
          <cell r="X230">
            <v>0.78586200000000017</v>
          </cell>
        </row>
        <row r="231">
          <cell r="D231">
            <v>-0.25</v>
          </cell>
          <cell r="E231">
            <v>-0.125</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row>
        <row r="232">
          <cell r="D232">
            <v>-0.25</v>
          </cell>
          <cell r="E232">
            <v>-0.125</v>
          </cell>
          <cell r="F232">
            <v>6.75</v>
          </cell>
          <cell r="G232">
            <v>6.4799999999999995</v>
          </cell>
          <cell r="H232">
            <v>0</v>
          </cell>
          <cell r="I232">
            <v>6.3504000000000005</v>
          </cell>
          <cell r="J232">
            <v>0</v>
          </cell>
          <cell r="K232">
            <v>0</v>
          </cell>
          <cell r="L232">
            <v>4.3659000000000008</v>
          </cell>
          <cell r="M232">
            <v>0.31434479999999998</v>
          </cell>
          <cell r="N232">
            <v>0.62868959999999996</v>
          </cell>
          <cell r="O232">
            <v>1.2573791999999999</v>
          </cell>
          <cell r="P232">
            <v>2.2986463499999998</v>
          </cell>
          <cell r="Q232">
            <v>4.9705771499999996</v>
          </cell>
          <cell r="R232">
            <v>6.2672494500000004</v>
          </cell>
          <cell r="S232">
            <v>6.9155856</v>
          </cell>
          <cell r="T232">
            <v>6.9155856</v>
          </cell>
          <cell r="U232">
            <v>6.0511374</v>
          </cell>
          <cell r="V232">
            <v>2.8291031999999996</v>
          </cell>
          <cell r="W232">
            <v>1.2573791999999999</v>
          </cell>
          <cell r="X232">
            <v>0.78586200000000017</v>
          </cell>
        </row>
        <row r="235">
          <cell r="D235">
            <v>0</v>
          </cell>
          <cell r="E235">
            <v>0</v>
          </cell>
          <cell r="F235">
            <v>-9.3000000000000007</v>
          </cell>
          <cell r="G235">
            <v>-9</v>
          </cell>
          <cell r="H235">
            <v>-2.6459999999999999</v>
          </cell>
          <cell r="I235">
            <v>-9.702</v>
          </cell>
          <cell r="J235">
            <v>-2.4255000000000004</v>
          </cell>
          <cell r="K235">
            <v>-2.4255000000000004</v>
          </cell>
          <cell r="L235">
            <v>-7.2765000000000013</v>
          </cell>
          <cell r="M235">
            <v>5.1081029999999989</v>
          </cell>
          <cell r="N235">
            <v>10.652795999999999</v>
          </cell>
          <cell r="O235">
            <v>21.305591999999997</v>
          </cell>
          <cell r="P235">
            <v>34.3378035</v>
          </cell>
          <cell r="Q235">
            <v>59.74734149999999</v>
          </cell>
          <cell r="R235">
            <v>75.333604499999993</v>
          </cell>
          <cell r="S235">
            <v>83.126735999999994</v>
          </cell>
          <cell r="T235">
            <v>83.126735999999994</v>
          </cell>
          <cell r="U235">
            <v>72.735894000000002</v>
          </cell>
          <cell r="V235">
            <v>42.261911999999995</v>
          </cell>
          <cell r="W235">
            <v>21.305591999999997</v>
          </cell>
          <cell r="X235">
            <v>13.315995000000001</v>
          </cell>
        </row>
        <row r="236">
          <cell r="D236">
            <v>0</v>
          </cell>
          <cell r="E236">
            <v>0</v>
          </cell>
          <cell r="F236">
            <v>-9.3000000000000007</v>
          </cell>
          <cell r="G236">
            <v>-9</v>
          </cell>
          <cell r="H236">
            <v>-2.6459999999999999</v>
          </cell>
          <cell r="I236">
            <v>-9.702</v>
          </cell>
          <cell r="J236">
            <v>-2.4255000000000004</v>
          </cell>
          <cell r="K236">
            <v>-2.4255000000000004</v>
          </cell>
          <cell r="L236">
            <v>-7.2765000000000013</v>
          </cell>
          <cell r="M236">
            <v>0</v>
          </cell>
          <cell r="N236">
            <v>0</v>
          </cell>
          <cell r="O236">
            <v>0</v>
          </cell>
          <cell r="P236">
            <v>0</v>
          </cell>
          <cell r="Q236">
            <v>0</v>
          </cell>
          <cell r="R236">
            <v>0</v>
          </cell>
          <cell r="S236">
            <v>0</v>
          </cell>
          <cell r="T236">
            <v>0</v>
          </cell>
          <cell r="U236">
            <v>0</v>
          </cell>
          <cell r="V236">
            <v>0</v>
          </cell>
          <cell r="W236">
            <v>0</v>
          </cell>
          <cell r="X236">
            <v>0</v>
          </cell>
        </row>
        <row r="265">
          <cell r="P265" t="str">
            <v>Pre-Clinical</v>
          </cell>
          <cell r="Q265" t="str">
            <v>Successful IND Submission</v>
          </cell>
          <cell r="R265" t="str">
            <v>Phase I Successful</v>
          </cell>
          <cell r="S265" t="str">
            <v>Phase II Successful</v>
          </cell>
          <cell r="T265" t="str">
            <v>Phase III Successful</v>
          </cell>
          <cell r="U265" t="str">
            <v>Successful NDA</v>
          </cell>
        </row>
        <row r="267">
          <cell r="P267">
            <v>1</v>
          </cell>
          <cell r="Q267">
            <v>0.5</v>
          </cell>
          <cell r="R267">
            <v>0.36</v>
          </cell>
          <cell r="S267">
            <v>0.1764</v>
          </cell>
          <cell r="T267">
            <v>9.7020000000000009E-2</v>
          </cell>
          <cell r="U267">
            <v>8.7318000000000007E-2</v>
          </cell>
        </row>
      </sheetData>
      <sheetData sheetId="1">
        <row r="29">
          <cell r="M29">
            <v>4</v>
          </cell>
        </row>
      </sheetData>
      <sheetData sheetId="2">
        <row r="2">
          <cell r="C2">
            <v>100</v>
          </cell>
          <cell r="D2">
            <v>200</v>
          </cell>
          <cell r="E2">
            <v>400</v>
          </cell>
          <cell r="F2">
            <v>650</v>
          </cell>
          <cell r="G2">
            <v>1150</v>
          </cell>
          <cell r="H2">
            <v>1450</v>
          </cell>
          <cell r="I2">
            <v>1600</v>
          </cell>
          <cell r="J2">
            <v>1600</v>
          </cell>
          <cell r="K2">
            <v>1400</v>
          </cell>
          <cell r="L2">
            <v>800</v>
          </cell>
          <cell r="M2">
            <v>400</v>
          </cell>
          <cell r="N2">
            <v>250</v>
          </cell>
        </row>
        <row r="3">
          <cell r="B3">
            <v>100</v>
          </cell>
          <cell r="C3">
            <v>250</v>
          </cell>
          <cell r="D3">
            <v>500</v>
          </cell>
          <cell r="E3">
            <v>750</v>
          </cell>
          <cell r="F3">
            <v>1250</v>
          </cell>
          <cell r="G3">
            <v>1650</v>
          </cell>
          <cell r="H3">
            <v>1850</v>
          </cell>
          <cell r="I3">
            <v>1850</v>
          </cell>
          <cell r="J3">
            <v>1700</v>
          </cell>
          <cell r="K3">
            <v>1350</v>
          </cell>
          <cell r="L3">
            <v>850</v>
          </cell>
          <cell r="M3">
            <v>500</v>
          </cell>
          <cell r="N3">
            <v>400</v>
          </cell>
        </row>
        <row r="4">
          <cell r="D4">
            <v>100</v>
          </cell>
          <cell r="E4">
            <v>150</v>
          </cell>
          <cell r="F4">
            <v>300</v>
          </cell>
          <cell r="G4">
            <v>600</v>
          </cell>
          <cell r="H4">
            <v>1100</v>
          </cell>
          <cell r="I4">
            <v>1400</v>
          </cell>
          <cell r="J4">
            <v>1400</v>
          </cell>
          <cell r="K4">
            <v>1150</v>
          </cell>
          <cell r="L4">
            <v>550</v>
          </cell>
          <cell r="M4">
            <v>150</v>
          </cell>
          <cell r="N4">
            <v>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468C-33A6-418B-B5DE-69B5C4D8B39C}">
  <sheetPr>
    <pageSetUpPr fitToPage="1"/>
  </sheetPr>
  <dimension ref="A1:AU126"/>
  <sheetViews>
    <sheetView showGridLines="0" tabSelected="1" zoomScaleNormal="100" workbookViewId="0">
      <selection activeCell="F94" sqref="F94"/>
    </sheetView>
  </sheetViews>
  <sheetFormatPr defaultColWidth="8.81640625" defaultRowHeight="12.5" x14ac:dyDescent="0.25"/>
  <cols>
    <col min="1" max="1" width="4.1796875" customWidth="1"/>
    <col min="2" max="2" width="45.6328125" customWidth="1"/>
    <col min="3" max="3" width="11" customWidth="1"/>
    <col min="4" max="4" width="12.7265625" customWidth="1"/>
    <col min="5" max="5" width="10.1796875" customWidth="1"/>
    <col min="6" max="6" width="12" customWidth="1"/>
    <col min="7" max="8" width="11.1796875" bestFit="1" customWidth="1"/>
    <col min="9" max="10" width="11.453125" bestFit="1" customWidth="1"/>
    <col min="11" max="11" width="10.81640625" customWidth="1"/>
    <col min="12" max="15" width="11.453125" bestFit="1" customWidth="1"/>
    <col min="16" max="16" width="11.81640625" customWidth="1"/>
    <col min="17" max="17" width="14.453125" customWidth="1"/>
    <col min="18" max="18" width="6.54296875" customWidth="1"/>
    <col min="19" max="19" width="12.7265625" customWidth="1"/>
    <col min="20" max="20" width="8.453125" customWidth="1"/>
    <col min="21" max="21" width="7.81640625" customWidth="1"/>
    <col min="22" max="22" width="5" customWidth="1"/>
    <col min="23" max="23" width="6.1796875" customWidth="1"/>
    <col min="24" max="24" width="11.453125" customWidth="1"/>
    <col min="25" max="25" width="7.81640625" customWidth="1"/>
    <col min="26" max="26" width="8.1796875" customWidth="1"/>
    <col min="27" max="27" width="5.453125" customWidth="1"/>
    <col min="28" max="28" width="6" customWidth="1"/>
    <col min="29" max="29" width="11" customWidth="1"/>
    <col min="32" max="32" width="5.453125" customWidth="1"/>
    <col min="33" max="33" width="6.54296875" customWidth="1"/>
    <col min="34" max="34" width="10.81640625" customWidth="1"/>
    <col min="35" max="35" width="8.1796875" customWidth="1"/>
    <col min="37" max="37" width="14.453125" customWidth="1"/>
    <col min="38" max="38" width="6.1796875" customWidth="1"/>
    <col min="39" max="39" width="12.7265625" customWidth="1"/>
    <col min="40" max="40" width="8.453125" customWidth="1"/>
    <col min="42" max="42" width="6.1796875" customWidth="1"/>
    <col min="43" max="43" width="7" customWidth="1"/>
    <col min="44" max="44" width="11.7265625" customWidth="1"/>
    <col min="47" max="48" width="6.1796875" customWidth="1"/>
    <col min="49" max="49" width="8.453125" customWidth="1"/>
    <col min="50" max="50" width="8" customWidth="1"/>
    <col min="51" max="51" width="7.81640625" customWidth="1"/>
    <col min="52" max="52" width="6.81640625" customWidth="1"/>
    <col min="53" max="53" width="7.81640625" customWidth="1"/>
    <col min="54" max="54" width="10.54296875" customWidth="1"/>
    <col min="57" max="57" width="11.81640625" customWidth="1"/>
  </cols>
  <sheetData>
    <row r="1" spans="1:37" ht="25" x14ac:dyDescent="0.5">
      <c r="B1" s="12" t="s">
        <v>197</v>
      </c>
      <c r="C1" s="12"/>
      <c r="D1" s="12"/>
      <c r="E1" s="12"/>
    </row>
    <row r="2" spans="1:37" ht="15.5" x14ac:dyDescent="0.35">
      <c r="B2" s="10" t="s">
        <v>11</v>
      </c>
      <c r="C2" s="10"/>
      <c r="D2" s="10"/>
      <c r="E2" s="10"/>
      <c r="P2" s="130">
        <f ca="1">NOW()</f>
        <v>45435.32289722222</v>
      </c>
      <c r="R2" s="182" t="s">
        <v>176</v>
      </c>
      <c r="S2" s="183"/>
      <c r="T2" s="153"/>
    </row>
    <row r="3" spans="1:37" ht="5.5" customHeight="1" x14ac:dyDescent="0.25"/>
    <row r="4" spans="1:37" s="15" customFormat="1" ht="25" customHeight="1" x14ac:dyDescent="0.25">
      <c r="A4" s="15">
        <f>ROW()</f>
        <v>4</v>
      </c>
      <c r="B4" s="114" t="s">
        <v>61</v>
      </c>
      <c r="C4" s="114"/>
      <c r="D4" s="114"/>
      <c r="E4" s="114"/>
      <c r="F4" s="106"/>
      <c r="G4" s="106"/>
      <c r="H4" s="106"/>
      <c r="I4" s="106"/>
      <c r="J4"/>
      <c r="K4" s="114" t="s">
        <v>110</v>
      </c>
      <c r="L4" s="106"/>
      <c r="M4" s="106"/>
      <c r="N4" s="106"/>
      <c r="O4" s="106"/>
      <c r="P4" s="106"/>
      <c r="Q4"/>
      <c r="T4" s="210" t="s">
        <v>191</v>
      </c>
      <c r="W4"/>
      <c r="Y4" s="210" t="s">
        <v>191</v>
      </c>
      <c r="AA4"/>
      <c r="AB4"/>
      <c r="AG4"/>
      <c r="AI4" s="210" t="s">
        <v>191</v>
      </c>
      <c r="AK4"/>
    </row>
    <row r="5" spans="1:37" ht="44.5" customHeight="1" thickBot="1" x14ac:dyDescent="0.35">
      <c r="A5" s="15">
        <f>ROW()</f>
        <v>5</v>
      </c>
      <c r="B5" s="115" t="s">
        <v>13</v>
      </c>
      <c r="C5" s="116"/>
      <c r="D5" s="116"/>
      <c r="E5" s="112" t="s">
        <v>181</v>
      </c>
      <c r="F5" s="112" t="s">
        <v>182</v>
      </c>
      <c r="G5" s="112" t="s">
        <v>159</v>
      </c>
      <c r="H5" s="112" t="s">
        <v>185</v>
      </c>
      <c r="I5" s="113" t="s">
        <v>18</v>
      </c>
      <c r="K5" s="110" t="s">
        <v>93</v>
      </c>
      <c r="L5" s="111"/>
      <c r="M5" s="111"/>
      <c r="N5" s="112" t="s">
        <v>98</v>
      </c>
      <c r="O5" s="112" t="s">
        <v>201</v>
      </c>
      <c r="P5" s="154" t="s">
        <v>202</v>
      </c>
      <c r="R5" s="103" t="s">
        <v>180</v>
      </c>
      <c r="S5" s="177" t="s">
        <v>195</v>
      </c>
      <c r="T5" s="159">
        <f>P9</f>
        <v>39945.266147006849</v>
      </c>
      <c r="U5" s="160" t="s">
        <v>177</v>
      </c>
      <c r="V5" s="15"/>
      <c r="W5" s="103" t="s">
        <v>180</v>
      </c>
      <c r="X5" s="158" t="s">
        <v>16</v>
      </c>
      <c r="Y5" s="161">
        <f>P9</f>
        <v>39945.266147006849</v>
      </c>
      <c r="Z5" s="160" t="s">
        <v>177</v>
      </c>
      <c r="AB5" s="103" t="s">
        <v>180</v>
      </c>
      <c r="AC5" s="177" t="s">
        <v>186</v>
      </c>
      <c r="AD5" s="161">
        <f>P9</f>
        <v>39945.266147006849</v>
      </c>
      <c r="AE5" s="160" t="s">
        <v>177</v>
      </c>
      <c r="AF5" s="15"/>
      <c r="AG5" s="103" t="s">
        <v>180</v>
      </c>
      <c r="AH5" s="177" t="s">
        <v>196</v>
      </c>
      <c r="AI5" s="161">
        <f>P9</f>
        <v>39945.266147006849</v>
      </c>
      <c r="AJ5" s="160" t="s">
        <v>177</v>
      </c>
    </row>
    <row r="6" spans="1:37" s="15" customFormat="1" ht="22" customHeight="1" thickTop="1" x14ac:dyDescent="0.25">
      <c r="A6" s="15">
        <f>ROW()</f>
        <v>6</v>
      </c>
      <c r="B6" s="131" t="s">
        <v>12</v>
      </c>
      <c r="C6" s="132"/>
      <c r="D6" s="132"/>
      <c r="E6" s="133"/>
      <c r="F6" s="133">
        <f>C11+C12</f>
        <v>35000</v>
      </c>
      <c r="G6" s="133">
        <v>40000</v>
      </c>
      <c r="H6" s="134">
        <v>50000</v>
      </c>
      <c r="I6" s="134">
        <f>SUM(F6:H6)</f>
        <v>125000</v>
      </c>
      <c r="K6" s="107" t="s">
        <v>103</v>
      </c>
      <c r="L6" s="108"/>
      <c r="M6" s="108"/>
      <c r="N6" s="109">
        <f>+C80</f>
        <v>1895474.7660629069</v>
      </c>
      <c r="O6" s="109">
        <f>AVERAGE(C87,C90)</f>
        <v>29468.735068999042</v>
      </c>
      <c r="P6" s="155">
        <f>+O6+$D$16</f>
        <v>38970.860902288223</v>
      </c>
      <c r="Q6"/>
      <c r="R6" s="162">
        <v>-0.9</v>
      </c>
      <c r="S6" s="163">
        <f>$S$11*(1+R6)</f>
        <v>4.9999999999999989E-2</v>
      </c>
      <c r="T6" s="164">
        <f t="dataTable" ref="T6:T16" dt2D="0" dtr="0" r1="E9"/>
        <v>26485.485569052453</v>
      </c>
      <c r="U6" s="165">
        <f t="shared" ref="U6:U9" si="0">(T6-$T$11)/$T$11</f>
        <v>-0.33695558638712325</v>
      </c>
      <c r="W6" s="162">
        <v>-0.5</v>
      </c>
      <c r="X6" s="163">
        <f>$X$11*(1+W6)</f>
        <v>2.5000000000000001E-2</v>
      </c>
      <c r="Y6" s="164">
        <f t="dataTable" ref="Y6:Y16" dt2D="0" dtr="0" r1="F85" ca="1"/>
        <v>24706.639099458927</v>
      </c>
      <c r="Z6" s="165">
        <f t="shared" ref="Z6:Z16" si="1">(Y6-$Y$11)/$Y$11</f>
        <v>-0.38148768345832568</v>
      </c>
      <c r="AA6"/>
      <c r="AB6" s="162">
        <v>-0.5</v>
      </c>
      <c r="AC6" s="166">
        <f>$AC$11*(1+AB6)</f>
        <v>0.17499999999999999</v>
      </c>
      <c r="AD6" s="164">
        <f t="dataTable" ref="AD6:AD16" dt2D="0" dtr="0" r1="E16" ca="1"/>
        <v>45322.298120433079</v>
      </c>
      <c r="AE6" s="165">
        <f t="shared" ref="AE6:AE10" si="2">(AD6-$AD$11)/$AD$11</f>
        <v>0.13460999242407448</v>
      </c>
      <c r="AG6" s="162">
        <v>-0.5</v>
      </c>
      <c r="AH6" s="163">
        <f>$AH$11*(1+AG6)</f>
        <v>4.3659999999999997E-2</v>
      </c>
      <c r="AI6" s="164">
        <f t="dataTable" ref="AI6:AI16" dt2D="0" dtr="0" r1="I10" ca="1"/>
        <v>37218.73563903512</v>
      </c>
      <c r="AJ6" s="165">
        <f t="shared" ref="AJ6:AJ10" si="3">(AI6-$AI$11)/$AI$11</f>
        <v>-6.825957489154684E-2</v>
      </c>
      <c r="AK6"/>
    </row>
    <row r="7" spans="1:37" s="15" customFormat="1" ht="22" customHeight="1" x14ac:dyDescent="0.25">
      <c r="A7" s="15">
        <f>ROW()</f>
        <v>7</v>
      </c>
      <c r="B7" s="87" t="s">
        <v>7</v>
      </c>
      <c r="E7" s="85">
        <v>750</v>
      </c>
      <c r="F7" s="85"/>
      <c r="G7" s="85"/>
      <c r="H7" s="85"/>
      <c r="I7" s="86">
        <f>SUM(E7:H7)</f>
        <v>750</v>
      </c>
      <c r="K7" s="97" t="s">
        <v>97</v>
      </c>
      <c r="L7" s="98"/>
      <c r="M7" s="98"/>
      <c r="N7" s="96">
        <f>+K119</f>
        <v>1518656.694036067</v>
      </c>
      <c r="O7" s="96">
        <f>+K125</f>
        <v>32494.292147289652</v>
      </c>
      <c r="P7" s="155">
        <f>+O7+$D$16</f>
        <v>41996.417980578837</v>
      </c>
      <c r="Q7"/>
      <c r="R7" s="162">
        <v>-0.8</v>
      </c>
      <c r="S7" s="163">
        <f>$S$11*(1+R7)</f>
        <v>9.9999999999999978E-2</v>
      </c>
      <c r="T7" s="164">
        <v>27981.016744380719</v>
      </c>
      <c r="U7" s="165">
        <f t="shared" si="0"/>
        <v>-0.29951607678855402</v>
      </c>
      <c r="W7" s="162">
        <v>-0.4</v>
      </c>
      <c r="X7" s="163">
        <f>$X$11*(1+W7)</f>
        <v>0.03</v>
      </c>
      <c r="Y7" s="164">
        <v>27754.364508968487</v>
      </c>
      <c r="Z7" s="165">
        <f t="shared" si="1"/>
        <v>-0.30519014676666117</v>
      </c>
      <c r="AA7"/>
      <c r="AB7" s="162">
        <v>-0.4</v>
      </c>
      <c r="AC7" s="166">
        <f>$AC$11*(1+AB7)</f>
        <v>0.21</v>
      </c>
      <c r="AD7" s="164">
        <v>43928.927270853463</v>
      </c>
      <c r="AE7" s="165">
        <f t="shared" si="2"/>
        <v>9.9727990525483451E-2</v>
      </c>
      <c r="AG7" s="162">
        <v>-0.4</v>
      </c>
      <c r="AH7" s="163">
        <f>$AH$11*(1+AG7)</f>
        <v>5.2391999999999994E-2</v>
      </c>
      <c r="AI7" s="164">
        <v>37764.066721439471</v>
      </c>
      <c r="AJ7" s="165">
        <f t="shared" si="3"/>
        <v>-5.4607659913237398E-2</v>
      </c>
      <c r="AK7"/>
    </row>
    <row r="8" spans="1:37" s="15" customFormat="1" ht="22" customHeight="1" thickBot="1" x14ac:dyDescent="0.3">
      <c r="A8" s="15">
        <f>ROW()</f>
        <v>8</v>
      </c>
      <c r="B8" s="88" t="s">
        <v>47</v>
      </c>
      <c r="C8" s="89"/>
      <c r="D8" s="90"/>
      <c r="E8" s="91">
        <f>SUM(E6:E7)</f>
        <v>750</v>
      </c>
      <c r="F8" s="91">
        <f>SUM(F6:F7)</f>
        <v>35000</v>
      </c>
      <c r="G8" s="91">
        <f>SUM(G6:G7)</f>
        <v>40000</v>
      </c>
      <c r="H8" s="91">
        <f>SUM(H6:H7)</f>
        <v>50000</v>
      </c>
      <c r="I8" s="91">
        <f>SUM(I6:I7)</f>
        <v>125750</v>
      </c>
      <c r="K8" s="97" t="s">
        <v>96</v>
      </c>
      <c r="L8" s="98"/>
      <c r="M8" s="98"/>
      <c r="N8" s="96">
        <f>+D113</f>
        <v>1670481.4634943181</v>
      </c>
      <c r="O8" s="96">
        <f>+F113</f>
        <v>29366.393724864294</v>
      </c>
      <c r="P8" s="156">
        <f>+O8+$D$16</f>
        <v>38868.519558153479</v>
      </c>
      <c r="Q8"/>
      <c r="R8" s="162">
        <v>-0.6</v>
      </c>
      <c r="S8" s="163">
        <f>$S$11*(1+R8)</f>
        <v>0.2</v>
      </c>
      <c r="T8" s="164">
        <v>30972.07909503725</v>
      </c>
      <c r="U8" s="165">
        <f t="shared" si="0"/>
        <v>-0.22463705759141553</v>
      </c>
      <c r="W8" s="162">
        <v>-0.30000000000000004</v>
      </c>
      <c r="X8" s="163">
        <f>$X$11*(1+W8)</f>
        <v>3.4999999999999996E-2</v>
      </c>
      <c r="Y8" s="164">
        <v>30802.089918478068</v>
      </c>
      <c r="Z8" s="165">
        <f t="shared" si="1"/>
        <v>-0.22889261007499609</v>
      </c>
      <c r="AA8"/>
      <c r="AB8" s="162">
        <v>-0.30000000000000004</v>
      </c>
      <c r="AC8" s="166">
        <f>$AC$11*(1+AB8)</f>
        <v>0.24499999999999997</v>
      </c>
      <c r="AD8" s="164">
        <v>42723.73374684601</v>
      </c>
      <c r="AE8" s="165">
        <f t="shared" si="2"/>
        <v>6.9556867880509923E-2</v>
      </c>
      <c r="AG8" s="162">
        <v>-0.30000000000000004</v>
      </c>
      <c r="AH8" s="163">
        <f>$AH$11*(1+AG8)</f>
        <v>6.1123999999999991E-2</v>
      </c>
      <c r="AI8" s="164">
        <v>38309.397803843814</v>
      </c>
      <c r="AJ8" s="165">
        <f t="shared" si="3"/>
        <v>-4.0955744934928137E-2</v>
      </c>
      <c r="AK8"/>
    </row>
    <row r="9" spans="1:37" s="15" customFormat="1" ht="22" customHeight="1" thickTop="1" thickBot="1" x14ac:dyDescent="0.3">
      <c r="A9" s="15">
        <f>ROW()</f>
        <v>9</v>
      </c>
      <c r="B9" s="87" t="s">
        <v>15</v>
      </c>
      <c r="E9" s="92">
        <f>Company!C26</f>
        <v>0.5</v>
      </c>
      <c r="F9" s="92">
        <f>+Company!C27</f>
        <v>0.72</v>
      </c>
      <c r="G9" s="92">
        <f>+Company!C28</f>
        <v>0.49</v>
      </c>
      <c r="H9" s="92">
        <f>+Company!C29</f>
        <v>0.55000000000000004</v>
      </c>
      <c r="I9" s="92">
        <f>+Company!C30</f>
        <v>0.9</v>
      </c>
      <c r="K9" s="123" t="s">
        <v>90</v>
      </c>
      <c r="L9" s="124"/>
      <c r="M9" s="124"/>
      <c r="N9" s="125">
        <f>AVERAGE(N6:N8)</f>
        <v>1694870.9745310973</v>
      </c>
      <c r="O9" s="125">
        <f>AVERAGE(O6:O8)</f>
        <v>30443.140313717664</v>
      </c>
      <c r="P9" s="157">
        <f>AVERAGE(P6:P8)</f>
        <v>39945.266147006849</v>
      </c>
      <c r="Q9"/>
      <c r="R9" s="162">
        <v>-0.4</v>
      </c>
      <c r="S9" s="163">
        <f>$S$11*(1+R9)</f>
        <v>0.3</v>
      </c>
      <c r="T9" s="164">
        <v>33963.141445693778</v>
      </c>
      <c r="U9" s="165">
        <f t="shared" si="0"/>
        <v>-0.14975803839427715</v>
      </c>
      <c r="W9" s="162">
        <v>-0.2</v>
      </c>
      <c r="X9" s="163">
        <f>$X$11*(1+W9)</f>
        <v>4.0000000000000008E-2</v>
      </c>
      <c r="Y9" s="164">
        <v>33849.815327987664</v>
      </c>
      <c r="Z9" s="165">
        <f>(Y9-$Y$11)/$Y$11</f>
        <v>-0.15259507338333067</v>
      </c>
      <c r="AA9"/>
      <c r="AB9" s="162">
        <v>-0.2</v>
      </c>
      <c r="AC9" s="166">
        <f>$AC$11*(1+AB9)</f>
        <v>0.27999999999999997</v>
      </c>
      <c r="AD9" s="164">
        <v>41674.374090316174</v>
      </c>
      <c r="AE9" s="165">
        <f t="shared" si="2"/>
        <v>4.3286930094440984E-2</v>
      </c>
      <c r="AG9" s="162">
        <v>-0.2</v>
      </c>
      <c r="AH9" s="163">
        <f>$AH$11*(1+AG9)</f>
        <v>6.9856000000000001E-2</v>
      </c>
      <c r="AI9" s="164">
        <v>38854.728886248173</v>
      </c>
      <c r="AJ9" s="165">
        <f t="shared" si="3"/>
        <v>-2.7303829956618515E-2</v>
      </c>
      <c r="AK9"/>
    </row>
    <row r="10" spans="1:37" s="15" customFormat="1" ht="22" customHeight="1" thickTop="1" x14ac:dyDescent="0.25">
      <c r="A10" s="15">
        <f>ROW()</f>
        <v>10</v>
      </c>
      <c r="B10" s="93" t="s">
        <v>39</v>
      </c>
      <c r="C10" s="94"/>
      <c r="D10" s="94"/>
      <c r="E10" s="95">
        <f>E9</f>
        <v>0.5</v>
      </c>
      <c r="F10" s="95">
        <f>+E10*F9</f>
        <v>0.36</v>
      </c>
      <c r="G10" s="95">
        <f t="shared" ref="G10:I10" si="4">+F10*G9</f>
        <v>0.1764</v>
      </c>
      <c r="H10" s="95">
        <f t="shared" si="4"/>
        <v>9.7020000000000009E-2</v>
      </c>
      <c r="I10" s="95">
        <f t="shared" si="4"/>
        <v>8.7318000000000007E-2</v>
      </c>
      <c r="K10" s="107" t="s">
        <v>44</v>
      </c>
      <c r="L10" s="108"/>
      <c r="M10" s="108"/>
      <c r="N10" s="122">
        <f>+C79</f>
        <v>0.66400398731055343</v>
      </c>
      <c r="O10" s="46"/>
      <c r="Q10"/>
      <c r="R10" s="162">
        <v>-0.2</v>
      </c>
      <c r="S10" s="163">
        <f>$S$11*(1+R10)</f>
        <v>0.4</v>
      </c>
      <c r="T10" s="164">
        <v>36954.20379635031</v>
      </c>
      <c r="U10" s="165">
        <f>(T10-$T$11)/$T$11</f>
        <v>-7.4879019197138658E-2</v>
      </c>
      <c r="W10" s="162">
        <v>-0.1</v>
      </c>
      <c r="X10" s="163">
        <f>$X$11*(1+W10)</f>
        <v>4.5000000000000005E-2</v>
      </c>
      <c r="Y10" s="164">
        <v>36897.540737497264</v>
      </c>
      <c r="Z10" s="165">
        <f>(Y10-$Y$11)/$Y$11</f>
        <v>-7.6297536691665155E-2</v>
      </c>
      <c r="AA10"/>
      <c r="AB10" s="162">
        <v>-0.1</v>
      </c>
      <c r="AC10" s="166">
        <f>$AC$11*(1+AB10)</f>
        <v>0.315</v>
      </c>
      <c r="AD10" s="164">
        <v>40755.108648044406</v>
      </c>
      <c r="AE10" s="165">
        <f t="shared" si="2"/>
        <v>2.0273804111284918E-2</v>
      </c>
      <c r="AG10" s="162">
        <v>-0.1</v>
      </c>
      <c r="AH10" s="163">
        <f>$AH$11*(1+AG10)</f>
        <v>7.8587999999999991E-2</v>
      </c>
      <c r="AI10" s="164">
        <v>39400.059968652517</v>
      </c>
      <c r="AJ10" s="165">
        <f t="shared" si="3"/>
        <v>-1.3651914978309258E-2</v>
      </c>
      <c r="AK10"/>
    </row>
    <row r="11" spans="1:37" s="15" customFormat="1" ht="19" customHeight="1" thickBot="1" x14ac:dyDescent="0.3">
      <c r="A11" s="15">
        <f>ROW()</f>
        <v>11</v>
      </c>
      <c r="B11" s="176" t="s">
        <v>184</v>
      </c>
      <c r="C11" s="175">
        <v>15000</v>
      </c>
      <c r="K11" s="123" t="s">
        <v>94</v>
      </c>
      <c r="L11" s="124"/>
      <c r="M11" s="124"/>
      <c r="N11" s="129">
        <f>+C82</f>
        <v>0.1</v>
      </c>
      <c r="O11" s="46"/>
      <c r="Q11"/>
      <c r="R11" s="168">
        <v>0</v>
      </c>
      <c r="S11" s="169">
        <v>0.5</v>
      </c>
      <c r="T11" s="170">
        <v>39945.266147006849</v>
      </c>
      <c r="U11" s="171">
        <f>(T11-$T$11)/$T$11</f>
        <v>0</v>
      </c>
      <c r="W11" s="168">
        <v>0</v>
      </c>
      <c r="X11" s="169">
        <v>0.05</v>
      </c>
      <c r="Y11" s="170">
        <v>39945.266147006849</v>
      </c>
      <c r="Z11" s="171">
        <f>(Y11-$Y$11)/$Y$11</f>
        <v>0</v>
      </c>
      <c r="AA11"/>
      <c r="AB11" s="168">
        <v>0</v>
      </c>
      <c r="AC11" s="172">
        <v>0.35</v>
      </c>
      <c r="AD11" s="170">
        <v>39945.266147006849</v>
      </c>
      <c r="AE11" s="171">
        <f>(AD11-$AD$11)/$AD$11</f>
        <v>0</v>
      </c>
      <c r="AG11" s="168">
        <v>0</v>
      </c>
      <c r="AH11" s="169">
        <v>8.7319999999999995E-2</v>
      </c>
      <c r="AI11" s="170">
        <v>39945.39105105686</v>
      </c>
      <c r="AJ11" s="171">
        <f>(AI11-$AI$11)/$AI$11</f>
        <v>0</v>
      </c>
      <c r="AK11"/>
    </row>
    <row r="12" spans="1:37" s="15" customFormat="1" ht="19" customHeight="1" thickTop="1" x14ac:dyDescent="0.25">
      <c r="A12" s="15">
        <f>ROW()</f>
        <v>12</v>
      </c>
      <c r="B12" s="176" t="s">
        <v>183</v>
      </c>
      <c r="C12" s="175">
        <v>20000</v>
      </c>
      <c r="D12" s="175"/>
      <c r="E12" s="175"/>
      <c r="F12" s="147">
        <v>0</v>
      </c>
      <c r="G12" s="147">
        <v>1</v>
      </c>
      <c r="H12" s="147">
        <v>2</v>
      </c>
      <c r="I12" s="147">
        <v>3</v>
      </c>
      <c r="J12" s="147">
        <v>4</v>
      </c>
      <c r="K12" s="147">
        <v>5</v>
      </c>
      <c r="L12" s="147">
        <v>6</v>
      </c>
      <c r="M12" s="147">
        <v>7</v>
      </c>
      <c r="N12" s="147">
        <v>8</v>
      </c>
      <c r="O12" s="147"/>
      <c r="P12" s="145"/>
      <c r="Q12"/>
      <c r="R12" s="162">
        <v>0.2</v>
      </c>
      <c r="S12" s="163">
        <f>$S$11*(1+R12)</f>
        <v>0.6</v>
      </c>
      <c r="T12" s="164">
        <v>42936.328497663373</v>
      </c>
      <c r="U12" s="165">
        <f t="shared" ref="U12:U16" si="5">(T12-$T$11)/$T$11</f>
        <v>7.4879019197138297E-2</v>
      </c>
      <c r="W12" s="162">
        <v>0.1</v>
      </c>
      <c r="X12" s="163">
        <f>$X$11*(1+W12)</f>
        <v>5.5000000000000007E-2</v>
      </c>
      <c r="Y12" s="164">
        <v>42992.991556516441</v>
      </c>
      <c r="Z12" s="165">
        <f t="shared" si="1"/>
        <v>7.6297536691665335E-2</v>
      </c>
      <c r="AA12"/>
      <c r="AB12" s="162">
        <v>0.1</v>
      </c>
      <c r="AC12" s="166">
        <f>$AC$11*(1+AB12)</f>
        <v>0.38500000000000001</v>
      </c>
      <c r="AD12" s="164">
        <v>39228.103726238369</v>
      </c>
      <c r="AE12" s="165">
        <f t="shared" ref="AE12:AE16" si="6">(AD12-$AD$11)/$AD$11</f>
        <v>-1.7953627299144129E-2</v>
      </c>
      <c r="AG12" s="162">
        <v>0.1</v>
      </c>
      <c r="AH12" s="163">
        <f>$AH$11*(1+AG12)</f>
        <v>9.6051999999999998E-2</v>
      </c>
      <c r="AI12" s="164">
        <v>40490.722133461219</v>
      </c>
      <c r="AJ12" s="165">
        <f t="shared" ref="AJ12:AJ16" si="7">(AI12-$AI$11)/$AI$11</f>
        <v>1.3651914978309622E-2</v>
      </c>
      <c r="AK12"/>
    </row>
    <row r="13" spans="1:37" s="15" customFormat="1" ht="20.149999999999999" customHeight="1" x14ac:dyDescent="0.25">
      <c r="A13" s="15">
        <f>ROW()</f>
        <v>13</v>
      </c>
      <c r="B13" s="56" t="s">
        <v>168</v>
      </c>
      <c r="C13" s="56"/>
      <c r="D13" s="56"/>
      <c r="E13" s="56"/>
      <c r="F13" s="56"/>
      <c r="G13" s="56"/>
      <c r="H13" s="56"/>
      <c r="I13" s="56"/>
      <c r="J13" s="56"/>
      <c r="K13" s="56"/>
      <c r="L13" s="56"/>
      <c r="M13" s="56"/>
      <c r="N13" s="56"/>
      <c r="O13" s="147"/>
      <c r="P13" s="145"/>
      <c r="Q13"/>
      <c r="R13" s="162">
        <v>0.4</v>
      </c>
      <c r="S13" s="163">
        <f>$S$11*(1+R13)</f>
        <v>0.7</v>
      </c>
      <c r="T13" s="164">
        <v>45927.390848319912</v>
      </c>
      <c r="U13" s="165">
        <f t="shared" si="5"/>
        <v>0.14975803839427695</v>
      </c>
      <c r="W13" s="162">
        <v>0.2</v>
      </c>
      <c r="X13" s="163">
        <f>$X$11*(1+W13)</f>
        <v>0.06</v>
      </c>
      <c r="Y13" s="164">
        <v>46040.716966026026</v>
      </c>
      <c r="Z13" s="165">
        <f t="shared" si="1"/>
        <v>0.1525950733833305</v>
      </c>
      <c r="AA13"/>
      <c r="AB13" s="162">
        <v>0.2</v>
      </c>
      <c r="AC13" s="166">
        <f>$AC$11*(1+AB13)</f>
        <v>0.42</v>
      </c>
      <c r="AD13" s="164">
        <v>38589.95171356362</v>
      </c>
      <c r="AE13" s="165">
        <f t="shared" si="6"/>
        <v>-3.3929287852417639E-2</v>
      </c>
      <c r="AG13" s="162">
        <v>0.2</v>
      </c>
      <c r="AH13" s="163">
        <f>$AH$11*(1+AG13)</f>
        <v>0.10478399999999999</v>
      </c>
      <c r="AI13" s="164">
        <v>41036.05321586557</v>
      </c>
      <c r="AJ13" s="165">
        <f t="shared" si="7"/>
        <v>2.7303829956619063E-2</v>
      </c>
      <c r="AK13"/>
    </row>
    <row r="14" spans="1:37" ht="20.149999999999999" customHeight="1" x14ac:dyDescent="0.25">
      <c r="A14" s="15">
        <f>ROW()</f>
        <v>14</v>
      </c>
      <c r="B14" s="120"/>
      <c r="C14" s="120"/>
      <c r="D14" s="121" t="s">
        <v>160</v>
      </c>
      <c r="E14" s="121" t="s">
        <v>161</v>
      </c>
      <c r="F14" s="120">
        <v>2022</v>
      </c>
      <c r="G14" s="120">
        <f>+F14+1</f>
        <v>2023</v>
      </c>
      <c r="H14" s="120">
        <f t="shared" ref="H14:N14" si="8">+G14+1</f>
        <v>2024</v>
      </c>
      <c r="I14" s="120">
        <f t="shared" si="8"/>
        <v>2025</v>
      </c>
      <c r="J14" s="120">
        <f t="shared" si="8"/>
        <v>2026</v>
      </c>
      <c r="K14" s="120">
        <f t="shared" si="8"/>
        <v>2027</v>
      </c>
      <c r="L14" s="120">
        <f t="shared" si="8"/>
        <v>2028</v>
      </c>
      <c r="M14" s="120">
        <f t="shared" si="8"/>
        <v>2029</v>
      </c>
      <c r="N14" s="120">
        <f t="shared" si="8"/>
        <v>2030</v>
      </c>
      <c r="O14" s="145"/>
      <c r="P14" s="145"/>
      <c r="R14" s="162">
        <v>0.6</v>
      </c>
      <c r="S14" s="163">
        <f>$S$11*(1+R14)</f>
        <v>0.8</v>
      </c>
      <c r="T14" s="174">
        <v>48918.453198976436</v>
      </c>
      <c r="U14" s="165">
        <f t="shared" si="5"/>
        <v>0.22463705759141525</v>
      </c>
      <c r="V14" s="15"/>
      <c r="W14" s="162">
        <v>0.30000000000000004</v>
      </c>
      <c r="X14" s="163">
        <f>$X$11*(1+W14)</f>
        <v>6.5000000000000002E-2</v>
      </c>
      <c r="Y14" s="174">
        <v>49088.442375535611</v>
      </c>
      <c r="Z14" s="165">
        <f t="shared" si="1"/>
        <v>0.22889261007499564</v>
      </c>
      <c r="AB14" s="162">
        <v>0.30000000000000004</v>
      </c>
      <c r="AC14" s="166">
        <f>$AC$11*(1+AB14)</f>
        <v>0.45499999999999996</v>
      </c>
      <c r="AD14" s="174">
        <v>38019.565674947844</v>
      </c>
      <c r="AE14" s="165">
        <f t="shared" si="6"/>
        <v>-4.820847769475433E-2</v>
      </c>
      <c r="AF14" s="15"/>
      <c r="AG14" s="162">
        <v>0.30000000000000004</v>
      </c>
      <c r="AH14" s="163">
        <f>$AH$11*(1+AG14)</f>
        <v>0.11351599999999999</v>
      </c>
      <c r="AI14" s="174">
        <v>41581.384298269921</v>
      </c>
      <c r="AJ14" s="165">
        <f t="shared" si="7"/>
        <v>4.0955744934928505E-2</v>
      </c>
    </row>
    <row r="15" spans="1:37" ht="23.15" customHeight="1" thickBot="1" x14ac:dyDescent="0.4">
      <c r="A15" s="15">
        <f>ROW()</f>
        <v>15</v>
      </c>
      <c r="B15" s="15" t="s">
        <v>198</v>
      </c>
      <c r="C15" s="13"/>
      <c r="D15" s="146"/>
      <c r="E15" s="148"/>
      <c r="F15" s="146">
        <v>0</v>
      </c>
      <c r="G15" s="146">
        <v>0</v>
      </c>
      <c r="H15" s="146">
        <f>C11*E10</f>
        <v>7500</v>
      </c>
      <c r="I15" s="146">
        <f>C12*F10</f>
        <v>7200</v>
      </c>
      <c r="J15" s="146">
        <f>+G6/2*$G$10</f>
        <v>3528</v>
      </c>
      <c r="K15" s="146">
        <f>+J15</f>
        <v>3528</v>
      </c>
      <c r="L15" s="146">
        <f>+H6/3*$H$10</f>
        <v>1617.0000000000002</v>
      </c>
      <c r="M15" s="146">
        <f>+L15</f>
        <v>1617.0000000000002</v>
      </c>
      <c r="N15" s="146">
        <f>+M15</f>
        <v>1617.0000000000002</v>
      </c>
      <c r="O15" s="13"/>
      <c r="P15" s="13"/>
      <c r="R15" s="162">
        <v>0.8</v>
      </c>
      <c r="S15" s="163">
        <f>$S$11*(1+R15)</f>
        <v>0.9</v>
      </c>
      <c r="T15" s="174">
        <v>51909.515549632975</v>
      </c>
      <c r="U15" s="165">
        <f t="shared" si="5"/>
        <v>0.29951607678855391</v>
      </c>
      <c r="V15" s="15"/>
      <c r="W15" s="162">
        <v>0.4</v>
      </c>
      <c r="X15" s="163">
        <f>$X$11*(1+W15)</f>
        <v>6.9999999999999993E-2</v>
      </c>
      <c r="Y15" s="174">
        <v>52136.167785045196</v>
      </c>
      <c r="Z15" s="165">
        <f t="shared" si="1"/>
        <v>0.30519014676666079</v>
      </c>
      <c r="AB15" s="162">
        <v>0.4</v>
      </c>
      <c r="AC15" s="166">
        <f>$AC$11*(1+AB15)</f>
        <v>0.48999999999999994</v>
      </c>
      <c r="AD15" s="174">
        <v>37507.630907599822</v>
      </c>
      <c r="AE15" s="165">
        <f t="shared" si="6"/>
        <v>-6.102438347603005E-2</v>
      </c>
      <c r="AF15" s="15"/>
      <c r="AG15" s="162">
        <v>0.4</v>
      </c>
      <c r="AH15" s="163">
        <f>$AH$11*(1+AG15)</f>
        <v>0.12224799999999998</v>
      </c>
      <c r="AI15" s="174">
        <v>42126.715380674264</v>
      </c>
      <c r="AJ15" s="165">
        <f t="shared" si="7"/>
        <v>5.4607659913237759E-2</v>
      </c>
    </row>
    <row r="16" spans="1:37" ht="21" customHeight="1" thickBot="1" x14ac:dyDescent="0.4">
      <c r="A16" s="15">
        <f>ROW()</f>
        <v>16</v>
      </c>
      <c r="B16" s="15" t="s">
        <v>162</v>
      </c>
      <c r="C16" s="13"/>
      <c r="D16" s="149">
        <f>SUM(F16:N16)</f>
        <v>9502.125833289183</v>
      </c>
      <c r="E16" s="148">
        <v>0.35</v>
      </c>
      <c r="F16" s="146">
        <f>F15/(1+$E$16)^F12</f>
        <v>0</v>
      </c>
      <c r="G16" s="146">
        <f t="shared" ref="G16:N16" si="9">G15/(1+$E$16)^G12</f>
        <v>0</v>
      </c>
      <c r="H16" s="146">
        <f>H15/(1+$E$16)^H12</f>
        <v>4115.2263374485592</v>
      </c>
      <c r="I16" s="146">
        <f>I15/(1+$E$16)^I12</f>
        <v>2926.3831732967528</v>
      </c>
      <c r="J16" s="146">
        <f>J15/(1+$E$16)^J12</f>
        <v>1062.1687073447472</v>
      </c>
      <c r="K16" s="146">
        <f t="shared" si="9"/>
        <v>786.79163507018313</v>
      </c>
      <c r="L16" s="146">
        <f>L15/(1+$E$16)^L12</f>
        <v>267.12061684481529</v>
      </c>
      <c r="M16" s="146">
        <f t="shared" si="9"/>
        <v>197.86712358875207</v>
      </c>
      <c r="N16" s="146">
        <f t="shared" si="9"/>
        <v>146.56823969537189</v>
      </c>
      <c r="O16" s="13"/>
      <c r="P16" s="13"/>
      <c r="R16" s="162">
        <v>0.9</v>
      </c>
      <c r="S16" s="163">
        <f>$S$11*(1+R16)</f>
        <v>0.95</v>
      </c>
      <c r="T16" s="174">
        <v>53405.046724961234</v>
      </c>
      <c r="U16" s="165">
        <f t="shared" si="5"/>
        <v>0.33695558638712297</v>
      </c>
      <c r="V16" s="15"/>
      <c r="W16" s="162">
        <v>0.5</v>
      </c>
      <c r="X16" s="163">
        <f>$X$11*(1+W16)</f>
        <v>7.5000000000000011E-2</v>
      </c>
      <c r="Y16" s="174">
        <v>55183.89319455481</v>
      </c>
      <c r="Z16" s="165">
        <f t="shared" si="1"/>
        <v>0.38148768345832668</v>
      </c>
      <c r="AB16" s="162">
        <v>0.5</v>
      </c>
      <c r="AC16" s="166">
        <f>$AC$11*(1+AB16)</f>
        <v>0.52499999999999991</v>
      </c>
      <c r="AD16" s="174">
        <v>37046.380154489074</v>
      </c>
      <c r="AE16" s="165">
        <f t="shared" si="6"/>
        <v>-7.2571452693525038E-2</v>
      </c>
      <c r="AF16" s="15"/>
      <c r="AG16" s="162">
        <v>0.5</v>
      </c>
      <c r="AH16" s="163">
        <f>$AH$11*(1+AG16)</f>
        <v>0.13097999999999999</v>
      </c>
      <c r="AI16" s="174">
        <v>42672.046463078615</v>
      </c>
      <c r="AJ16" s="165">
        <f t="shared" si="7"/>
        <v>6.8259574891547201E-2</v>
      </c>
    </row>
    <row r="17" spans="1:47" ht="20.149999999999999" customHeight="1" x14ac:dyDescent="0.35">
      <c r="A17" s="15">
        <f>ROW()</f>
        <v>17</v>
      </c>
      <c r="B17" s="13"/>
      <c r="C17" s="13"/>
      <c r="D17" s="13"/>
      <c r="E17" s="13"/>
      <c r="F17" s="13"/>
      <c r="G17" s="135"/>
      <c r="H17" s="135"/>
      <c r="I17" s="135"/>
      <c r="J17" s="135"/>
      <c r="K17" s="13"/>
      <c r="L17" s="13"/>
      <c r="M17" s="13"/>
      <c r="N17" s="13"/>
      <c r="O17" s="13"/>
      <c r="P17" s="13"/>
      <c r="V17" s="15"/>
      <c r="AF17" s="15"/>
    </row>
    <row r="18" spans="1:47" s="55" customFormat="1" ht="30.65" customHeight="1" x14ac:dyDescent="0.3">
      <c r="A18" s="15">
        <f>ROW()</f>
        <v>18</v>
      </c>
      <c r="B18" s="56" t="s">
        <v>48</v>
      </c>
      <c r="C18" s="56"/>
      <c r="D18" s="56"/>
      <c r="E18" s="56"/>
      <c r="F18" s="56"/>
      <c r="G18" s="56"/>
      <c r="H18" s="56"/>
      <c r="I18" s="56"/>
      <c r="J18" s="56"/>
      <c r="K18" s="56"/>
      <c r="L18" s="56"/>
      <c r="M18" s="56"/>
      <c r="N18" s="56"/>
      <c r="O18" s="56"/>
      <c r="P18" s="56"/>
      <c r="Q18"/>
      <c r="R18" s="15"/>
      <c r="S18" s="15"/>
      <c r="T18" s="210" t="s">
        <v>191</v>
      </c>
      <c r="U18" s="15"/>
      <c r="V18"/>
      <c r="W18" s="15"/>
      <c r="X18" s="15"/>
      <c r="Y18" s="210" t="s">
        <v>191</v>
      </c>
      <c r="Z18" s="15"/>
      <c r="AA18" s="15"/>
      <c r="AB18" s="15"/>
      <c r="AC18" s="15"/>
      <c r="AD18" s="210" t="s">
        <v>191</v>
      </c>
      <c r="AE18" s="15"/>
      <c r="AF18" s="15"/>
      <c r="AG18" s="15"/>
      <c r="AH18" s="15"/>
      <c r="AI18" s="15"/>
      <c r="AJ18" s="184" t="s">
        <v>191</v>
      </c>
      <c r="AK18" s="184" t="s">
        <v>192</v>
      </c>
      <c r="AL18" s="15"/>
      <c r="AP18"/>
    </row>
    <row r="19" spans="1:47" s="15" customFormat="1" ht="40.5" customHeight="1" x14ac:dyDescent="0.25">
      <c r="A19" s="15">
        <f>ROW()</f>
        <v>19</v>
      </c>
      <c r="B19" s="120"/>
      <c r="C19" s="120"/>
      <c r="D19" s="121" t="s">
        <v>45</v>
      </c>
      <c r="E19" s="121"/>
      <c r="F19" s="120">
        <v>2031</v>
      </c>
      <c r="G19" s="120">
        <v>2032</v>
      </c>
      <c r="H19" s="120">
        <v>2033</v>
      </c>
      <c r="I19" s="120">
        <v>2034</v>
      </c>
      <c r="J19" s="120">
        <v>2035</v>
      </c>
      <c r="K19" s="120">
        <v>2036</v>
      </c>
      <c r="L19" s="120">
        <v>2037</v>
      </c>
      <c r="M19" s="120">
        <v>2038</v>
      </c>
      <c r="N19" s="120">
        <v>2039</v>
      </c>
      <c r="O19" s="120">
        <v>2040</v>
      </c>
      <c r="P19" s="120">
        <v>2041</v>
      </c>
      <c r="Q19"/>
      <c r="R19" s="103" t="s">
        <v>180</v>
      </c>
      <c r="S19" s="158" t="s">
        <v>178</v>
      </c>
      <c r="T19" s="161">
        <f>P9</f>
        <v>39945.266147006849</v>
      </c>
      <c r="U19" s="160" t="s">
        <v>177</v>
      </c>
      <c r="V19"/>
      <c r="W19" s="103" t="s">
        <v>180</v>
      </c>
      <c r="X19" s="158" t="s">
        <v>179</v>
      </c>
      <c r="Y19" s="161">
        <f>P9</f>
        <v>39945.266147006849</v>
      </c>
      <c r="Z19" s="160" t="s">
        <v>177</v>
      </c>
      <c r="AA19"/>
      <c r="AB19" s="103" t="s">
        <v>180</v>
      </c>
      <c r="AC19" s="177" t="s">
        <v>194</v>
      </c>
      <c r="AD19" s="161">
        <f>P9</f>
        <v>39945.266147006849</v>
      </c>
      <c r="AE19" s="160" t="s">
        <v>177</v>
      </c>
      <c r="AF19"/>
      <c r="AG19" s="103" t="s">
        <v>180</v>
      </c>
      <c r="AH19" s="177" t="s">
        <v>190</v>
      </c>
      <c r="AI19" s="177" t="s">
        <v>189</v>
      </c>
      <c r="AJ19" s="161">
        <f>P9</f>
        <v>39945.266147006849</v>
      </c>
      <c r="AK19" s="161">
        <f>Q69</f>
        <v>6182108.0653865878</v>
      </c>
      <c r="AL19" s="160" t="s">
        <v>177</v>
      </c>
      <c r="AU19"/>
    </row>
    <row r="20" spans="1:47" ht="14.5" x14ac:dyDescent="0.3">
      <c r="A20" s="15">
        <f>ROW()</f>
        <v>20</v>
      </c>
      <c r="B20" s="14"/>
      <c r="C20" s="14"/>
      <c r="D20" s="14"/>
      <c r="E20" s="14"/>
      <c r="F20" s="14"/>
      <c r="G20" s="14"/>
      <c r="H20" s="14"/>
      <c r="I20" s="14"/>
      <c r="J20" s="14"/>
      <c r="K20" s="14"/>
      <c r="L20" s="14"/>
      <c r="M20" s="14"/>
      <c r="N20" s="14"/>
      <c r="O20" s="14"/>
      <c r="P20" s="14"/>
      <c r="R20" s="162">
        <v>-0.5</v>
      </c>
      <c r="S20" s="167">
        <f>$S$25*(1+R20)</f>
        <v>392250</v>
      </c>
      <c r="T20" s="164">
        <f t="dataTable" ref="T20:T30" dt2D="0" dtr="0" r1="F30" ca="1"/>
        <v>30755.627725732713</v>
      </c>
      <c r="U20" s="165">
        <f t="shared" ref="U20:U30" si="10">(T20-$T$25)/$T$25</f>
        <v>-0.23005575648073953</v>
      </c>
      <c r="W20" s="162">
        <v>-0.5</v>
      </c>
      <c r="X20" s="167">
        <f>$X$25*(1+W20)</f>
        <v>20000</v>
      </c>
      <c r="Y20" s="164">
        <f t="dataTable" ref="Y20:Y30" dt2D="0" dtr="0" r1="F36" ca="1"/>
        <v>35245.932270332887</v>
      </c>
      <c r="Z20" s="165">
        <f t="shared" ref="Z20:Z30" si="11">(Y20-$Y$25)/$Y$25</f>
        <v>-0.11764432509673212</v>
      </c>
      <c r="AA20" s="15"/>
      <c r="AB20" s="162">
        <v>-0.5</v>
      </c>
      <c r="AC20" s="167">
        <f>$AC$25*(1+AB20)</f>
        <v>7500</v>
      </c>
      <c r="AD20" s="164">
        <f t="dataTable" ref="AD20:AD30" dt2D="0" dtr="0" r1="C11" ca="1"/>
        <v>37887.652978282567</v>
      </c>
      <c r="AE20" s="165">
        <f t="shared" ref="AE20:AE30" si="12">(AD20-$AD$25)/$AD$25</f>
        <v>-5.1510813850928892E-2</v>
      </c>
      <c r="AF20" s="15"/>
      <c r="AG20" s="162">
        <v>-0.5</v>
      </c>
      <c r="AH20" s="180">
        <f t="shared" ref="AH20:AH30" si="13">AI20*0.25%</f>
        <v>1.25E-3</v>
      </c>
      <c r="AI20" s="178">
        <f>$AI$25*(1+AG20)</f>
        <v>0.5</v>
      </c>
      <c r="AJ20" s="164">
        <f t="dataTable" ref="AJ20:AK30" dt2D="0" dtr="0" r1="Q24" ca="1"/>
        <v>24706.639099458927</v>
      </c>
      <c r="AK20" s="164">
        <v>3091054.0326932939</v>
      </c>
      <c r="AL20" s="165">
        <f t="shared" ref="AL20:AL30" si="14">(AJ20-$AJ$25)/$AJ$25</f>
        <v>-0.38148768345832568</v>
      </c>
    </row>
    <row r="21" spans="1:47" ht="14.5" customHeight="1" x14ac:dyDescent="0.3">
      <c r="A21">
        <f>ROW()</f>
        <v>21</v>
      </c>
      <c r="B21" s="216" t="s">
        <v>139</v>
      </c>
      <c r="C21" s="216"/>
      <c r="D21" s="216"/>
      <c r="E21" s="216"/>
      <c r="F21" s="217">
        <v>1</v>
      </c>
      <c r="G21" s="217">
        <v>2</v>
      </c>
      <c r="H21" s="217">
        <v>3</v>
      </c>
      <c r="I21" s="217">
        <v>4</v>
      </c>
      <c r="J21" s="217">
        <v>5</v>
      </c>
      <c r="K21" s="217">
        <v>6</v>
      </c>
      <c r="L21" s="217">
        <v>7</v>
      </c>
      <c r="M21" s="217">
        <v>8</v>
      </c>
      <c r="N21" s="217">
        <v>9</v>
      </c>
      <c r="O21" s="217">
        <v>10</v>
      </c>
      <c r="P21" s="217">
        <v>11</v>
      </c>
      <c r="Q21" s="218"/>
      <c r="R21" s="162">
        <v>-0.4</v>
      </c>
      <c r="S21" s="167">
        <f>$S$25*(1+R21)</f>
        <v>470700</v>
      </c>
      <c r="T21" s="164">
        <v>32593.555409987533</v>
      </c>
      <c r="U21" s="165">
        <f t="shared" si="10"/>
        <v>-0.18404460518459179</v>
      </c>
      <c r="W21" s="162">
        <v>-0.4</v>
      </c>
      <c r="X21" s="167">
        <f>$X$25*(1+W21)</f>
        <v>24000</v>
      </c>
      <c r="Y21" s="164">
        <v>36185.799045667685</v>
      </c>
      <c r="Z21" s="165">
        <f t="shared" si="11"/>
        <v>-9.4115460077385554E-2</v>
      </c>
      <c r="AA21" s="15"/>
      <c r="AB21" s="162">
        <v>-0.4</v>
      </c>
      <c r="AC21" s="167">
        <f>$AC$25*(1+AB21)</f>
        <v>9000</v>
      </c>
      <c r="AD21" s="164">
        <v>38299.175612027415</v>
      </c>
      <c r="AE21" s="165">
        <f t="shared" si="12"/>
        <v>-4.1208651080743335E-2</v>
      </c>
      <c r="AF21" s="15"/>
      <c r="AG21" s="162">
        <v>-0.4</v>
      </c>
      <c r="AH21" s="180">
        <f t="shared" si="13"/>
        <v>1.5E-3</v>
      </c>
      <c r="AI21" s="178">
        <f>$AI$25*(1+AG21)</f>
        <v>0.6</v>
      </c>
      <c r="AJ21" s="164">
        <v>27754.364508968487</v>
      </c>
      <c r="AK21" s="164">
        <v>3709264.839231953</v>
      </c>
      <c r="AL21" s="165">
        <f t="shared" si="14"/>
        <v>-0.30519014676666117</v>
      </c>
    </row>
    <row r="22" spans="1:47" ht="14.5" x14ac:dyDescent="0.3">
      <c r="A22">
        <f>ROW()</f>
        <v>22</v>
      </c>
      <c r="B22" s="219" t="s">
        <v>111</v>
      </c>
      <c r="C22" s="219"/>
      <c r="D22" s="219"/>
      <c r="E22" s="219"/>
      <c r="F22" s="220">
        <f>274.40063/1.15</f>
        <v>238.60924347826088</v>
      </c>
      <c r="G22" s="220">
        <f>+F22*(1+G23)</f>
        <v>250.53970565217392</v>
      </c>
      <c r="H22" s="220">
        <f t="shared" ref="H22:P22" si="15">+G22*(1+H23)</f>
        <v>263.06669093478263</v>
      </c>
      <c r="I22" s="220">
        <f t="shared" si="15"/>
        <v>276.22002548152176</v>
      </c>
      <c r="J22" s="220">
        <f t="shared" si="15"/>
        <v>290.03102675559785</v>
      </c>
      <c r="K22" s="220">
        <f t="shared" si="15"/>
        <v>304.53257809337777</v>
      </c>
      <c r="L22" s="220">
        <f t="shared" si="15"/>
        <v>319.75920699804669</v>
      </c>
      <c r="M22" s="220">
        <f t="shared" si="15"/>
        <v>335.74716734794902</v>
      </c>
      <c r="N22" s="220">
        <f t="shared" si="15"/>
        <v>352.53452571534649</v>
      </c>
      <c r="O22" s="220">
        <f t="shared" si="15"/>
        <v>370.16125200111384</v>
      </c>
      <c r="P22" s="220">
        <f t="shared" si="15"/>
        <v>388.66931460116956</v>
      </c>
      <c r="Q22" s="218"/>
      <c r="R22" s="162">
        <v>-0.30000000000000004</v>
      </c>
      <c r="S22" s="167">
        <f>$S$25*(1+R22)</f>
        <v>549150</v>
      </c>
      <c r="T22" s="164">
        <v>34431.483094242365</v>
      </c>
      <c r="U22" s="165">
        <f t="shared" si="10"/>
        <v>-0.13803345388844376</v>
      </c>
      <c r="W22" s="162">
        <v>-0.30000000000000004</v>
      </c>
      <c r="X22" s="167">
        <f>$X$25*(1+W22)</f>
        <v>28000</v>
      </c>
      <c r="Y22" s="164">
        <v>37125.665821002476</v>
      </c>
      <c r="Z22" s="165">
        <f t="shared" si="11"/>
        <v>-7.0586595058039159E-2</v>
      </c>
      <c r="AA22" s="15"/>
      <c r="AB22" s="162">
        <v>-0.30000000000000004</v>
      </c>
      <c r="AC22" s="167">
        <f>$AC$25*(1+AB22)</f>
        <v>10500</v>
      </c>
      <c r="AD22" s="164">
        <v>38710.698245772277</v>
      </c>
      <c r="AE22" s="165">
        <f t="shared" si="12"/>
        <v>-3.0906488310557409E-2</v>
      </c>
      <c r="AF22" s="15"/>
      <c r="AG22" s="162">
        <v>-0.30000000000000004</v>
      </c>
      <c r="AH22" s="180">
        <f t="shared" si="13"/>
        <v>1.7499999999999998E-3</v>
      </c>
      <c r="AI22" s="178">
        <f>$AI$25*(1+AG22)</f>
        <v>0.7</v>
      </c>
      <c r="AJ22" s="164">
        <v>30802.089918478068</v>
      </c>
      <c r="AK22" s="164">
        <v>4327475.6457706112</v>
      </c>
      <c r="AL22" s="165">
        <f t="shared" si="14"/>
        <v>-0.22889261007499609</v>
      </c>
    </row>
    <row r="23" spans="1:47" ht="14.5" x14ac:dyDescent="0.25">
      <c r="A23">
        <f>ROW()</f>
        <v>23</v>
      </c>
      <c r="B23" s="219" t="s">
        <v>112</v>
      </c>
      <c r="C23" s="219"/>
      <c r="D23" s="219"/>
      <c r="E23" s="219"/>
      <c r="F23" s="221"/>
      <c r="G23" s="222">
        <v>0.05</v>
      </c>
      <c r="H23" s="222">
        <f>+G23</f>
        <v>0.05</v>
      </c>
      <c r="I23" s="222">
        <f t="shared" ref="I23:P23" si="16">+H23</f>
        <v>0.05</v>
      </c>
      <c r="J23" s="222">
        <f t="shared" si="16"/>
        <v>0.05</v>
      </c>
      <c r="K23" s="222">
        <f t="shared" si="16"/>
        <v>0.05</v>
      </c>
      <c r="L23" s="222">
        <f t="shared" si="16"/>
        <v>0.05</v>
      </c>
      <c r="M23" s="222">
        <f t="shared" si="16"/>
        <v>0.05</v>
      </c>
      <c r="N23" s="222">
        <f t="shared" si="16"/>
        <v>0.05</v>
      </c>
      <c r="O23" s="222">
        <f t="shared" si="16"/>
        <v>0.05</v>
      </c>
      <c r="P23" s="222">
        <f t="shared" si="16"/>
        <v>0.05</v>
      </c>
      <c r="Q23" s="223" t="s">
        <v>188</v>
      </c>
      <c r="R23" s="162">
        <v>-0.2</v>
      </c>
      <c r="S23" s="167">
        <f>$S$25*(1+R23)</f>
        <v>627600</v>
      </c>
      <c r="T23" s="164">
        <v>36269.410778497193</v>
      </c>
      <c r="U23" s="165">
        <f t="shared" si="10"/>
        <v>-9.2022302592295852E-2</v>
      </c>
      <c r="W23" s="162">
        <v>-0.2</v>
      </c>
      <c r="X23" s="167">
        <f>$X$25*(1+W23)</f>
        <v>32000</v>
      </c>
      <c r="Y23" s="164">
        <v>38065.53259633726</v>
      </c>
      <c r="Z23" s="165">
        <f t="shared" si="11"/>
        <v>-4.7057730038692958E-2</v>
      </c>
      <c r="AA23" s="15"/>
      <c r="AB23" s="162">
        <v>-0.2</v>
      </c>
      <c r="AC23" s="167">
        <f>$AC$25*(1+AB23)</f>
        <v>12000</v>
      </c>
      <c r="AD23" s="164">
        <v>39122.220879517132</v>
      </c>
      <c r="AE23" s="165">
        <f t="shared" si="12"/>
        <v>-2.0604325540371667E-2</v>
      </c>
      <c r="AF23" s="15"/>
      <c r="AG23" s="162">
        <v>-0.2</v>
      </c>
      <c r="AH23" s="180">
        <f t="shared" si="13"/>
        <v>2E-3</v>
      </c>
      <c r="AI23" s="178">
        <f>$AI$25*(1+AG23)</f>
        <v>0.8</v>
      </c>
      <c r="AJ23" s="164">
        <v>33849.815327987664</v>
      </c>
      <c r="AK23" s="164">
        <v>4945686.4523092704</v>
      </c>
      <c r="AL23" s="165">
        <f t="shared" si="14"/>
        <v>-0.15259507338333067</v>
      </c>
    </row>
    <row r="24" spans="1:47" ht="15" thickBot="1" x14ac:dyDescent="0.3">
      <c r="A24">
        <f>ROW()</f>
        <v>24</v>
      </c>
      <c r="B24" s="224" t="s">
        <v>40</v>
      </c>
      <c r="C24" s="224"/>
      <c r="D24" s="224"/>
      <c r="E24" s="224"/>
      <c r="F24" s="225">
        <f>$Q$24*0.1%</f>
        <v>1E-3</v>
      </c>
      <c r="G24" s="225">
        <f>$Q$24*0.15%</f>
        <v>1.5E-3</v>
      </c>
      <c r="H24" s="225">
        <f>$Q$24*0.2%</f>
        <v>2E-3</v>
      </c>
      <c r="I24" s="225">
        <f>$Q$24*0.235%</f>
        <v>2.3499999999999997E-3</v>
      </c>
      <c r="J24" s="225">
        <f>$Q$24*0.25%</f>
        <v>2.5000000000000001E-3</v>
      </c>
      <c r="K24" s="225">
        <f>$Q$24*0.25%</f>
        <v>2.5000000000000001E-3</v>
      </c>
      <c r="L24" s="225">
        <f>$Q$24*0.235%</f>
        <v>2.3499999999999997E-3</v>
      </c>
      <c r="M24" s="225">
        <f>$Q$24*0.215%</f>
        <v>2.15E-3</v>
      </c>
      <c r="N24" s="225">
        <f>$Q$24*0.185%</f>
        <v>1.8500000000000001E-3</v>
      </c>
      <c r="O24" s="225">
        <f>$Q$24*0.145%</f>
        <v>1.4499999999999999E-3</v>
      </c>
      <c r="P24" s="225">
        <f>$Q$24*0.1%</f>
        <v>1E-3</v>
      </c>
      <c r="Q24" s="226">
        <v>1</v>
      </c>
      <c r="R24" s="162">
        <v>-0.1</v>
      </c>
      <c r="S24" s="167">
        <f>$S$25*(1+R24)</f>
        <v>706050</v>
      </c>
      <c r="T24" s="164">
        <v>38107.338462752014</v>
      </c>
      <c r="U24" s="165">
        <f t="shared" si="10"/>
        <v>-4.6011151296148106E-2</v>
      </c>
      <c r="W24" s="162">
        <v>-0.1</v>
      </c>
      <c r="X24" s="167">
        <f>$X$25*(1+W24)</f>
        <v>36000</v>
      </c>
      <c r="Y24" s="164">
        <v>39005.399371672051</v>
      </c>
      <c r="Z24" s="165">
        <f t="shared" si="11"/>
        <v>-2.3528865019346569E-2</v>
      </c>
      <c r="AA24" s="15"/>
      <c r="AB24" s="162">
        <v>-0.1</v>
      </c>
      <c r="AC24" s="167">
        <f>$AC$25*(1+AB24)</f>
        <v>13500</v>
      </c>
      <c r="AD24" s="164">
        <v>39533.743513261987</v>
      </c>
      <c r="AE24" s="165">
        <f t="shared" si="12"/>
        <v>-1.0302162770185924E-2</v>
      </c>
      <c r="AF24" s="15"/>
      <c r="AG24" s="162">
        <v>-0.1</v>
      </c>
      <c r="AH24" s="180">
        <f t="shared" si="13"/>
        <v>2.2500000000000003E-3</v>
      </c>
      <c r="AI24" s="178">
        <f>$AI$25*(1+AG24)</f>
        <v>0.9</v>
      </c>
      <c r="AJ24" s="164">
        <v>36897.540737497264</v>
      </c>
      <c r="AK24" s="164">
        <v>5563897.2588479295</v>
      </c>
      <c r="AL24" s="165">
        <f t="shared" si="14"/>
        <v>-7.6297536691665155E-2</v>
      </c>
    </row>
    <row r="25" spans="1:47" ht="15" thickTop="1" x14ac:dyDescent="0.25">
      <c r="A25">
        <f>ROW()</f>
        <v>25</v>
      </c>
      <c r="B25" s="219"/>
      <c r="C25" s="219"/>
      <c r="D25" s="219"/>
      <c r="E25" s="219"/>
      <c r="F25" s="227"/>
      <c r="G25" s="227"/>
      <c r="H25" s="227"/>
      <c r="I25" s="227"/>
      <c r="J25" s="227"/>
      <c r="K25" s="227"/>
      <c r="L25" s="227"/>
      <c r="M25" s="227"/>
      <c r="N25" s="227"/>
      <c r="O25" s="227"/>
      <c r="P25" s="227"/>
      <c r="Q25" s="218"/>
      <c r="R25" s="168">
        <v>0</v>
      </c>
      <c r="S25" s="173">
        <v>784500</v>
      </c>
      <c r="T25" s="170">
        <v>39945.266147006849</v>
      </c>
      <c r="U25" s="171">
        <f t="shared" si="10"/>
        <v>0</v>
      </c>
      <c r="W25" s="168">
        <v>0</v>
      </c>
      <c r="X25" s="173">
        <v>40000</v>
      </c>
      <c r="Y25" s="170">
        <v>39945.266147006849</v>
      </c>
      <c r="Z25" s="171">
        <f t="shared" si="11"/>
        <v>0</v>
      </c>
      <c r="AA25" s="15"/>
      <c r="AB25" s="168">
        <v>0</v>
      </c>
      <c r="AC25" s="173">
        <v>15000</v>
      </c>
      <c r="AD25" s="170">
        <v>39945.266147006849</v>
      </c>
      <c r="AE25" s="171">
        <f t="shared" si="12"/>
        <v>0</v>
      </c>
      <c r="AF25" s="15"/>
      <c r="AG25" s="168">
        <v>0</v>
      </c>
      <c r="AH25" s="181">
        <f t="shared" si="13"/>
        <v>2.5000000000000001E-3</v>
      </c>
      <c r="AI25" s="179">
        <v>1</v>
      </c>
      <c r="AJ25" s="170">
        <v>39945.266147006849</v>
      </c>
      <c r="AK25" s="170">
        <v>6182108.0653865878</v>
      </c>
      <c r="AL25" s="171">
        <f t="shared" si="14"/>
        <v>0</v>
      </c>
    </row>
    <row r="26" spans="1:47" ht="14.5" x14ac:dyDescent="0.3">
      <c r="A26">
        <f>ROW()</f>
        <v>26</v>
      </c>
      <c r="B26" s="216" t="s">
        <v>140</v>
      </c>
      <c r="C26" s="219"/>
      <c r="D26" s="219"/>
      <c r="E26" s="219"/>
      <c r="F26" s="227"/>
      <c r="G26" s="227"/>
      <c r="H26" s="227"/>
      <c r="I26" s="227"/>
      <c r="J26" s="227"/>
      <c r="K26" s="227"/>
      <c r="L26" s="227"/>
      <c r="M26" s="227"/>
      <c r="N26" s="227"/>
      <c r="O26" s="227"/>
      <c r="P26" s="227"/>
      <c r="Q26" s="218"/>
      <c r="R26" s="162">
        <v>0.1</v>
      </c>
      <c r="S26" s="167">
        <f>$S$25*(1+R26)</f>
        <v>862950.00000000012</v>
      </c>
      <c r="T26" s="164">
        <v>41783.193831261677</v>
      </c>
      <c r="U26" s="165">
        <f t="shared" si="10"/>
        <v>4.6011151296147926E-2</v>
      </c>
      <c r="W26" s="162">
        <v>0.1</v>
      </c>
      <c r="X26" s="167">
        <f>$X$25*(1+W26)</f>
        <v>44000</v>
      </c>
      <c r="Y26" s="164">
        <v>40885.13292234164</v>
      </c>
      <c r="Z26" s="165">
        <f t="shared" si="11"/>
        <v>2.3528865019346389E-2</v>
      </c>
      <c r="AA26" s="15"/>
      <c r="AB26" s="162">
        <v>0.2</v>
      </c>
      <c r="AC26" s="167">
        <f>$AC$25*(1+AB26)</f>
        <v>18000</v>
      </c>
      <c r="AD26" s="164">
        <v>40768.311414496558</v>
      </c>
      <c r="AE26" s="165">
        <f t="shared" si="12"/>
        <v>2.0604325540371483E-2</v>
      </c>
      <c r="AF26" s="15"/>
      <c r="AG26" s="162">
        <v>0.1</v>
      </c>
      <c r="AH26" s="180">
        <f t="shared" si="13"/>
        <v>2.7500000000000003E-3</v>
      </c>
      <c r="AI26" s="178">
        <f>$AI$25*(1+AG26)</f>
        <v>1.1000000000000001</v>
      </c>
      <c r="AJ26" s="164">
        <v>42992.991556516441</v>
      </c>
      <c r="AK26" s="164">
        <v>6800318.8719252478</v>
      </c>
      <c r="AL26" s="165">
        <f t="shared" si="14"/>
        <v>7.6297536691665335E-2</v>
      </c>
    </row>
    <row r="27" spans="1:47" ht="14.5" x14ac:dyDescent="0.25">
      <c r="A27">
        <f>ROW()</f>
        <v>27</v>
      </c>
      <c r="B27" s="219" t="s">
        <v>141</v>
      </c>
      <c r="C27" s="219"/>
      <c r="D27" s="219"/>
      <c r="E27" s="219"/>
      <c r="F27" s="218"/>
      <c r="G27" s="218"/>
      <c r="H27" s="218"/>
      <c r="I27" s="218"/>
      <c r="J27" s="218"/>
      <c r="K27" s="218"/>
      <c r="L27" s="218"/>
      <c r="M27" s="218"/>
      <c r="N27" s="218"/>
      <c r="O27" s="218"/>
      <c r="P27" s="218"/>
      <c r="Q27" s="218"/>
      <c r="R27" s="162">
        <v>0.2</v>
      </c>
      <c r="S27" s="167">
        <f>$S$25*(1+R27)</f>
        <v>941400</v>
      </c>
      <c r="T27" s="164">
        <v>43621.121515516505</v>
      </c>
      <c r="U27" s="165">
        <f t="shared" si="10"/>
        <v>9.2022302592295852E-2</v>
      </c>
      <c r="W27" s="162">
        <v>0.2</v>
      </c>
      <c r="X27" s="167">
        <f>$X$25*(1+W27)</f>
        <v>48000</v>
      </c>
      <c r="Y27" s="164">
        <v>41824.999697676431</v>
      </c>
      <c r="Z27" s="165">
        <f t="shared" si="11"/>
        <v>4.7057730038692777E-2</v>
      </c>
      <c r="AA27" s="15"/>
      <c r="AB27" s="162">
        <v>0.4</v>
      </c>
      <c r="AC27" s="167">
        <f>$AC$25*(1+AB27)</f>
        <v>21000</v>
      </c>
      <c r="AD27" s="164">
        <v>41591.356681986268</v>
      </c>
      <c r="AE27" s="165">
        <f t="shared" si="12"/>
        <v>4.1208651080742967E-2</v>
      </c>
      <c r="AF27" s="15"/>
      <c r="AG27" s="162">
        <v>0.2</v>
      </c>
      <c r="AH27" s="180">
        <f t="shared" si="13"/>
        <v>3.0000000000000001E-3</v>
      </c>
      <c r="AI27" s="178">
        <f>$AI$25*(1+AG27)</f>
        <v>1.2</v>
      </c>
      <c r="AJ27" s="164">
        <v>46040.716966026026</v>
      </c>
      <c r="AK27" s="164">
        <v>7418529.678463906</v>
      </c>
      <c r="AL27" s="165">
        <f t="shared" si="14"/>
        <v>0.1525950733833305</v>
      </c>
    </row>
    <row r="28" spans="1:47" ht="14.5" x14ac:dyDescent="0.25">
      <c r="A28">
        <f>ROW()</f>
        <v>28</v>
      </c>
      <c r="B28" s="219" t="s">
        <v>154</v>
      </c>
      <c r="C28" s="219"/>
      <c r="D28" s="219"/>
      <c r="E28" s="219"/>
      <c r="F28" s="228">
        <v>253500</v>
      </c>
      <c r="G28" s="229">
        <f>+F28*(1+G31)</f>
        <v>266175</v>
      </c>
      <c r="H28" s="229">
        <f t="shared" ref="H28:P28" si="17">+G28*(1+H31)</f>
        <v>279483.75</v>
      </c>
      <c r="I28" s="229">
        <f t="shared" si="17"/>
        <v>293457.9375</v>
      </c>
      <c r="J28" s="229">
        <f t="shared" si="17"/>
        <v>308130.83437500003</v>
      </c>
      <c r="K28" s="229">
        <f t="shared" si="17"/>
        <v>323537.37609375006</v>
      </c>
      <c r="L28" s="229">
        <f t="shared" si="17"/>
        <v>339714.24489843758</v>
      </c>
      <c r="M28" s="229">
        <f t="shared" si="17"/>
        <v>356699.95714335947</v>
      </c>
      <c r="N28" s="229">
        <f t="shared" si="17"/>
        <v>374534.95500052744</v>
      </c>
      <c r="O28" s="229">
        <f t="shared" si="17"/>
        <v>393261.70275055384</v>
      </c>
      <c r="P28" s="229">
        <f t="shared" si="17"/>
        <v>412924.78788808157</v>
      </c>
      <c r="Q28" s="218"/>
      <c r="R28" s="162">
        <v>0.30000000000000004</v>
      </c>
      <c r="S28" s="167">
        <f>$S$25*(1+R28)</f>
        <v>1019850</v>
      </c>
      <c r="T28" s="174">
        <v>45459.049199771332</v>
      </c>
      <c r="U28" s="165">
        <f t="shared" si="10"/>
        <v>0.13803345388844376</v>
      </c>
      <c r="W28" s="162">
        <v>0.30000000000000004</v>
      </c>
      <c r="X28" s="167">
        <f>$X$25*(1+W28)</f>
        <v>52000</v>
      </c>
      <c r="Y28" s="174">
        <v>42764.866473011214</v>
      </c>
      <c r="Z28" s="165">
        <f t="shared" si="11"/>
        <v>7.0586595058038978E-2</v>
      </c>
      <c r="AB28" s="162">
        <v>0.6</v>
      </c>
      <c r="AC28" s="167">
        <f>$AC$25*(1+AB28)</f>
        <v>24000</v>
      </c>
      <c r="AD28" s="174">
        <v>42414.401949475978</v>
      </c>
      <c r="AE28" s="165">
        <f t="shared" si="12"/>
        <v>6.1812976621114457E-2</v>
      </c>
      <c r="AG28" s="162">
        <v>0.30000000000000004</v>
      </c>
      <c r="AH28" s="180">
        <f t="shared" si="13"/>
        <v>3.2500000000000003E-3</v>
      </c>
      <c r="AI28" s="178">
        <f>$AI$25*(1+AG28)</f>
        <v>1.3</v>
      </c>
      <c r="AJ28" s="174">
        <v>49088.442375535618</v>
      </c>
      <c r="AK28" s="174">
        <v>8036740.4850025661</v>
      </c>
      <c r="AL28" s="165">
        <f t="shared" si="14"/>
        <v>0.22889261007499584</v>
      </c>
    </row>
    <row r="29" spans="1:47" ht="14.5" x14ac:dyDescent="0.25">
      <c r="A29">
        <f>ROW()</f>
        <v>29</v>
      </c>
      <c r="B29" s="219" t="s">
        <v>153</v>
      </c>
      <c r="C29" s="219"/>
      <c r="D29" s="219"/>
      <c r="E29" s="219"/>
      <c r="F29" s="228">
        <v>531000</v>
      </c>
      <c r="G29" s="229">
        <f>+F29*(1+G31)</f>
        <v>557550</v>
      </c>
      <c r="H29" s="229">
        <f t="shared" ref="H29:P29" si="18">+G29*(1+H31)</f>
        <v>585427.5</v>
      </c>
      <c r="I29" s="229">
        <f t="shared" si="18"/>
        <v>614698.875</v>
      </c>
      <c r="J29" s="229">
        <f t="shared" si="18"/>
        <v>645433.81874999998</v>
      </c>
      <c r="K29" s="229">
        <f t="shared" si="18"/>
        <v>677705.50968749996</v>
      </c>
      <c r="L29" s="229">
        <f t="shared" si="18"/>
        <v>711590.78517187503</v>
      </c>
      <c r="M29" s="229">
        <f t="shared" si="18"/>
        <v>747170.32443046884</v>
      </c>
      <c r="N29" s="229">
        <f t="shared" si="18"/>
        <v>784528.84065199236</v>
      </c>
      <c r="O29" s="229">
        <f t="shared" si="18"/>
        <v>823755.28268459206</v>
      </c>
      <c r="P29" s="229">
        <f t="shared" si="18"/>
        <v>864943.04681882169</v>
      </c>
      <c r="Q29" s="218"/>
      <c r="R29" s="162">
        <v>0.4</v>
      </c>
      <c r="S29" s="167">
        <f>$S$25*(1+R29)</f>
        <v>1098300</v>
      </c>
      <c r="T29" s="174">
        <v>47296.97688402616</v>
      </c>
      <c r="U29" s="165">
        <f t="shared" si="10"/>
        <v>0.1840446051845917</v>
      </c>
      <c r="W29" s="162">
        <v>0.4</v>
      </c>
      <c r="X29" s="167">
        <f>$X$25*(1+W29)</f>
        <v>56000</v>
      </c>
      <c r="Y29" s="174">
        <v>43704.733248345998</v>
      </c>
      <c r="Z29" s="165">
        <f t="shared" si="11"/>
        <v>9.411546007738518E-2</v>
      </c>
      <c r="AB29" s="162">
        <v>0.8</v>
      </c>
      <c r="AC29" s="167">
        <f>$AC$25*(1+AB29)</f>
        <v>27000</v>
      </c>
      <c r="AD29" s="174">
        <v>43237.447216965695</v>
      </c>
      <c r="AE29" s="165">
        <f t="shared" si="12"/>
        <v>8.2417302161486114E-2</v>
      </c>
      <c r="AG29" s="162">
        <v>0.4</v>
      </c>
      <c r="AH29" s="180">
        <f t="shared" si="13"/>
        <v>3.4999999999999996E-3</v>
      </c>
      <c r="AI29" s="178">
        <f>$AI$25*(1+AG29)</f>
        <v>1.4</v>
      </c>
      <c r="AJ29" s="174">
        <v>52136.167785045196</v>
      </c>
      <c r="AK29" s="174">
        <v>8654951.2915412225</v>
      </c>
      <c r="AL29" s="165">
        <f t="shared" si="14"/>
        <v>0.30519014676666079</v>
      </c>
    </row>
    <row r="30" spans="1:47" ht="15" thickBot="1" x14ac:dyDescent="0.3">
      <c r="A30">
        <f>ROW()</f>
        <v>30</v>
      </c>
      <c r="B30" s="219" t="s">
        <v>144</v>
      </c>
      <c r="C30" s="219"/>
      <c r="D30" s="219"/>
      <c r="E30" s="219"/>
      <c r="F30" s="230">
        <f t="shared" ref="F30" si="19">SUM(F28:F29)</f>
        <v>784500</v>
      </c>
      <c r="G30" s="230">
        <f>F30*(1+G31)</f>
        <v>823725</v>
      </c>
      <c r="H30" s="230">
        <f t="shared" ref="H30:P30" si="20">G30*(1+H31)</f>
        <v>864911.25</v>
      </c>
      <c r="I30" s="230">
        <f t="shared" si="20"/>
        <v>908156.8125</v>
      </c>
      <c r="J30" s="230">
        <f t="shared" si="20"/>
        <v>953564.65312500007</v>
      </c>
      <c r="K30" s="230">
        <f t="shared" si="20"/>
        <v>1001242.8857812501</v>
      </c>
      <c r="L30" s="230">
        <f t="shared" si="20"/>
        <v>1051305.0300703126</v>
      </c>
      <c r="M30" s="230">
        <f t="shared" si="20"/>
        <v>1103870.2815738283</v>
      </c>
      <c r="N30" s="230">
        <f t="shared" si="20"/>
        <v>1159063.7956525197</v>
      </c>
      <c r="O30" s="230">
        <f t="shared" si="20"/>
        <v>1217016.9854351457</v>
      </c>
      <c r="P30" s="230">
        <f t="shared" si="20"/>
        <v>1277867.834706903</v>
      </c>
      <c r="Q30" s="218"/>
      <c r="R30" s="162">
        <v>0.5</v>
      </c>
      <c r="S30" s="167">
        <f>$S$25*(1+R30)</f>
        <v>1176750</v>
      </c>
      <c r="T30" s="174">
        <v>49134.904568280988</v>
      </c>
      <c r="U30" s="165">
        <f t="shared" si="10"/>
        <v>0.23005575648073961</v>
      </c>
      <c r="W30" s="162">
        <v>0.5</v>
      </c>
      <c r="X30" s="167">
        <f>$X$25*(1+W30)</f>
        <v>60000</v>
      </c>
      <c r="Y30" s="174">
        <v>44644.600023680796</v>
      </c>
      <c r="Z30" s="165">
        <f t="shared" si="11"/>
        <v>0.11764432509673176</v>
      </c>
      <c r="AB30" s="162">
        <v>1</v>
      </c>
      <c r="AC30" s="167">
        <f>$AC$25*(1+AB30)</f>
        <v>30000</v>
      </c>
      <c r="AD30" s="174">
        <v>44060.492484455404</v>
      </c>
      <c r="AE30" s="165">
        <f t="shared" si="12"/>
        <v>0.1030216277018576</v>
      </c>
      <c r="AG30" s="162">
        <v>0.5</v>
      </c>
      <c r="AH30" s="180">
        <f t="shared" si="13"/>
        <v>3.7499999999999999E-3</v>
      </c>
      <c r="AI30" s="178">
        <f>$AI$25*(1+AG30)</f>
        <v>1.5</v>
      </c>
      <c r="AJ30" s="174">
        <v>55183.893194554803</v>
      </c>
      <c r="AK30" s="174">
        <v>9273162.0980798826</v>
      </c>
      <c r="AL30" s="165">
        <f t="shared" si="14"/>
        <v>0.38148768345832651</v>
      </c>
    </row>
    <row r="31" spans="1:47" ht="13" thickTop="1" x14ac:dyDescent="0.25">
      <c r="A31">
        <f>ROW()</f>
        <v>31</v>
      </c>
      <c r="B31" s="219" t="s">
        <v>112</v>
      </c>
      <c r="C31" s="219"/>
      <c r="D31" s="219"/>
      <c r="E31" s="219"/>
      <c r="F31" s="229"/>
      <c r="G31" s="222">
        <v>0.05</v>
      </c>
      <c r="H31" s="222">
        <v>0.05</v>
      </c>
      <c r="I31" s="222">
        <v>0.05</v>
      </c>
      <c r="J31" s="222">
        <v>0.05</v>
      </c>
      <c r="K31" s="222">
        <v>0.05</v>
      </c>
      <c r="L31" s="222">
        <v>0.05</v>
      </c>
      <c r="M31" s="222">
        <v>0.05</v>
      </c>
      <c r="N31" s="222">
        <v>0.05</v>
      </c>
      <c r="O31" s="222">
        <v>0.05</v>
      </c>
      <c r="P31" s="222">
        <v>0.05</v>
      </c>
      <c r="Q31" s="218"/>
    </row>
    <row r="32" spans="1:47" x14ac:dyDescent="0.25">
      <c r="A32">
        <f>ROW()</f>
        <v>32</v>
      </c>
      <c r="B32" s="219"/>
      <c r="C32" s="219"/>
      <c r="D32" s="219"/>
      <c r="E32" s="219"/>
      <c r="F32" s="229"/>
      <c r="G32" s="231"/>
      <c r="H32" s="231"/>
      <c r="I32" s="231"/>
      <c r="J32" s="231"/>
      <c r="K32" s="231"/>
      <c r="L32" s="231"/>
      <c r="M32" s="231"/>
      <c r="N32" s="231"/>
      <c r="O32" s="231"/>
      <c r="P32" s="231"/>
      <c r="Q32" s="218"/>
    </row>
    <row r="33" spans="1:17" x14ac:dyDescent="0.25">
      <c r="A33">
        <f>ROW()</f>
        <v>33</v>
      </c>
      <c r="B33" s="219" t="s">
        <v>157</v>
      </c>
      <c r="C33" s="219"/>
      <c r="D33" s="219"/>
      <c r="E33" s="219"/>
      <c r="F33" s="222">
        <v>0.8</v>
      </c>
      <c r="G33" s="222">
        <f>F33</f>
        <v>0.8</v>
      </c>
      <c r="H33" s="222">
        <f t="shared" ref="H33:P33" si="21">G33</f>
        <v>0.8</v>
      </c>
      <c r="I33" s="222">
        <f t="shared" si="21"/>
        <v>0.8</v>
      </c>
      <c r="J33" s="222">
        <f t="shared" si="21"/>
        <v>0.8</v>
      </c>
      <c r="K33" s="222">
        <f t="shared" si="21"/>
        <v>0.8</v>
      </c>
      <c r="L33" s="222">
        <f t="shared" si="21"/>
        <v>0.8</v>
      </c>
      <c r="M33" s="222">
        <f t="shared" si="21"/>
        <v>0.8</v>
      </c>
      <c r="N33" s="222">
        <f t="shared" si="21"/>
        <v>0.8</v>
      </c>
      <c r="O33" s="222">
        <f t="shared" si="21"/>
        <v>0.8</v>
      </c>
      <c r="P33" s="222">
        <f t="shared" si="21"/>
        <v>0.8</v>
      </c>
      <c r="Q33" s="218"/>
    </row>
    <row r="34" spans="1:17" x14ac:dyDescent="0.25">
      <c r="A34">
        <f>ROW()</f>
        <v>34</v>
      </c>
      <c r="B34" s="219" t="s">
        <v>158</v>
      </c>
      <c r="C34" s="219"/>
      <c r="D34" s="219"/>
      <c r="E34" s="219"/>
      <c r="F34" s="229">
        <f>+F33*F30</f>
        <v>627600</v>
      </c>
      <c r="G34" s="229">
        <f t="shared" ref="G34:P34" si="22">+G33*G30</f>
        <v>658980</v>
      </c>
      <c r="H34" s="229">
        <f t="shared" si="22"/>
        <v>691929</v>
      </c>
      <c r="I34" s="229">
        <f t="shared" si="22"/>
        <v>726525.45000000007</v>
      </c>
      <c r="J34" s="229">
        <f t="shared" si="22"/>
        <v>762851.72250000015</v>
      </c>
      <c r="K34" s="229">
        <f t="shared" si="22"/>
        <v>800994.30862500006</v>
      </c>
      <c r="L34" s="229">
        <f t="shared" si="22"/>
        <v>841044.02405625011</v>
      </c>
      <c r="M34" s="229">
        <f t="shared" si="22"/>
        <v>883096.22525906272</v>
      </c>
      <c r="N34" s="229">
        <f t="shared" si="22"/>
        <v>927251.03652201581</v>
      </c>
      <c r="O34" s="229">
        <f t="shared" si="22"/>
        <v>973613.58834811661</v>
      </c>
      <c r="P34" s="229">
        <f t="shared" si="22"/>
        <v>1022294.2677655225</v>
      </c>
      <c r="Q34" s="218"/>
    </row>
    <row r="35" spans="1:17" x14ac:dyDescent="0.25">
      <c r="A35">
        <f>ROW()</f>
        <v>35</v>
      </c>
      <c r="B35" s="219"/>
      <c r="C35" s="219"/>
      <c r="D35" s="219"/>
      <c r="E35" s="219"/>
      <c r="F35" s="229"/>
      <c r="G35" s="231"/>
      <c r="H35" s="231"/>
      <c r="I35" s="231"/>
      <c r="J35" s="231"/>
      <c r="K35" s="231"/>
      <c r="L35" s="231"/>
      <c r="M35" s="231"/>
      <c r="N35" s="231"/>
      <c r="O35" s="231"/>
      <c r="P35" s="231"/>
      <c r="Q35" s="218"/>
    </row>
    <row r="36" spans="1:17" x14ac:dyDescent="0.25">
      <c r="A36">
        <f>ROW()</f>
        <v>36</v>
      </c>
      <c r="B36" s="219" t="s">
        <v>155</v>
      </c>
      <c r="C36" s="219"/>
      <c r="D36" s="219"/>
      <c r="E36" s="219"/>
      <c r="F36" s="229">
        <f>+Sheet4!C19</f>
        <v>40000</v>
      </c>
      <c r="G36" s="229">
        <f>+F36*(1+G37)</f>
        <v>42000</v>
      </c>
      <c r="H36" s="229">
        <f t="shared" ref="H36:P36" si="23">+G36*(1+H37)</f>
        <v>44100</v>
      </c>
      <c r="I36" s="229">
        <f t="shared" si="23"/>
        <v>46305</v>
      </c>
      <c r="J36" s="229">
        <f t="shared" si="23"/>
        <v>48620.25</v>
      </c>
      <c r="K36" s="229">
        <f t="shared" si="23"/>
        <v>51051.262500000004</v>
      </c>
      <c r="L36" s="229">
        <f t="shared" si="23"/>
        <v>53603.825625000005</v>
      </c>
      <c r="M36" s="229">
        <f t="shared" si="23"/>
        <v>56284.016906250006</v>
      </c>
      <c r="N36" s="229">
        <f t="shared" si="23"/>
        <v>59098.217751562508</v>
      </c>
      <c r="O36" s="229">
        <f t="shared" si="23"/>
        <v>62053.128639140639</v>
      </c>
      <c r="P36" s="229">
        <f t="shared" si="23"/>
        <v>65155.785071097671</v>
      </c>
      <c r="Q36" s="218"/>
    </row>
    <row r="37" spans="1:17" x14ac:dyDescent="0.25">
      <c r="A37">
        <f>ROW()</f>
        <v>37</v>
      </c>
      <c r="B37" s="219" t="s">
        <v>156</v>
      </c>
      <c r="C37" s="219"/>
      <c r="D37" s="219"/>
      <c r="E37" s="219"/>
      <c r="F37" s="229"/>
      <c r="G37" s="222">
        <v>0.05</v>
      </c>
      <c r="H37" s="222">
        <v>0.05</v>
      </c>
      <c r="I37" s="222">
        <v>0.05</v>
      </c>
      <c r="J37" s="222">
        <v>0.05</v>
      </c>
      <c r="K37" s="222">
        <v>0.05</v>
      </c>
      <c r="L37" s="222">
        <v>0.05</v>
      </c>
      <c r="M37" s="222">
        <v>0.05</v>
      </c>
      <c r="N37" s="222">
        <v>0.05</v>
      </c>
      <c r="O37" s="222">
        <v>0.05</v>
      </c>
      <c r="P37" s="222">
        <v>0.05</v>
      </c>
      <c r="Q37" s="218"/>
    </row>
    <row r="38" spans="1:17" x14ac:dyDescent="0.25">
      <c r="A38">
        <f>ROW()</f>
        <v>38</v>
      </c>
      <c r="B38" s="219"/>
      <c r="C38" s="219"/>
      <c r="D38" s="219"/>
      <c r="E38" s="219"/>
      <c r="F38" s="229"/>
      <c r="G38" s="222"/>
      <c r="H38" s="222"/>
      <c r="I38" s="222"/>
      <c r="J38" s="222"/>
      <c r="K38" s="222"/>
      <c r="L38" s="222"/>
      <c r="M38" s="222"/>
      <c r="N38" s="222"/>
      <c r="O38" s="222"/>
      <c r="P38" s="222"/>
      <c r="Q38" s="218"/>
    </row>
    <row r="39" spans="1:17" x14ac:dyDescent="0.25">
      <c r="A39">
        <f>ROW()</f>
        <v>39</v>
      </c>
      <c r="B39" s="219" t="s">
        <v>175</v>
      </c>
      <c r="C39" s="219"/>
      <c r="D39" s="219"/>
      <c r="E39" s="219"/>
      <c r="F39" s="229">
        <f>+F36*F34/1000000</f>
        <v>25104</v>
      </c>
      <c r="G39" s="229">
        <f t="shared" ref="G39:P39" si="24">+G36*G34/1000000</f>
        <v>27677.16</v>
      </c>
      <c r="H39" s="229">
        <f t="shared" si="24"/>
        <v>30514.068899999998</v>
      </c>
      <c r="I39" s="229">
        <f t="shared" si="24"/>
        <v>33641.760962250002</v>
      </c>
      <c r="J39" s="229">
        <f t="shared" si="24"/>
        <v>37090.041460880631</v>
      </c>
      <c r="K39" s="229">
        <f t="shared" si="24"/>
        <v>40891.770710620898</v>
      </c>
      <c r="L39" s="229">
        <f t="shared" si="24"/>
        <v>45083.177208459543</v>
      </c>
      <c r="M39" s="229">
        <f t="shared" si="24"/>
        <v>49704.202872326656</v>
      </c>
      <c r="N39" s="229">
        <f t="shared" si="24"/>
        <v>54798.883666740127</v>
      </c>
      <c r="O39" s="229">
        <f t="shared" si="24"/>
        <v>60415.769242581002</v>
      </c>
      <c r="P39" s="229">
        <f t="shared" si="24"/>
        <v>66608.385589945552</v>
      </c>
      <c r="Q39" s="223" t="s">
        <v>188</v>
      </c>
    </row>
    <row r="40" spans="1:17" ht="13" thickBot="1" x14ac:dyDescent="0.3">
      <c r="A40">
        <f>ROW()</f>
        <v>40</v>
      </c>
      <c r="B40" s="224" t="s">
        <v>152</v>
      </c>
      <c r="C40" s="224"/>
      <c r="D40" s="224"/>
      <c r="E40" s="224"/>
      <c r="F40" s="225">
        <f>$Q$40*0.25%</f>
        <v>2.5000000000000001E-3</v>
      </c>
      <c r="G40" s="225">
        <f>$Q$40*0.5%</f>
        <v>5.0000000000000001E-3</v>
      </c>
      <c r="H40" s="225">
        <f>$Q$40*1%</f>
        <v>0.01</v>
      </c>
      <c r="I40" s="225">
        <f>$Q$40*1.5%</f>
        <v>1.4999999999999999E-2</v>
      </c>
      <c r="J40" s="225">
        <f>$Q$40*1.9%</f>
        <v>1.9E-2</v>
      </c>
      <c r="K40" s="225">
        <f>$Q$40*2%</f>
        <v>0.02</v>
      </c>
      <c r="L40" s="225">
        <f>$Q$40*1.95%</f>
        <v>1.95E-2</v>
      </c>
      <c r="M40" s="225">
        <f>$Q$40*1.75%</f>
        <v>1.7500000000000002E-2</v>
      </c>
      <c r="N40" s="225">
        <f>$Q$40*1.5%</f>
        <v>1.4999999999999999E-2</v>
      </c>
      <c r="O40" s="225">
        <f>$Q$40*1%</f>
        <v>0.01</v>
      </c>
      <c r="P40" s="225">
        <f>$Q$40*0.5%</f>
        <v>5.0000000000000001E-3</v>
      </c>
      <c r="Q40" s="226">
        <f>Q24</f>
        <v>1</v>
      </c>
    </row>
    <row r="41" spans="1:17" ht="13" thickTop="1" x14ac:dyDescent="0.25">
      <c r="A41">
        <f>ROW()</f>
        <v>41</v>
      </c>
      <c r="B41" s="219"/>
      <c r="C41" s="219"/>
      <c r="D41" s="219"/>
      <c r="E41" s="219"/>
      <c r="F41" s="227"/>
      <c r="G41" s="227"/>
      <c r="H41" s="227"/>
      <c r="I41" s="227"/>
      <c r="J41" s="227"/>
      <c r="K41" s="227"/>
      <c r="L41" s="227"/>
      <c r="M41" s="227"/>
      <c r="N41" s="227"/>
      <c r="O41" s="227"/>
      <c r="P41" s="227"/>
      <c r="Q41" s="218"/>
    </row>
    <row r="42" spans="1:17" ht="13" x14ac:dyDescent="0.3">
      <c r="A42">
        <f>ROW()</f>
        <v>42</v>
      </c>
      <c r="B42" s="216" t="s">
        <v>149</v>
      </c>
      <c r="C42" s="219"/>
      <c r="D42" s="219"/>
      <c r="E42" s="219"/>
      <c r="F42" s="227"/>
      <c r="G42" s="227"/>
      <c r="H42" s="227"/>
      <c r="I42" s="227"/>
      <c r="J42" s="227"/>
      <c r="K42" s="227"/>
      <c r="L42" s="227"/>
      <c r="M42" s="227"/>
      <c r="N42" s="227"/>
      <c r="O42" s="227"/>
      <c r="P42" s="227"/>
      <c r="Q42" s="218"/>
    </row>
    <row r="43" spans="1:17" x14ac:dyDescent="0.25">
      <c r="A43">
        <f>ROW()</f>
        <v>43</v>
      </c>
      <c r="B43" s="219" t="s">
        <v>141</v>
      </c>
      <c r="C43" s="219"/>
      <c r="D43" s="219"/>
      <c r="E43" s="219"/>
      <c r="F43" s="218"/>
      <c r="G43" s="218"/>
      <c r="H43" s="218"/>
      <c r="I43" s="218"/>
      <c r="J43" s="218"/>
      <c r="K43" s="218"/>
      <c r="L43" s="218"/>
      <c r="M43" s="218"/>
      <c r="N43" s="218"/>
      <c r="O43" s="218"/>
      <c r="P43" s="218"/>
      <c r="Q43" s="218"/>
    </row>
    <row r="44" spans="1:17" x14ac:dyDescent="0.25">
      <c r="A44">
        <f>ROW()</f>
        <v>44</v>
      </c>
      <c r="B44" s="219" t="s">
        <v>142</v>
      </c>
      <c r="C44" s="219"/>
      <c r="D44" s="219"/>
      <c r="E44" s="219"/>
      <c r="F44" s="229">
        <f>F28*0.1</f>
        <v>25350</v>
      </c>
      <c r="G44" s="229">
        <f t="shared" ref="G44:P44" si="25">+F44*(1+G47)</f>
        <v>26617.5</v>
      </c>
      <c r="H44" s="229">
        <f t="shared" si="25"/>
        <v>27948.375</v>
      </c>
      <c r="I44" s="229">
        <f t="shared" si="25"/>
        <v>29345.793750000001</v>
      </c>
      <c r="J44" s="229">
        <f t="shared" si="25"/>
        <v>30813.083437500001</v>
      </c>
      <c r="K44" s="229">
        <f t="shared" si="25"/>
        <v>32353.737609375003</v>
      </c>
      <c r="L44" s="229">
        <f t="shared" si="25"/>
        <v>33971.424489843754</v>
      </c>
      <c r="M44" s="229">
        <f t="shared" si="25"/>
        <v>35669.995714335942</v>
      </c>
      <c r="N44" s="229">
        <f t="shared" si="25"/>
        <v>37453.495500052741</v>
      </c>
      <c r="O44" s="229">
        <f t="shared" si="25"/>
        <v>39326.170275055381</v>
      </c>
      <c r="P44" s="229">
        <f t="shared" si="25"/>
        <v>41292.478788808156</v>
      </c>
      <c r="Q44" s="218"/>
    </row>
    <row r="45" spans="1:17" x14ac:dyDescent="0.25">
      <c r="A45">
        <f>ROW()</f>
        <v>45</v>
      </c>
      <c r="B45" s="219" t="s">
        <v>143</v>
      </c>
      <c r="C45" s="219"/>
      <c r="D45" s="219"/>
      <c r="E45" s="219"/>
      <c r="F45" s="229">
        <f>F29*0.1</f>
        <v>53100</v>
      </c>
      <c r="G45" s="229">
        <f>+F45*(1+G47)</f>
        <v>55755</v>
      </c>
      <c r="H45" s="229">
        <f t="shared" ref="H45:P45" si="26">+G45*(1+H47)</f>
        <v>58542.75</v>
      </c>
      <c r="I45" s="229">
        <f t="shared" si="26"/>
        <v>61469.887500000004</v>
      </c>
      <c r="J45" s="229">
        <f t="shared" si="26"/>
        <v>64543.381875000006</v>
      </c>
      <c r="K45" s="229">
        <f t="shared" si="26"/>
        <v>67770.550968750016</v>
      </c>
      <c r="L45" s="229">
        <f t="shared" si="26"/>
        <v>71159.078517187518</v>
      </c>
      <c r="M45" s="229">
        <f t="shared" si="26"/>
        <v>74717.03244304689</v>
      </c>
      <c r="N45" s="229">
        <f t="shared" si="26"/>
        <v>78452.884065199236</v>
      </c>
      <c r="O45" s="229">
        <f t="shared" si="26"/>
        <v>82375.528268459195</v>
      </c>
      <c r="P45" s="229">
        <f t="shared" si="26"/>
        <v>86494.30468188216</v>
      </c>
      <c r="Q45" s="218"/>
    </row>
    <row r="46" spans="1:17" ht="13" thickBot="1" x14ac:dyDescent="0.3">
      <c r="A46">
        <f>ROW()</f>
        <v>46</v>
      </c>
      <c r="B46" s="219" t="s">
        <v>144</v>
      </c>
      <c r="C46" s="219"/>
      <c r="D46" s="219"/>
      <c r="E46" s="219"/>
      <c r="F46" s="230">
        <f>F30*0.1</f>
        <v>78450</v>
      </c>
      <c r="G46" s="230">
        <f>F46*(1+G47)</f>
        <v>82372.5</v>
      </c>
      <c r="H46" s="230">
        <f t="shared" ref="H46:O46" si="27">G46*(1+H47)</f>
        <v>86491.125</v>
      </c>
      <c r="I46" s="230">
        <f t="shared" si="27"/>
        <v>90815.681250000009</v>
      </c>
      <c r="J46" s="230">
        <f t="shared" si="27"/>
        <v>95356.465312500019</v>
      </c>
      <c r="K46" s="230">
        <f t="shared" si="27"/>
        <v>100124.28857812502</v>
      </c>
      <c r="L46" s="230">
        <f t="shared" si="27"/>
        <v>105130.50300703128</v>
      </c>
      <c r="M46" s="230">
        <f t="shared" si="27"/>
        <v>110387.02815738285</v>
      </c>
      <c r="N46" s="230">
        <f t="shared" si="27"/>
        <v>115906.37956525201</v>
      </c>
      <c r="O46" s="230">
        <f t="shared" si="27"/>
        <v>121701.69854351461</v>
      </c>
      <c r="P46" s="230">
        <f>O46*(1+P47)</f>
        <v>127786.78347069034</v>
      </c>
      <c r="Q46" s="218"/>
    </row>
    <row r="47" spans="1:17" ht="13" thickTop="1" x14ac:dyDescent="0.25">
      <c r="A47">
        <f>ROW()</f>
        <v>47</v>
      </c>
      <c r="B47" s="219" t="s">
        <v>112</v>
      </c>
      <c r="C47" s="219"/>
      <c r="D47" s="219"/>
      <c r="E47" s="219"/>
      <c r="F47" s="229"/>
      <c r="G47" s="222">
        <v>0.05</v>
      </c>
      <c r="H47" s="222">
        <v>0.05</v>
      </c>
      <c r="I47" s="222">
        <v>0.05</v>
      </c>
      <c r="J47" s="222">
        <v>0.05</v>
      </c>
      <c r="K47" s="222">
        <v>0.05</v>
      </c>
      <c r="L47" s="222">
        <v>0.05</v>
      </c>
      <c r="M47" s="222">
        <v>0.05</v>
      </c>
      <c r="N47" s="222">
        <v>0.05</v>
      </c>
      <c r="O47" s="222">
        <v>0.05</v>
      </c>
      <c r="P47" s="222">
        <v>0.05</v>
      </c>
      <c r="Q47" s="218"/>
    </row>
    <row r="48" spans="1:17" x14ac:dyDescent="0.25">
      <c r="A48">
        <f>ROW()</f>
        <v>48</v>
      </c>
      <c r="B48" s="219"/>
      <c r="C48" s="219"/>
      <c r="D48" s="219"/>
      <c r="E48" s="219"/>
      <c r="F48" s="229"/>
      <c r="G48" s="231"/>
      <c r="H48" s="231"/>
      <c r="I48" s="231"/>
      <c r="J48" s="231"/>
      <c r="K48" s="231"/>
      <c r="L48" s="231"/>
      <c r="M48" s="231"/>
      <c r="N48" s="231"/>
      <c r="O48" s="231"/>
      <c r="P48" s="231"/>
      <c r="Q48" s="218"/>
    </row>
    <row r="49" spans="1:17" x14ac:dyDescent="0.25">
      <c r="A49">
        <f>ROW()</f>
        <v>49</v>
      </c>
      <c r="B49" s="219" t="s">
        <v>157</v>
      </c>
      <c r="C49" s="219"/>
      <c r="D49" s="219"/>
      <c r="E49" s="219"/>
      <c r="F49" s="222">
        <f>F33</f>
        <v>0.8</v>
      </c>
      <c r="G49" s="222">
        <f>F49</f>
        <v>0.8</v>
      </c>
      <c r="H49" s="222">
        <f t="shared" ref="H49:P49" si="28">G49</f>
        <v>0.8</v>
      </c>
      <c r="I49" s="222">
        <f t="shared" si="28"/>
        <v>0.8</v>
      </c>
      <c r="J49" s="222">
        <f t="shared" si="28"/>
        <v>0.8</v>
      </c>
      <c r="K49" s="222">
        <f t="shared" si="28"/>
        <v>0.8</v>
      </c>
      <c r="L49" s="222">
        <f t="shared" si="28"/>
        <v>0.8</v>
      </c>
      <c r="M49" s="222">
        <f t="shared" si="28"/>
        <v>0.8</v>
      </c>
      <c r="N49" s="222">
        <f t="shared" si="28"/>
        <v>0.8</v>
      </c>
      <c r="O49" s="222">
        <f t="shared" si="28"/>
        <v>0.8</v>
      </c>
      <c r="P49" s="222">
        <f t="shared" si="28"/>
        <v>0.8</v>
      </c>
      <c r="Q49" s="218"/>
    </row>
    <row r="50" spans="1:17" x14ac:dyDescent="0.25">
      <c r="A50">
        <f>ROW()</f>
        <v>50</v>
      </c>
      <c r="B50" s="219" t="s">
        <v>158</v>
      </c>
      <c r="C50" s="219"/>
      <c r="D50" s="219"/>
      <c r="E50" s="219"/>
      <c r="F50" s="229">
        <f>+F49*F46</f>
        <v>62760</v>
      </c>
      <c r="G50" s="229">
        <f t="shared" ref="G50" si="29">+G49*G46</f>
        <v>65898</v>
      </c>
      <c r="H50" s="229">
        <f t="shared" ref="H50" si="30">+H49*H46</f>
        <v>69192.900000000009</v>
      </c>
      <c r="I50" s="229">
        <f t="shared" ref="I50" si="31">+I49*I46</f>
        <v>72652.545000000013</v>
      </c>
      <c r="J50" s="229">
        <f t="shared" ref="J50" si="32">+J49*J46</f>
        <v>76285.172250000018</v>
      </c>
      <c r="K50" s="229">
        <f t="shared" ref="K50" si="33">+K49*K46</f>
        <v>80099.430862500027</v>
      </c>
      <c r="L50" s="229">
        <f t="shared" ref="L50" si="34">+L49*L46</f>
        <v>84104.402405625035</v>
      </c>
      <c r="M50" s="229">
        <f t="shared" ref="M50" si="35">+M49*M46</f>
        <v>88309.622525906292</v>
      </c>
      <c r="N50" s="229">
        <f t="shared" ref="N50" si="36">+N49*N46</f>
        <v>92725.103652201607</v>
      </c>
      <c r="O50" s="229">
        <f t="shared" ref="O50" si="37">+O49*O46</f>
        <v>97361.35883481169</v>
      </c>
      <c r="P50" s="229">
        <f t="shared" ref="P50" si="38">+P49*P46</f>
        <v>102229.42677655228</v>
      </c>
      <c r="Q50" s="218"/>
    </row>
    <row r="51" spans="1:17" x14ac:dyDescent="0.25">
      <c r="A51">
        <f>ROW()</f>
        <v>51</v>
      </c>
      <c r="B51" s="219"/>
      <c r="C51" s="219"/>
      <c r="D51" s="219"/>
      <c r="E51" s="219"/>
      <c r="F51" s="229"/>
      <c r="G51" s="231"/>
      <c r="H51" s="231"/>
      <c r="I51" s="231"/>
      <c r="J51" s="231"/>
      <c r="K51" s="231"/>
      <c r="L51" s="231"/>
      <c r="M51" s="231"/>
      <c r="N51" s="231"/>
      <c r="O51" s="231"/>
      <c r="P51" s="231"/>
      <c r="Q51" s="218"/>
    </row>
    <row r="52" spans="1:17" x14ac:dyDescent="0.25">
      <c r="A52">
        <f>ROW()</f>
        <v>52</v>
      </c>
      <c r="B52" s="219" t="s">
        <v>145</v>
      </c>
      <c r="C52" s="219"/>
      <c r="D52" s="219"/>
      <c r="E52" s="219"/>
      <c r="F52" s="229">
        <f>+Sheet4!C43</f>
        <v>40000</v>
      </c>
      <c r="G52" s="229">
        <f>+F52*(1+G53)</f>
        <v>42000</v>
      </c>
      <c r="H52" s="229">
        <f t="shared" ref="H52" si="39">+G52*(1+H53)</f>
        <v>44100</v>
      </c>
      <c r="I52" s="229">
        <f t="shared" ref="I52" si="40">+H52*(1+I53)</f>
        <v>46305</v>
      </c>
      <c r="J52" s="229">
        <f t="shared" ref="J52" si="41">+I52*(1+J53)</f>
        <v>48620.25</v>
      </c>
      <c r="K52" s="229">
        <f t="shared" ref="K52" si="42">+J52*(1+K53)</f>
        <v>51051.262500000004</v>
      </c>
      <c r="L52" s="229">
        <f t="shared" ref="L52" si="43">+K52*(1+L53)</f>
        <v>53603.825625000005</v>
      </c>
      <c r="M52" s="229">
        <f t="shared" ref="M52" si="44">+L52*(1+M53)</f>
        <v>56284.016906250006</v>
      </c>
      <c r="N52" s="229">
        <f t="shared" ref="N52" si="45">+M52*(1+N53)</f>
        <v>59098.217751562508</v>
      </c>
      <c r="O52" s="229">
        <f t="shared" ref="O52" si="46">+N52*(1+O53)</f>
        <v>62053.128639140639</v>
      </c>
      <c r="P52" s="229">
        <f t="shared" ref="P52" si="47">+O52*(1+P53)</f>
        <v>65155.785071097671</v>
      </c>
      <c r="Q52" s="218"/>
    </row>
    <row r="53" spans="1:17" x14ac:dyDescent="0.25">
      <c r="A53">
        <f>ROW()</f>
        <v>53</v>
      </c>
      <c r="B53" s="219" t="s">
        <v>146</v>
      </c>
      <c r="C53" s="219"/>
      <c r="D53" s="219"/>
      <c r="E53" s="219"/>
      <c r="F53" s="229"/>
      <c r="G53" s="222">
        <v>0.05</v>
      </c>
      <c r="H53" s="222">
        <v>0.05</v>
      </c>
      <c r="I53" s="222">
        <v>0.05</v>
      </c>
      <c r="J53" s="222">
        <v>0.05</v>
      </c>
      <c r="K53" s="222">
        <v>0.05</v>
      </c>
      <c r="L53" s="222">
        <v>0.05</v>
      </c>
      <c r="M53" s="222">
        <v>0.05</v>
      </c>
      <c r="N53" s="222">
        <v>0.05</v>
      </c>
      <c r="O53" s="222">
        <v>0.05</v>
      </c>
      <c r="P53" s="222">
        <v>0.05</v>
      </c>
      <c r="Q53" s="218"/>
    </row>
    <row r="54" spans="1:17" x14ac:dyDescent="0.25">
      <c r="A54">
        <f>ROW()</f>
        <v>54</v>
      </c>
      <c r="B54" s="219"/>
      <c r="C54" s="219"/>
      <c r="D54" s="219"/>
      <c r="E54" s="219"/>
      <c r="F54" s="229"/>
      <c r="G54" s="231"/>
      <c r="H54" s="231"/>
      <c r="I54" s="231"/>
      <c r="J54" s="231"/>
      <c r="K54" s="231"/>
      <c r="L54" s="231"/>
      <c r="M54" s="231"/>
      <c r="N54" s="231"/>
      <c r="O54" s="231"/>
      <c r="P54" s="231"/>
      <c r="Q54" s="218"/>
    </row>
    <row r="55" spans="1:17" x14ac:dyDescent="0.25">
      <c r="A55">
        <f>ROW()</f>
        <v>55</v>
      </c>
      <c r="B55" s="219" t="s">
        <v>175</v>
      </c>
      <c r="C55" s="219"/>
      <c r="D55" s="219"/>
      <c r="E55" s="219"/>
      <c r="F55" s="229">
        <f>+F52*F50/1000000</f>
        <v>2510.4</v>
      </c>
      <c r="G55" s="229">
        <f t="shared" ref="G55:P55" si="48">+G52*G50/1000000</f>
        <v>2767.7159999999999</v>
      </c>
      <c r="H55" s="229">
        <f t="shared" si="48"/>
        <v>3051.4068900000007</v>
      </c>
      <c r="I55" s="229">
        <f t="shared" si="48"/>
        <v>3364.1760962250005</v>
      </c>
      <c r="J55" s="229">
        <f t="shared" si="48"/>
        <v>3709.0041460880634</v>
      </c>
      <c r="K55" s="229">
        <f t="shared" si="48"/>
        <v>4089.1770710620904</v>
      </c>
      <c r="L55" s="229">
        <f t="shared" si="48"/>
        <v>4508.3177208459547</v>
      </c>
      <c r="M55" s="229">
        <f t="shared" si="48"/>
        <v>4970.4202872326659</v>
      </c>
      <c r="N55" s="229">
        <f t="shared" si="48"/>
        <v>5479.8883666740148</v>
      </c>
      <c r="O55" s="229">
        <f t="shared" si="48"/>
        <v>6041.5769242581018</v>
      </c>
      <c r="P55" s="229">
        <f t="shared" si="48"/>
        <v>6660.8385589945574</v>
      </c>
      <c r="Q55" s="223" t="s">
        <v>188</v>
      </c>
    </row>
    <row r="56" spans="1:17" ht="13" thickBot="1" x14ac:dyDescent="0.3">
      <c r="A56">
        <f>ROW()</f>
        <v>56</v>
      </c>
      <c r="B56" s="224" t="s">
        <v>152</v>
      </c>
      <c r="C56" s="224"/>
      <c r="D56" s="224"/>
      <c r="E56" s="224"/>
      <c r="F56" s="225">
        <f>$Q$56*2%</f>
        <v>0.02</v>
      </c>
      <c r="G56" s="225">
        <f>$Q$56*4%</f>
        <v>0.04</v>
      </c>
      <c r="H56" s="225">
        <f>$Q$56*8%</f>
        <v>0.08</v>
      </c>
      <c r="I56" s="225">
        <f>$Q$56*14%</f>
        <v>0.14000000000000001</v>
      </c>
      <c r="J56" s="225">
        <f>$Q$56*18.5%</f>
        <v>0.185</v>
      </c>
      <c r="K56" s="225">
        <f>$Q$56*20%</f>
        <v>0.2</v>
      </c>
      <c r="L56" s="225">
        <f>$Q$56*20%</f>
        <v>0.2</v>
      </c>
      <c r="M56" s="225">
        <f>$Q$56*18%</f>
        <v>0.18</v>
      </c>
      <c r="N56" s="225">
        <f>$Q$56*16%</f>
        <v>0.16</v>
      </c>
      <c r="O56" s="225">
        <f>$Q$56*12%</f>
        <v>0.12</v>
      </c>
      <c r="P56" s="225">
        <f>$Q$56*6%</f>
        <v>0.06</v>
      </c>
      <c r="Q56" s="226">
        <f>Q40</f>
        <v>1</v>
      </c>
    </row>
    <row r="57" spans="1:17" ht="13" thickTop="1" x14ac:dyDescent="0.25">
      <c r="A57">
        <f>ROW()</f>
        <v>57</v>
      </c>
      <c r="B57" s="38"/>
      <c r="C57" s="38"/>
      <c r="D57" s="38"/>
      <c r="E57" s="38"/>
      <c r="F57" s="51"/>
      <c r="G57" s="51"/>
      <c r="H57" s="51"/>
      <c r="I57" s="51"/>
      <c r="J57" s="51"/>
      <c r="K57" s="51"/>
      <c r="L57" s="51"/>
      <c r="M57" s="51"/>
      <c r="N57" s="51"/>
      <c r="O57" s="51"/>
      <c r="P57" s="51"/>
    </row>
    <row r="58" spans="1:17" x14ac:dyDescent="0.25">
      <c r="A58">
        <f>ROW()</f>
        <v>58</v>
      </c>
      <c r="B58" s="38"/>
      <c r="C58" s="38"/>
      <c r="D58" s="38"/>
      <c r="E58" s="38"/>
      <c r="F58" s="51"/>
      <c r="G58" s="51"/>
      <c r="H58" s="51"/>
      <c r="I58" s="51"/>
      <c r="J58" s="51"/>
      <c r="K58" s="51"/>
      <c r="L58" s="51"/>
      <c r="M58" s="51"/>
      <c r="N58" s="51"/>
      <c r="O58" s="51"/>
      <c r="P58" s="51"/>
    </row>
    <row r="59" spans="1:17" ht="14.5" customHeight="1" x14ac:dyDescent="0.3">
      <c r="A59">
        <f>ROW()</f>
        <v>59</v>
      </c>
      <c r="B59" s="232" t="s">
        <v>174</v>
      </c>
      <c r="C59" s="232"/>
      <c r="D59" s="232"/>
      <c r="E59" s="232"/>
      <c r="F59" s="233">
        <v>1</v>
      </c>
      <c r="G59" s="233">
        <v>2</v>
      </c>
      <c r="H59" s="233">
        <v>3</v>
      </c>
      <c r="I59" s="233">
        <v>4</v>
      </c>
      <c r="J59" s="233">
        <v>5</v>
      </c>
      <c r="K59" s="233">
        <v>6</v>
      </c>
      <c r="L59" s="233">
        <v>7</v>
      </c>
      <c r="M59" s="233">
        <v>8</v>
      </c>
      <c r="N59" s="233">
        <v>9</v>
      </c>
      <c r="O59" s="233">
        <v>10</v>
      </c>
      <c r="P59" s="233">
        <v>11</v>
      </c>
      <c r="Q59" s="234"/>
    </row>
    <row r="60" spans="1:17" ht="14.5" customHeight="1" thickBot="1" x14ac:dyDescent="0.35">
      <c r="A60">
        <f>ROW()</f>
        <v>60</v>
      </c>
      <c r="B60" s="235" t="s">
        <v>147</v>
      </c>
      <c r="C60" s="235"/>
      <c r="D60" s="235"/>
      <c r="E60" s="235"/>
      <c r="F60" s="236">
        <f>+F24*F22*1000000</f>
        <v>238609.24347826088</v>
      </c>
      <c r="G60" s="236">
        <f t="shared" ref="G60:P60" si="49">+G24*G22*1000000</f>
        <v>375809.55847826088</v>
      </c>
      <c r="H60" s="236">
        <f t="shared" si="49"/>
        <v>526133.38186956523</v>
      </c>
      <c r="I60" s="236">
        <f t="shared" si="49"/>
        <v>649117.0598815761</v>
      </c>
      <c r="J60" s="236">
        <f t="shared" si="49"/>
        <v>725077.56688899465</v>
      </c>
      <c r="K60" s="236">
        <f t="shared" si="49"/>
        <v>761331.44523344445</v>
      </c>
      <c r="L60" s="236">
        <f t="shared" si="49"/>
        <v>751434.13644540962</v>
      </c>
      <c r="M60" s="236">
        <f t="shared" si="49"/>
        <v>721856.40979809035</v>
      </c>
      <c r="N60" s="236">
        <f t="shared" si="49"/>
        <v>652188.87257339107</v>
      </c>
      <c r="O60" s="236">
        <f t="shared" si="49"/>
        <v>536733.81540161499</v>
      </c>
      <c r="P60" s="236">
        <f t="shared" si="49"/>
        <v>388669.31460116955</v>
      </c>
      <c r="Q60" s="237">
        <f>SUM(F60:P60)</f>
        <v>6326960.8046497786</v>
      </c>
    </row>
    <row r="61" spans="1:17" ht="14.5" customHeight="1" thickTop="1" x14ac:dyDescent="0.25">
      <c r="A61">
        <f>ROW()</f>
        <v>61</v>
      </c>
      <c r="B61" s="238" t="s">
        <v>43</v>
      </c>
      <c r="C61" s="238"/>
      <c r="D61" s="238"/>
      <c r="E61" s="238"/>
      <c r="F61" s="234"/>
      <c r="G61" s="239">
        <f t="shared" ref="G61:P61" si="50">+G60/F60-1</f>
        <v>0.57499999999999996</v>
      </c>
      <c r="H61" s="239">
        <f t="shared" si="50"/>
        <v>0.39999999999999991</v>
      </c>
      <c r="I61" s="239">
        <f t="shared" si="50"/>
        <v>0.2337499999999999</v>
      </c>
      <c r="J61" s="239">
        <f t="shared" si="50"/>
        <v>0.11702127659574479</v>
      </c>
      <c r="K61" s="239">
        <f t="shared" si="50"/>
        <v>5.0000000000000044E-2</v>
      </c>
      <c r="L61" s="239">
        <f t="shared" si="50"/>
        <v>-1.3000000000000123E-2</v>
      </c>
      <c r="M61" s="239">
        <f t="shared" si="50"/>
        <v>-3.9361702127659548E-2</v>
      </c>
      <c r="N61" s="239">
        <f t="shared" si="50"/>
        <v>-9.6511627906976538E-2</v>
      </c>
      <c r="O61" s="239">
        <f t="shared" si="50"/>
        <v>-0.17702702702702722</v>
      </c>
      <c r="P61" s="239">
        <f t="shared" si="50"/>
        <v>-0.27586206896551713</v>
      </c>
      <c r="Q61" s="234"/>
    </row>
    <row r="62" spans="1:17" ht="14.5" customHeight="1" x14ac:dyDescent="0.25">
      <c r="A62">
        <f>ROW()</f>
        <v>62</v>
      </c>
      <c r="B62" s="234"/>
      <c r="C62" s="234"/>
      <c r="D62" s="234"/>
      <c r="E62" s="234"/>
      <c r="F62" s="234"/>
      <c r="G62" s="234"/>
      <c r="H62" s="234"/>
      <c r="I62" s="234"/>
      <c r="J62" s="234"/>
      <c r="K62" s="234"/>
      <c r="L62" s="234"/>
      <c r="M62" s="234"/>
      <c r="N62" s="234"/>
      <c r="O62" s="234"/>
      <c r="P62" s="234"/>
      <c r="Q62" s="234"/>
    </row>
    <row r="63" spans="1:17" ht="14.5" customHeight="1" thickBot="1" x14ac:dyDescent="0.35">
      <c r="A63">
        <f>ROW()</f>
        <v>63</v>
      </c>
      <c r="B63" s="235" t="s">
        <v>148</v>
      </c>
      <c r="C63" s="235"/>
      <c r="D63" s="235"/>
      <c r="E63" s="235"/>
      <c r="F63" s="237">
        <f>+F39*F40*1000</f>
        <v>62760</v>
      </c>
      <c r="G63" s="237">
        <f t="shared" ref="G63:P63" si="51">+G39*G40*1000</f>
        <v>138385.79999999999</v>
      </c>
      <c r="H63" s="237">
        <f t="shared" si="51"/>
        <v>305140.68900000001</v>
      </c>
      <c r="I63" s="237">
        <f t="shared" si="51"/>
        <v>504626.41443375003</v>
      </c>
      <c r="J63" s="237">
        <f t="shared" si="51"/>
        <v>704710.78775673197</v>
      </c>
      <c r="K63" s="237">
        <f t="shared" si="51"/>
        <v>817835.41421241791</v>
      </c>
      <c r="L63" s="237">
        <f t="shared" si="51"/>
        <v>879121.95556496107</v>
      </c>
      <c r="M63" s="237">
        <f t="shared" si="51"/>
        <v>869823.55026571651</v>
      </c>
      <c r="N63" s="237">
        <f t="shared" si="51"/>
        <v>821983.25500110188</v>
      </c>
      <c r="O63" s="237">
        <f t="shared" si="51"/>
        <v>604157.69242581003</v>
      </c>
      <c r="P63" s="237">
        <f t="shared" si="51"/>
        <v>333041.9279497278</v>
      </c>
      <c r="Q63" s="237">
        <f>SUM(F63:P63)</f>
        <v>6041587.4866102161</v>
      </c>
    </row>
    <row r="64" spans="1:17" ht="14.5" customHeight="1" thickTop="1" x14ac:dyDescent="0.25">
      <c r="A64">
        <f>ROW()</f>
        <v>64</v>
      </c>
      <c r="B64" s="238" t="s">
        <v>43</v>
      </c>
      <c r="C64" s="238"/>
      <c r="D64" s="238"/>
      <c r="E64" s="238"/>
      <c r="F64" s="234"/>
      <c r="G64" s="239">
        <f>+G63/F63-1</f>
        <v>1.2049999999999996</v>
      </c>
      <c r="H64" s="239">
        <f t="shared" ref="H64" si="52">+H63/G63-1</f>
        <v>1.2050000000000001</v>
      </c>
      <c r="I64" s="239">
        <f t="shared" ref="I64" si="53">+I63/H63-1</f>
        <v>0.65375000000000005</v>
      </c>
      <c r="J64" s="239">
        <f t="shared" ref="J64" si="54">+J63/I63-1</f>
        <v>0.39650000000000007</v>
      </c>
      <c r="K64" s="239">
        <f t="shared" ref="K64" si="55">+K63/J63-1</f>
        <v>0.16052631578947363</v>
      </c>
      <c r="L64" s="239">
        <f t="shared" ref="L64" si="56">+L63/K63-1</f>
        <v>7.4937500000000101E-2</v>
      </c>
      <c r="M64" s="239">
        <f t="shared" ref="M64" si="57">+M63/L63-1</f>
        <v>-1.0576923076922817E-2</v>
      </c>
      <c r="N64" s="239">
        <f t="shared" ref="N64" si="58">+N63/M63-1</f>
        <v>-5.5000000000000271E-2</v>
      </c>
      <c r="O64" s="239">
        <f t="shared" ref="O64" si="59">+O63/N63-1</f>
        <v>-0.26499999999999979</v>
      </c>
      <c r="P64" s="239">
        <f t="shared" ref="P64" si="60">+P63/O63-1</f>
        <v>-0.44874999999999998</v>
      </c>
      <c r="Q64" s="234"/>
    </row>
    <row r="65" spans="1:17" ht="14.5" customHeight="1" x14ac:dyDescent="0.25">
      <c r="A65">
        <f>ROW()</f>
        <v>65</v>
      </c>
      <c r="B65" s="234"/>
      <c r="C65" s="234"/>
      <c r="D65" s="234"/>
      <c r="E65" s="234"/>
      <c r="F65" s="234"/>
      <c r="G65" s="234"/>
      <c r="H65" s="234"/>
      <c r="I65" s="234"/>
      <c r="J65" s="234"/>
      <c r="K65" s="234"/>
      <c r="L65" s="234"/>
      <c r="M65" s="234"/>
      <c r="N65" s="234"/>
      <c r="O65" s="234"/>
      <c r="P65" s="234"/>
      <c r="Q65" s="234"/>
    </row>
    <row r="66" spans="1:17" ht="14.5" customHeight="1" thickBot="1" x14ac:dyDescent="0.35">
      <c r="A66">
        <f>ROW()</f>
        <v>66</v>
      </c>
      <c r="B66" s="235" t="s">
        <v>150</v>
      </c>
      <c r="C66" s="235"/>
      <c r="D66" s="235"/>
      <c r="E66" s="235"/>
      <c r="F66" s="237">
        <f>+F56*F55*1000</f>
        <v>50208.000000000007</v>
      </c>
      <c r="G66" s="237">
        <f t="shared" ref="G66:P66" si="61">+G56*G55*1000</f>
        <v>110708.64</v>
      </c>
      <c r="H66" s="237">
        <f t="shared" si="61"/>
        <v>244112.55120000007</v>
      </c>
      <c r="I66" s="237">
        <f t="shared" si="61"/>
        <v>470984.65347150009</v>
      </c>
      <c r="J66" s="237">
        <f t="shared" si="61"/>
        <v>686165.76702629169</v>
      </c>
      <c r="K66" s="237">
        <f t="shared" si="61"/>
        <v>817835.41421241802</v>
      </c>
      <c r="L66" s="237">
        <f t="shared" si="61"/>
        <v>901663.54416919104</v>
      </c>
      <c r="M66" s="237">
        <f t="shared" si="61"/>
        <v>894675.6517018798</v>
      </c>
      <c r="N66" s="237">
        <f t="shared" si="61"/>
        <v>876782.13866784249</v>
      </c>
      <c r="O66" s="237">
        <f t="shared" si="61"/>
        <v>724989.23091097223</v>
      </c>
      <c r="P66" s="237">
        <f t="shared" si="61"/>
        <v>399650.31353967346</v>
      </c>
      <c r="Q66" s="237">
        <f>SUM(F66:P66)</f>
        <v>6177775.9048997695</v>
      </c>
    </row>
    <row r="67" spans="1:17" ht="14.5" customHeight="1" thickTop="1" x14ac:dyDescent="0.25">
      <c r="A67">
        <f>ROW()</f>
        <v>67</v>
      </c>
      <c r="B67" s="238" t="s">
        <v>43</v>
      </c>
      <c r="C67" s="238"/>
      <c r="D67" s="238"/>
      <c r="E67" s="238"/>
      <c r="F67" s="234"/>
      <c r="G67" s="239">
        <f>+G66/F66-1</f>
        <v>1.2049999999999996</v>
      </c>
      <c r="H67" s="239">
        <f t="shared" ref="H67" si="62">+H66/G66-1</f>
        <v>1.2050000000000005</v>
      </c>
      <c r="I67" s="239">
        <f t="shared" ref="I67" si="63">+I66/H66-1</f>
        <v>0.92937499999999984</v>
      </c>
      <c r="J67" s="239">
        <f t="shared" ref="J67" si="64">+J66/I66-1</f>
        <v>0.45687499999999992</v>
      </c>
      <c r="K67" s="239">
        <f t="shared" ref="K67" si="65">+K66/J66-1</f>
        <v>0.19189189189189193</v>
      </c>
      <c r="L67" s="239">
        <f t="shared" ref="L67" si="66">+L66/K66-1</f>
        <v>0.10250000000000026</v>
      </c>
      <c r="M67" s="239">
        <f t="shared" ref="M67" si="67">+M66/L66-1</f>
        <v>-7.7500000000000346E-3</v>
      </c>
      <c r="N67" s="239">
        <f t="shared" ref="N67" si="68">+N66/M66-1</f>
        <v>-1.9999999999999685E-2</v>
      </c>
      <c r="O67" s="239">
        <f t="shared" ref="O67" si="69">+O66/N66-1</f>
        <v>-0.17312500000000008</v>
      </c>
      <c r="P67" s="239">
        <f t="shared" ref="P67" si="70">+P66/O66-1</f>
        <v>-0.44874999999999998</v>
      </c>
      <c r="Q67" s="234"/>
    </row>
    <row r="68" spans="1:17" ht="14.5" customHeight="1" x14ac:dyDescent="0.25">
      <c r="A68">
        <f>ROW()</f>
        <v>68</v>
      </c>
      <c r="B68" s="238"/>
      <c r="C68" s="238"/>
      <c r="D68" s="238"/>
      <c r="E68" s="238"/>
      <c r="F68" s="234"/>
      <c r="G68" s="239"/>
      <c r="H68" s="239"/>
      <c r="I68" s="239"/>
      <c r="J68" s="239"/>
      <c r="K68" s="239"/>
      <c r="L68" s="239"/>
      <c r="M68" s="239"/>
      <c r="N68" s="239"/>
      <c r="O68" s="239"/>
      <c r="P68" s="239"/>
      <c r="Q68" s="240" t="s">
        <v>193</v>
      </c>
    </row>
    <row r="69" spans="1:17" ht="15" customHeight="1" thickBot="1" x14ac:dyDescent="0.35">
      <c r="A69">
        <f>ROW()</f>
        <v>69</v>
      </c>
      <c r="B69" s="241" t="s">
        <v>151</v>
      </c>
      <c r="C69" s="234"/>
      <c r="D69" s="234"/>
      <c r="E69" s="234"/>
      <c r="F69" s="236">
        <f>AVERAGE(F60,F63,F66)</f>
        <v>117192.41449275363</v>
      </c>
      <c r="G69" s="236">
        <f t="shared" ref="G69:P69" si="71">AVERAGE(G60,G63,G66)</f>
        <v>208301.33282608693</v>
      </c>
      <c r="H69" s="236">
        <f t="shared" si="71"/>
        <v>358462.2073565218</v>
      </c>
      <c r="I69" s="236">
        <f t="shared" si="71"/>
        <v>541576.04259560874</v>
      </c>
      <c r="J69" s="236">
        <f t="shared" si="71"/>
        <v>705318.04055733944</v>
      </c>
      <c r="K69" s="236">
        <f t="shared" si="71"/>
        <v>799000.75788609346</v>
      </c>
      <c r="L69" s="236">
        <f t="shared" si="71"/>
        <v>844073.21205985395</v>
      </c>
      <c r="M69" s="236">
        <f t="shared" si="71"/>
        <v>828785.20392189547</v>
      </c>
      <c r="N69" s="236">
        <f t="shared" si="71"/>
        <v>783651.42208077852</v>
      </c>
      <c r="O69" s="236">
        <f t="shared" si="71"/>
        <v>621960.24624613242</v>
      </c>
      <c r="P69" s="236">
        <f t="shared" si="71"/>
        <v>373787.18536352366</v>
      </c>
      <c r="Q69" s="237">
        <f>SUM(F69:P69)</f>
        <v>6182108.0653865878</v>
      </c>
    </row>
    <row r="70" spans="1:17" ht="14.5" customHeight="1" thickTop="1" x14ac:dyDescent="0.25">
      <c r="A70">
        <f>ROW()</f>
        <v>70</v>
      </c>
      <c r="B70" s="234"/>
      <c r="C70" s="234"/>
      <c r="D70" s="234"/>
      <c r="E70" s="234"/>
      <c r="F70" s="234"/>
      <c r="G70" s="239">
        <f>+G69/F69-1</f>
        <v>0.77743016668512155</v>
      </c>
      <c r="H70" s="239">
        <f t="shared" ref="H70:P70" si="72">+H69/G69-1</f>
        <v>0.72088292711888613</v>
      </c>
      <c r="I70" s="239">
        <f t="shared" si="72"/>
        <v>0.51083163435682444</v>
      </c>
      <c r="J70" s="239">
        <f t="shared" si="72"/>
        <v>0.30234350318925718</v>
      </c>
      <c r="K70" s="239">
        <f t="shared" si="72"/>
        <v>0.13282336753321422</v>
      </c>
      <c r="L70" s="239">
        <f t="shared" si="72"/>
        <v>5.6411028060859625E-2</v>
      </c>
      <c r="M70" s="239">
        <f t="shared" si="72"/>
        <v>-1.8112182592135651E-2</v>
      </c>
      <c r="N70" s="239">
        <f t="shared" si="72"/>
        <v>-5.445775531167707E-2</v>
      </c>
      <c r="O70" s="239">
        <f t="shared" si="72"/>
        <v>-0.20633048225104733</v>
      </c>
      <c r="P70" s="239">
        <f t="shared" si="72"/>
        <v>-0.39901756162145063</v>
      </c>
      <c r="Q70" s="234"/>
    </row>
    <row r="71" spans="1:17" ht="14.5" customHeight="1" x14ac:dyDescent="0.25">
      <c r="A71">
        <f>ROW()</f>
        <v>71</v>
      </c>
      <c r="B71" s="234"/>
      <c r="C71" s="234"/>
      <c r="D71" s="234"/>
      <c r="E71" s="234"/>
      <c r="F71" s="234"/>
      <c r="G71" s="234"/>
      <c r="H71" s="234"/>
      <c r="I71" s="234"/>
      <c r="J71" s="234"/>
      <c r="K71" s="234"/>
      <c r="L71" s="234"/>
      <c r="M71" s="234"/>
      <c r="N71" s="234"/>
      <c r="O71" s="234"/>
      <c r="P71" s="234"/>
      <c r="Q71" s="234"/>
    </row>
    <row r="72" spans="1:17" ht="14.5" customHeight="1" x14ac:dyDescent="0.25">
      <c r="A72">
        <f>ROW()</f>
        <v>72</v>
      </c>
      <c r="B72" s="234" t="s">
        <v>0</v>
      </c>
      <c r="C72" s="234"/>
      <c r="D72" s="234"/>
      <c r="E72" s="234"/>
      <c r="F72" s="242">
        <f>+F69*F73</f>
        <v>99613.552318840579</v>
      </c>
      <c r="G72" s="242">
        <f t="shared" ref="G72:P72" si="73">+G69*G73</f>
        <v>177056.13290217388</v>
      </c>
      <c r="H72" s="242">
        <f t="shared" si="73"/>
        <v>304692.87625304353</v>
      </c>
      <c r="I72" s="242">
        <f t="shared" si="73"/>
        <v>460339.6362062674</v>
      </c>
      <c r="J72" s="242">
        <f t="shared" si="73"/>
        <v>599520.33447373856</v>
      </c>
      <c r="K72" s="242">
        <f t="shared" si="73"/>
        <v>679150.6442031794</v>
      </c>
      <c r="L72" s="242">
        <f t="shared" si="73"/>
        <v>717462.23025087581</v>
      </c>
      <c r="M72" s="242">
        <f t="shared" si="73"/>
        <v>704467.42333361111</v>
      </c>
      <c r="N72" s="242">
        <f t="shared" si="73"/>
        <v>666103.70876866172</v>
      </c>
      <c r="O72" s="242">
        <f t="shared" si="73"/>
        <v>528666.20930921251</v>
      </c>
      <c r="P72" s="242">
        <f t="shared" si="73"/>
        <v>317719.10755899508</v>
      </c>
      <c r="Q72" s="234"/>
    </row>
    <row r="73" spans="1:17" ht="14.5" customHeight="1" x14ac:dyDescent="0.25">
      <c r="A73">
        <f>ROW()</f>
        <v>73</v>
      </c>
      <c r="B73" s="234" t="s">
        <v>41</v>
      </c>
      <c r="C73" s="234"/>
      <c r="D73" s="234"/>
      <c r="E73" s="234"/>
      <c r="F73" s="243">
        <v>0.85</v>
      </c>
      <c r="G73" s="243">
        <v>0.85</v>
      </c>
      <c r="H73" s="243">
        <v>0.85</v>
      </c>
      <c r="I73" s="243">
        <v>0.85</v>
      </c>
      <c r="J73" s="243">
        <v>0.85</v>
      </c>
      <c r="K73" s="243">
        <v>0.85</v>
      </c>
      <c r="L73" s="243">
        <v>0.85</v>
      </c>
      <c r="M73" s="243">
        <v>0.85</v>
      </c>
      <c r="N73" s="243">
        <v>0.85</v>
      </c>
      <c r="O73" s="243">
        <v>0.85</v>
      </c>
      <c r="P73" s="243">
        <v>0.85</v>
      </c>
      <c r="Q73" s="234"/>
    </row>
    <row r="74" spans="1:17" ht="14.5" customHeight="1" x14ac:dyDescent="0.25">
      <c r="A74">
        <f>ROW()</f>
        <v>74</v>
      </c>
      <c r="B74" s="234"/>
      <c r="C74" s="234"/>
      <c r="D74" s="234"/>
      <c r="E74" s="234"/>
      <c r="F74" s="234"/>
      <c r="G74" s="234"/>
      <c r="H74" s="234"/>
      <c r="I74" s="234"/>
      <c r="J74" s="234"/>
      <c r="K74" s="234"/>
      <c r="L74" s="234"/>
      <c r="M74" s="234"/>
      <c r="N74" s="234"/>
      <c r="O74" s="234"/>
      <c r="P74" s="234"/>
      <c r="Q74" s="234"/>
    </row>
    <row r="75" spans="1:17" ht="14.5" customHeight="1" x14ac:dyDescent="0.3">
      <c r="A75">
        <f>ROW()</f>
        <v>75</v>
      </c>
      <c r="B75" s="235" t="s">
        <v>38</v>
      </c>
      <c r="C75" s="235"/>
      <c r="D75" s="235"/>
      <c r="E75" s="235"/>
      <c r="F75" s="244">
        <f>+F76*F69</f>
        <v>29298.103623188406</v>
      </c>
      <c r="G75" s="244">
        <f t="shared" ref="G75:P75" si="74">+G76*G69</f>
        <v>49992.31987826086</v>
      </c>
      <c r="H75" s="244">
        <f t="shared" si="74"/>
        <v>82446.307692000002</v>
      </c>
      <c r="I75" s="244">
        <f t="shared" si="74"/>
        <v>119146.72937103391</v>
      </c>
      <c r="J75" s="244">
        <f t="shared" si="74"/>
        <v>148116.78851704125</v>
      </c>
      <c r="K75" s="244">
        <f t="shared" si="74"/>
        <v>159800.15157721867</v>
      </c>
      <c r="L75" s="244">
        <f t="shared" si="74"/>
        <v>160373.91029137222</v>
      </c>
      <c r="M75" s="244">
        <f t="shared" si="74"/>
        <v>149181.33670594112</v>
      </c>
      <c r="N75" s="244">
        <f t="shared" si="74"/>
        <v>133220.74175373229</v>
      </c>
      <c r="O75" s="244">
        <f t="shared" si="74"/>
        <v>99513.639399381136</v>
      </c>
      <c r="P75" s="244">
        <f t="shared" si="74"/>
        <v>56068.077804528519</v>
      </c>
      <c r="Q75" s="234"/>
    </row>
    <row r="76" spans="1:17" ht="14.5" customHeight="1" x14ac:dyDescent="0.3">
      <c r="A76">
        <f>ROW()</f>
        <v>76</v>
      </c>
      <c r="B76" s="234" t="s">
        <v>42</v>
      </c>
      <c r="C76" s="235"/>
      <c r="D76" s="234"/>
      <c r="E76" s="234"/>
      <c r="F76" s="243">
        <v>0.25</v>
      </c>
      <c r="G76" s="243">
        <f>+F76-0.01</f>
        <v>0.24</v>
      </c>
      <c r="H76" s="243">
        <f t="shared" ref="H76:P76" si="75">+G76-0.01</f>
        <v>0.22999999999999998</v>
      </c>
      <c r="I76" s="243">
        <f t="shared" si="75"/>
        <v>0.21999999999999997</v>
      </c>
      <c r="J76" s="243">
        <f t="shared" si="75"/>
        <v>0.20999999999999996</v>
      </c>
      <c r="K76" s="243">
        <f t="shared" si="75"/>
        <v>0.19999999999999996</v>
      </c>
      <c r="L76" s="243">
        <f t="shared" si="75"/>
        <v>0.18999999999999995</v>
      </c>
      <c r="M76" s="243">
        <f t="shared" si="75"/>
        <v>0.17999999999999994</v>
      </c>
      <c r="N76" s="243">
        <f t="shared" si="75"/>
        <v>0.16999999999999993</v>
      </c>
      <c r="O76" s="243">
        <f t="shared" si="75"/>
        <v>0.15999999999999992</v>
      </c>
      <c r="P76" s="243">
        <f t="shared" si="75"/>
        <v>0.14999999999999991</v>
      </c>
      <c r="Q76" s="234"/>
    </row>
    <row r="77" spans="1:17" ht="14.5" customHeight="1" x14ac:dyDescent="0.3">
      <c r="A77">
        <f>ROW()</f>
        <v>77</v>
      </c>
      <c r="B77" s="234"/>
      <c r="C77" s="235"/>
      <c r="D77" s="245" t="s">
        <v>169</v>
      </c>
      <c r="E77" s="245"/>
      <c r="F77" s="246" t="s">
        <v>171</v>
      </c>
      <c r="G77" s="243"/>
      <c r="H77" s="243"/>
      <c r="I77" s="243"/>
      <c r="J77" s="243"/>
      <c r="K77" s="243"/>
      <c r="L77" s="243"/>
      <c r="M77" s="243"/>
      <c r="N77" s="243"/>
      <c r="O77" s="243"/>
      <c r="P77" s="243"/>
      <c r="Q77" s="234"/>
    </row>
    <row r="78" spans="1:17" ht="14.5" customHeight="1" x14ac:dyDescent="0.3">
      <c r="A78">
        <f>ROW()</f>
        <v>78</v>
      </c>
      <c r="B78" s="234"/>
      <c r="C78" s="235"/>
      <c r="D78" s="247" t="s">
        <v>163</v>
      </c>
      <c r="E78" s="248" t="s">
        <v>170</v>
      </c>
      <c r="F78" s="249">
        <v>150000</v>
      </c>
      <c r="G78" s="243"/>
      <c r="H78" s="243"/>
      <c r="I78" s="243"/>
      <c r="J78" s="243"/>
      <c r="K78" s="243"/>
      <c r="L78" s="243"/>
      <c r="M78" s="243"/>
      <c r="N78" s="243"/>
      <c r="O78" s="243"/>
      <c r="P78" s="243"/>
      <c r="Q78" s="234"/>
    </row>
    <row r="79" spans="1:17" ht="14.5" customHeight="1" x14ac:dyDescent="0.3">
      <c r="A79">
        <f>ROW()</f>
        <v>79</v>
      </c>
      <c r="B79" s="235" t="s">
        <v>1</v>
      </c>
      <c r="C79" s="250">
        <f>IRR(E79:P79)</f>
        <v>0.66400398731055343</v>
      </c>
      <c r="D79" s="251">
        <f>-I6</f>
        <v>-125000</v>
      </c>
      <c r="E79" s="251">
        <f>+D79-$F$78</f>
        <v>-275000</v>
      </c>
      <c r="F79" s="252">
        <f>+F72-F75</f>
        <v>70315.448695652172</v>
      </c>
      <c r="G79" s="252">
        <f t="shared" ref="G79:P79" si="76">+G72-G75</f>
        <v>127063.81302391301</v>
      </c>
      <c r="H79" s="252">
        <f t="shared" si="76"/>
        <v>222246.56856104353</v>
      </c>
      <c r="I79" s="252">
        <f t="shared" si="76"/>
        <v>341192.9068352335</v>
      </c>
      <c r="J79" s="252">
        <f t="shared" si="76"/>
        <v>451403.54595669731</v>
      </c>
      <c r="K79" s="252">
        <f>+K72-K75</f>
        <v>519350.49262596073</v>
      </c>
      <c r="L79" s="252">
        <f t="shared" si="76"/>
        <v>557088.3199595036</v>
      </c>
      <c r="M79" s="252">
        <f t="shared" si="76"/>
        <v>555286.08662766998</v>
      </c>
      <c r="N79" s="252">
        <f t="shared" si="76"/>
        <v>532882.9670149294</v>
      </c>
      <c r="O79" s="252">
        <f t="shared" si="76"/>
        <v>429152.56990983139</v>
      </c>
      <c r="P79" s="252">
        <f t="shared" si="76"/>
        <v>261651.02975446655</v>
      </c>
      <c r="Q79" s="234"/>
    </row>
    <row r="80" spans="1:17" ht="14.5" customHeight="1" thickBot="1" x14ac:dyDescent="0.35">
      <c r="A80">
        <f>ROW()</f>
        <v>80</v>
      </c>
      <c r="B80" s="235" t="s">
        <v>164</v>
      </c>
      <c r="C80" s="253">
        <f>SUM(E80:P80)</f>
        <v>1895474.7660629069</v>
      </c>
      <c r="D80" s="251">
        <f>+D81</f>
        <v>-125000</v>
      </c>
      <c r="E80" s="251">
        <f>+D80-$F$78</f>
        <v>-275000</v>
      </c>
      <c r="F80" s="254">
        <f t="shared" ref="F80:P80" si="77">F79/(1+$C$82)^F59</f>
        <v>63923.135177865603</v>
      </c>
      <c r="G80" s="254">
        <f t="shared" si="77"/>
        <v>105011.41572224215</v>
      </c>
      <c r="H80" s="254">
        <f t="shared" si="77"/>
        <v>166977.13640949922</v>
      </c>
      <c r="I80" s="254">
        <f t="shared" si="77"/>
        <v>233039.34624358543</v>
      </c>
      <c r="J80" s="254">
        <f t="shared" si="77"/>
        <v>280286.08698902657</v>
      </c>
      <c r="K80" s="254">
        <f t="shared" si="77"/>
        <v>293159.81364794128</v>
      </c>
      <c r="L80" s="254">
        <f t="shared" si="77"/>
        <v>285874.39395872457</v>
      </c>
      <c r="M80" s="254">
        <f t="shared" si="77"/>
        <v>259045.05753958927</v>
      </c>
      <c r="N80" s="254">
        <f t="shared" si="77"/>
        <v>225994.39718229487</v>
      </c>
      <c r="O80" s="254">
        <f t="shared" si="77"/>
        <v>165456.89347017335</v>
      </c>
      <c r="P80" s="254">
        <f t="shared" si="77"/>
        <v>91707.08972196476</v>
      </c>
      <c r="Q80" s="234"/>
    </row>
    <row r="81" spans="1:47" ht="14.5" customHeight="1" thickTop="1" x14ac:dyDescent="0.3">
      <c r="A81">
        <f>ROW()</f>
        <v>81</v>
      </c>
      <c r="B81" s="235" t="s">
        <v>166</v>
      </c>
      <c r="C81" s="250">
        <f>IRR(E81:P81)</f>
        <v>3.8491406918372384E-2</v>
      </c>
      <c r="D81" s="251">
        <f>+D79</f>
        <v>-125000</v>
      </c>
      <c r="E81" s="251">
        <f>+(D81-$F$78)</f>
        <v>-275000</v>
      </c>
      <c r="F81" s="252">
        <f t="shared" ref="F81:P81" si="78">F79*$I$10</f>
        <v>6139.8043492069564</v>
      </c>
      <c r="G81" s="252">
        <f t="shared" si="78"/>
        <v>11094.958025622038</v>
      </c>
      <c r="H81" s="252">
        <f t="shared" si="78"/>
        <v>19406.1258736132</v>
      </c>
      <c r="I81" s="252">
        <f t="shared" si="78"/>
        <v>29792.282239038923</v>
      </c>
      <c r="J81" s="252">
        <f t="shared" si="78"/>
        <v>39415.654825846897</v>
      </c>
      <c r="K81" s="252">
        <f t="shared" si="78"/>
        <v>45348.646315113641</v>
      </c>
      <c r="L81" s="252">
        <f t="shared" si="78"/>
        <v>48643.837922223938</v>
      </c>
      <c r="M81" s="252">
        <f t="shared" si="78"/>
        <v>48486.47051215489</v>
      </c>
      <c r="N81" s="252">
        <f t="shared" si="78"/>
        <v>46530.274913809611</v>
      </c>
      <c r="O81" s="252">
        <f t="shared" si="78"/>
        <v>37472.744099386662</v>
      </c>
      <c r="P81" s="252">
        <f t="shared" si="78"/>
        <v>22846.844616100512</v>
      </c>
      <c r="Q81" s="234"/>
    </row>
    <row r="82" spans="1:47" ht="14.5" customHeight="1" x14ac:dyDescent="0.3">
      <c r="A82">
        <f>ROW()</f>
        <v>82</v>
      </c>
      <c r="B82" s="235" t="s">
        <v>165</v>
      </c>
      <c r="C82" s="255">
        <v>0.1</v>
      </c>
      <c r="D82" s="234"/>
      <c r="E82" s="234"/>
      <c r="F82" s="234"/>
      <c r="G82" s="234"/>
      <c r="H82" s="234"/>
      <c r="I82" s="234"/>
      <c r="J82" s="234"/>
      <c r="K82" s="234"/>
      <c r="L82" s="234"/>
      <c r="M82" s="234"/>
      <c r="N82" s="234"/>
      <c r="O82" s="234"/>
      <c r="P82" s="234"/>
      <c r="Q82" s="234"/>
    </row>
    <row r="83" spans="1:47" ht="14.5" customHeight="1" x14ac:dyDescent="0.3">
      <c r="A83">
        <f>ROW()</f>
        <v>83</v>
      </c>
      <c r="B83" s="8"/>
      <c r="C83" s="8"/>
      <c r="D83" s="8" t="s">
        <v>172</v>
      </c>
      <c r="E83" s="8"/>
      <c r="F83" s="8"/>
      <c r="G83" s="8"/>
      <c r="H83" s="8"/>
      <c r="I83" s="8"/>
      <c r="J83" s="8"/>
      <c r="K83" s="8"/>
      <c r="L83" s="8"/>
      <c r="M83" s="8"/>
      <c r="N83" s="8"/>
      <c r="O83" s="8"/>
      <c r="P83" s="8"/>
    </row>
    <row r="84" spans="1:47" ht="14.5" customHeight="1" x14ac:dyDescent="0.3">
      <c r="A84">
        <f>ROW()</f>
        <v>84</v>
      </c>
      <c r="B84" s="53" t="s">
        <v>199</v>
      </c>
      <c r="C84" s="71"/>
      <c r="D84" s="53"/>
      <c r="E84" s="54">
        <v>0</v>
      </c>
      <c r="F84" s="54">
        <v>1</v>
      </c>
      <c r="G84" s="54">
        <v>2</v>
      </c>
      <c r="H84" s="54">
        <v>3</v>
      </c>
      <c r="I84" s="54">
        <v>4</v>
      </c>
      <c r="J84" s="54">
        <v>5</v>
      </c>
      <c r="K84" s="54">
        <v>6</v>
      </c>
      <c r="L84" s="54">
        <v>7</v>
      </c>
      <c r="M84" s="54">
        <v>8</v>
      </c>
      <c r="N84" s="54">
        <v>9</v>
      </c>
      <c r="O84" s="54">
        <v>10</v>
      </c>
      <c r="P84" s="54">
        <v>11</v>
      </c>
      <c r="R84" s="136"/>
    </row>
    <row r="85" spans="1:47" ht="14.5" customHeight="1" x14ac:dyDescent="0.35">
      <c r="A85">
        <f>ROW()</f>
        <v>85</v>
      </c>
      <c r="B85" s="256" t="s">
        <v>16</v>
      </c>
      <c r="C85" s="257"/>
      <c r="D85" s="256"/>
      <c r="E85" s="256"/>
      <c r="F85" s="258">
        <v>0.05</v>
      </c>
      <c r="G85" s="259">
        <f>+F85</f>
        <v>0.05</v>
      </c>
      <c r="H85" s="259">
        <f>+G85</f>
        <v>0.05</v>
      </c>
      <c r="I85" s="259">
        <f t="shared" ref="I85:P85" si="79">+H85</f>
        <v>0.05</v>
      </c>
      <c r="J85" s="259">
        <f t="shared" si="79"/>
        <v>0.05</v>
      </c>
      <c r="K85" s="259">
        <f t="shared" si="79"/>
        <v>0.05</v>
      </c>
      <c r="L85" s="259">
        <f t="shared" si="79"/>
        <v>0.05</v>
      </c>
      <c r="M85" s="259">
        <f t="shared" si="79"/>
        <v>0.05</v>
      </c>
      <c r="N85" s="259">
        <f t="shared" si="79"/>
        <v>0.05</v>
      </c>
      <c r="O85" s="259">
        <f t="shared" si="79"/>
        <v>0.05</v>
      </c>
      <c r="P85" s="259">
        <f t="shared" si="79"/>
        <v>0.05</v>
      </c>
      <c r="R85" s="1" t="s">
        <v>173</v>
      </c>
    </row>
    <row r="86" spans="1:47" ht="14.5" customHeight="1" thickBot="1" x14ac:dyDescent="0.35">
      <c r="A86">
        <f>ROW()</f>
        <v>86</v>
      </c>
      <c r="B86" s="260" t="s">
        <v>17</v>
      </c>
      <c r="C86" s="261"/>
      <c r="D86" s="262" t="s">
        <v>32</v>
      </c>
      <c r="E86" s="262"/>
      <c r="F86" s="263">
        <f>+F85*F69</f>
        <v>5859.6207246376816</v>
      </c>
      <c r="G86" s="263">
        <f>+G85*G69</f>
        <v>10415.066641304347</v>
      </c>
      <c r="H86" s="263">
        <f>+H85*H69</f>
        <v>17923.110367826092</v>
      </c>
      <c r="I86" s="263">
        <f>+I85*I69</f>
        <v>27078.802129780437</v>
      </c>
      <c r="J86" s="263">
        <f>+J85*J69</f>
        <v>35265.90202786697</v>
      </c>
      <c r="K86" s="263">
        <f>+K85*K69</f>
        <v>39950.037894304674</v>
      </c>
      <c r="L86" s="263">
        <f>+L85*L69</f>
        <v>42203.660602992699</v>
      </c>
      <c r="M86" s="263">
        <f>+M85*M69</f>
        <v>41439.26019609478</v>
      </c>
      <c r="N86" s="263">
        <f>+N85*N69</f>
        <v>39182.571104038929</v>
      </c>
      <c r="O86" s="263">
        <f>+O85*O69</f>
        <v>31098.012312306622</v>
      </c>
      <c r="P86" s="263">
        <f>+P85*P69</f>
        <v>18689.359268176184</v>
      </c>
      <c r="R86" s="63">
        <f>SUM(F86:P86)</f>
        <v>309105.4032693294</v>
      </c>
    </row>
    <row r="87" spans="1:47" ht="14.5" customHeight="1" thickTop="1" x14ac:dyDescent="0.3">
      <c r="A87">
        <f>ROW()</f>
        <v>87</v>
      </c>
      <c r="B87" s="260" t="s">
        <v>46</v>
      </c>
      <c r="C87" s="99">
        <f>SUM(F87:P87)</f>
        <v>45187.394242308539</v>
      </c>
      <c r="D87" s="264">
        <v>0.4</v>
      </c>
      <c r="E87" s="264"/>
      <c r="F87" s="263">
        <f>F86/(1+$D$87)^F84</f>
        <v>4185.4433747412013</v>
      </c>
      <c r="G87" s="263">
        <f t="shared" ref="G87:P87" si="80">G86/(1+$D$87)^G84</f>
        <v>5313.8095108695652</v>
      </c>
      <c r="H87" s="263">
        <f t="shared" si="80"/>
        <v>6531.7457608695686</v>
      </c>
      <c r="I87" s="263">
        <f t="shared" si="80"/>
        <v>7048.8343736413071</v>
      </c>
      <c r="J87" s="263">
        <f t="shared" si="80"/>
        <v>6557.1454654063382</v>
      </c>
      <c r="K87" s="263">
        <f t="shared" si="80"/>
        <v>5305.7768625191102</v>
      </c>
      <c r="L87" s="263">
        <f t="shared" si="80"/>
        <v>4003.6294214252403</v>
      </c>
      <c r="M87" s="263">
        <f t="shared" si="80"/>
        <v>2807.9392530808145</v>
      </c>
      <c r="N87" s="263">
        <f t="shared" si="80"/>
        <v>1896.4465602189189</v>
      </c>
      <c r="O87" s="263">
        <f t="shared" si="80"/>
        <v>1075.1084477754353</v>
      </c>
      <c r="P87" s="263">
        <f t="shared" si="80"/>
        <v>461.51521176104171</v>
      </c>
    </row>
    <row r="88" spans="1:47" ht="14.5" customHeight="1" x14ac:dyDescent="0.25">
      <c r="A88">
        <f>ROW()</f>
        <v>88</v>
      </c>
      <c r="B88" s="260"/>
      <c r="C88" s="265"/>
      <c r="D88" s="266"/>
      <c r="E88" s="266"/>
      <c r="F88" s="263"/>
      <c r="G88" s="263"/>
      <c r="H88" s="263"/>
      <c r="I88" s="263"/>
      <c r="J88" s="263"/>
      <c r="K88" s="263"/>
      <c r="L88" s="263"/>
      <c r="M88" s="263"/>
      <c r="N88" s="263"/>
      <c r="O88" s="263"/>
      <c r="P88" s="263"/>
    </row>
    <row r="89" spans="1:47" ht="14.5" customHeight="1" x14ac:dyDescent="0.35">
      <c r="A89">
        <f>ROW()</f>
        <v>89</v>
      </c>
      <c r="B89" s="260" t="s">
        <v>95</v>
      </c>
      <c r="C89" s="267"/>
      <c r="D89" s="268" t="s">
        <v>32</v>
      </c>
      <c r="E89" s="268"/>
      <c r="F89" s="263">
        <f>F86*$I$10</f>
        <v>511.65036243391313</v>
      </c>
      <c r="G89" s="263">
        <f t="shared" ref="G89:P89" si="81">G86*$I$10</f>
        <v>909.42278898541304</v>
      </c>
      <c r="H89" s="263">
        <f t="shared" si="81"/>
        <v>1565.0101510978388</v>
      </c>
      <c r="I89" s="263">
        <f t="shared" si="81"/>
        <v>2364.4668443681685</v>
      </c>
      <c r="J89" s="263">
        <f t="shared" si="81"/>
        <v>3079.3480332692884</v>
      </c>
      <c r="K89" s="263">
        <f t="shared" si="81"/>
        <v>3488.3574088548958</v>
      </c>
      <c r="L89" s="263">
        <f t="shared" si="81"/>
        <v>3685.1392365321167</v>
      </c>
      <c r="M89" s="263">
        <f t="shared" si="81"/>
        <v>3618.3933218026041</v>
      </c>
      <c r="N89" s="263">
        <f t="shared" si="81"/>
        <v>3421.3437436624713</v>
      </c>
      <c r="O89" s="263">
        <f t="shared" si="81"/>
        <v>2715.4162390859897</v>
      </c>
      <c r="P89" s="263">
        <f t="shared" si="81"/>
        <v>1631.9174725786081</v>
      </c>
      <c r="R89" s="52"/>
    </row>
    <row r="90" spans="1:47" ht="14.5" customHeight="1" x14ac:dyDescent="0.3">
      <c r="A90">
        <f>ROW()</f>
        <v>90</v>
      </c>
      <c r="B90" s="260" t="s">
        <v>46</v>
      </c>
      <c r="C90" s="99">
        <f>SUM(F90:P90)</f>
        <v>13750.075895689541</v>
      </c>
      <c r="D90" s="264">
        <v>0.11</v>
      </c>
      <c r="E90" s="264"/>
      <c r="F90" s="263">
        <f>F89/(1+$D$90)^F84</f>
        <v>460.94627246298478</v>
      </c>
      <c r="G90" s="263">
        <f t="shared" ref="G90:P90" si="82">G89/(1+$D$90)^G84</f>
        <v>738.10793684393548</v>
      </c>
      <c r="H90" s="263">
        <f t="shared" si="82"/>
        <v>1144.3219341312376</v>
      </c>
      <c r="I90" s="263">
        <f t="shared" si="82"/>
        <v>1557.547547724198</v>
      </c>
      <c r="J90" s="263">
        <f t="shared" si="82"/>
        <v>1827.4431798981698</v>
      </c>
      <c r="K90" s="263">
        <f t="shared" si="82"/>
        <v>1865.0183216467119</v>
      </c>
      <c r="L90" s="263">
        <f t="shared" si="82"/>
        <v>1774.978308579407</v>
      </c>
      <c r="M90" s="263">
        <f t="shared" si="82"/>
        <v>1570.1167363579607</v>
      </c>
      <c r="N90" s="263">
        <f t="shared" si="82"/>
        <v>1337.4880210077565</v>
      </c>
      <c r="O90" s="263">
        <f t="shared" si="82"/>
        <v>956.32745281822247</v>
      </c>
      <c r="P90" s="263">
        <f t="shared" si="82"/>
        <v>517.78018421895717</v>
      </c>
    </row>
    <row r="91" spans="1:47" x14ac:dyDescent="0.25">
      <c r="A91">
        <f>ROW()</f>
        <v>91</v>
      </c>
    </row>
    <row r="92" spans="1:47" x14ac:dyDescent="0.25">
      <c r="A92">
        <f>ROW()</f>
        <v>92</v>
      </c>
      <c r="B92" s="4" t="s">
        <v>187</v>
      </c>
      <c r="C92" s="2">
        <f>AVERAGE(C87,C90)</f>
        <v>29468.735068999042</v>
      </c>
      <c r="R92" s="15"/>
      <c r="S92" s="15"/>
      <c r="T92" s="15"/>
      <c r="U92" s="15"/>
      <c r="V92" s="15"/>
      <c r="W92" s="15"/>
      <c r="X92" s="15"/>
      <c r="Y92" s="15"/>
      <c r="Z92" s="15"/>
      <c r="AA92" s="15"/>
      <c r="AB92" s="15"/>
    </row>
    <row r="93" spans="1:47" s="15" customFormat="1" ht="20.149999999999999" customHeight="1" thickBot="1" x14ac:dyDescent="0.3">
      <c r="A93" s="15">
        <f>ROW()</f>
        <v>93</v>
      </c>
      <c r="B93" s="187" t="s">
        <v>62</v>
      </c>
      <c r="C93" s="67"/>
      <c r="D93" s="67"/>
      <c r="E93" s="67"/>
      <c r="F93" s="188"/>
      <c r="H93" s="66" t="s">
        <v>59</v>
      </c>
      <c r="I93" s="66"/>
      <c r="J93" s="66"/>
      <c r="K93" s="66"/>
      <c r="L93" s="66"/>
      <c r="M93" s="66"/>
      <c r="N93" s="66"/>
      <c r="O93" s="66"/>
      <c r="P93" s="66"/>
      <c r="Q93"/>
      <c r="R93"/>
      <c r="S93"/>
      <c r="T93"/>
      <c r="U93"/>
      <c r="V93"/>
      <c r="W93"/>
      <c r="X93"/>
      <c r="Y93"/>
      <c r="Z93"/>
      <c r="AA93"/>
      <c r="AB93"/>
      <c r="AU93"/>
    </row>
    <row r="94" spans="1:47" ht="14.5" customHeight="1" thickTop="1" thickBot="1" x14ac:dyDescent="0.35">
      <c r="A94" s="15">
        <f>ROW()</f>
        <v>94</v>
      </c>
      <c r="B94" s="68"/>
      <c r="C94" s="69"/>
      <c r="D94" s="69"/>
      <c r="E94" s="69"/>
      <c r="F94" s="189"/>
      <c r="H94" s="68"/>
      <c r="I94" s="69"/>
      <c r="J94" s="69"/>
      <c r="K94" s="69"/>
      <c r="L94" s="69"/>
      <c r="M94" s="69"/>
      <c r="N94" s="69"/>
      <c r="O94" s="69"/>
      <c r="P94" s="69"/>
    </row>
    <row r="95" spans="1:47" ht="57" customHeight="1" thickTop="1" thickBot="1" x14ac:dyDescent="0.3">
      <c r="A95" s="15">
        <f>ROW()</f>
        <v>95</v>
      </c>
      <c r="B95" s="211"/>
      <c r="C95" s="212"/>
      <c r="D95" s="58" t="s">
        <v>58</v>
      </c>
      <c r="E95" s="58"/>
      <c r="F95" s="190" t="s">
        <v>200</v>
      </c>
      <c r="H95" s="70" t="s">
        <v>60</v>
      </c>
      <c r="I95" s="64"/>
      <c r="J95" s="65" t="s">
        <v>92</v>
      </c>
      <c r="K95" s="58" t="s">
        <v>82</v>
      </c>
      <c r="L95" s="58" t="s">
        <v>82</v>
      </c>
      <c r="M95" s="58" t="s">
        <v>91</v>
      </c>
      <c r="N95" s="58" t="s">
        <v>88</v>
      </c>
      <c r="O95" s="58" t="s">
        <v>89</v>
      </c>
      <c r="P95" s="58" t="s">
        <v>100</v>
      </c>
    </row>
    <row r="96" spans="1:47" ht="16.5" customHeight="1" x14ac:dyDescent="0.25">
      <c r="A96">
        <f>ROW()</f>
        <v>96</v>
      </c>
      <c r="B96" s="191" t="s">
        <v>49</v>
      </c>
      <c r="C96" s="9"/>
      <c r="D96" s="192">
        <f>+I6+F78</f>
        <v>275000</v>
      </c>
      <c r="E96" s="192"/>
      <c r="F96" s="193">
        <v>125</v>
      </c>
      <c r="H96" t="s">
        <v>76</v>
      </c>
      <c r="J96" t="s">
        <v>75</v>
      </c>
      <c r="K96" s="62">
        <v>5.53</v>
      </c>
      <c r="L96" s="62"/>
      <c r="M96" s="62"/>
      <c r="N96" s="62"/>
      <c r="O96" s="72"/>
      <c r="P96" s="50"/>
    </row>
    <row r="97" spans="1:47" ht="16.5" customHeight="1" x14ac:dyDescent="0.25">
      <c r="A97">
        <f>ROW()</f>
        <v>97</v>
      </c>
      <c r="B97" s="191" t="s">
        <v>105</v>
      </c>
      <c r="C97" s="9"/>
      <c r="D97" s="192">
        <f>+C80</f>
        <v>1895474.7660629069</v>
      </c>
      <c r="E97" s="192"/>
      <c r="F97" s="193">
        <f>AVERAGE(C90,C87)</f>
        <v>29468.735068999042</v>
      </c>
      <c r="H97" t="s">
        <v>76</v>
      </c>
      <c r="J97" t="s">
        <v>81</v>
      </c>
      <c r="K97" s="62">
        <v>4.8600000000000003</v>
      </c>
      <c r="L97" s="62"/>
      <c r="M97" s="62"/>
      <c r="N97" s="62"/>
      <c r="O97" s="72"/>
      <c r="P97" s="50"/>
    </row>
    <row r="98" spans="1:47" ht="16.5" customHeight="1" x14ac:dyDescent="0.25">
      <c r="A98">
        <f>ROW()</f>
        <v>98</v>
      </c>
      <c r="B98" s="191" t="s">
        <v>57</v>
      </c>
      <c r="C98" s="9"/>
      <c r="D98" s="59">
        <v>10</v>
      </c>
      <c r="E98" s="59"/>
      <c r="F98" s="194">
        <v>10</v>
      </c>
      <c r="H98" t="s">
        <v>76</v>
      </c>
      <c r="J98" t="s">
        <v>78</v>
      </c>
      <c r="K98" s="62">
        <v>4.7300000000000004</v>
      </c>
      <c r="L98" s="62"/>
      <c r="M98" s="62"/>
      <c r="N98" s="62"/>
      <c r="O98" s="72"/>
      <c r="P98" s="50"/>
    </row>
    <row r="99" spans="1:47" ht="16.5" customHeight="1" x14ac:dyDescent="0.3">
      <c r="A99">
        <f>ROW()</f>
        <v>99</v>
      </c>
      <c r="B99" s="191" t="s">
        <v>56</v>
      </c>
      <c r="C99" s="9"/>
      <c r="D99" s="195">
        <f>+P111</f>
        <v>4.988571428571429E-2</v>
      </c>
      <c r="E99" s="195"/>
      <c r="F99" s="196">
        <f>+D99</f>
        <v>4.988571428571429E-2</v>
      </c>
      <c r="H99" t="s">
        <v>76</v>
      </c>
      <c r="J99" t="s">
        <v>83</v>
      </c>
      <c r="K99" s="62">
        <v>3.98</v>
      </c>
      <c r="L99" s="62"/>
      <c r="M99" s="62"/>
      <c r="N99" s="62"/>
      <c r="O99" s="72"/>
      <c r="P99" s="50"/>
    </row>
    <row r="100" spans="1:47" ht="16.5" customHeight="1" x14ac:dyDescent="0.3">
      <c r="A100">
        <f>ROW()</f>
        <v>100</v>
      </c>
      <c r="B100" s="191" t="s">
        <v>5</v>
      </c>
      <c r="C100" s="9"/>
      <c r="D100" s="60">
        <f>SQRT(D99)</f>
        <v>0.22335110092792085</v>
      </c>
      <c r="E100" s="60"/>
      <c r="F100" s="196">
        <f>SQRT(F99)</f>
        <v>0.22335110092792085</v>
      </c>
      <c r="H100" t="s">
        <v>76</v>
      </c>
      <c r="J100" t="s">
        <v>84</v>
      </c>
      <c r="K100" s="62">
        <v>3.43</v>
      </c>
      <c r="L100" s="62"/>
      <c r="M100" s="62"/>
      <c r="N100" s="62"/>
      <c r="O100" s="72"/>
      <c r="P100" s="50"/>
    </row>
    <row r="101" spans="1:47" ht="16.5" customHeight="1" x14ac:dyDescent="0.35">
      <c r="A101">
        <f>ROW()</f>
        <v>101</v>
      </c>
      <c r="B101" s="197" t="s">
        <v>2</v>
      </c>
      <c r="D101" s="198">
        <v>0.02</v>
      </c>
      <c r="E101" s="198"/>
      <c r="F101" s="196">
        <f>+D101</f>
        <v>0.02</v>
      </c>
      <c r="H101" s="7" t="s">
        <v>76</v>
      </c>
      <c r="I101" s="7"/>
      <c r="J101" s="7" t="s">
        <v>87</v>
      </c>
      <c r="K101" s="78">
        <v>2.89</v>
      </c>
      <c r="L101" s="78">
        <f>SUM(K97:K101)</f>
        <v>19.89</v>
      </c>
      <c r="M101" s="78">
        <v>328.68</v>
      </c>
      <c r="N101" s="78">
        <v>24.27</v>
      </c>
      <c r="O101" s="79">
        <f>+M101/N101</f>
        <v>13.54264524103832</v>
      </c>
      <c r="P101" s="80">
        <v>2.7599999999999993E-2</v>
      </c>
    </row>
    <row r="102" spans="1:47" ht="16.5" customHeight="1" x14ac:dyDescent="0.3">
      <c r="A102">
        <f>ROW()</f>
        <v>102</v>
      </c>
      <c r="B102" s="197" t="s">
        <v>6</v>
      </c>
      <c r="D102" s="61">
        <v>0</v>
      </c>
      <c r="E102" s="61"/>
      <c r="F102" s="199">
        <v>0</v>
      </c>
      <c r="H102" s="7" t="s">
        <v>69</v>
      </c>
      <c r="I102" s="7"/>
      <c r="J102" s="7" t="s">
        <v>68</v>
      </c>
      <c r="K102" s="78">
        <v>13.44</v>
      </c>
      <c r="L102" s="78">
        <v>13.44</v>
      </c>
      <c r="M102" s="78"/>
      <c r="N102" s="78"/>
      <c r="O102" s="82"/>
      <c r="P102" s="80"/>
    </row>
    <row r="103" spans="1:47" ht="16.5" customHeight="1" x14ac:dyDescent="0.25">
      <c r="A103">
        <f>ROW()</f>
        <v>103</v>
      </c>
      <c r="B103" s="197"/>
      <c r="D103" s="57"/>
      <c r="E103" s="57"/>
      <c r="F103" s="6"/>
      <c r="H103" s="74" t="s">
        <v>67</v>
      </c>
      <c r="I103" s="74"/>
      <c r="J103" s="74" t="s">
        <v>70</v>
      </c>
      <c r="K103" s="75">
        <v>12.62</v>
      </c>
      <c r="L103" s="75">
        <v>12.62</v>
      </c>
      <c r="M103" s="75">
        <v>174</v>
      </c>
      <c r="N103" s="75">
        <v>20.58</v>
      </c>
      <c r="O103" s="76">
        <f>+M103/N103</f>
        <v>8.4548104956268233</v>
      </c>
      <c r="P103" s="77">
        <v>4.6799999999999994E-2</v>
      </c>
    </row>
    <row r="104" spans="1:47" ht="16.5" customHeight="1" x14ac:dyDescent="0.3">
      <c r="A104">
        <f>ROW()</f>
        <v>104</v>
      </c>
      <c r="B104" s="200" t="s">
        <v>109</v>
      </c>
      <c r="D104" s="57"/>
      <c r="E104" s="57"/>
      <c r="F104" s="6"/>
      <c r="H104" t="s">
        <v>72</v>
      </c>
      <c r="J104" t="s">
        <v>71</v>
      </c>
      <c r="K104" s="62">
        <v>8.2899999999999991</v>
      </c>
      <c r="L104" s="62"/>
      <c r="M104" s="62"/>
      <c r="N104" s="62"/>
      <c r="O104" s="72"/>
      <c r="P104" s="72"/>
    </row>
    <row r="105" spans="1:47" ht="16.5" customHeight="1" x14ac:dyDescent="0.25">
      <c r="A105">
        <f>ROW()</f>
        <v>105</v>
      </c>
      <c r="B105" s="197" t="s">
        <v>104</v>
      </c>
      <c r="D105" s="201">
        <f>LN(D97/D96)</f>
        <v>1.930453524651961</v>
      </c>
      <c r="E105" s="201"/>
      <c r="F105" s="202">
        <f>LN(F97/F96)</f>
        <v>5.4627714148410833</v>
      </c>
      <c r="H105" s="7"/>
      <c r="I105" s="7"/>
      <c r="J105" s="7" t="s">
        <v>86</v>
      </c>
      <c r="K105" s="78">
        <v>2.91</v>
      </c>
      <c r="L105" s="78">
        <f>+K105+K104</f>
        <v>11.2</v>
      </c>
      <c r="M105" s="78">
        <v>323.10000000000002</v>
      </c>
      <c r="N105" s="78">
        <v>28.05</v>
      </c>
      <c r="O105" s="79">
        <f t="shared" ref="O105:O110" si="83">+M105/N105</f>
        <v>11.518716577540108</v>
      </c>
      <c r="P105" s="50">
        <v>8.4000000000000005E-2</v>
      </c>
    </row>
    <row r="106" spans="1:47" ht="16.5" customHeight="1" x14ac:dyDescent="0.3">
      <c r="A106">
        <f>ROW()</f>
        <v>106</v>
      </c>
      <c r="B106" s="203" t="s">
        <v>106</v>
      </c>
      <c r="D106" s="204">
        <f>(D101+-D102+D99/2)*D98</f>
        <v>0.44942857142857146</v>
      </c>
      <c r="E106" s="204"/>
      <c r="F106" s="205">
        <f>(F101+-F102+F99/2)*F98</f>
        <v>0.44942857142857146</v>
      </c>
      <c r="H106" s="74" t="s">
        <v>65</v>
      </c>
      <c r="I106" s="74"/>
      <c r="J106" s="74" t="s">
        <v>73</v>
      </c>
      <c r="K106" s="75">
        <v>6.56</v>
      </c>
      <c r="L106" s="75">
        <v>6.56</v>
      </c>
      <c r="M106" s="75">
        <v>209.33</v>
      </c>
      <c r="N106" s="75">
        <v>21</v>
      </c>
      <c r="O106" s="76">
        <f t="shared" si="83"/>
        <v>9.9680952380952395</v>
      </c>
      <c r="P106" s="77">
        <v>3.9600000000000003E-2</v>
      </c>
    </row>
    <row r="107" spans="1:47" ht="16.5" customHeight="1" x14ac:dyDescent="0.3">
      <c r="A107">
        <f>ROW()</f>
        <v>107</v>
      </c>
      <c r="B107" s="197" t="s">
        <v>107</v>
      </c>
      <c r="D107" s="204">
        <f>(SQRT(D99)*(SQRT(D98)))</f>
        <v>0.70629819683837713</v>
      </c>
      <c r="E107" s="204"/>
      <c r="F107" s="205">
        <f>(SQRT(F99)*(SQRT(F98)))</f>
        <v>0.70629819683837713</v>
      </c>
      <c r="H107" s="74" t="s">
        <v>63</v>
      </c>
      <c r="I107" s="74"/>
      <c r="J107" s="74" t="s">
        <v>74</v>
      </c>
      <c r="K107" s="75">
        <v>6.01</v>
      </c>
      <c r="L107" s="75">
        <v>6.01</v>
      </c>
      <c r="M107" s="75">
        <v>281.10000000000002</v>
      </c>
      <c r="N107" s="75">
        <v>31.95</v>
      </c>
      <c r="O107" s="76">
        <f t="shared" si="83"/>
        <v>8.7981220657276999</v>
      </c>
      <c r="P107" s="77">
        <v>0.06</v>
      </c>
    </row>
    <row r="108" spans="1:47" ht="16.5" customHeight="1" x14ac:dyDescent="0.25">
      <c r="A108">
        <f>ROW()</f>
        <v>108</v>
      </c>
      <c r="B108" s="197"/>
      <c r="F108" s="6"/>
      <c r="H108" s="74" t="s">
        <v>66</v>
      </c>
      <c r="I108" s="74"/>
      <c r="J108" s="74" t="s">
        <v>77</v>
      </c>
      <c r="K108" s="75">
        <v>4.91</v>
      </c>
      <c r="L108" s="75">
        <v>4.91</v>
      </c>
      <c r="M108" s="75">
        <v>432.44</v>
      </c>
      <c r="N108" s="75">
        <v>32.64</v>
      </c>
      <c r="O108" s="76">
        <f t="shared" si="83"/>
        <v>13.248774509803921</v>
      </c>
      <c r="P108" s="77">
        <v>3.0000000000000006E-2</v>
      </c>
    </row>
    <row r="109" spans="1:47" ht="16.5" customHeight="1" x14ac:dyDescent="0.25">
      <c r="A109">
        <f>ROW()</f>
        <v>109</v>
      </c>
      <c r="B109" s="197" t="s">
        <v>51</v>
      </c>
      <c r="D109" s="204">
        <f>+(LN(D97/D96)+(D101+-D102+D99/2)*D98)/((SQRT(D99)*(SQRT(D98))))</f>
        <v>3.3695146139883505</v>
      </c>
      <c r="E109" s="204"/>
      <c r="F109" s="205">
        <f>+(LN(F97/F96)+(F101+-F102+F99/2)*F98)/((SQRT(F99)*(SQRT(F98))))</f>
        <v>8.3706853744418499</v>
      </c>
      <c r="H109" s="74" t="s">
        <v>80</v>
      </c>
      <c r="I109" s="74"/>
      <c r="J109" s="74" t="s">
        <v>79</v>
      </c>
      <c r="K109" s="75">
        <v>4.71</v>
      </c>
      <c r="L109" s="75">
        <v>4.71</v>
      </c>
      <c r="M109" s="75">
        <f>33200/115</f>
        <v>288.69565217391306</v>
      </c>
      <c r="N109" s="75">
        <f>3115.7/115</f>
        <v>27.093043478260867</v>
      </c>
      <c r="O109" s="76">
        <f t="shared" si="83"/>
        <v>10.655711397117825</v>
      </c>
      <c r="P109" s="77">
        <v>5.7600000000000005E-2</v>
      </c>
    </row>
    <row r="110" spans="1:47" ht="16.5" customHeight="1" x14ac:dyDescent="0.25">
      <c r="A110">
        <f>ROW()</f>
        <v>110</v>
      </c>
      <c r="B110" s="197" t="s">
        <v>52</v>
      </c>
      <c r="D110" s="204">
        <f>+D109-((SQRT(D99)*(SQRT(D98))))</f>
        <v>2.6632164171499735</v>
      </c>
      <c r="E110" s="204"/>
      <c r="F110" s="205">
        <f>+F109-((SQRT(F99)*(SQRT(F98))))</f>
        <v>7.6643871776034729</v>
      </c>
      <c r="H110" t="s">
        <v>64</v>
      </c>
      <c r="J110" t="s">
        <v>85</v>
      </c>
      <c r="K110" s="62">
        <v>3.1</v>
      </c>
      <c r="L110" s="62">
        <v>3.1</v>
      </c>
      <c r="M110" s="62">
        <v>196.83</v>
      </c>
      <c r="N110" s="62">
        <v>17.149999999999999</v>
      </c>
      <c r="O110" s="76">
        <f t="shared" si="83"/>
        <v>11.476967930029156</v>
      </c>
      <c r="P110" s="77">
        <v>3.1199999999999999E-2</v>
      </c>
      <c r="R110" s="15"/>
      <c r="S110" s="15"/>
      <c r="T110" s="15"/>
      <c r="U110" s="15"/>
      <c r="V110" s="15"/>
      <c r="W110" s="15"/>
      <c r="X110" s="15"/>
      <c r="Y110" s="15"/>
      <c r="Z110" s="15"/>
      <c r="AA110" s="15"/>
      <c r="AB110" s="15"/>
    </row>
    <row r="111" spans="1:47" s="15" customFormat="1" ht="22" customHeight="1" thickBot="1" x14ac:dyDescent="0.3">
      <c r="A111">
        <f>ROW()</f>
        <v>111</v>
      </c>
      <c r="B111" s="197" t="s">
        <v>53</v>
      </c>
      <c r="C111"/>
      <c r="D111" s="201">
        <f>NORMSDIST(D109)</f>
        <v>0.99962349650964177</v>
      </c>
      <c r="E111" s="201"/>
      <c r="F111" s="202">
        <f>NORMSDIST(F109)</f>
        <v>1</v>
      </c>
      <c r="H111" s="101" t="s">
        <v>90</v>
      </c>
      <c r="I111" s="101"/>
      <c r="J111" s="101"/>
      <c r="K111" s="73">
        <f>AVERAGE(K96:K110)</f>
        <v>5.8646666666666656</v>
      </c>
      <c r="L111" s="73">
        <f t="shared" ref="L111:N111" si="84">AVERAGE(L96:L110)</f>
        <v>9.1599999999999984</v>
      </c>
      <c r="M111" s="73">
        <f t="shared" si="84"/>
        <v>279.27195652173913</v>
      </c>
      <c r="N111" s="73">
        <f t="shared" si="84"/>
        <v>25.341630434782612</v>
      </c>
      <c r="O111" s="81">
        <f t="shared" ref="O111" si="85">AVERAGE(O96:O110)</f>
        <v>10.957980431872388</v>
      </c>
      <c r="P111" s="102">
        <f>AVERAGE(P103:P110)</f>
        <v>4.988571428571429E-2</v>
      </c>
      <c r="Q111"/>
      <c r="R111"/>
      <c r="S111"/>
      <c r="T111"/>
      <c r="U111"/>
      <c r="V111"/>
      <c r="W111"/>
      <c r="X111"/>
      <c r="Y111"/>
      <c r="Z111"/>
      <c r="AA111"/>
      <c r="AB111"/>
      <c r="AU111"/>
    </row>
    <row r="112" spans="1:47" ht="13" thickTop="1" x14ac:dyDescent="0.25">
      <c r="A112">
        <f>ROW()</f>
        <v>112</v>
      </c>
      <c r="B112" s="197" t="s">
        <v>54</v>
      </c>
      <c r="D112" s="201">
        <f>NORMSDIST(D110)</f>
        <v>0.99613011907921212</v>
      </c>
      <c r="E112" s="201"/>
      <c r="F112" s="202">
        <f>NORMSDIST(F110)</f>
        <v>0.99999999999999101</v>
      </c>
      <c r="M112" s="39"/>
      <c r="O112" s="5"/>
    </row>
    <row r="113" spans="1:47" ht="22" customHeight="1" thickBot="1" x14ac:dyDescent="0.3">
      <c r="A113">
        <f>ROW()</f>
        <v>113</v>
      </c>
      <c r="B113" s="206" t="s">
        <v>55</v>
      </c>
      <c r="C113" s="207"/>
      <c r="D113" s="208">
        <f>+(D97*D111)-(D96*EXP(-D101*D98))*D112</f>
        <v>1670481.4634943181</v>
      </c>
      <c r="E113" s="208"/>
      <c r="F113" s="209">
        <f>+(F97*F111)-(F96*EXP(-F101*F98))*F112</f>
        <v>29366.393724864294</v>
      </c>
      <c r="H113" s="117" t="s">
        <v>99</v>
      </c>
      <c r="I113" s="118"/>
      <c r="J113" s="118"/>
      <c r="K113" s="119">
        <v>0</v>
      </c>
      <c r="L113" s="119">
        <v>1</v>
      </c>
      <c r="M113" s="119">
        <v>2</v>
      </c>
      <c r="N113" s="119">
        <v>3</v>
      </c>
      <c r="O113" s="119">
        <v>4</v>
      </c>
      <c r="P113" s="119">
        <v>5</v>
      </c>
      <c r="R113" s="15"/>
      <c r="S113" s="15"/>
      <c r="T113" s="15"/>
      <c r="U113" s="15"/>
      <c r="V113" s="15"/>
      <c r="W113" s="15"/>
      <c r="X113" s="15"/>
      <c r="Y113" s="15"/>
      <c r="Z113" s="15"/>
      <c r="AA113" s="15"/>
      <c r="AB113" s="15"/>
    </row>
    <row r="114" spans="1:47" s="15" customFormat="1" ht="20.5" customHeight="1" thickTop="1" x14ac:dyDescent="0.25">
      <c r="A114" s="100">
        <f>ROW()</f>
        <v>114</v>
      </c>
      <c r="H114" s="126" t="s">
        <v>58</v>
      </c>
      <c r="I114" s="127"/>
      <c r="J114" s="127"/>
      <c r="K114" s="127"/>
      <c r="L114" s="127"/>
      <c r="M114" s="127"/>
      <c r="N114" s="127"/>
      <c r="O114" s="127"/>
      <c r="P114" s="127"/>
      <c r="Q114"/>
      <c r="R114"/>
      <c r="S114"/>
      <c r="T114"/>
      <c r="U114"/>
      <c r="V114"/>
      <c r="W114"/>
      <c r="X114"/>
      <c r="Y114"/>
      <c r="Z114"/>
      <c r="AA114"/>
      <c r="AB114"/>
      <c r="AU114"/>
    </row>
    <row r="115" spans="1:47" ht="14.5" customHeight="1" x14ac:dyDescent="0.3">
      <c r="A115" s="6">
        <f>ROW()</f>
        <v>115</v>
      </c>
      <c r="H115" s="8" t="s">
        <v>3</v>
      </c>
      <c r="K115" s="62"/>
      <c r="L115" s="83">
        <f>+F69</f>
        <v>117192.41449275363</v>
      </c>
      <c r="M115" s="83">
        <f>+G69</f>
        <v>208301.33282608693</v>
      </c>
      <c r="N115" s="83">
        <f>+H69</f>
        <v>358462.2073565218</v>
      </c>
      <c r="O115" s="83">
        <f>+I69</f>
        <v>541576.04259560874</v>
      </c>
      <c r="P115" s="83">
        <f>+J69</f>
        <v>705318.04055733944</v>
      </c>
    </row>
    <row r="116" spans="1:47" ht="14.5" customHeight="1" x14ac:dyDescent="0.25">
      <c r="A116" s="6">
        <f>ROW()</f>
        <v>116</v>
      </c>
      <c r="H116" t="s">
        <v>1</v>
      </c>
      <c r="L116" s="83">
        <f>+F79</f>
        <v>70315.448695652172</v>
      </c>
      <c r="M116" s="83">
        <f>+G79</f>
        <v>127063.81302391301</v>
      </c>
      <c r="N116" s="83">
        <f>+H79</f>
        <v>222246.56856104353</v>
      </c>
      <c r="O116" s="83">
        <f>+I79</f>
        <v>341192.9068352335</v>
      </c>
      <c r="P116" s="83">
        <f>+J79</f>
        <v>451403.54595669731</v>
      </c>
    </row>
    <row r="117" spans="1:47" ht="14.5" customHeight="1" x14ac:dyDescent="0.25">
      <c r="A117" s="6">
        <f>ROW()</f>
        <v>117</v>
      </c>
      <c r="H117" t="s">
        <v>4</v>
      </c>
      <c r="P117" s="3">
        <f>+P116*$O$111</f>
        <v>4946471.223471297</v>
      </c>
      <c r="R117" s="15"/>
      <c r="S117" s="15"/>
      <c r="T117" s="15"/>
      <c r="U117" s="15"/>
      <c r="V117" s="15"/>
      <c r="W117" s="15"/>
      <c r="X117" s="15"/>
      <c r="Y117" s="15"/>
      <c r="Z117" s="15"/>
      <c r="AA117" s="15"/>
      <c r="AB117" s="15"/>
    </row>
    <row r="118" spans="1:47" s="15" customFormat="1" ht="18.649999999999999" customHeight="1" thickBot="1" x14ac:dyDescent="0.35">
      <c r="A118" s="6">
        <f>ROW()</f>
        <v>118</v>
      </c>
      <c r="H118" s="8" t="s">
        <v>101</v>
      </c>
      <c r="I118" s="8"/>
      <c r="J118" s="8"/>
      <c r="K118" s="8"/>
      <c r="L118" s="84">
        <f>+L117+L116</f>
        <v>70315.448695652172</v>
      </c>
      <c r="M118" s="84">
        <f t="shared" ref="M118:O118" si="86">+M117+M116</f>
        <v>127063.81302391301</v>
      </c>
      <c r="N118" s="84">
        <f t="shared" si="86"/>
        <v>222246.56856104353</v>
      </c>
      <c r="O118" s="84">
        <f t="shared" si="86"/>
        <v>341192.9068352335</v>
      </c>
      <c r="P118" s="84">
        <f>+P117+P116</f>
        <v>5397874.7694279943</v>
      </c>
      <c r="Q118"/>
      <c r="AU118"/>
    </row>
    <row r="119" spans="1:47" s="15" customFormat="1" ht="18.649999999999999" customHeight="1" thickTop="1" x14ac:dyDescent="0.25">
      <c r="A119" s="6">
        <f>ROW()</f>
        <v>119</v>
      </c>
      <c r="H119" s="15" t="s">
        <v>167</v>
      </c>
      <c r="I119" s="185">
        <v>0.35</v>
      </c>
      <c r="J119" s="103" t="s">
        <v>58</v>
      </c>
      <c r="K119" s="104">
        <f>SUM(L119:P119)</f>
        <v>1518656.694036067</v>
      </c>
      <c r="L119" s="105">
        <f>+L118/(1+$I$119)^L113</f>
        <v>52085.517552334939</v>
      </c>
      <c r="M119" s="105">
        <f>+M118/(1+$I$119)^M113</f>
        <v>69719.513319019476</v>
      </c>
      <c r="N119" s="105">
        <f>+N118/(1+$I$119)^N113</f>
        <v>90330.363688886238</v>
      </c>
      <c r="O119" s="105">
        <f>+O118/(1+$I$119)^O113</f>
        <v>102722.34376654669</v>
      </c>
      <c r="P119" s="105">
        <f>+P118/(1+$I$119)^P113</f>
        <v>1203798.9557092797</v>
      </c>
      <c r="Q119"/>
      <c r="AU119"/>
    </row>
    <row r="120" spans="1:47" s="15" customFormat="1" ht="19" customHeight="1" x14ac:dyDescent="0.25">
      <c r="A120" s="6">
        <f>ROW()</f>
        <v>120</v>
      </c>
      <c r="B120" s="128"/>
      <c r="D120" s="128"/>
      <c r="E120" s="128"/>
      <c r="H120" s="126" t="s">
        <v>50</v>
      </c>
      <c r="I120" s="127"/>
      <c r="J120" s="127"/>
      <c r="K120" s="127"/>
      <c r="L120" s="127"/>
      <c r="M120" s="127"/>
      <c r="N120" s="127"/>
      <c r="O120" s="127"/>
      <c r="P120" s="127"/>
      <c r="Q120"/>
      <c r="R120"/>
      <c r="S120"/>
      <c r="T120"/>
      <c r="U120"/>
      <c r="V120"/>
      <c r="W120"/>
      <c r="X120"/>
      <c r="Y120"/>
      <c r="Z120"/>
      <c r="AA120"/>
      <c r="AB120"/>
      <c r="AU120"/>
    </row>
    <row r="121" spans="1:47" ht="13" x14ac:dyDescent="0.3">
      <c r="A121" s="6">
        <f>ROW()</f>
        <v>121</v>
      </c>
      <c r="B121" s="4"/>
      <c r="D121" s="4"/>
      <c r="E121" s="4"/>
      <c r="H121" s="8" t="s">
        <v>108</v>
      </c>
      <c r="K121" s="62"/>
      <c r="L121" s="83">
        <f>AVERAGE(F86,F89)</f>
        <v>3185.6355435357973</v>
      </c>
      <c r="M121" s="83">
        <f>AVERAGE(G86,G89)</f>
        <v>5662.2447151448805</v>
      </c>
      <c r="N121" s="83">
        <f t="shared" ref="N121:O121" si="87">AVERAGE(H86,H89)</f>
        <v>9744.060259461965</v>
      </c>
      <c r="O121" s="83">
        <f t="shared" si="87"/>
        <v>14721.634487074303</v>
      </c>
      <c r="P121" s="83">
        <f>AVERAGE(J86,J89)</f>
        <v>19172.625030568128</v>
      </c>
    </row>
    <row r="122" spans="1:47" ht="13" x14ac:dyDescent="0.3">
      <c r="A122" s="6">
        <f>ROW()</f>
        <v>122</v>
      </c>
      <c r="B122" s="4"/>
      <c r="H122" t="s">
        <v>1</v>
      </c>
      <c r="I122" s="150">
        <v>0.5</v>
      </c>
      <c r="L122" s="83">
        <f>+$I$122*L121</f>
        <v>1592.8177717678986</v>
      </c>
      <c r="M122" s="83">
        <f t="shared" ref="M122:P122" si="88">+$I$122*M121</f>
        <v>2831.1223575724403</v>
      </c>
      <c r="N122" s="83">
        <f t="shared" si="88"/>
        <v>4872.0301297309825</v>
      </c>
      <c r="O122" s="83">
        <f t="shared" si="88"/>
        <v>7360.8172435371516</v>
      </c>
      <c r="P122" s="83">
        <f t="shared" si="88"/>
        <v>9586.3125152840639</v>
      </c>
    </row>
    <row r="123" spans="1:47" x14ac:dyDescent="0.25">
      <c r="A123" s="6">
        <f>ROW()</f>
        <v>123</v>
      </c>
      <c r="B123" s="4"/>
      <c r="H123" t="s">
        <v>4</v>
      </c>
      <c r="P123" s="3">
        <f>+P122*O111</f>
        <v>105046.62495629615</v>
      </c>
    </row>
    <row r="124" spans="1:47" ht="13.5" thickBot="1" x14ac:dyDescent="0.35">
      <c r="A124" s="6">
        <f>ROW()</f>
        <v>124</v>
      </c>
      <c r="B124" s="4"/>
      <c r="H124" s="8" t="s">
        <v>101</v>
      </c>
      <c r="I124" s="8"/>
      <c r="J124" s="8"/>
      <c r="K124" s="8"/>
      <c r="L124" s="84">
        <f>+L123+L122</f>
        <v>1592.8177717678986</v>
      </c>
      <c r="M124" s="84">
        <f t="shared" ref="M124:P124" si="89">+M123+M122</f>
        <v>2831.1223575724403</v>
      </c>
      <c r="N124" s="84">
        <f t="shared" si="89"/>
        <v>4872.0301297309825</v>
      </c>
      <c r="O124" s="84">
        <f t="shared" si="89"/>
        <v>7360.8172435371516</v>
      </c>
      <c r="P124" s="84">
        <f t="shared" si="89"/>
        <v>114632.93747158021</v>
      </c>
    </row>
    <row r="125" spans="1:47" ht="19" customHeight="1" thickTop="1" x14ac:dyDescent="0.25">
      <c r="A125" s="6">
        <f>ROW()</f>
        <v>125</v>
      </c>
      <c r="B125" s="4"/>
      <c r="H125" s="15" t="s">
        <v>102</v>
      </c>
      <c r="I125" s="186">
        <f>+I119</f>
        <v>0.35</v>
      </c>
      <c r="J125" s="103" t="s">
        <v>200</v>
      </c>
      <c r="K125" s="96">
        <f>SUM(L125:P125)</f>
        <v>32494.292147289652</v>
      </c>
      <c r="L125" s="3">
        <f>+L124/(1+$I$125)^L113</f>
        <v>1179.8650161243693</v>
      </c>
      <c r="M125" s="3">
        <f t="shared" ref="M125:P125" si="90">+M124/(1+$I$125)^M113</f>
        <v>1553.4279053895418</v>
      </c>
      <c r="N125" s="3">
        <f t="shared" si="90"/>
        <v>1980.1981932554922</v>
      </c>
      <c r="O125" s="3">
        <f t="shared" si="90"/>
        <v>2216.1082019752785</v>
      </c>
      <c r="P125" s="3">
        <f t="shared" si="90"/>
        <v>25564.692830544969</v>
      </c>
    </row>
    <row r="126" spans="1:47" x14ac:dyDescent="0.25">
      <c r="B126" s="4"/>
    </row>
  </sheetData>
  <sortState xmlns:xlrd2="http://schemas.microsoft.com/office/spreadsheetml/2017/richdata2" ref="I116:L130">
    <sortCondition descending="1" ref="L116:L130"/>
  </sortState>
  <mergeCells count="2">
    <mergeCell ref="B95:C95"/>
    <mergeCell ref="D77:E77"/>
  </mergeCells>
  <phoneticPr fontId="23" type="noConversion"/>
  <pageMargins left="0.7" right="0.7" top="0.75" bottom="0.75" header="0.3" footer="0.3"/>
  <pageSetup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Y32"/>
  <sheetViews>
    <sheetView showGridLines="0" workbookViewId="0">
      <selection activeCell="N11" sqref="N11"/>
    </sheetView>
  </sheetViews>
  <sheetFormatPr defaultColWidth="11.54296875" defaultRowHeight="12.5" x14ac:dyDescent="0.25"/>
  <cols>
    <col min="1" max="1" width="6.54296875" customWidth="1"/>
    <col min="2" max="2" width="10.453125" customWidth="1"/>
    <col min="3" max="3" width="9.54296875" customWidth="1"/>
    <col min="4" max="4" width="7.81640625" customWidth="1"/>
    <col min="5" max="5" width="7.453125" customWidth="1"/>
    <col min="6" max="7" width="6.54296875" customWidth="1"/>
    <col min="8" max="8" width="7.1796875" customWidth="1"/>
    <col min="9" max="9" width="6.453125" customWidth="1"/>
    <col min="10" max="10" width="8" customWidth="1"/>
    <col min="11" max="11" width="7.54296875" customWidth="1"/>
    <col min="12" max="12" width="7.453125" customWidth="1"/>
    <col min="13" max="14" width="8.1796875" customWidth="1"/>
    <col min="15" max="17" width="8" customWidth="1"/>
    <col min="18" max="18" width="8.81640625" customWidth="1"/>
    <col min="19" max="19" width="7.81640625" customWidth="1"/>
    <col min="20" max="20" width="8" customWidth="1"/>
    <col min="21" max="21" width="7.81640625" customWidth="1"/>
    <col min="22" max="22" width="8.453125" customWidth="1"/>
    <col min="23" max="23" width="6.54296875" customWidth="1"/>
    <col min="24" max="24" width="7.81640625" customWidth="1"/>
  </cols>
  <sheetData>
    <row r="5" spans="1:25" s="1" customFormat="1" ht="15.75" customHeight="1" x14ac:dyDescent="0.25">
      <c r="A5" s="16"/>
      <c r="C5" s="17">
        <v>2022</v>
      </c>
      <c r="D5" s="17">
        <f>C5+1</f>
        <v>2023</v>
      </c>
      <c r="E5" s="17">
        <f>D5+1</f>
        <v>2024</v>
      </c>
      <c r="F5" s="17">
        <f t="shared" ref="F5:W5" si="0">E5+1</f>
        <v>2025</v>
      </c>
      <c r="G5" s="17">
        <f t="shared" si="0"/>
        <v>2026</v>
      </c>
      <c r="H5" s="17">
        <f t="shared" si="0"/>
        <v>2027</v>
      </c>
      <c r="I5" s="17">
        <f t="shared" si="0"/>
        <v>2028</v>
      </c>
      <c r="J5" s="17">
        <f t="shared" si="0"/>
        <v>2029</v>
      </c>
      <c r="K5" s="17">
        <f t="shared" si="0"/>
        <v>2030</v>
      </c>
      <c r="L5" s="17">
        <f t="shared" si="0"/>
        <v>2031</v>
      </c>
      <c r="M5" s="17">
        <f t="shared" si="0"/>
        <v>2032</v>
      </c>
      <c r="N5" s="17">
        <f t="shared" si="0"/>
        <v>2033</v>
      </c>
      <c r="O5" s="17">
        <f t="shared" si="0"/>
        <v>2034</v>
      </c>
      <c r="P5" s="17">
        <f t="shared" si="0"/>
        <v>2035</v>
      </c>
      <c r="Q5" s="17">
        <f t="shared" si="0"/>
        <v>2036</v>
      </c>
      <c r="R5" s="17">
        <f t="shared" si="0"/>
        <v>2037</v>
      </c>
      <c r="S5" s="17">
        <f t="shared" si="0"/>
        <v>2038</v>
      </c>
      <c r="T5" s="17">
        <f t="shared" si="0"/>
        <v>2039</v>
      </c>
      <c r="U5" s="17">
        <f t="shared" si="0"/>
        <v>2040</v>
      </c>
      <c r="V5" s="17">
        <f t="shared" si="0"/>
        <v>2041</v>
      </c>
      <c r="W5" s="17">
        <f t="shared" si="0"/>
        <v>2042</v>
      </c>
      <c r="X5" s="17" t="s">
        <v>18</v>
      </c>
      <c r="Y5" s="18"/>
    </row>
    <row r="6" spans="1:25" ht="15.75" customHeight="1" x14ac:dyDescent="0.25">
      <c r="A6" s="19"/>
      <c r="B6" s="20" t="s">
        <v>19</v>
      </c>
      <c r="C6" s="21" t="s">
        <v>20</v>
      </c>
      <c r="D6" s="22"/>
      <c r="E6" s="213" t="s">
        <v>8</v>
      </c>
      <c r="F6" s="213"/>
      <c r="G6" s="214" t="s">
        <v>9</v>
      </c>
      <c r="H6" s="214"/>
      <c r="I6" s="215" t="s">
        <v>10</v>
      </c>
      <c r="J6" s="215"/>
      <c r="K6" s="215"/>
      <c r="L6" s="23" t="s">
        <v>21</v>
      </c>
      <c r="M6" s="24"/>
    </row>
    <row r="7" spans="1:25" ht="15.75" customHeight="1" x14ac:dyDescent="0.25">
      <c r="B7" s="20" t="s">
        <v>14</v>
      </c>
      <c r="L7" s="25">
        <v>100</v>
      </c>
      <c r="M7" s="25">
        <v>200</v>
      </c>
      <c r="N7" s="25">
        <v>400</v>
      </c>
      <c r="O7" s="25">
        <v>650</v>
      </c>
      <c r="P7" s="25">
        <v>1150</v>
      </c>
      <c r="Q7" s="25">
        <v>1450</v>
      </c>
      <c r="R7" s="25">
        <v>1600</v>
      </c>
      <c r="S7" s="25">
        <v>1600</v>
      </c>
      <c r="T7" s="25">
        <v>1400</v>
      </c>
      <c r="U7" s="25">
        <v>800</v>
      </c>
      <c r="V7" s="25">
        <v>400</v>
      </c>
      <c r="W7" s="25">
        <v>250</v>
      </c>
      <c r="X7" s="26">
        <f>SUM(L7:W7)</f>
        <v>10000</v>
      </c>
    </row>
    <row r="8" spans="1:25" ht="15.75" customHeight="1" x14ac:dyDescent="0.25">
      <c r="B8" s="20" t="s">
        <v>22</v>
      </c>
      <c r="L8" s="11">
        <f>INDEX(E$26:$F$32,MATCH(L7,$E$26:$E$32,1),2)</f>
        <v>0.04</v>
      </c>
      <c r="M8" s="11">
        <f t="shared" ref="M8:W8" si="1">INDEX($E$26:$F$32,MATCH(M7,$E$26:$E$32,1),2)</f>
        <v>0.04</v>
      </c>
      <c r="N8" s="11">
        <f t="shared" si="1"/>
        <v>0.04</v>
      </c>
      <c r="O8" s="11">
        <f t="shared" si="1"/>
        <v>4.4999999999999998E-2</v>
      </c>
      <c r="P8" s="11">
        <f t="shared" si="1"/>
        <v>5.5E-2</v>
      </c>
      <c r="Q8" s="11">
        <f t="shared" si="1"/>
        <v>5.5E-2</v>
      </c>
      <c r="R8" s="11">
        <f t="shared" si="1"/>
        <v>5.5E-2</v>
      </c>
      <c r="S8" s="11">
        <f t="shared" si="1"/>
        <v>5.5E-2</v>
      </c>
      <c r="T8" s="11">
        <f t="shared" si="1"/>
        <v>5.5E-2</v>
      </c>
      <c r="U8" s="11">
        <f t="shared" si="1"/>
        <v>4.4999999999999998E-2</v>
      </c>
      <c r="V8" s="11">
        <f t="shared" si="1"/>
        <v>0.04</v>
      </c>
      <c r="W8" s="11">
        <f t="shared" si="1"/>
        <v>0.04</v>
      </c>
    </row>
    <row r="9" spans="1:25" ht="15.75" customHeight="1" x14ac:dyDescent="0.25">
      <c r="B9" s="20" t="s">
        <v>23</v>
      </c>
      <c r="L9" s="27">
        <f t="shared" ref="L9:W9" si="2">L7*L8</f>
        <v>4</v>
      </c>
      <c r="M9" s="27">
        <f t="shared" si="2"/>
        <v>8</v>
      </c>
      <c r="N9" s="27">
        <f t="shared" si="2"/>
        <v>16</v>
      </c>
      <c r="O9" s="27">
        <f t="shared" si="2"/>
        <v>29.25</v>
      </c>
      <c r="P9" s="27">
        <f t="shared" si="2"/>
        <v>63.25</v>
      </c>
      <c r="Q9" s="27">
        <f t="shared" si="2"/>
        <v>79.75</v>
      </c>
      <c r="R9" s="27">
        <f t="shared" si="2"/>
        <v>88</v>
      </c>
      <c r="S9" s="27">
        <f t="shared" si="2"/>
        <v>88</v>
      </c>
      <c r="T9" s="27">
        <f t="shared" si="2"/>
        <v>77</v>
      </c>
      <c r="U9" s="27">
        <f t="shared" si="2"/>
        <v>36</v>
      </c>
      <c r="V9" s="27">
        <f t="shared" si="2"/>
        <v>16</v>
      </c>
      <c r="W9" s="27">
        <f t="shared" si="2"/>
        <v>10</v>
      </c>
      <c r="X9" s="26">
        <f>SUM(L9:W9)</f>
        <v>515.25</v>
      </c>
    </row>
    <row r="10" spans="1:25" ht="15.75" customHeight="1" x14ac:dyDescent="0.25">
      <c r="B10" s="20" t="s">
        <v>24</v>
      </c>
      <c r="E10">
        <v>15</v>
      </c>
      <c r="F10">
        <v>20</v>
      </c>
      <c r="H10">
        <v>40</v>
      </c>
      <c r="K10">
        <v>50</v>
      </c>
      <c r="X10">
        <f>SUM(C10:W10)</f>
        <v>125</v>
      </c>
    </row>
    <row r="11" spans="1:25" ht="15.75" customHeight="1" x14ac:dyDescent="0.25">
      <c r="B11" s="20" t="s">
        <v>25</v>
      </c>
      <c r="C11">
        <v>-0.5</v>
      </c>
      <c r="D11">
        <v>-0.25</v>
      </c>
      <c r="X11" s="28">
        <f>SUM(X9:X10)</f>
        <v>640.25</v>
      </c>
    </row>
    <row r="12" spans="1:25" ht="15.75" customHeight="1" x14ac:dyDescent="0.25">
      <c r="B12" s="20" t="s">
        <v>26</v>
      </c>
      <c r="C12" s="29"/>
      <c r="D12" s="29"/>
      <c r="E12" s="30">
        <f>C26</f>
        <v>0.5</v>
      </c>
      <c r="F12" s="30">
        <f>C27</f>
        <v>0.72</v>
      </c>
      <c r="G12" s="31"/>
      <c r="H12" s="31">
        <f>C28</f>
        <v>0.49</v>
      </c>
      <c r="I12" s="32"/>
      <c r="J12" s="32"/>
      <c r="K12" s="32">
        <f>C29</f>
        <v>0.55000000000000004</v>
      </c>
      <c r="L12" s="33">
        <f>C30</f>
        <v>0.9</v>
      </c>
    </row>
    <row r="13" spans="1:25" ht="15.75" customHeight="1" x14ac:dyDescent="0.25">
      <c r="B13" s="20" t="s">
        <v>27</v>
      </c>
      <c r="C13" s="34"/>
      <c r="D13" s="34"/>
      <c r="E13" s="35">
        <f>E12</f>
        <v>0.5</v>
      </c>
      <c r="F13" s="35">
        <f>E13*F12</f>
        <v>0.36</v>
      </c>
      <c r="G13" s="36"/>
      <c r="H13" s="36">
        <f>F13*H12</f>
        <v>0.1764</v>
      </c>
      <c r="I13" s="36"/>
      <c r="J13" s="36"/>
      <c r="K13" s="36">
        <f>H13*K12</f>
        <v>9.7020000000000009E-2</v>
      </c>
      <c r="L13" s="36">
        <f>K13*L12</f>
        <v>8.7318000000000007E-2</v>
      </c>
    </row>
    <row r="14" spans="1:25" ht="15.75" customHeight="1" x14ac:dyDescent="0.35">
      <c r="B14" s="20" t="s">
        <v>28</v>
      </c>
      <c r="C14" s="37">
        <v>1</v>
      </c>
      <c r="D14" s="37">
        <v>2</v>
      </c>
      <c r="E14" s="37">
        <v>3</v>
      </c>
      <c r="F14" s="37">
        <v>4</v>
      </c>
      <c r="G14" s="37">
        <v>5</v>
      </c>
      <c r="H14" s="37">
        <v>6</v>
      </c>
      <c r="I14" s="37">
        <v>7</v>
      </c>
      <c r="J14" s="37">
        <v>8</v>
      </c>
      <c r="K14" s="37">
        <v>9</v>
      </c>
      <c r="L14" s="37">
        <v>10</v>
      </c>
      <c r="M14" s="37">
        <v>11</v>
      </c>
      <c r="N14" s="37">
        <v>12</v>
      </c>
      <c r="O14" s="37">
        <v>13</v>
      </c>
      <c r="P14" s="37">
        <v>14</v>
      </c>
      <c r="Q14" s="37">
        <v>15</v>
      </c>
      <c r="R14" s="37">
        <v>16</v>
      </c>
      <c r="S14" s="37">
        <v>17</v>
      </c>
      <c r="T14" s="37">
        <v>18</v>
      </c>
      <c r="U14" s="37">
        <v>19</v>
      </c>
      <c r="V14" s="37">
        <v>20</v>
      </c>
      <c r="W14" s="37">
        <v>21</v>
      </c>
    </row>
    <row r="15" spans="1:25" ht="15.75" customHeight="1" x14ac:dyDescent="0.25">
      <c r="B15" s="20" t="s">
        <v>29</v>
      </c>
      <c r="C15">
        <f>C11</f>
        <v>-0.5</v>
      </c>
      <c r="D15">
        <f>D11</f>
        <v>-0.25</v>
      </c>
      <c r="E15">
        <f>E10*E13</f>
        <v>7.5</v>
      </c>
      <c r="F15">
        <f>F10*F13</f>
        <v>7.1999999999999993</v>
      </c>
      <c r="G15">
        <f>G10*H13</f>
        <v>0</v>
      </c>
      <c r="H15" s="27">
        <f>H10*H13</f>
        <v>7.056</v>
      </c>
      <c r="I15">
        <f>I10*K13</f>
        <v>0</v>
      </c>
      <c r="J15">
        <f>J10*K13</f>
        <v>0</v>
      </c>
      <c r="K15" s="27">
        <f>K10*K13</f>
        <v>4.8510000000000009</v>
      </c>
      <c r="L15" s="27">
        <f t="shared" ref="L15:W15" si="3">L9*$L$13</f>
        <v>0.34927200000000003</v>
      </c>
      <c r="M15" s="27">
        <f t="shared" si="3"/>
        <v>0.69854400000000005</v>
      </c>
      <c r="N15" s="27">
        <f t="shared" si="3"/>
        <v>1.3970880000000001</v>
      </c>
      <c r="O15" s="27">
        <f t="shared" si="3"/>
        <v>2.5540515000000004</v>
      </c>
      <c r="P15" s="27">
        <f t="shared" si="3"/>
        <v>5.5228635000000006</v>
      </c>
      <c r="Q15" s="27">
        <f t="shared" si="3"/>
        <v>6.9636105000000006</v>
      </c>
      <c r="R15" s="27">
        <f t="shared" si="3"/>
        <v>7.6839840000000006</v>
      </c>
      <c r="S15" s="27">
        <f t="shared" si="3"/>
        <v>7.6839840000000006</v>
      </c>
      <c r="T15" s="27">
        <f t="shared" si="3"/>
        <v>6.7234860000000003</v>
      </c>
      <c r="U15" s="27">
        <f t="shared" si="3"/>
        <v>3.1434480000000002</v>
      </c>
      <c r="V15" s="27">
        <f t="shared" si="3"/>
        <v>1.3970880000000001</v>
      </c>
      <c r="W15" s="27">
        <f t="shared" si="3"/>
        <v>0.87318000000000007</v>
      </c>
      <c r="X15" s="38">
        <f>SUM(C15:W15)</f>
        <v>70.847599500000015</v>
      </c>
    </row>
    <row r="16" spans="1:25" ht="15.75" customHeight="1" x14ac:dyDescent="0.25">
      <c r="B16" s="20" t="s">
        <v>30</v>
      </c>
      <c r="C16" s="39">
        <f t="shared" ref="C16:W16" si="4">C15/((1+$F$19)^C14)</f>
        <v>-0.42553191489361702</v>
      </c>
      <c r="D16" s="39">
        <f t="shared" si="4"/>
        <v>-0.18107741059302848</v>
      </c>
      <c r="E16" s="39">
        <f t="shared" si="4"/>
        <v>4.6232530364177489</v>
      </c>
      <c r="F16" s="39">
        <f t="shared" si="4"/>
        <v>3.777296097839181</v>
      </c>
      <c r="G16" s="39">
        <f t="shared" si="4"/>
        <v>0</v>
      </c>
      <c r="H16" s="39">
        <f t="shared" si="4"/>
        <v>2.6812133460442893</v>
      </c>
      <c r="I16" s="39">
        <f t="shared" si="4"/>
        <v>0</v>
      </c>
      <c r="J16" s="39">
        <f t="shared" si="4"/>
        <v>0</v>
      </c>
      <c r="K16" s="39">
        <f t="shared" si="4"/>
        <v>1.13629337647678</v>
      </c>
      <c r="L16" s="39">
        <f t="shared" si="4"/>
        <v>6.9628189877726079E-2</v>
      </c>
      <c r="M16" s="39">
        <f t="shared" si="4"/>
        <v>0.11851606787698055</v>
      </c>
      <c r="N16" s="39">
        <f t="shared" si="4"/>
        <v>0.20172947723741369</v>
      </c>
      <c r="O16" s="39">
        <f t="shared" si="4"/>
        <v>0.31386102176565694</v>
      </c>
      <c r="P16" s="39">
        <f t="shared" si="4"/>
        <v>0.57760929992152166</v>
      </c>
      <c r="Q16" s="39">
        <f t="shared" si="4"/>
        <v>0.61982126541069849</v>
      </c>
      <c r="R16" s="39">
        <f t="shared" si="4"/>
        <v>0.58207719715751582</v>
      </c>
      <c r="S16" s="39">
        <f t="shared" si="4"/>
        <v>0.49538484864469429</v>
      </c>
      <c r="T16" s="39">
        <f t="shared" si="4"/>
        <v>0.36890361069285738</v>
      </c>
      <c r="U16" s="39">
        <f t="shared" si="4"/>
        <v>0.14678673650116458</v>
      </c>
      <c r="V16" s="39">
        <f t="shared" si="4"/>
        <v>5.5522169834955865E-2</v>
      </c>
      <c r="W16" s="39">
        <f t="shared" si="4"/>
        <v>2.9533069061146736E-2</v>
      </c>
    </row>
    <row r="17" spans="2:23" ht="15.75" customHeight="1" x14ac:dyDescent="0.25">
      <c r="B17" s="20" t="s">
        <v>18</v>
      </c>
      <c r="C17" s="40">
        <f>SUM(C16:W16)</f>
        <v>15.190819485273686</v>
      </c>
      <c r="H17" s="27"/>
      <c r="K17" s="27"/>
      <c r="L17" s="27"/>
      <c r="M17" s="27"/>
      <c r="N17" s="27"/>
      <c r="O17" s="27"/>
      <c r="P17" s="27"/>
      <c r="Q17" s="27"/>
      <c r="R17" s="27"/>
      <c r="S17" s="27"/>
      <c r="T17" s="27"/>
      <c r="U17" s="27"/>
      <c r="V17" s="27"/>
      <c r="W17" s="27"/>
    </row>
    <row r="18" spans="2:23" ht="15.75" customHeight="1" x14ac:dyDescent="0.25">
      <c r="C18" s="41"/>
      <c r="H18" s="27"/>
      <c r="K18" s="27"/>
      <c r="L18" s="27"/>
      <c r="M18" s="27"/>
      <c r="N18" s="27"/>
      <c r="O18" s="27"/>
      <c r="P18" s="27"/>
      <c r="Q18" s="27"/>
      <c r="R18" s="27"/>
      <c r="S18" s="27"/>
      <c r="T18" s="27"/>
      <c r="U18" s="27"/>
      <c r="V18" s="27"/>
      <c r="W18" s="27"/>
    </row>
    <row r="19" spans="2:23" ht="15.75" customHeight="1" x14ac:dyDescent="0.25">
      <c r="B19" t="s">
        <v>31</v>
      </c>
      <c r="C19" s="40">
        <f>NPV(F19,C15:W15)</f>
        <v>15.190819485273693</v>
      </c>
      <c r="E19" t="s">
        <v>32</v>
      </c>
      <c r="F19" s="11">
        <v>0.17499999999999999</v>
      </c>
      <c r="H19" s="27"/>
      <c r="K19" s="27"/>
      <c r="L19" s="27"/>
      <c r="M19" s="27"/>
      <c r="N19" s="27"/>
      <c r="O19" s="27"/>
      <c r="P19" s="27"/>
      <c r="Q19" s="27"/>
      <c r="R19" s="27"/>
      <c r="S19" s="27"/>
      <c r="T19" s="27"/>
      <c r="U19" s="27"/>
      <c r="V19" s="27"/>
      <c r="W19" s="27"/>
    </row>
    <row r="20" spans="2:23" ht="15.75" customHeight="1" x14ac:dyDescent="0.25">
      <c r="C20" s="11"/>
      <c r="H20" s="27"/>
      <c r="K20" s="27"/>
      <c r="L20" s="27"/>
      <c r="M20" s="27"/>
      <c r="N20" s="27"/>
      <c r="O20" s="27"/>
      <c r="P20" s="27"/>
      <c r="Q20" s="27"/>
      <c r="R20" s="27"/>
      <c r="S20" s="27"/>
      <c r="T20" s="27"/>
      <c r="U20" s="27"/>
      <c r="V20" s="27"/>
      <c r="W20" s="27"/>
    </row>
    <row r="21" spans="2:23" ht="15.75" customHeight="1" x14ac:dyDescent="0.25">
      <c r="B21" t="s">
        <v>33</v>
      </c>
      <c r="C21">
        <f>SUM(C9:C11)</f>
        <v>-0.5</v>
      </c>
      <c r="D21">
        <f t="shared" ref="D21:W21" si="5">SUM(D9:D11)</f>
        <v>-0.25</v>
      </c>
      <c r="E21">
        <f t="shared" si="5"/>
        <v>15</v>
      </c>
      <c r="F21">
        <f t="shared" si="5"/>
        <v>20</v>
      </c>
      <c r="G21">
        <f t="shared" si="5"/>
        <v>0</v>
      </c>
      <c r="H21">
        <f t="shared" si="5"/>
        <v>40</v>
      </c>
      <c r="I21">
        <f t="shared" si="5"/>
        <v>0</v>
      </c>
      <c r="J21">
        <f t="shared" si="5"/>
        <v>0</v>
      </c>
      <c r="K21">
        <f t="shared" si="5"/>
        <v>50</v>
      </c>
      <c r="L21">
        <f t="shared" si="5"/>
        <v>4</v>
      </c>
      <c r="M21">
        <f t="shared" si="5"/>
        <v>8</v>
      </c>
      <c r="N21">
        <f t="shared" si="5"/>
        <v>16</v>
      </c>
      <c r="O21">
        <f t="shared" si="5"/>
        <v>29.25</v>
      </c>
      <c r="P21">
        <f t="shared" si="5"/>
        <v>63.25</v>
      </c>
      <c r="Q21">
        <f t="shared" si="5"/>
        <v>79.75</v>
      </c>
      <c r="R21">
        <f t="shared" si="5"/>
        <v>88</v>
      </c>
      <c r="S21">
        <f t="shared" si="5"/>
        <v>88</v>
      </c>
      <c r="T21">
        <f t="shared" si="5"/>
        <v>77</v>
      </c>
      <c r="U21">
        <f t="shared" si="5"/>
        <v>36</v>
      </c>
      <c r="V21">
        <f t="shared" si="5"/>
        <v>16</v>
      </c>
      <c r="W21">
        <f t="shared" si="5"/>
        <v>10</v>
      </c>
    </row>
    <row r="23" spans="2:23" ht="15.75" customHeight="1" x14ac:dyDescent="0.25">
      <c r="B23" t="s">
        <v>34</v>
      </c>
      <c r="C23" s="40">
        <f>NPV(F23,C21:W21)</f>
        <v>20.949717946242366</v>
      </c>
      <c r="E23" t="s">
        <v>32</v>
      </c>
      <c r="F23" s="11">
        <v>0.4</v>
      </c>
    </row>
    <row r="24" spans="2:23" ht="15.75" customHeight="1" x14ac:dyDescent="0.25">
      <c r="C24" s="41"/>
      <c r="H24" s="27"/>
      <c r="K24" s="27"/>
      <c r="L24" s="27"/>
      <c r="M24" s="27"/>
      <c r="N24" s="27"/>
      <c r="O24" s="27"/>
      <c r="P24" s="27"/>
      <c r="Q24" s="27"/>
      <c r="R24" s="27"/>
      <c r="S24" s="27"/>
      <c r="T24" s="27"/>
      <c r="U24" s="27"/>
      <c r="V24" s="27"/>
      <c r="W24" s="27"/>
    </row>
    <row r="25" spans="2:23" ht="15.75" customHeight="1" x14ac:dyDescent="0.25">
      <c r="B25" s="42" t="s">
        <v>35</v>
      </c>
      <c r="E25" s="42" t="s">
        <v>36</v>
      </c>
      <c r="F25" s="19"/>
    </row>
    <row r="26" spans="2:23" ht="15.75" customHeight="1" x14ac:dyDescent="0.25">
      <c r="B26" s="19" t="s">
        <v>20</v>
      </c>
      <c r="C26" s="43">
        <v>0.5</v>
      </c>
      <c r="E26" s="19">
        <v>0</v>
      </c>
      <c r="F26" s="43">
        <v>0.03</v>
      </c>
    </row>
    <row r="27" spans="2:23" ht="15.75" customHeight="1" x14ac:dyDescent="0.25">
      <c r="B27" s="19" t="s">
        <v>8</v>
      </c>
      <c r="C27" s="43">
        <v>0.72</v>
      </c>
      <c r="E27" s="19">
        <v>100</v>
      </c>
      <c r="F27" s="43">
        <v>0.04</v>
      </c>
    </row>
    <row r="28" spans="2:23" ht="15.75" customHeight="1" x14ac:dyDescent="0.25">
      <c r="B28" s="19" t="s">
        <v>9</v>
      </c>
      <c r="C28" s="43">
        <v>0.49</v>
      </c>
      <c r="E28" s="19">
        <v>500</v>
      </c>
      <c r="F28" s="43">
        <v>4.4999999999999998E-2</v>
      </c>
    </row>
    <row r="29" spans="2:23" ht="15.75" customHeight="1" x14ac:dyDescent="0.25">
      <c r="B29" s="19" t="s">
        <v>10</v>
      </c>
      <c r="C29" s="44">
        <v>0.55000000000000004</v>
      </c>
      <c r="E29" s="19">
        <v>1000</v>
      </c>
      <c r="F29" s="43">
        <v>5.5E-2</v>
      </c>
    </row>
    <row r="30" spans="2:23" ht="15.75" customHeight="1" x14ac:dyDescent="0.25">
      <c r="B30" s="19" t="s">
        <v>37</v>
      </c>
      <c r="C30" s="43">
        <v>0.9</v>
      </c>
      <c r="E30" s="19">
        <v>2000</v>
      </c>
      <c r="F30" s="43">
        <v>0.06</v>
      </c>
    </row>
    <row r="31" spans="2:23" ht="15.75" customHeight="1" x14ac:dyDescent="0.25">
      <c r="E31" s="19">
        <v>3000</v>
      </c>
      <c r="F31" s="43">
        <v>7.0000000000000007E-2</v>
      </c>
    </row>
    <row r="32" spans="2:23" ht="15.75" customHeight="1" x14ac:dyDescent="0.25">
      <c r="E32" s="19">
        <v>4000</v>
      </c>
      <c r="F32" s="43">
        <v>7.4999999999999997E-2</v>
      </c>
    </row>
  </sheetData>
  <mergeCells count="3">
    <mergeCell ref="E6:F6"/>
    <mergeCell ref="G6:H6"/>
    <mergeCell ref="I6:K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A20C6-940A-4CB2-A04E-10918C498644}">
  <dimension ref="A1"/>
  <sheetViews>
    <sheetView showGridLines="0" topLeftCell="B1" zoomScale="157" workbookViewId="0">
      <selection activeCell="B1" sqref="A1:XFD1048576"/>
    </sheetView>
  </sheetViews>
  <sheetFormatPr defaultColWidth="7.453125" defaultRowHeight="14.15" customHeight="1" x14ac:dyDescent="0.25"/>
  <cols>
    <col min="1" max="1" width="7.453125" style="45"/>
    <col min="2" max="16384" width="7.453125" style="19"/>
  </cols>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Option Button 1">
              <controlPr defaultSize="0" autoFill="0" autoLine="0" autoPict="0">
                <anchor moveWithCells="1">
                  <from>
                    <xdr:col>2</xdr:col>
                    <xdr:colOff>203200</xdr:colOff>
                    <xdr:row>0</xdr:row>
                    <xdr:rowOff>0</xdr:rowOff>
                  </from>
                  <to>
                    <xdr:col>2</xdr:col>
                    <xdr:colOff>508000</xdr:colOff>
                    <xdr:row>1</xdr:row>
                    <xdr:rowOff>38100</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2</xdr:col>
                    <xdr:colOff>203200</xdr:colOff>
                    <xdr:row>0</xdr:row>
                    <xdr:rowOff>0</xdr:rowOff>
                  </from>
                  <to>
                    <xdr:col>2</xdr:col>
                    <xdr:colOff>508000</xdr:colOff>
                    <xdr:row>0</xdr:row>
                    <xdr:rowOff>146050</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2</xdr:col>
                    <xdr:colOff>203200</xdr:colOff>
                    <xdr:row>0</xdr:row>
                    <xdr:rowOff>0</xdr:rowOff>
                  </from>
                  <to>
                    <xdr:col>2</xdr:col>
                    <xdr:colOff>508000</xdr:colOff>
                    <xdr:row>0</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A881-E3C4-4204-8388-A177AB13F058}">
  <dimension ref="A1"/>
  <sheetViews>
    <sheetView showGridLines="0" workbookViewId="0">
      <selection sqref="A1:XFD1048576"/>
    </sheetView>
  </sheetViews>
  <sheetFormatPr defaultColWidth="7.453125" defaultRowHeight="12.5" x14ac:dyDescent="0.25"/>
  <cols>
    <col min="1" max="1" width="7.453125" style="45"/>
    <col min="2" max="16384" width="7.453125" style="19"/>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A20A-1DD3-4943-AFBD-DC8E24EE8433}">
  <dimension ref="B1:O36"/>
  <sheetViews>
    <sheetView topLeftCell="A9" workbookViewId="0">
      <selection activeCell="O14" sqref="O14"/>
    </sheetView>
  </sheetViews>
  <sheetFormatPr defaultColWidth="11.54296875" defaultRowHeight="12.5" x14ac:dyDescent="0.25"/>
  <cols>
    <col min="1" max="1" width="3.26953125" customWidth="1"/>
    <col min="15" max="15" width="18.453125" bestFit="1" customWidth="1"/>
  </cols>
  <sheetData>
    <row r="1" spans="2:15" x14ac:dyDescent="0.25">
      <c r="B1" t="s">
        <v>28</v>
      </c>
      <c r="C1">
        <v>1</v>
      </c>
      <c r="D1">
        <v>2</v>
      </c>
      <c r="E1">
        <v>3</v>
      </c>
      <c r="F1">
        <v>4</v>
      </c>
      <c r="G1">
        <v>5</v>
      </c>
      <c r="H1">
        <v>6</v>
      </c>
      <c r="I1">
        <v>7</v>
      </c>
      <c r="J1">
        <v>8</v>
      </c>
      <c r="K1">
        <v>9</v>
      </c>
      <c r="L1">
        <v>10</v>
      </c>
      <c r="M1">
        <v>11</v>
      </c>
      <c r="N1">
        <v>12</v>
      </c>
    </row>
    <row r="2" spans="2:15" x14ac:dyDescent="0.25">
      <c r="B2" s="47">
        <v>0</v>
      </c>
      <c r="C2" s="25">
        <v>100</v>
      </c>
      <c r="D2" s="25">
        <v>200</v>
      </c>
      <c r="E2" s="25">
        <v>400</v>
      </c>
      <c r="F2" s="25">
        <v>650</v>
      </c>
      <c r="G2" s="25">
        <v>1150</v>
      </c>
      <c r="H2" s="25">
        <v>1450</v>
      </c>
      <c r="I2" s="25">
        <v>1600</v>
      </c>
      <c r="J2" s="25">
        <v>1600</v>
      </c>
      <c r="K2" s="25">
        <v>1400</v>
      </c>
      <c r="L2" s="25">
        <v>800</v>
      </c>
      <c r="M2" s="25">
        <v>400</v>
      </c>
      <c r="N2" s="25">
        <v>250</v>
      </c>
      <c r="O2" s="48">
        <f>SUM(B2:N2)</f>
        <v>10000</v>
      </c>
    </row>
    <row r="3" spans="2:15" x14ac:dyDescent="0.25">
      <c r="B3" s="47">
        <v>100</v>
      </c>
      <c r="C3" s="25">
        <v>250</v>
      </c>
      <c r="D3" s="25">
        <v>500</v>
      </c>
      <c r="E3" s="25">
        <v>750</v>
      </c>
      <c r="F3" s="25">
        <v>1250</v>
      </c>
      <c r="G3" s="25">
        <v>1650</v>
      </c>
      <c r="H3" s="25">
        <v>1850</v>
      </c>
      <c r="I3" s="25">
        <v>1850</v>
      </c>
      <c r="J3" s="25">
        <v>1700</v>
      </c>
      <c r="K3" s="25">
        <v>1350</v>
      </c>
      <c r="L3" s="25">
        <v>850</v>
      </c>
      <c r="M3" s="25">
        <v>500</v>
      </c>
      <c r="N3" s="25">
        <v>400</v>
      </c>
      <c r="O3" s="48">
        <f>SUM(B3:N3)</f>
        <v>13000</v>
      </c>
    </row>
    <row r="4" spans="2:15" x14ac:dyDescent="0.25">
      <c r="B4" s="47">
        <v>0</v>
      </c>
      <c r="C4" s="25">
        <v>0</v>
      </c>
      <c r="D4" s="25">
        <v>100</v>
      </c>
      <c r="E4" s="25">
        <v>150</v>
      </c>
      <c r="F4" s="25">
        <v>300</v>
      </c>
      <c r="G4" s="25">
        <v>600</v>
      </c>
      <c r="H4" s="25">
        <v>1100</v>
      </c>
      <c r="I4" s="25">
        <v>1400</v>
      </c>
      <c r="J4" s="25">
        <v>1400</v>
      </c>
      <c r="K4" s="25">
        <v>1150</v>
      </c>
      <c r="L4" s="25">
        <v>550</v>
      </c>
      <c r="M4" s="25">
        <v>150</v>
      </c>
      <c r="N4" s="25">
        <v>100</v>
      </c>
      <c r="O4" s="48">
        <f>SUM(B4:N4)</f>
        <v>7000</v>
      </c>
    </row>
    <row r="5" spans="2:15" x14ac:dyDescent="0.25">
      <c r="C5" s="49"/>
      <c r="D5" s="49">
        <f>D4*0.2</f>
        <v>20</v>
      </c>
      <c r="E5" s="49">
        <f t="shared" ref="E5:N5" si="0">E4*0.2</f>
        <v>30</v>
      </c>
      <c r="F5" s="49">
        <f t="shared" si="0"/>
        <v>60</v>
      </c>
      <c r="G5" s="49">
        <f t="shared" si="0"/>
        <v>120</v>
      </c>
      <c r="H5" s="49">
        <f t="shared" si="0"/>
        <v>220</v>
      </c>
      <c r="I5" s="49">
        <f t="shared" si="0"/>
        <v>280</v>
      </c>
      <c r="J5" s="49">
        <f t="shared" si="0"/>
        <v>280</v>
      </c>
      <c r="K5" s="49">
        <f t="shared" si="0"/>
        <v>230</v>
      </c>
      <c r="L5" s="49">
        <f t="shared" si="0"/>
        <v>110</v>
      </c>
      <c r="M5" s="49">
        <v>250</v>
      </c>
      <c r="N5" s="49">
        <f t="shared" si="0"/>
        <v>20</v>
      </c>
      <c r="O5" s="48">
        <f>SUM(B5:N5)</f>
        <v>1620</v>
      </c>
    </row>
    <row r="26" spans="15:15" x14ac:dyDescent="0.25">
      <c r="O26">
        <v>40000</v>
      </c>
    </row>
    <row r="27" spans="15:15" x14ac:dyDescent="0.25">
      <c r="O27">
        <v>626000</v>
      </c>
    </row>
    <row r="28" spans="15:15" x14ac:dyDescent="0.25">
      <c r="O28" s="3">
        <f>+O27*O26</f>
        <v>25040000000</v>
      </c>
    </row>
    <row r="34" spans="15:15" x14ac:dyDescent="0.25">
      <c r="O34" s="151">
        <v>238000000000</v>
      </c>
    </row>
    <row r="35" spans="15:15" x14ac:dyDescent="0.25">
      <c r="O35" s="50">
        <v>2.5000000000000001E-3</v>
      </c>
    </row>
    <row r="36" spans="15:15" x14ac:dyDescent="0.25">
      <c r="O36" s="152">
        <f>+O35*O34</f>
        <v>595000000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B1EB-B6EC-4519-9F60-DFE641E5DE45}">
  <dimension ref="A2:D49"/>
  <sheetViews>
    <sheetView showGridLines="0" zoomScale="174" workbookViewId="0">
      <selection sqref="A1:XFD1048576"/>
    </sheetView>
  </sheetViews>
  <sheetFormatPr defaultColWidth="11.54296875" defaultRowHeight="12.5" x14ac:dyDescent="0.25"/>
  <cols>
    <col min="2" max="2" width="14.54296875" customWidth="1"/>
    <col min="3" max="3" width="17.453125" bestFit="1" customWidth="1"/>
  </cols>
  <sheetData>
    <row r="2" spans="1:4" ht="15.5" x14ac:dyDescent="0.35">
      <c r="A2" s="137" t="s">
        <v>113</v>
      </c>
    </row>
    <row r="3" spans="1:4" ht="15.5" x14ac:dyDescent="0.35">
      <c r="A3" s="138"/>
    </row>
    <row r="4" spans="1:4" ht="15.5" x14ac:dyDescent="0.35">
      <c r="B4" s="139" t="s">
        <v>138</v>
      </c>
    </row>
    <row r="5" spans="1:4" ht="15.5" x14ac:dyDescent="0.35">
      <c r="B5" s="140"/>
    </row>
    <row r="6" spans="1:4" x14ac:dyDescent="0.25">
      <c r="B6" t="s">
        <v>114</v>
      </c>
    </row>
    <row r="7" spans="1:4" x14ac:dyDescent="0.25">
      <c r="B7" t="s">
        <v>115</v>
      </c>
      <c r="C7" s="3">
        <v>250000</v>
      </c>
    </row>
    <row r="8" spans="1:4" x14ac:dyDescent="0.25">
      <c r="B8" t="s">
        <v>116</v>
      </c>
      <c r="C8" s="3">
        <v>500000</v>
      </c>
    </row>
    <row r="9" spans="1:4" x14ac:dyDescent="0.25">
      <c r="B9" t="s">
        <v>18</v>
      </c>
      <c r="C9" s="141">
        <f>SUM(C7:C8)</f>
        <v>750000</v>
      </c>
    </row>
    <row r="11" spans="1:4" x14ac:dyDescent="0.25">
      <c r="B11" t="s">
        <v>117</v>
      </c>
      <c r="C11" s="142">
        <v>0.15</v>
      </c>
      <c r="D11" t="s">
        <v>118</v>
      </c>
    </row>
    <row r="12" spans="1:4" ht="15.5" x14ac:dyDescent="0.35">
      <c r="D12" t="s">
        <v>119</v>
      </c>
    </row>
    <row r="13" spans="1:4" x14ac:dyDescent="0.25">
      <c r="B13" t="s">
        <v>120</v>
      </c>
      <c r="C13" s="3">
        <f>C9*C11</f>
        <v>112500</v>
      </c>
      <c r="D13" t="s">
        <v>121</v>
      </c>
    </row>
    <row r="15" spans="1:4" x14ac:dyDescent="0.25">
      <c r="B15" t="s">
        <v>122</v>
      </c>
      <c r="C15" s="142">
        <v>0.02</v>
      </c>
      <c r="D15" t="s">
        <v>123</v>
      </c>
    </row>
    <row r="17" spans="1:4" x14ac:dyDescent="0.25">
      <c r="B17" t="s">
        <v>120</v>
      </c>
      <c r="C17" s="3">
        <f>C13*C15</f>
        <v>2250</v>
      </c>
    </row>
    <row r="19" spans="1:4" x14ac:dyDescent="0.25">
      <c r="B19" t="s">
        <v>124</v>
      </c>
      <c r="C19" s="143">
        <v>40000</v>
      </c>
      <c r="D19" t="s">
        <v>125</v>
      </c>
    </row>
    <row r="21" spans="1:4" x14ac:dyDescent="0.25">
      <c r="B21" t="s">
        <v>3</v>
      </c>
      <c r="C21" s="144">
        <f>C17*C19</f>
        <v>90000000</v>
      </c>
      <c r="D21" t="s">
        <v>126</v>
      </c>
    </row>
    <row r="22" spans="1:4" x14ac:dyDescent="0.25">
      <c r="C22" s="144"/>
    </row>
    <row r="23" spans="1:4" ht="15.5" x14ac:dyDescent="0.35">
      <c r="A23" t="s">
        <v>127</v>
      </c>
      <c r="B23" t="s">
        <v>128</v>
      </c>
      <c r="C23" s="144"/>
    </row>
    <row r="24" spans="1:4" x14ac:dyDescent="0.25">
      <c r="B24" t="s">
        <v>129</v>
      </c>
      <c r="C24" s="144"/>
    </row>
    <row r="26" spans="1:4" ht="15.5" x14ac:dyDescent="0.35">
      <c r="A26" s="137" t="s">
        <v>130</v>
      </c>
    </row>
    <row r="28" spans="1:4" ht="15.5" x14ac:dyDescent="0.35">
      <c r="B28" s="139" t="s">
        <v>131</v>
      </c>
    </row>
    <row r="30" spans="1:4" x14ac:dyDescent="0.25">
      <c r="B30" t="s">
        <v>132</v>
      </c>
    </row>
    <row r="31" spans="1:4" x14ac:dyDescent="0.25">
      <c r="B31" t="s">
        <v>115</v>
      </c>
      <c r="C31" s="3">
        <v>25000</v>
      </c>
    </row>
    <row r="32" spans="1:4" x14ac:dyDescent="0.25">
      <c r="B32" t="s">
        <v>116</v>
      </c>
      <c r="C32" s="3">
        <v>50000</v>
      </c>
    </row>
    <row r="33" spans="1:4" x14ac:dyDescent="0.25">
      <c r="B33" t="s">
        <v>18</v>
      </c>
      <c r="C33" s="141">
        <f>SUM(C31:C32)</f>
        <v>75000</v>
      </c>
    </row>
    <row r="35" spans="1:4" x14ac:dyDescent="0.25">
      <c r="B35" t="s">
        <v>117</v>
      </c>
      <c r="C35" s="142">
        <v>0.5</v>
      </c>
      <c r="D35" t="s">
        <v>133</v>
      </c>
    </row>
    <row r="37" spans="1:4" x14ac:dyDescent="0.25">
      <c r="B37" t="s">
        <v>120</v>
      </c>
      <c r="C37" s="3">
        <f>C33*C35</f>
        <v>37500</v>
      </c>
      <c r="D37" t="s">
        <v>121</v>
      </c>
    </row>
    <row r="39" spans="1:4" x14ac:dyDescent="0.25">
      <c r="B39" t="s">
        <v>122</v>
      </c>
      <c r="C39" s="142">
        <v>0.2</v>
      </c>
      <c r="D39" t="s">
        <v>134</v>
      </c>
    </row>
    <row r="41" spans="1:4" x14ac:dyDescent="0.25">
      <c r="B41" t="s">
        <v>120</v>
      </c>
      <c r="C41" s="3">
        <f>C37*C39</f>
        <v>7500</v>
      </c>
    </row>
    <row r="43" spans="1:4" x14ac:dyDescent="0.25">
      <c r="B43" t="s">
        <v>124</v>
      </c>
      <c r="C43" s="143">
        <f>C19</f>
        <v>40000</v>
      </c>
      <c r="D43" t="s">
        <v>125</v>
      </c>
    </row>
    <row r="45" spans="1:4" x14ac:dyDescent="0.25">
      <c r="B45" t="s">
        <v>3</v>
      </c>
      <c r="C45" s="144">
        <f>C41*C43</f>
        <v>300000000</v>
      </c>
      <c r="D45" t="s">
        <v>126</v>
      </c>
    </row>
    <row r="47" spans="1:4" ht="15.5" x14ac:dyDescent="0.35">
      <c r="A47" t="s">
        <v>127</v>
      </c>
      <c r="B47" s="138" t="s">
        <v>135</v>
      </c>
    </row>
    <row r="48" spans="1:4" ht="15.5" x14ac:dyDescent="0.35">
      <c r="B48" t="s">
        <v>136</v>
      </c>
    </row>
    <row r="49" spans="2:2" x14ac:dyDescent="0.25">
      <c r="B49"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Valuation Scenarios</vt:lpstr>
      <vt:lpstr>Company</vt:lpstr>
      <vt:lpstr>Sheet1</vt:lpstr>
      <vt:lpstr>Sheet2</vt:lpstr>
      <vt:lpstr>Sheet3</vt:lpstr>
      <vt:lpstr>Sheet4</vt:lpstr>
      <vt:lpstr>'Valuation Scenarios'!Print_Area</vt:lpstr>
    </vt:vector>
  </TitlesOfParts>
  <Company>Sumitomo Mitsui Banking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Christakis Droussiotis</dc:creator>
  <cp:lastModifiedBy>Chris Droussiotis</cp:lastModifiedBy>
  <cp:lastPrinted>2020-02-24T19:33:21Z</cp:lastPrinted>
  <dcterms:created xsi:type="dcterms:W3CDTF">2017-08-04T11:17:03Z</dcterms:created>
  <dcterms:modified xsi:type="dcterms:W3CDTF">2024-05-23T11:44:58Z</dcterms:modified>
</cp:coreProperties>
</file>