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21b89f68d3868/Documents/CSD^0A/CSD^0A Education/Cyprus Presentations/IP Valuation Training/"/>
    </mc:Choice>
  </mc:AlternateContent>
  <xr:revisionPtr revIDLastSave="11" documentId="8_{7C65DC58-1A33-43A6-A918-5C819B05EBB8}" xr6:coauthVersionLast="47" xr6:coauthVersionMax="47" xr10:uidLastSave="{BAF57885-D4FF-4D38-8CB2-8994640E4AF7}"/>
  <bookViews>
    <workbookView xWindow="-110" yWindow="-110" windowWidth="19420" windowHeight="11500" activeTab="1" xr2:uid="{E357110B-D0D0-4DCE-99EB-ED3AAC06D87F}"/>
  </bookViews>
  <sheets>
    <sheet name="Answers" sheetId="1" r:id="rId1"/>
    <sheet name="Templat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8" i="2" l="1"/>
  <c r="C47" i="2"/>
  <c r="D38" i="2"/>
  <c r="H37" i="2"/>
  <c r="C51" i="2" s="1"/>
  <c r="H34" i="2"/>
  <c r="H48" i="2" s="1"/>
  <c r="H33" i="2"/>
  <c r="C33" i="2"/>
  <c r="C34" i="2" s="1"/>
  <c r="H36" i="2" s="1"/>
  <c r="H32" i="2"/>
  <c r="C42" i="2" s="1"/>
  <c r="E19" i="2"/>
  <c r="F19" i="2" s="1"/>
  <c r="G19" i="2" s="1"/>
  <c r="H19" i="2" s="1"/>
  <c r="I19" i="2" s="1"/>
  <c r="J19" i="2" s="1"/>
  <c r="K19" i="2" s="1"/>
  <c r="L19" i="2" s="1"/>
  <c r="D18" i="2"/>
  <c r="E18" i="2" s="1"/>
  <c r="E16" i="2"/>
  <c r="F16" i="2" s="1"/>
  <c r="G16" i="2" s="1"/>
  <c r="H16" i="2" s="1"/>
  <c r="I16" i="2" s="1"/>
  <c r="J16" i="2" s="1"/>
  <c r="K16" i="2" s="1"/>
  <c r="L16" i="2" s="1"/>
  <c r="E15" i="2"/>
  <c r="D15" i="2"/>
  <c r="C12" i="2"/>
  <c r="E7" i="2"/>
  <c r="F7" i="2" s="1"/>
  <c r="G7" i="2" s="1"/>
  <c r="H7" i="2" s="1"/>
  <c r="I7" i="2" s="1"/>
  <c r="J7" i="2" s="1"/>
  <c r="K7" i="2" s="1"/>
  <c r="L7" i="2" s="1"/>
  <c r="C6" i="2"/>
  <c r="D6" i="2" s="1"/>
  <c r="C51" i="1"/>
  <c r="C50" i="1"/>
  <c r="C49" i="1"/>
  <c r="C48" i="1"/>
  <c r="C47" i="1"/>
  <c r="C46" i="1"/>
  <c r="C42" i="1"/>
  <c r="D38" i="1"/>
  <c r="H37" i="1"/>
  <c r="C24" i="1"/>
  <c r="C23" i="1"/>
  <c r="H33" i="1"/>
  <c r="C33" i="1"/>
  <c r="C34" i="1" s="1"/>
  <c r="H36" i="1" s="1"/>
  <c r="C26" i="1" s="1"/>
  <c r="C12" i="1"/>
  <c r="D12" i="1" s="1"/>
  <c r="E12" i="1" s="1"/>
  <c r="F12" i="1" s="1"/>
  <c r="G12" i="1" s="1"/>
  <c r="H12" i="1" s="1"/>
  <c r="I12" i="1" s="1"/>
  <c r="J12" i="1" s="1"/>
  <c r="K12" i="1" s="1"/>
  <c r="L12" i="1" s="1"/>
  <c r="C6" i="1"/>
  <c r="D6" i="1" s="1"/>
  <c r="E7" i="1"/>
  <c r="F7" i="1" s="1"/>
  <c r="G7" i="1" s="1"/>
  <c r="H7" i="1" s="1"/>
  <c r="I7" i="1" s="1"/>
  <c r="J7" i="1" s="1"/>
  <c r="K7" i="1" s="1"/>
  <c r="L7" i="1" s="1"/>
  <c r="E6" i="2" l="1"/>
  <c r="F18" i="2"/>
  <c r="C50" i="2"/>
  <c r="C26" i="2"/>
  <c r="F15" i="2"/>
  <c r="C46" i="2"/>
  <c r="D12" i="2"/>
  <c r="J48" i="2"/>
  <c r="E6" i="1"/>
  <c r="D10" i="1"/>
  <c r="D22" i="1" s="1"/>
  <c r="C10" i="1"/>
  <c r="C22" i="1" s="1"/>
  <c r="H34" i="1"/>
  <c r="H32" i="1"/>
  <c r="E19" i="1"/>
  <c r="F19" i="1" s="1"/>
  <c r="G19" i="1" s="1"/>
  <c r="H19" i="1" s="1"/>
  <c r="I19" i="1" s="1"/>
  <c r="J19" i="1" s="1"/>
  <c r="K19" i="1" s="1"/>
  <c r="L19" i="1" s="1"/>
  <c r="D18" i="1"/>
  <c r="E16" i="1"/>
  <c r="F16" i="1" s="1"/>
  <c r="G16" i="1" s="1"/>
  <c r="H16" i="1" s="1"/>
  <c r="I16" i="1" s="1"/>
  <c r="J16" i="1" s="1"/>
  <c r="K16" i="1" s="1"/>
  <c r="L16" i="1" s="1"/>
  <c r="D15" i="1"/>
  <c r="G15" i="2" l="1"/>
  <c r="C27" i="2"/>
  <c r="C28" i="2" s="1"/>
  <c r="G18" i="2"/>
  <c r="D27" i="2"/>
  <c r="E12" i="2"/>
  <c r="F6" i="2"/>
  <c r="D24" i="1"/>
  <c r="E15" i="1"/>
  <c r="D23" i="1"/>
  <c r="E18" i="1"/>
  <c r="F6" i="1"/>
  <c r="E10" i="1"/>
  <c r="E22" i="1" s="1"/>
  <c r="J48" i="1"/>
  <c r="H48" i="1"/>
  <c r="F15" i="1"/>
  <c r="G6" i="2" l="1"/>
  <c r="E27" i="2"/>
  <c r="F12" i="2"/>
  <c r="H18" i="2"/>
  <c r="H15" i="2"/>
  <c r="E23" i="1"/>
  <c r="E24" i="1"/>
  <c r="F18" i="1"/>
  <c r="G6" i="1"/>
  <c r="F10" i="1"/>
  <c r="F22" i="1" s="1"/>
  <c r="C25" i="1"/>
  <c r="C27" i="1" s="1"/>
  <c r="C28" i="1" s="1"/>
  <c r="G15" i="1"/>
  <c r="G18" i="1"/>
  <c r="D25" i="1"/>
  <c r="D27" i="1" s="1"/>
  <c r="D28" i="1" s="1"/>
  <c r="I15" i="2" l="1"/>
  <c r="I18" i="2"/>
  <c r="G12" i="2"/>
  <c r="H6" i="2"/>
  <c r="F24" i="1"/>
  <c r="F23" i="1"/>
  <c r="H6" i="1"/>
  <c r="G10" i="1"/>
  <c r="G22" i="1" s="1"/>
  <c r="H15" i="1"/>
  <c r="H18" i="1"/>
  <c r="H12" i="2" l="1"/>
  <c r="I6" i="2"/>
  <c r="J18" i="2"/>
  <c r="J15" i="2"/>
  <c r="G23" i="1"/>
  <c r="G24" i="1"/>
  <c r="H10" i="1"/>
  <c r="H22" i="1" s="1"/>
  <c r="I6" i="1"/>
  <c r="E25" i="1"/>
  <c r="E27" i="1" s="1"/>
  <c r="E28" i="1" s="1"/>
  <c r="I15" i="1"/>
  <c r="I18" i="1"/>
  <c r="K15" i="2" l="1"/>
  <c r="K18" i="2"/>
  <c r="J6" i="2"/>
  <c r="I12" i="2"/>
  <c r="H24" i="1"/>
  <c r="H23" i="1"/>
  <c r="J6" i="1"/>
  <c r="I10" i="1"/>
  <c r="I22" i="1" s="1"/>
  <c r="F25" i="1"/>
  <c r="F27" i="1" s="1"/>
  <c r="F28" i="1" s="1"/>
  <c r="J18" i="1"/>
  <c r="J15" i="1"/>
  <c r="J12" i="2" l="1"/>
  <c r="K6" i="2"/>
  <c r="L18" i="2"/>
  <c r="L15" i="2"/>
  <c r="I23" i="1"/>
  <c r="I24" i="1"/>
  <c r="K6" i="1"/>
  <c r="J10" i="1"/>
  <c r="J22" i="1" s="1"/>
  <c r="K15" i="1"/>
  <c r="K18" i="1"/>
  <c r="G25" i="1"/>
  <c r="K12" i="2" l="1"/>
  <c r="L6" i="2"/>
  <c r="J24" i="1"/>
  <c r="J23" i="1"/>
  <c r="G27" i="1"/>
  <c r="G28" i="1" s="1"/>
  <c r="L6" i="1"/>
  <c r="L10" i="1" s="1"/>
  <c r="L22" i="1" s="1"/>
  <c r="K10" i="1"/>
  <c r="K22" i="1" s="1"/>
  <c r="H25" i="1"/>
  <c r="H27" i="1" s="1"/>
  <c r="H28" i="1" s="1"/>
  <c r="L18" i="1"/>
  <c r="L15" i="1"/>
  <c r="L12" i="2" l="1"/>
  <c r="L23" i="1"/>
  <c r="L24" i="1"/>
  <c r="K23" i="1"/>
  <c r="K24" i="1"/>
  <c r="I25" i="1"/>
  <c r="I27" i="1" s="1"/>
  <c r="I28" i="1" s="1"/>
  <c r="C29" i="2" l="1"/>
  <c r="H35" i="2" s="1"/>
  <c r="K25" i="1"/>
  <c r="K27" i="1" s="1"/>
  <c r="K28" i="1" s="1"/>
  <c r="J25" i="1"/>
  <c r="J27" i="1" s="1"/>
  <c r="J28" i="1" s="1"/>
  <c r="G48" i="2" l="1"/>
  <c r="E46" i="2" s="1"/>
  <c r="C49" i="2"/>
  <c r="L25" i="1"/>
  <c r="E47" i="2" l="1"/>
  <c r="E49" i="2" s="1"/>
  <c r="E48" i="2"/>
  <c r="E51" i="2" s="1"/>
  <c r="L26" i="1"/>
  <c r="L27" i="1" s="1"/>
  <c r="L28" i="1" s="1"/>
  <c r="C29" i="1" s="1"/>
  <c r="H35" i="1" s="1"/>
  <c r="G48" i="1" s="1"/>
  <c r="E46" i="1" s="1"/>
  <c r="E48" i="1" l="1"/>
  <c r="E47" i="1"/>
  <c r="E49" i="1" s="1"/>
  <c r="E51" i="1" l="1"/>
</calcChain>
</file>

<file path=xl/sharedStrings.xml><?xml version="1.0" encoding="utf-8"?>
<sst xmlns="http://schemas.openxmlformats.org/spreadsheetml/2006/main" count="164" uniqueCount="72">
  <si>
    <t>FINTECH (IP) - SaaS Case</t>
  </si>
  <si>
    <t>Year 1</t>
  </si>
  <si>
    <t>Year 2</t>
  </si>
  <si>
    <t>Year 3</t>
  </si>
  <si>
    <t>Year 4</t>
  </si>
  <si>
    <t>Year 5</t>
  </si>
  <si>
    <t>Year 6</t>
  </si>
  <si>
    <t>Year 7</t>
  </si>
  <si>
    <t>Year 8</t>
  </si>
  <si>
    <t>Year 9</t>
  </si>
  <si>
    <t>Year 10</t>
  </si>
  <si>
    <t>Total Subscribers</t>
  </si>
  <si>
    <t xml:space="preserve"> Subscription Increase per year</t>
  </si>
  <si>
    <t>Revenues per subscriper per month</t>
  </si>
  <si>
    <t xml:space="preserve">     Increase %</t>
  </si>
  <si>
    <t>Cost of Revenues per subscriber per month</t>
  </si>
  <si>
    <t>Operating Expenses per subscriber per month</t>
  </si>
  <si>
    <t>Total Revenues</t>
  </si>
  <si>
    <t>Cost of Revenue</t>
  </si>
  <si>
    <t>Operating Expenses</t>
  </si>
  <si>
    <t>EBIT</t>
  </si>
  <si>
    <t>Terminal Value</t>
  </si>
  <si>
    <t>Cash Flow</t>
  </si>
  <si>
    <t>Present Value</t>
  </si>
  <si>
    <t>Market Size =</t>
  </si>
  <si>
    <t>subscibers</t>
  </si>
  <si>
    <t>Monthly Subscription =</t>
  </si>
  <si>
    <t>per month per subscriber</t>
  </si>
  <si>
    <t>Initial Acquisition Cost per Customer =</t>
  </si>
  <si>
    <t>per subscriber</t>
  </si>
  <si>
    <t>IP Patent life =</t>
  </si>
  <si>
    <t>years</t>
  </si>
  <si>
    <t>Risk Free Rate =</t>
  </si>
  <si>
    <t>Variance =</t>
  </si>
  <si>
    <t>USING BLACK-SCHOLES OPTION MODEL</t>
  </si>
  <si>
    <t>INPUT</t>
  </si>
  <si>
    <t>OUTPUT</t>
  </si>
  <si>
    <t>Standard Deviation  (σ) =</t>
  </si>
  <si>
    <t>d1 =</t>
  </si>
  <si>
    <t>d1</t>
  </si>
  <si>
    <t>Expiration (in years)  (T) =</t>
  </si>
  <si>
    <t>d2 =</t>
  </si>
  <si>
    <t>ln(s/x)</t>
  </si>
  <si>
    <t>(i-d+(sigma^2)/2)*t</t>
  </si>
  <si>
    <t>sigm*sqrt(t)</t>
  </si>
  <si>
    <t>Risk-Free Rate (Annual) (i) =</t>
  </si>
  <si>
    <t>N(d1) =</t>
  </si>
  <si>
    <t>Stock Price (S ) =</t>
  </si>
  <si>
    <t>N(d2) =</t>
  </si>
  <si>
    <t>Exercise Price (X) =</t>
  </si>
  <si>
    <t>Dividend Yield (annual) (δ) =</t>
  </si>
  <si>
    <t>Value=</t>
  </si>
  <si>
    <t>Calculations</t>
  </si>
  <si>
    <t>IP Assumptions</t>
  </si>
  <si>
    <t>Using DCF and Black-Scholes Option Pricing Model</t>
  </si>
  <si>
    <t>Total Subscribers - Total Market</t>
  </si>
  <si>
    <t>Cash Flows</t>
  </si>
  <si>
    <t>Target Market Share (3year) =</t>
  </si>
  <si>
    <t xml:space="preserve"> Total Subscriptions (3-year  Expenditure) =</t>
  </si>
  <si>
    <t>Cost of Delay + Product Replacement =</t>
  </si>
  <si>
    <t>EXIT</t>
  </si>
  <si>
    <t xml:space="preserve">  % Penetration (Market Share) - Acceleration</t>
  </si>
  <si>
    <t>Total Present Value (10 year)</t>
  </si>
  <si>
    <t>Probability of Success =</t>
  </si>
  <si>
    <t>VC Test</t>
  </si>
  <si>
    <t>ASSUMPTIONS</t>
  </si>
  <si>
    <t>BLACK-SCHOLES OPTION PRICING ASSUMPTIONS</t>
  </si>
  <si>
    <t>Years</t>
  </si>
  <si>
    <t>10 year Treasury</t>
  </si>
  <si>
    <t>Enteprise Value</t>
  </si>
  <si>
    <t>Cost of Acquisition (3 years)</t>
  </si>
  <si>
    <t xml:space="preserve">Phase III years / IP Life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</si>
</sst>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0%"/>
    <numFmt numFmtId="166" formatCode="0.0\x"/>
    <numFmt numFmtId="167" formatCode="0.0000"/>
    <numFmt numFmtId="168" formatCode="&quot;$&quot;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66FF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3366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39997558519241921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6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4" fillId="0" borderId="0" xfId="0" applyNumberFormat="1" applyFont="1"/>
    <xf numFmtId="164" fontId="0" fillId="0" borderId="0" xfId="1" applyNumberFormat="1" applyFont="1"/>
    <xf numFmtId="164" fontId="0" fillId="0" borderId="0" xfId="0" applyNumberFormat="1"/>
    <xf numFmtId="165" fontId="4" fillId="0" borderId="0" xfId="2" applyNumberFormat="1" applyFont="1"/>
    <xf numFmtId="6" fontId="0" fillId="0" borderId="0" xfId="0" applyNumberFormat="1"/>
    <xf numFmtId="0" fontId="0" fillId="0" borderId="0" xfId="0" quotePrefix="1"/>
    <xf numFmtId="164" fontId="0" fillId="0" borderId="2" xfId="0" applyNumberFormat="1" applyBorder="1"/>
    <xf numFmtId="0" fontId="0" fillId="0" borderId="0" xfId="0" applyAlignment="1">
      <alignment horizontal="right"/>
    </xf>
    <xf numFmtId="0" fontId="5" fillId="0" borderId="0" xfId="0" applyFont="1"/>
    <xf numFmtId="0" fontId="6" fillId="3" borderId="3" xfId="0" applyFont="1" applyFill="1" applyBorder="1" applyAlignment="1">
      <alignment horizontal="centerContinuous"/>
    </xf>
    <xf numFmtId="0" fontId="6" fillId="3" borderId="4" xfId="0" applyFont="1" applyFill="1" applyBorder="1" applyAlignment="1">
      <alignment horizontal="centerContinuous"/>
    </xf>
    <xf numFmtId="0" fontId="6" fillId="3" borderId="5" xfId="0" applyFont="1" applyFill="1" applyBorder="1" applyAlignment="1">
      <alignment horizontal="centerContinuous"/>
    </xf>
    <xf numFmtId="0" fontId="6" fillId="3" borderId="6" xfId="0" applyFont="1" applyFill="1" applyBorder="1" applyAlignment="1">
      <alignment horizontal="centerContinuous"/>
    </xf>
    <xf numFmtId="167" fontId="0" fillId="4" borderId="9" xfId="0" quotePrefix="1" applyNumberFormat="1" applyFill="1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167" fontId="0" fillId="4" borderId="13" xfId="0" quotePrefix="1" applyNumberFormat="1" applyFill="1" applyBorder="1" applyAlignment="1">
      <alignment horizontal="center"/>
    </xf>
    <xf numFmtId="0" fontId="0" fillId="0" borderId="12" xfId="0" applyBorder="1"/>
    <xf numFmtId="0" fontId="0" fillId="4" borderId="13" xfId="0" applyFill="1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8" xfId="0" applyBorder="1"/>
    <xf numFmtId="0" fontId="0" fillId="0" borderId="1" xfId="0" applyBorder="1"/>
    <xf numFmtId="0" fontId="0" fillId="0" borderId="19" xfId="0" applyBorder="1"/>
    <xf numFmtId="0" fontId="8" fillId="0" borderId="0" xfId="0" applyFont="1"/>
    <xf numFmtId="0" fontId="8" fillId="0" borderId="0" xfId="0" quotePrefix="1" applyFont="1"/>
    <xf numFmtId="164" fontId="9" fillId="0" borderId="0" xfId="0" applyNumberFormat="1" applyFont="1"/>
    <xf numFmtId="168" fontId="0" fillId="0" borderId="0" xfId="3" applyNumberFormat="1" applyFont="1"/>
    <xf numFmtId="0" fontId="0" fillId="0" borderId="21" xfId="0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0" borderId="21" xfId="0" applyBorder="1"/>
    <xf numFmtId="164" fontId="0" fillId="0" borderId="21" xfId="1" applyNumberFormat="1" applyFont="1" applyBorder="1"/>
    <xf numFmtId="165" fontId="4" fillId="0" borderId="21" xfId="2" applyNumberFormat="1" applyFont="1" applyBorder="1"/>
    <xf numFmtId="164" fontId="9" fillId="0" borderId="21" xfId="0" applyNumberFormat="1" applyFont="1" applyBorder="1"/>
    <xf numFmtId="168" fontId="0" fillId="0" borderId="21" xfId="3" applyNumberFormat="1" applyFont="1" applyBorder="1"/>
    <xf numFmtId="164" fontId="0" fillId="0" borderId="21" xfId="0" applyNumberFormat="1" applyBorder="1"/>
    <xf numFmtId="164" fontId="0" fillId="0" borderId="22" xfId="0" applyNumberFormat="1" applyBorder="1"/>
    <xf numFmtId="164" fontId="10" fillId="0" borderId="0" xfId="1" applyNumberFormat="1" applyFont="1"/>
    <xf numFmtId="8" fontId="10" fillId="0" borderId="0" xfId="1" applyNumberFormat="1" applyFont="1"/>
    <xf numFmtId="0" fontId="10" fillId="0" borderId="0" xfId="0" applyFont="1"/>
    <xf numFmtId="9" fontId="10" fillId="0" borderId="0" xfId="0" applyNumberFormat="1" applyFont="1"/>
    <xf numFmtId="164" fontId="9" fillId="0" borderId="0" xfId="1" applyNumberFormat="1" applyFont="1"/>
    <xf numFmtId="168" fontId="10" fillId="0" borderId="0" xfId="3" applyNumberFormat="1" applyFont="1"/>
    <xf numFmtId="166" fontId="10" fillId="0" borderId="0" xfId="0" applyNumberFormat="1" applyFont="1"/>
    <xf numFmtId="10" fontId="0" fillId="0" borderId="0" xfId="2" applyNumberFormat="1" applyFont="1"/>
    <xf numFmtId="10" fontId="10" fillId="0" borderId="0" xfId="2" applyNumberFormat="1" applyFont="1"/>
    <xf numFmtId="165" fontId="9" fillId="0" borderId="0" xfId="2" applyNumberFormat="1" applyFont="1"/>
    <xf numFmtId="164" fontId="0" fillId="0" borderId="0" xfId="1" applyNumberFormat="1" applyFont="1" applyBorder="1"/>
    <xf numFmtId="165" fontId="4" fillId="0" borderId="0" xfId="2" applyNumberFormat="1" applyFont="1" applyBorder="1"/>
    <xf numFmtId="168" fontId="0" fillId="0" borderId="0" xfId="3" applyNumberFormat="1" applyFont="1" applyBorder="1"/>
    <xf numFmtId="165" fontId="4" fillId="2" borderId="21" xfId="2" applyNumberFormat="1" applyFont="1" applyFill="1" applyBorder="1"/>
    <xf numFmtId="0" fontId="0" fillId="2" borderId="21" xfId="0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12" fontId="0" fillId="0" borderId="0" xfId="0" quotePrefix="1" applyNumberFormat="1"/>
    <xf numFmtId="10" fontId="7" fillId="0" borderId="0" xfId="2" applyNumberFormat="1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9" fontId="7" fillId="0" borderId="0" xfId="2" applyFont="1" applyFill="1" applyBorder="1" applyAlignment="1">
      <alignment horizontal="center"/>
    </xf>
    <xf numFmtId="164" fontId="7" fillId="0" borderId="0" xfId="1" applyNumberFormat="1" applyFont="1" applyFill="1" applyBorder="1" applyAlignment="1">
      <alignment horizontal="center"/>
    </xf>
    <xf numFmtId="9" fontId="7" fillId="0" borderId="0" xfId="0" applyNumberFormat="1" applyFont="1" applyAlignment="1">
      <alignment horizontal="center"/>
    </xf>
    <xf numFmtId="0" fontId="0" fillId="0" borderId="17" xfId="0" applyBorder="1" applyAlignment="1">
      <alignment horizontal="right"/>
    </xf>
    <xf numFmtId="0" fontId="7" fillId="0" borderId="8" xfId="0" applyFont="1" applyBorder="1" applyAlignment="1">
      <alignment horizontal="right"/>
    </xf>
    <xf numFmtId="0" fontId="5" fillId="0" borderId="1" xfId="0" applyFont="1" applyBorder="1"/>
    <xf numFmtId="10" fontId="0" fillId="0" borderId="1" xfId="2" applyNumberFormat="1" applyFont="1" applyBorder="1"/>
    <xf numFmtId="0" fontId="2" fillId="2" borderId="20" xfId="0" applyFont="1" applyFill="1" applyBorder="1"/>
    <xf numFmtId="0" fontId="0" fillId="2" borderId="2" xfId="0" applyFill="1" applyBorder="1"/>
    <xf numFmtId="0" fontId="0" fillId="2" borderId="23" xfId="0" applyFill="1" applyBorder="1"/>
    <xf numFmtId="0" fontId="0" fillId="0" borderId="25" xfId="0" applyBorder="1" applyAlignment="1">
      <alignment horizontal="right"/>
    </xf>
    <xf numFmtId="0" fontId="0" fillId="0" borderId="26" xfId="0" applyBorder="1" applyAlignment="1">
      <alignment horizontal="right"/>
    </xf>
    <xf numFmtId="10" fontId="7" fillId="0" borderId="27" xfId="2" applyNumberFormat="1" applyFont="1" applyFill="1" applyBorder="1" applyAlignment="1">
      <alignment horizontal="center"/>
    </xf>
    <xf numFmtId="0" fontId="0" fillId="0" borderId="28" xfId="0" applyBorder="1" applyAlignment="1">
      <alignment horizontal="right"/>
    </xf>
    <xf numFmtId="167" fontId="0" fillId="4" borderId="24" xfId="0" quotePrefix="1" applyNumberFormat="1" applyFill="1" applyBorder="1" applyAlignment="1">
      <alignment horizontal="center"/>
    </xf>
    <xf numFmtId="0" fontId="7" fillId="0" borderId="29" xfId="0" applyFont="1" applyBorder="1" applyAlignment="1">
      <alignment horizontal="center"/>
    </xf>
    <xf numFmtId="9" fontId="7" fillId="0" borderId="29" xfId="2" applyFont="1" applyFill="1" applyBorder="1" applyAlignment="1">
      <alignment horizontal="center"/>
    </xf>
    <xf numFmtId="164" fontId="7" fillId="0" borderId="29" xfId="1" applyNumberFormat="1" applyFont="1" applyFill="1" applyBorder="1" applyAlignment="1">
      <alignment horizontal="center"/>
    </xf>
    <xf numFmtId="9" fontId="7" fillId="0" borderId="29" xfId="0" applyNumberFormat="1" applyFont="1" applyBorder="1" applyAlignment="1">
      <alignment horizontal="center"/>
    </xf>
    <xf numFmtId="0" fontId="6" fillId="0" borderId="30" xfId="0" applyFont="1" applyBorder="1" applyAlignment="1">
      <alignment horizontal="right"/>
    </xf>
    <xf numFmtId="164" fontId="6" fillId="4" borderId="13" xfId="1" quotePrefix="1" applyNumberFormat="1" applyFont="1" applyFill="1" applyBorder="1" applyAlignment="1">
      <alignment horizontal="center"/>
    </xf>
  </cellXfs>
  <cellStyles count="4">
    <cellStyle name="Comma" xfId="1" builtinId="3"/>
    <cellStyle name="Currency" xfId="3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C5E0F-2C0E-41B4-B4A1-5976F7D106CA}">
  <dimension ref="A1:L51"/>
  <sheetViews>
    <sheetView showGridLines="0" workbookViewId="0">
      <selection sqref="A1:XFD1048576"/>
    </sheetView>
  </sheetViews>
  <sheetFormatPr defaultRowHeight="14.5" x14ac:dyDescent="0.35"/>
  <cols>
    <col min="1" max="1" width="38.54296875" customWidth="1"/>
    <col min="2" max="2" width="5.36328125" customWidth="1"/>
    <col min="3" max="12" width="11.90625" customWidth="1"/>
    <col min="13" max="14" width="12.26953125" customWidth="1"/>
    <col min="15" max="17" width="8.26953125" customWidth="1"/>
  </cols>
  <sheetData>
    <row r="1" spans="1:12" ht="23.5" x14ac:dyDescent="0.55000000000000004">
      <c r="A1" s="1" t="s">
        <v>0</v>
      </c>
      <c r="B1" s="1"/>
    </row>
    <row r="2" spans="1:12" ht="13" customHeight="1" x14ac:dyDescent="0.35">
      <c r="A2" s="2" t="s">
        <v>54</v>
      </c>
      <c r="B2" s="2"/>
      <c r="C2" s="3"/>
      <c r="D2" s="3"/>
      <c r="E2" s="61" t="s">
        <v>64</v>
      </c>
      <c r="F2" s="3"/>
      <c r="H2" s="3"/>
      <c r="I2" s="3"/>
      <c r="J2" s="3"/>
      <c r="K2" s="3"/>
      <c r="L2" s="60" t="s">
        <v>60</v>
      </c>
    </row>
    <row r="3" spans="1:12" x14ac:dyDescent="0.35">
      <c r="C3" s="3">
        <v>1</v>
      </c>
      <c r="D3" s="3">
        <v>2</v>
      </c>
      <c r="E3" s="37">
        <v>3</v>
      </c>
      <c r="F3" s="3">
        <v>4</v>
      </c>
      <c r="G3" s="3">
        <v>5</v>
      </c>
      <c r="H3" s="3">
        <v>6</v>
      </c>
      <c r="I3" s="3">
        <v>7</v>
      </c>
      <c r="J3" s="3">
        <v>8</v>
      </c>
      <c r="K3" s="3">
        <v>9</v>
      </c>
      <c r="L3" s="37">
        <v>10</v>
      </c>
    </row>
    <row r="4" spans="1:12" x14ac:dyDescent="0.35">
      <c r="C4" s="4" t="s">
        <v>1</v>
      </c>
      <c r="D4" s="4" t="s">
        <v>2</v>
      </c>
      <c r="E4" s="38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38" t="s">
        <v>10</v>
      </c>
    </row>
    <row r="5" spans="1:12" x14ac:dyDescent="0.35">
      <c r="A5" s="33" t="s">
        <v>53</v>
      </c>
      <c r="E5" s="39"/>
      <c r="L5" s="39"/>
    </row>
    <row r="6" spans="1:12" x14ac:dyDescent="0.35">
      <c r="A6" t="s">
        <v>55</v>
      </c>
      <c r="C6" s="5">
        <f>+C32</f>
        <v>10000000</v>
      </c>
      <c r="D6" s="6">
        <f>+C6*((1+D7))</f>
        <v>10200000</v>
      </c>
      <c r="E6" s="40">
        <f t="shared" ref="E6" si="0">+D6*((1+E7))</f>
        <v>10404000</v>
      </c>
      <c r="F6" s="6">
        <f t="shared" ref="F6" si="1">+E6*((1+F7))</f>
        <v>10612080</v>
      </c>
      <c r="G6" s="56">
        <f t="shared" ref="G6" si="2">+F6*((1+G7))</f>
        <v>10824321.6</v>
      </c>
      <c r="H6" s="6">
        <f t="shared" ref="H6" si="3">+G6*((1+H7))</f>
        <v>11040808.032</v>
      </c>
      <c r="I6" s="6">
        <f t="shared" ref="I6" si="4">+H6*((1+I7))</f>
        <v>11261624.192639999</v>
      </c>
      <c r="J6" s="6">
        <f t="shared" ref="J6" si="5">+I6*((1+J7))</f>
        <v>11486856.676492799</v>
      </c>
      <c r="K6" s="6">
        <f t="shared" ref="K6" si="6">+J6*((1+K7))</f>
        <v>11716593.810022656</v>
      </c>
      <c r="L6" s="40">
        <f t="shared" ref="L6" si="7">+K6*((1+L7))</f>
        <v>11950925.686223108</v>
      </c>
    </row>
    <row r="7" spans="1:12" x14ac:dyDescent="0.35">
      <c r="A7" t="s">
        <v>12</v>
      </c>
      <c r="C7" s="7"/>
      <c r="D7" s="8">
        <v>0.02</v>
      </c>
      <c r="E7" s="41">
        <f>+D7</f>
        <v>0.02</v>
      </c>
      <c r="F7" s="8">
        <f t="shared" ref="F7" si="8">+E7</f>
        <v>0.02</v>
      </c>
      <c r="G7" s="57">
        <f t="shared" ref="G7" si="9">+F7</f>
        <v>0.02</v>
      </c>
      <c r="H7" s="8">
        <f t="shared" ref="H7" si="10">+G7</f>
        <v>0.02</v>
      </c>
      <c r="I7" s="8">
        <f t="shared" ref="I7" si="11">+H7</f>
        <v>0.02</v>
      </c>
      <c r="J7" s="8">
        <f t="shared" ref="J7" si="12">+I7</f>
        <v>0.02</v>
      </c>
      <c r="K7" s="8">
        <f t="shared" ref="K7" si="13">+J7</f>
        <v>0.02</v>
      </c>
      <c r="L7" s="41">
        <f t="shared" ref="L7" si="14">+K7</f>
        <v>0.02</v>
      </c>
    </row>
    <row r="8" spans="1:12" x14ac:dyDescent="0.35">
      <c r="A8" t="s">
        <v>61</v>
      </c>
      <c r="C8" s="8">
        <v>1E-3</v>
      </c>
      <c r="D8" s="8">
        <v>0.02</v>
      </c>
      <c r="E8" s="59">
        <v>0.04</v>
      </c>
      <c r="F8" s="8">
        <v>0.06</v>
      </c>
      <c r="G8" s="57">
        <v>0.1</v>
      </c>
      <c r="H8" s="8">
        <v>0.12</v>
      </c>
      <c r="I8" s="8">
        <v>0.14000000000000001</v>
      </c>
      <c r="J8" s="8">
        <v>0.16</v>
      </c>
      <c r="K8" s="8">
        <v>0.18</v>
      </c>
      <c r="L8" s="41">
        <v>0.2</v>
      </c>
    </row>
    <row r="9" spans="1:12" x14ac:dyDescent="0.35">
      <c r="A9" s="33"/>
      <c r="E9" s="39"/>
      <c r="L9" s="39"/>
    </row>
    <row r="10" spans="1:12" x14ac:dyDescent="0.35">
      <c r="A10" t="s">
        <v>11</v>
      </c>
      <c r="C10" s="35">
        <f>+C6*C8</f>
        <v>10000</v>
      </c>
      <c r="D10" s="35">
        <f t="shared" ref="D10:L10" si="15">+D6*D8</f>
        <v>204000</v>
      </c>
      <c r="E10" s="42">
        <f t="shared" si="15"/>
        <v>416160</v>
      </c>
      <c r="F10" s="35">
        <f t="shared" si="15"/>
        <v>636724.79999999993</v>
      </c>
      <c r="G10" s="35">
        <f t="shared" si="15"/>
        <v>1082432.1599999999</v>
      </c>
      <c r="H10" s="35">
        <f t="shared" si="15"/>
        <v>1324896.9638399999</v>
      </c>
      <c r="I10" s="35">
        <f t="shared" si="15"/>
        <v>1576627.3869696001</v>
      </c>
      <c r="J10" s="35">
        <f t="shared" si="15"/>
        <v>1837897.0682388479</v>
      </c>
      <c r="K10" s="35">
        <f t="shared" si="15"/>
        <v>2108986.8858040781</v>
      </c>
      <c r="L10" s="42">
        <f t="shared" si="15"/>
        <v>2390185.1372446218</v>
      </c>
    </row>
    <row r="11" spans="1:12" x14ac:dyDescent="0.35">
      <c r="C11" s="7"/>
      <c r="E11" s="39"/>
      <c r="L11" s="39"/>
    </row>
    <row r="12" spans="1:12" x14ac:dyDescent="0.35">
      <c r="A12" t="s">
        <v>13</v>
      </c>
      <c r="C12" s="36">
        <f>+C35</f>
        <v>4</v>
      </c>
      <c r="D12" s="36">
        <f t="shared" ref="D12" si="16">+C12*(1+D13)</f>
        <v>4</v>
      </c>
      <c r="E12" s="43">
        <f t="shared" ref="E12" si="17">+D12*(1+E13)</f>
        <v>4</v>
      </c>
      <c r="F12" s="36">
        <f t="shared" ref="F12" si="18">+E12*(1+F13)</f>
        <v>4</v>
      </c>
      <c r="G12" s="58">
        <f t="shared" ref="G12" si="19">+F12*(1+G13)</f>
        <v>4</v>
      </c>
      <c r="H12" s="36">
        <f t="shared" ref="H12" si="20">+G12*(1+H13)</f>
        <v>4</v>
      </c>
      <c r="I12" s="36">
        <f t="shared" ref="I12" si="21">+H12*(1+I13)</f>
        <v>4</v>
      </c>
      <c r="J12" s="36">
        <f t="shared" ref="J12" si="22">+I12*(1+J13)</f>
        <v>4</v>
      </c>
      <c r="K12" s="36">
        <f t="shared" ref="K12" si="23">+J12*(1+K13)</f>
        <v>4</v>
      </c>
      <c r="L12" s="43">
        <f t="shared" ref="L12" si="24">+K12*(1+L13)</f>
        <v>4</v>
      </c>
    </row>
    <row r="13" spans="1:12" x14ac:dyDescent="0.35">
      <c r="A13" t="s">
        <v>14</v>
      </c>
      <c r="C13" s="9"/>
      <c r="D13" s="8">
        <v>0</v>
      </c>
      <c r="E13" s="41">
        <v>0</v>
      </c>
      <c r="F13" s="8">
        <v>0</v>
      </c>
      <c r="G13" s="57">
        <v>0</v>
      </c>
      <c r="H13" s="8">
        <v>0</v>
      </c>
      <c r="I13" s="8">
        <v>0</v>
      </c>
      <c r="J13" s="8">
        <v>0</v>
      </c>
      <c r="K13" s="8">
        <v>0</v>
      </c>
      <c r="L13" s="41">
        <v>0</v>
      </c>
    </row>
    <row r="14" spans="1:12" x14ac:dyDescent="0.35">
      <c r="C14" s="9"/>
      <c r="D14" s="8"/>
      <c r="E14" s="41"/>
      <c r="F14" s="8"/>
      <c r="G14" s="57"/>
      <c r="H14" s="8"/>
      <c r="I14" s="8"/>
      <c r="J14" s="8"/>
      <c r="K14" s="8"/>
      <c r="L14" s="41"/>
    </row>
    <row r="15" spans="1:12" x14ac:dyDescent="0.35">
      <c r="A15" t="s">
        <v>15</v>
      </c>
      <c r="C15" s="51">
        <v>2</v>
      </c>
      <c r="D15" s="36">
        <f>+C15*(1+D16)</f>
        <v>2.04</v>
      </c>
      <c r="E15" s="43">
        <f t="shared" ref="E15:L15" si="25">+D15*(1+E16)</f>
        <v>2.0808</v>
      </c>
      <c r="F15" s="36">
        <f t="shared" si="25"/>
        <v>2.1224159999999999</v>
      </c>
      <c r="G15" s="58">
        <f t="shared" si="25"/>
        <v>2.16486432</v>
      </c>
      <c r="H15" s="36">
        <f t="shared" si="25"/>
        <v>2.2081616064</v>
      </c>
      <c r="I15" s="36">
        <f t="shared" si="25"/>
        <v>2.2523248385280001</v>
      </c>
      <c r="J15" s="36">
        <f t="shared" si="25"/>
        <v>2.2973713352985601</v>
      </c>
      <c r="K15" s="36">
        <f t="shared" si="25"/>
        <v>2.3433187620045315</v>
      </c>
      <c r="L15" s="43">
        <f t="shared" si="25"/>
        <v>2.3901851372446221</v>
      </c>
    </row>
    <row r="16" spans="1:12" x14ac:dyDescent="0.35">
      <c r="A16" t="s">
        <v>14</v>
      </c>
      <c r="C16" s="9"/>
      <c r="D16" s="8">
        <v>0.02</v>
      </c>
      <c r="E16" s="41">
        <f>+D16</f>
        <v>0.02</v>
      </c>
      <c r="F16" s="8">
        <f t="shared" ref="F16:L16" si="26">+E16</f>
        <v>0.02</v>
      </c>
      <c r="G16" s="57">
        <f t="shared" si="26"/>
        <v>0.02</v>
      </c>
      <c r="H16" s="8">
        <f t="shared" si="26"/>
        <v>0.02</v>
      </c>
      <c r="I16" s="8">
        <f t="shared" si="26"/>
        <v>0.02</v>
      </c>
      <c r="J16" s="8">
        <f t="shared" si="26"/>
        <v>0.02</v>
      </c>
      <c r="K16" s="8">
        <f t="shared" si="26"/>
        <v>0.02</v>
      </c>
      <c r="L16" s="41">
        <f t="shared" si="26"/>
        <v>0.02</v>
      </c>
    </row>
    <row r="17" spans="1:12" x14ac:dyDescent="0.35">
      <c r="C17" s="9"/>
      <c r="D17" s="8"/>
      <c r="E17" s="41"/>
      <c r="F17" s="8"/>
      <c r="G17" s="57"/>
      <c r="H17" s="8"/>
      <c r="I17" s="8"/>
      <c r="J17" s="8"/>
      <c r="K17" s="8"/>
      <c r="L17" s="41"/>
    </row>
    <row r="18" spans="1:12" x14ac:dyDescent="0.35">
      <c r="A18" t="s">
        <v>16</v>
      </c>
      <c r="C18" s="51">
        <v>1</v>
      </c>
      <c r="D18" s="36">
        <f>+C18*(1+D19)</f>
        <v>1.02</v>
      </c>
      <c r="E18" s="43">
        <f t="shared" ref="E18:L18" si="27">+D18*(1+E19)</f>
        <v>1.0404</v>
      </c>
      <c r="F18" s="36">
        <f t="shared" si="27"/>
        <v>1.0612079999999999</v>
      </c>
      <c r="G18" s="58">
        <f t="shared" si="27"/>
        <v>1.08243216</v>
      </c>
      <c r="H18" s="36">
        <f t="shared" si="27"/>
        <v>1.1040808032</v>
      </c>
      <c r="I18" s="36">
        <f t="shared" si="27"/>
        <v>1.1261624192640001</v>
      </c>
      <c r="J18" s="36">
        <f t="shared" si="27"/>
        <v>1.14868566764928</v>
      </c>
      <c r="K18" s="36">
        <f t="shared" si="27"/>
        <v>1.1716593810022657</v>
      </c>
      <c r="L18" s="43">
        <f t="shared" si="27"/>
        <v>1.1950925686223111</v>
      </c>
    </row>
    <row r="19" spans="1:12" x14ac:dyDescent="0.35">
      <c r="A19" t="s">
        <v>14</v>
      </c>
      <c r="D19" s="8">
        <v>0.02</v>
      </c>
      <c r="E19" s="41">
        <f>+D19</f>
        <v>0.02</v>
      </c>
      <c r="F19" s="8">
        <f t="shared" ref="F19:L19" si="28">+E19</f>
        <v>0.02</v>
      </c>
      <c r="G19" s="57">
        <f t="shared" si="28"/>
        <v>0.02</v>
      </c>
      <c r="H19" s="8">
        <f t="shared" si="28"/>
        <v>0.02</v>
      </c>
      <c r="I19" s="8">
        <f t="shared" si="28"/>
        <v>0.02</v>
      </c>
      <c r="J19" s="8">
        <f t="shared" si="28"/>
        <v>0.02</v>
      </c>
      <c r="K19" s="8">
        <f t="shared" si="28"/>
        <v>0.02</v>
      </c>
      <c r="L19" s="41">
        <f t="shared" si="28"/>
        <v>0.02</v>
      </c>
    </row>
    <row r="20" spans="1:12" x14ac:dyDescent="0.35">
      <c r="E20" s="39"/>
      <c r="L20" s="39"/>
    </row>
    <row r="21" spans="1:12" x14ac:dyDescent="0.35">
      <c r="A21" s="34" t="s">
        <v>56</v>
      </c>
      <c r="B21" s="10"/>
      <c r="E21" s="39"/>
      <c r="L21" s="39"/>
    </row>
    <row r="22" spans="1:12" x14ac:dyDescent="0.35">
      <c r="A22" t="s">
        <v>17</v>
      </c>
      <c r="C22" s="7">
        <f>+C12*C10*12</f>
        <v>480000</v>
      </c>
      <c r="D22" s="7">
        <f t="shared" ref="D22:L22" si="29">+D12*D10*12</f>
        <v>9792000</v>
      </c>
      <c r="E22" s="44">
        <f t="shared" si="29"/>
        <v>19975680</v>
      </c>
      <c r="F22" s="7">
        <f t="shared" si="29"/>
        <v>30562790.399999999</v>
      </c>
      <c r="G22" s="7">
        <f t="shared" si="29"/>
        <v>51956743.679999992</v>
      </c>
      <c r="H22" s="7">
        <f t="shared" si="29"/>
        <v>63595054.264319994</v>
      </c>
      <c r="I22" s="7">
        <f t="shared" si="29"/>
        <v>75678114.574540809</v>
      </c>
      <c r="J22" s="7">
        <f t="shared" si="29"/>
        <v>88219059.275464699</v>
      </c>
      <c r="K22" s="7">
        <f t="shared" si="29"/>
        <v>101231370.51859576</v>
      </c>
      <c r="L22" s="44">
        <f t="shared" si="29"/>
        <v>114728886.58774185</v>
      </c>
    </row>
    <row r="23" spans="1:12" x14ac:dyDescent="0.35">
      <c r="A23" t="s">
        <v>18</v>
      </c>
      <c r="C23" s="7">
        <f>-C15*C10*12</f>
        <v>-240000</v>
      </c>
      <c r="D23" s="7">
        <f t="shared" ref="D23:L23" si="30">-D15*D10*12</f>
        <v>-4993920</v>
      </c>
      <c r="E23" s="44">
        <f t="shared" si="30"/>
        <v>-10391348.736</v>
      </c>
      <c r="F23" s="7">
        <f t="shared" si="30"/>
        <v>-16216738.837401595</v>
      </c>
      <c r="G23" s="7">
        <f t="shared" si="30"/>
        <v>-28119825.144054372</v>
      </c>
      <c r="H23" s="7">
        <f t="shared" si="30"/>
        <v>-35107039.295849003</v>
      </c>
      <c r="I23" s="7">
        <f t="shared" si="30"/>
        <v>-42612924.297301531</v>
      </c>
      <c r="J23" s="7">
        <f t="shared" si="30"/>
        <v>-50667984.501614287</v>
      </c>
      <c r="K23" s="7">
        <f t="shared" si="30"/>
        <v>-59304342.459914461</v>
      </c>
      <c r="L23" s="44">
        <f t="shared" si="30"/>
        <v>-68555819.883661106</v>
      </c>
    </row>
    <row r="24" spans="1:12" x14ac:dyDescent="0.35">
      <c r="A24" t="s">
        <v>19</v>
      </c>
      <c r="C24" s="7">
        <f>-C18*C10*12</f>
        <v>-120000</v>
      </c>
      <c r="D24" s="7">
        <f t="shared" ref="D24:L24" si="31">-D18*D10*12</f>
        <v>-2496960</v>
      </c>
      <c r="E24" s="44">
        <f t="shared" si="31"/>
        <v>-5195674.3679999998</v>
      </c>
      <c r="F24" s="7">
        <f t="shared" si="31"/>
        <v>-8108369.4187007975</v>
      </c>
      <c r="G24" s="7">
        <f t="shared" si="31"/>
        <v>-14059912.572027186</v>
      </c>
      <c r="H24" s="7">
        <f t="shared" si="31"/>
        <v>-17553519.647924501</v>
      </c>
      <c r="I24" s="7">
        <f t="shared" si="31"/>
        <v>-21306462.148650765</v>
      </c>
      <c r="J24" s="7">
        <f t="shared" si="31"/>
        <v>-25333992.250807144</v>
      </c>
      <c r="K24" s="7">
        <f t="shared" si="31"/>
        <v>-29652171.22995723</v>
      </c>
      <c r="L24" s="44">
        <f t="shared" si="31"/>
        <v>-34277909.941830553</v>
      </c>
    </row>
    <row r="25" spans="1:12" ht="15" thickBot="1" x14ac:dyDescent="0.4">
      <c r="A25" t="s">
        <v>20</v>
      </c>
      <c r="C25" s="11">
        <f>SUM(C22:C24)</f>
        <v>120000</v>
      </c>
      <c r="D25" s="11">
        <f t="shared" ref="D25:L25" si="32">SUM(D22:D24)</f>
        <v>2301120</v>
      </c>
      <c r="E25" s="45">
        <f t="shared" si="32"/>
        <v>4388656.8960000006</v>
      </c>
      <c r="F25" s="11">
        <f t="shared" si="32"/>
        <v>6237682.1438976061</v>
      </c>
      <c r="G25" s="11">
        <f t="shared" si="32"/>
        <v>9777005.9639184345</v>
      </c>
      <c r="H25" s="11">
        <f t="shared" si="32"/>
        <v>10934495.320546489</v>
      </c>
      <c r="I25" s="11">
        <f t="shared" si="32"/>
        <v>11758728.128588513</v>
      </c>
      <c r="J25" s="11">
        <f t="shared" si="32"/>
        <v>12217082.523043267</v>
      </c>
      <c r="K25" s="11">
        <f t="shared" si="32"/>
        <v>12274856.828724064</v>
      </c>
      <c r="L25" s="45">
        <f t="shared" si="32"/>
        <v>11895156.762250192</v>
      </c>
    </row>
    <row r="26" spans="1:12" ht="15" thickTop="1" x14ac:dyDescent="0.35">
      <c r="A26" t="s">
        <v>21</v>
      </c>
      <c r="B26" s="52">
        <v>6</v>
      </c>
      <c r="C26" s="7">
        <f>-H36</f>
        <v>-4000000</v>
      </c>
      <c r="E26" s="39"/>
      <c r="L26" s="40">
        <f>+B26*L25</f>
        <v>71370940.573501155</v>
      </c>
    </row>
    <row r="27" spans="1:12" ht="15" thickBot="1" x14ac:dyDescent="0.4">
      <c r="A27" t="s">
        <v>22</v>
      </c>
      <c r="B27" s="49"/>
      <c r="C27" s="11">
        <f>+C26+C25</f>
        <v>-3880000</v>
      </c>
      <c r="D27" s="11">
        <f t="shared" ref="D27:L27" si="33">+D26+D25</f>
        <v>2301120</v>
      </c>
      <c r="E27" s="45">
        <f t="shared" si="33"/>
        <v>4388656.8960000006</v>
      </c>
      <c r="F27" s="11">
        <f t="shared" si="33"/>
        <v>6237682.1438976061</v>
      </c>
      <c r="G27" s="11">
        <f t="shared" si="33"/>
        <v>9777005.9639184345</v>
      </c>
      <c r="H27" s="11">
        <f t="shared" si="33"/>
        <v>10934495.320546489</v>
      </c>
      <c r="I27" s="11">
        <f t="shared" si="33"/>
        <v>11758728.128588513</v>
      </c>
      <c r="J27" s="11">
        <f t="shared" si="33"/>
        <v>12217082.523043267</v>
      </c>
      <c r="K27" s="11">
        <f t="shared" si="33"/>
        <v>12274856.828724064</v>
      </c>
      <c r="L27" s="45">
        <f t="shared" si="33"/>
        <v>83266097.335751355</v>
      </c>
    </row>
    <row r="28" spans="1:12" ht="15" thickTop="1" x14ac:dyDescent="0.35">
      <c r="A28" t="s">
        <v>23</v>
      </c>
      <c r="B28" s="49">
        <v>0.25</v>
      </c>
      <c r="C28" s="6">
        <f t="shared" ref="C28:L28" si="34">+C27/(1+$B$28)^C3</f>
        <v>-3104000</v>
      </c>
      <c r="D28" s="6">
        <f t="shared" si="34"/>
        <v>1472716.8</v>
      </c>
      <c r="E28" s="40">
        <f t="shared" si="34"/>
        <v>2246992.3307520002</v>
      </c>
      <c r="F28" s="6">
        <f t="shared" si="34"/>
        <v>2554954.6061404594</v>
      </c>
      <c r="G28" s="6">
        <f t="shared" si="34"/>
        <v>3203729.3142567924</v>
      </c>
      <c r="H28" s="6">
        <f t="shared" si="34"/>
        <v>2866412.3413093388</v>
      </c>
      <c r="I28" s="6">
        <f t="shared" si="34"/>
        <v>2465984.0212325654</v>
      </c>
      <c r="J28" s="6">
        <f t="shared" si="34"/>
        <v>2049686.3237892187</v>
      </c>
      <c r="K28" s="6">
        <f t="shared" si="34"/>
        <v>1647503.395076629</v>
      </c>
      <c r="L28" s="40">
        <f t="shared" si="34"/>
        <v>8940629.1230651196</v>
      </c>
    </row>
    <row r="29" spans="1:12" x14ac:dyDescent="0.35">
      <c r="A29" t="s">
        <v>62</v>
      </c>
      <c r="C29" s="7">
        <f>SUM(C28:L28)</f>
        <v>24344608.255622126</v>
      </c>
    </row>
    <row r="31" spans="1:12" ht="15" thickBot="1" x14ac:dyDescent="0.4">
      <c r="A31" s="72" t="s">
        <v>65</v>
      </c>
      <c r="B31" s="73"/>
      <c r="C31" s="73"/>
      <c r="D31" s="73"/>
      <c r="E31" s="73"/>
      <c r="F31" s="72" t="s">
        <v>66</v>
      </c>
      <c r="G31" s="73"/>
      <c r="H31" s="73"/>
      <c r="I31" s="73"/>
      <c r="J31" s="74"/>
    </row>
    <row r="32" spans="1:12" ht="15" thickTop="1" x14ac:dyDescent="0.35">
      <c r="A32" s="68" t="s">
        <v>24</v>
      </c>
      <c r="B32" s="12"/>
      <c r="C32" s="46">
        <v>10000000</v>
      </c>
      <c r="D32" t="s">
        <v>25</v>
      </c>
      <c r="F32" s="68"/>
      <c r="G32" s="12" t="s">
        <v>37</v>
      </c>
      <c r="H32" s="63">
        <f>SQRT(C40)</f>
        <v>0.31622776601683794</v>
      </c>
      <c r="J32" s="29"/>
    </row>
    <row r="33" spans="1:10" x14ac:dyDescent="0.35">
      <c r="A33" s="68" t="s">
        <v>57</v>
      </c>
      <c r="B33" s="12"/>
      <c r="C33" s="55">
        <f>+E8</f>
        <v>0.04</v>
      </c>
      <c r="F33" s="68"/>
      <c r="G33" s="12" t="s">
        <v>40</v>
      </c>
      <c r="H33" s="64">
        <f>+C37*(1-C38)</f>
        <v>8</v>
      </c>
      <c r="I33" t="s">
        <v>67</v>
      </c>
      <c r="J33" s="29"/>
    </row>
    <row r="34" spans="1:10" x14ac:dyDescent="0.35">
      <c r="A34" s="68" t="s">
        <v>58</v>
      </c>
      <c r="B34" s="12"/>
      <c r="C34" s="50">
        <f>+C33*C32</f>
        <v>400000</v>
      </c>
      <c r="D34" t="s">
        <v>25</v>
      </c>
      <c r="F34" s="68"/>
      <c r="G34" s="12" t="s">
        <v>45</v>
      </c>
      <c r="H34" s="65">
        <f>+C39</f>
        <v>0.03</v>
      </c>
      <c r="I34" s="10" t="s">
        <v>68</v>
      </c>
      <c r="J34" s="29"/>
    </row>
    <row r="35" spans="1:10" x14ac:dyDescent="0.35">
      <c r="A35" s="68" t="s">
        <v>26</v>
      </c>
      <c r="B35" s="12"/>
      <c r="C35" s="47">
        <v>4</v>
      </c>
      <c r="D35" t="s">
        <v>27</v>
      </c>
      <c r="F35" s="68"/>
      <c r="G35" s="12" t="s">
        <v>47</v>
      </c>
      <c r="H35" s="66">
        <f>+C29</f>
        <v>24344608.255622126</v>
      </c>
      <c r="I35" t="s">
        <v>69</v>
      </c>
      <c r="J35" s="29"/>
    </row>
    <row r="36" spans="1:10" x14ac:dyDescent="0.35">
      <c r="A36" s="68" t="s">
        <v>28</v>
      </c>
      <c r="B36" s="12"/>
      <c r="C36" s="47">
        <v>10</v>
      </c>
      <c r="D36" t="s">
        <v>29</v>
      </c>
      <c r="F36" s="68"/>
      <c r="G36" s="12" t="s">
        <v>49</v>
      </c>
      <c r="H36" s="66">
        <f>+C34*C36</f>
        <v>4000000</v>
      </c>
      <c r="I36" t="s">
        <v>70</v>
      </c>
      <c r="J36" s="29"/>
    </row>
    <row r="37" spans="1:10" x14ac:dyDescent="0.35">
      <c r="A37" s="68" t="s">
        <v>30</v>
      </c>
      <c r="B37" s="12"/>
      <c r="C37" s="48">
        <v>10</v>
      </c>
      <c r="D37" t="s">
        <v>31</v>
      </c>
      <c r="F37" s="68"/>
      <c r="G37" s="12" t="s">
        <v>50</v>
      </c>
      <c r="H37" s="67">
        <f>+C38</f>
        <v>0.2</v>
      </c>
      <c r="I37" t="s">
        <v>71</v>
      </c>
      <c r="J37" s="29"/>
    </row>
    <row r="38" spans="1:10" x14ac:dyDescent="0.35">
      <c r="A38" s="68" t="s">
        <v>59</v>
      </c>
      <c r="B38" s="12"/>
      <c r="C38" s="49">
        <v>0.2</v>
      </c>
      <c r="D38" s="62">
        <f>+C38*C37/C37</f>
        <v>0.2</v>
      </c>
      <c r="E38" t="s">
        <v>31</v>
      </c>
      <c r="F38" s="68"/>
      <c r="G38" s="12"/>
      <c r="H38" s="49"/>
      <c r="I38" s="62"/>
      <c r="J38" s="29"/>
    </row>
    <row r="39" spans="1:10" x14ac:dyDescent="0.35">
      <c r="A39" s="68" t="s">
        <v>32</v>
      </c>
      <c r="B39" s="12"/>
      <c r="C39" s="49">
        <v>0.03</v>
      </c>
      <c r="F39" s="68"/>
      <c r="G39" s="12"/>
      <c r="H39" s="49"/>
      <c r="J39" s="29"/>
    </row>
    <row r="40" spans="1:10" x14ac:dyDescent="0.35">
      <c r="A40" s="68" t="s">
        <v>33</v>
      </c>
      <c r="B40" s="12"/>
      <c r="C40" s="54">
        <v>0.1</v>
      </c>
      <c r="F40" s="68"/>
      <c r="G40" s="12"/>
      <c r="H40" s="54"/>
      <c r="J40" s="29"/>
    </row>
    <row r="41" spans="1:10" x14ac:dyDescent="0.35">
      <c r="A41" s="68"/>
      <c r="B41" s="13"/>
      <c r="F41" s="68"/>
      <c r="G41" s="13"/>
      <c r="H41" s="53"/>
      <c r="J41" s="29"/>
    </row>
    <row r="42" spans="1:10" x14ac:dyDescent="0.35">
      <c r="A42" s="69" t="s">
        <v>63</v>
      </c>
      <c r="B42" s="70"/>
      <c r="C42" s="71">
        <f>+H32*0.64</f>
        <v>0.20238577025077628</v>
      </c>
      <c r="D42" s="31"/>
      <c r="E42" s="31"/>
      <c r="F42" s="69"/>
      <c r="G42" s="70"/>
      <c r="H42" s="71"/>
      <c r="I42" s="31"/>
      <c r="J42" s="32"/>
    </row>
    <row r="43" spans="1:10" x14ac:dyDescent="0.35">
      <c r="A43" s="13"/>
      <c r="B43" s="13"/>
    </row>
    <row r="44" spans="1:10" ht="15" thickBot="1" x14ac:dyDescent="0.4">
      <c r="A44" s="13" t="s">
        <v>34</v>
      </c>
      <c r="B44" s="13"/>
    </row>
    <row r="45" spans="1:10" ht="23.75" customHeight="1" thickBot="1" x14ac:dyDescent="0.4">
      <c r="A45" s="14" t="s">
        <v>35</v>
      </c>
      <c r="B45" s="15"/>
      <c r="C45" s="16"/>
      <c r="D45" s="14" t="s">
        <v>36</v>
      </c>
      <c r="E45" s="17"/>
      <c r="G45" s="25" t="s">
        <v>52</v>
      </c>
      <c r="H45" s="26"/>
      <c r="I45" s="26"/>
      <c r="J45" s="27"/>
    </row>
    <row r="46" spans="1:10" ht="21.5" customHeight="1" x14ac:dyDescent="0.35">
      <c r="A46" s="75" t="s">
        <v>37</v>
      </c>
      <c r="B46" s="76"/>
      <c r="C46" s="77">
        <f>+H32</f>
        <v>0.31622776601683794</v>
      </c>
      <c r="D46" s="78" t="s">
        <v>38</v>
      </c>
      <c r="E46" s="79">
        <f>(G48+H48)/J48</f>
        <v>0.94587468441173905</v>
      </c>
      <c r="G46" s="28" t="s">
        <v>39</v>
      </c>
      <c r="J46" s="29"/>
    </row>
    <row r="47" spans="1:10" ht="21.5" customHeight="1" x14ac:dyDescent="0.35">
      <c r="A47" s="19" t="s">
        <v>40</v>
      </c>
      <c r="B47" s="20"/>
      <c r="C47" s="80">
        <f t="shared" ref="C47:C51" si="35">+H33</f>
        <v>8</v>
      </c>
      <c r="D47" s="21" t="s">
        <v>41</v>
      </c>
      <c r="E47" s="22">
        <f>E46-J48</f>
        <v>5.1447493411823086E-2</v>
      </c>
      <c r="G47" s="28" t="s">
        <v>42</v>
      </c>
      <c r="H47" t="s">
        <v>43</v>
      </c>
      <c r="J47" s="29" t="s">
        <v>44</v>
      </c>
    </row>
    <row r="48" spans="1:10" ht="21.5" customHeight="1" x14ac:dyDescent="0.35">
      <c r="A48" s="19" t="s">
        <v>45</v>
      </c>
      <c r="B48" s="20"/>
      <c r="C48" s="81">
        <f t="shared" si="35"/>
        <v>0.03</v>
      </c>
      <c r="D48" s="21" t="s">
        <v>46</v>
      </c>
      <c r="E48" s="18">
        <f>NORMSDIST(E46)</f>
        <v>0.82789374647479563</v>
      </c>
      <c r="G48" s="28">
        <f>LN(H35/H36)</f>
        <v>1.8060160370163238</v>
      </c>
      <c r="H48">
        <f>(H34-H37+(H32^2)/2)*H33</f>
        <v>-0.96000000000000008</v>
      </c>
      <c r="J48" s="29">
        <f>H32*SQRT(H33)</f>
        <v>0.89442719099991597</v>
      </c>
    </row>
    <row r="49" spans="1:10" ht="21.5" customHeight="1" x14ac:dyDescent="0.35">
      <c r="A49" s="19" t="s">
        <v>47</v>
      </c>
      <c r="B49" s="20"/>
      <c r="C49" s="82">
        <f t="shared" si="35"/>
        <v>24344608.255622126</v>
      </c>
      <c r="D49" s="21" t="s">
        <v>48</v>
      </c>
      <c r="E49" s="22">
        <f>NORMSDIST(E47)</f>
        <v>0.52051552970725468</v>
      </c>
      <c r="G49" s="28"/>
      <c r="J49" s="29"/>
    </row>
    <row r="50" spans="1:10" ht="21.5" customHeight="1" x14ac:dyDescent="0.35">
      <c r="A50" s="19" t="s">
        <v>49</v>
      </c>
      <c r="B50" s="20"/>
      <c r="C50" s="82">
        <f t="shared" si="35"/>
        <v>4000000</v>
      </c>
      <c r="D50" s="23"/>
      <c r="E50" s="24"/>
      <c r="G50" s="30"/>
      <c r="H50" s="31"/>
      <c r="I50" s="31"/>
      <c r="J50" s="32"/>
    </row>
    <row r="51" spans="1:10" ht="21.5" customHeight="1" x14ac:dyDescent="0.35">
      <c r="A51" s="19" t="s">
        <v>50</v>
      </c>
      <c r="B51" s="20"/>
      <c r="C51" s="83">
        <f t="shared" si="35"/>
        <v>0.2</v>
      </c>
      <c r="D51" s="84" t="s">
        <v>51</v>
      </c>
      <c r="E51" s="85">
        <f>(H35*EXP(-H37*H33)*E48)-(H36*EXP(-H34*H33)*E49)</f>
        <v>2431365.5599328647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2089A-F3D1-4F34-8ABB-DA9996C2C9BA}">
  <dimension ref="A1:L51"/>
  <sheetViews>
    <sheetView tabSelected="1" workbookViewId="0">
      <selection activeCell="C10" sqref="C10"/>
    </sheetView>
  </sheetViews>
  <sheetFormatPr defaultRowHeight="14.5" x14ac:dyDescent="0.35"/>
  <cols>
    <col min="1" max="1" width="38.54296875" customWidth="1"/>
    <col min="2" max="2" width="5.36328125" customWidth="1"/>
    <col min="3" max="12" width="11.90625" customWidth="1"/>
    <col min="13" max="14" width="12.26953125" customWidth="1"/>
    <col min="15" max="17" width="8.26953125" customWidth="1"/>
  </cols>
  <sheetData>
    <row r="1" spans="1:12" ht="23.5" x14ac:dyDescent="0.55000000000000004">
      <c r="A1" s="1" t="s">
        <v>0</v>
      </c>
      <c r="B1" s="1"/>
    </row>
    <row r="2" spans="1:12" ht="13" customHeight="1" x14ac:dyDescent="0.35">
      <c r="A2" s="2" t="s">
        <v>54</v>
      </c>
      <c r="B2" s="2"/>
      <c r="C2" s="3"/>
      <c r="D2" s="3"/>
      <c r="E2" s="61" t="s">
        <v>64</v>
      </c>
      <c r="F2" s="3"/>
      <c r="H2" s="3"/>
      <c r="I2" s="3"/>
      <c r="J2" s="3"/>
      <c r="K2" s="3"/>
      <c r="L2" s="60" t="s">
        <v>60</v>
      </c>
    </row>
    <row r="3" spans="1:12" x14ac:dyDescent="0.35">
      <c r="C3" s="3">
        <v>1</v>
      </c>
      <c r="D3" s="3">
        <v>2</v>
      </c>
      <c r="E3" s="37">
        <v>3</v>
      </c>
      <c r="F3" s="3">
        <v>4</v>
      </c>
      <c r="G3" s="3">
        <v>5</v>
      </c>
      <c r="H3" s="3">
        <v>6</v>
      </c>
      <c r="I3" s="3">
        <v>7</v>
      </c>
      <c r="J3" s="3">
        <v>8</v>
      </c>
      <c r="K3" s="3">
        <v>9</v>
      </c>
      <c r="L3" s="37">
        <v>10</v>
      </c>
    </row>
    <row r="4" spans="1:12" x14ac:dyDescent="0.35">
      <c r="C4" s="4" t="s">
        <v>1</v>
      </c>
      <c r="D4" s="4" t="s">
        <v>2</v>
      </c>
      <c r="E4" s="38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38" t="s">
        <v>10</v>
      </c>
    </row>
    <row r="5" spans="1:12" x14ac:dyDescent="0.35">
      <c r="A5" s="33" t="s">
        <v>53</v>
      </c>
      <c r="E5" s="39"/>
      <c r="L5" s="39"/>
    </row>
    <row r="6" spans="1:12" x14ac:dyDescent="0.35">
      <c r="A6" t="s">
        <v>55</v>
      </c>
      <c r="C6" s="5">
        <f>+C32</f>
        <v>10000000</v>
      </c>
      <c r="D6" s="6">
        <f>+C6*((1+D7))</f>
        <v>10200000</v>
      </c>
      <c r="E6" s="40">
        <f t="shared" ref="E6:L6" si="0">+D6*((1+E7))</f>
        <v>10404000</v>
      </c>
      <c r="F6" s="6">
        <f t="shared" si="0"/>
        <v>10612080</v>
      </c>
      <c r="G6" s="56">
        <f t="shared" si="0"/>
        <v>10824321.6</v>
      </c>
      <c r="H6" s="6">
        <f t="shared" si="0"/>
        <v>11040808.032</v>
      </c>
      <c r="I6" s="6">
        <f t="shared" si="0"/>
        <v>11261624.192639999</v>
      </c>
      <c r="J6" s="6">
        <f t="shared" si="0"/>
        <v>11486856.676492799</v>
      </c>
      <c r="K6" s="6">
        <f t="shared" si="0"/>
        <v>11716593.810022656</v>
      </c>
      <c r="L6" s="40">
        <f t="shared" si="0"/>
        <v>11950925.686223108</v>
      </c>
    </row>
    <row r="7" spans="1:12" x14ac:dyDescent="0.35">
      <c r="A7" t="s">
        <v>12</v>
      </c>
      <c r="C7" s="7"/>
      <c r="D7" s="8">
        <v>0.02</v>
      </c>
      <c r="E7" s="41">
        <f>+D7</f>
        <v>0.02</v>
      </c>
      <c r="F7" s="8">
        <f t="shared" ref="F7:L7" si="1">+E7</f>
        <v>0.02</v>
      </c>
      <c r="G7" s="57">
        <f t="shared" si="1"/>
        <v>0.02</v>
      </c>
      <c r="H7" s="8">
        <f t="shared" si="1"/>
        <v>0.02</v>
      </c>
      <c r="I7" s="8">
        <f t="shared" si="1"/>
        <v>0.02</v>
      </c>
      <c r="J7" s="8">
        <f t="shared" si="1"/>
        <v>0.02</v>
      </c>
      <c r="K7" s="8">
        <f t="shared" si="1"/>
        <v>0.02</v>
      </c>
      <c r="L7" s="41">
        <f t="shared" si="1"/>
        <v>0.02</v>
      </c>
    </row>
    <row r="8" spans="1:12" x14ac:dyDescent="0.35">
      <c r="A8" t="s">
        <v>61</v>
      </c>
      <c r="C8" s="8">
        <v>1E-3</v>
      </c>
      <c r="D8" s="8">
        <v>0.02</v>
      </c>
      <c r="E8" s="59">
        <v>0.04</v>
      </c>
      <c r="F8" s="8">
        <v>0.06</v>
      </c>
      <c r="G8" s="57">
        <v>0.1</v>
      </c>
      <c r="H8" s="8">
        <v>0.12</v>
      </c>
      <c r="I8" s="8">
        <v>0.14000000000000001</v>
      </c>
      <c r="J8" s="8">
        <v>0.16</v>
      </c>
      <c r="K8" s="8">
        <v>0.18</v>
      </c>
      <c r="L8" s="41">
        <v>0.2</v>
      </c>
    </row>
    <row r="9" spans="1:12" x14ac:dyDescent="0.35">
      <c r="A9" s="33"/>
      <c r="E9" s="39"/>
      <c r="L9" s="39"/>
    </row>
    <row r="10" spans="1:12" x14ac:dyDescent="0.35">
      <c r="A10" t="s">
        <v>11</v>
      </c>
      <c r="C10" s="35"/>
      <c r="D10" s="35"/>
      <c r="E10" s="42"/>
      <c r="F10" s="35"/>
      <c r="G10" s="35"/>
      <c r="H10" s="35"/>
      <c r="I10" s="35"/>
      <c r="J10" s="35"/>
      <c r="K10" s="35"/>
      <c r="L10" s="42"/>
    </row>
    <row r="11" spans="1:12" x14ac:dyDescent="0.35">
      <c r="C11" s="7"/>
      <c r="E11" s="39"/>
      <c r="L11" s="39"/>
    </row>
    <row r="12" spans="1:12" x14ac:dyDescent="0.35">
      <c r="A12" t="s">
        <v>13</v>
      </c>
      <c r="C12" s="36">
        <f>+C35</f>
        <v>4</v>
      </c>
      <c r="D12" s="36">
        <f t="shared" ref="D12:L12" si="2">+C12*(1+D13)</f>
        <v>4</v>
      </c>
      <c r="E12" s="43">
        <f t="shared" si="2"/>
        <v>4</v>
      </c>
      <c r="F12" s="36">
        <f t="shared" si="2"/>
        <v>4</v>
      </c>
      <c r="G12" s="58">
        <f t="shared" si="2"/>
        <v>4</v>
      </c>
      <c r="H12" s="36">
        <f t="shared" si="2"/>
        <v>4</v>
      </c>
      <c r="I12" s="36">
        <f t="shared" si="2"/>
        <v>4</v>
      </c>
      <c r="J12" s="36">
        <f t="shared" si="2"/>
        <v>4</v>
      </c>
      <c r="K12" s="36">
        <f t="shared" si="2"/>
        <v>4</v>
      </c>
      <c r="L12" s="43">
        <f t="shared" si="2"/>
        <v>4</v>
      </c>
    </row>
    <row r="13" spans="1:12" x14ac:dyDescent="0.35">
      <c r="A13" t="s">
        <v>14</v>
      </c>
      <c r="C13" s="9"/>
      <c r="D13" s="8">
        <v>0</v>
      </c>
      <c r="E13" s="41">
        <v>0</v>
      </c>
      <c r="F13" s="8">
        <v>0</v>
      </c>
      <c r="G13" s="57">
        <v>0</v>
      </c>
      <c r="H13" s="8">
        <v>0</v>
      </c>
      <c r="I13" s="8">
        <v>0</v>
      </c>
      <c r="J13" s="8">
        <v>0</v>
      </c>
      <c r="K13" s="8">
        <v>0</v>
      </c>
      <c r="L13" s="41">
        <v>0</v>
      </c>
    </row>
    <row r="14" spans="1:12" x14ac:dyDescent="0.35">
      <c r="C14" s="9"/>
      <c r="D14" s="8"/>
      <c r="E14" s="41"/>
      <c r="F14" s="8"/>
      <c r="G14" s="57"/>
      <c r="H14" s="8"/>
      <c r="I14" s="8"/>
      <c r="J14" s="8"/>
      <c r="K14" s="8"/>
      <c r="L14" s="41"/>
    </row>
    <row r="15" spans="1:12" x14ac:dyDescent="0.35">
      <c r="A15" t="s">
        <v>15</v>
      </c>
      <c r="C15" s="51">
        <v>2</v>
      </c>
      <c r="D15" s="36">
        <f>+C15*(1+D16)</f>
        <v>2.04</v>
      </c>
      <c r="E15" s="43">
        <f t="shared" ref="E15:L15" si="3">+D15*(1+E16)</f>
        <v>2.0808</v>
      </c>
      <c r="F15" s="36">
        <f t="shared" si="3"/>
        <v>2.1224159999999999</v>
      </c>
      <c r="G15" s="58">
        <f t="shared" si="3"/>
        <v>2.16486432</v>
      </c>
      <c r="H15" s="36">
        <f t="shared" si="3"/>
        <v>2.2081616064</v>
      </c>
      <c r="I15" s="36">
        <f t="shared" si="3"/>
        <v>2.2523248385280001</v>
      </c>
      <c r="J15" s="36">
        <f t="shared" si="3"/>
        <v>2.2973713352985601</v>
      </c>
      <c r="K15" s="36">
        <f t="shared" si="3"/>
        <v>2.3433187620045315</v>
      </c>
      <c r="L15" s="43">
        <f t="shared" si="3"/>
        <v>2.3901851372446221</v>
      </c>
    </row>
    <row r="16" spans="1:12" x14ac:dyDescent="0.35">
      <c r="A16" t="s">
        <v>14</v>
      </c>
      <c r="C16" s="9"/>
      <c r="D16" s="8">
        <v>0.02</v>
      </c>
      <c r="E16" s="41">
        <f>+D16</f>
        <v>0.02</v>
      </c>
      <c r="F16" s="8">
        <f t="shared" ref="F16:L16" si="4">+E16</f>
        <v>0.02</v>
      </c>
      <c r="G16" s="57">
        <f t="shared" si="4"/>
        <v>0.02</v>
      </c>
      <c r="H16" s="8">
        <f t="shared" si="4"/>
        <v>0.02</v>
      </c>
      <c r="I16" s="8">
        <f t="shared" si="4"/>
        <v>0.02</v>
      </c>
      <c r="J16" s="8">
        <f t="shared" si="4"/>
        <v>0.02</v>
      </c>
      <c r="K16" s="8">
        <f t="shared" si="4"/>
        <v>0.02</v>
      </c>
      <c r="L16" s="41">
        <f t="shared" si="4"/>
        <v>0.02</v>
      </c>
    </row>
    <row r="17" spans="1:12" x14ac:dyDescent="0.35">
      <c r="C17" s="9"/>
      <c r="D17" s="8"/>
      <c r="E17" s="41"/>
      <c r="F17" s="8"/>
      <c r="G17" s="57"/>
      <c r="H17" s="8"/>
      <c r="I17" s="8"/>
      <c r="J17" s="8"/>
      <c r="K17" s="8"/>
      <c r="L17" s="41"/>
    </row>
    <row r="18" spans="1:12" x14ac:dyDescent="0.35">
      <c r="A18" t="s">
        <v>16</v>
      </c>
      <c r="C18" s="51">
        <v>1</v>
      </c>
      <c r="D18" s="36">
        <f>+C18*(1+D19)</f>
        <v>1.02</v>
      </c>
      <c r="E18" s="43">
        <f t="shared" ref="E18:L18" si="5">+D18*(1+E19)</f>
        <v>1.0404</v>
      </c>
      <c r="F18" s="36">
        <f t="shared" si="5"/>
        <v>1.0612079999999999</v>
      </c>
      <c r="G18" s="58">
        <f t="shared" si="5"/>
        <v>1.08243216</v>
      </c>
      <c r="H18" s="36">
        <f t="shared" si="5"/>
        <v>1.1040808032</v>
      </c>
      <c r="I18" s="36">
        <f t="shared" si="5"/>
        <v>1.1261624192640001</v>
      </c>
      <c r="J18" s="36">
        <f t="shared" si="5"/>
        <v>1.14868566764928</v>
      </c>
      <c r="K18" s="36">
        <f t="shared" si="5"/>
        <v>1.1716593810022657</v>
      </c>
      <c r="L18" s="43">
        <f t="shared" si="5"/>
        <v>1.1950925686223111</v>
      </c>
    </row>
    <row r="19" spans="1:12" x14ac:dyDescent="0.35">
      <c r="A19" t="s">
        <v>14</v>
      </c>
      <c r="D19" s="8">
        <v>0.02</v>
      </c>
      <c r="E19" s="41">
        <f>+D19</f>
        <v>0.02</v>
      </c>
      <c r="F19" s="8">
        <f t="shared" ref="F19:L19" si="6">+E19</f>
        <v>0.02</v>
      </c>
      <c r="G19" s="57">
        <f t="shared" si="6"/>
        <v>0.02</v>
      </c>
      <c r="H19" s="8">
        <f t="shared" si="6"/>
        <v>0.02</v>
      </c>
      <c r="I19" s="8">
        <f t="shared" si="6"/>
        <v>0.02</v>
      </c>
      <c r="J19" s="8">
        <f t="shared" si="6"/>
        <v>0.02</v>
      </c>
      <c r="K19" s="8">
        <f t="shared" si="6"/>
        <v>0.02</v>
      </c>
      <c r="L19" s="41">
        <f t="shared" si="6"/>
        <v>0.02</v>
      </c>
    </row>
    <row r="20" spans="1:12" x14ac:dyDescent="0.35">
      <c r="E20" s="39"/>
      <c r="L20" s="39"/>
    </row>
    <row r="21" spans="1:12" x14ac:dyDescent="0.35">
      <c r="A21" s="34" t="s">
        <v>56</v>
      </c>
      <c r="B21" s="10"/>
      <c r="E21" s="39"/>
      <c r="L21" s="39"/>
    </row>
    <row r="22" spans="1:12" x14ac:dyDescent="0.35">
      <c r="A22" t="s">
        <v>17</v>
      </c>
      <c r="C22" s="7"/>
      <c r="D22" s="7"/>
      <c r="E22" s="44"/>
      <c r="F22" s="7"/>
      <c r="G22" s="7"/>
      <c r="H22" s="7"/>
      <c r="I22" s="7"/>
      <c r="J22" s="7"/>
      <c r="K22" s="7"/>
      <c r="L22" s="44"/>
    </row>
    <row r="23" spans="1:12" x14ac:dyDescent="0.35">
      <c r="A23" t="s">
        <v>18</v>
      </c>
      <c r="C23" s="7"/>
      <c r="D23" s="7"/>
      <c r="E23" s="44"/>
      <c r="F23" s="7"/>
      <c r="G23" s="7"/>
      <c r="H23" s="7"/>
      <c r="I23" s="7"/>
      <c r="J23" s="7"/>
      <c r="K23" s="7"/>
      <c r="L23" s="44"/>
    </row>
    <row r="24" spans="1:12" x14ac:dyDescent="0.35">
      <c r="A24" t="s">
        <v>19</v>
      </c>
      <c r="C24" s="7"/>
      <c r="D24" s="7"/>
      <c r="E24" s="44"/>
      <c r="F24" s="7"/>
      <c r="G24" s="7"/>
      <c r="H24" s="7"/>
      <c r="I24" s="7"/>
      <c r="J24" s="7"/>
      <c r="K24" s="7"/>
      <c r="L24" s="44"/>
    </row>
    <row r="25" spans="1:12" ht="15" thickBot="1" x14ac:dyDescent="0.4">
      <c r="A25" t="s">
        <v>20</v>
      </c>
      <c r="C25" s="11"/>
      <c r="D25" s="11"/>
      <c r="E25" s="45"/>
      <c r="F25" s="11"/>
      <c r="G25" s="11"/>
      <c r="H25" s="11"/>
      <c r="I25" s="11"/>
      <c r="J25" s="11"/>
      <c r="K25" s="11"/>
      <c r="L25" s="45"/>
    </row>
    <row r="26" spans="1:12" ht="15" thickTop="1" x14ac:dyDescent="0.35">
      <c r="A26" t="s">
        <v>21</v>
      </c>
      <c r="B26" s="52">
        <v>6</v>
      </c>
      <c r="C26" s="7">
        <f>-H36</f>
        <v>-4000000</v>
      </c>
      <c r="E26" s="39"/>
      <c r="L26" s="40"/>
    </row>
    <row r="27" spans="1:12" ht="15" thickBot="1" x14ac:dyDescent="0.4">
      <c r="A27" t="s">
        <v>22</v>
      </c>
      <c r="B27" s="49"/>
      <c r="C27" s="11">
        <f>+C26+C25</f>
        <v>-4000000</v>
      </c>
      <c r="D27" s="11">
        <f t="shared" ref="D27:L27" si="7">+D26+D25</f>
        <v>0</v>
      </c>
      <c r="E27" s="45">
        <f t="shared" si="7"/>
        <v>0</v>
      </c>
      <c r="F27" s="11"/>
      <c r="G27" s="11"/>
      <c r="H27" s="11"/>
      <c r="I27" s="11"/>
      <c r="J27" s="11"/>
      <c r="K27" s="11"/>
      <c r="L27" s="45"/>
    </row>
    <row r="28" spans="1:12" ht="15" thickTop="1" x14ac:dyDescent="0.35">
      <c r="A28" t="s">
        <v>23</v>
      </c>
      <c r="B28" s="49">
        <v>0.25</v>
      </c>
      <c r="C28" s="6">
        <f t="shared" ref="C28:L28" si="8">+C27/(1+$B$28)^C3</f>
        <v>-3200000</v>
      </c>
      <c r="D28" s="6"/>
      <c r="E28" s="40"/>
      <c r="F28" s="6"/>
      <c r="G28" s="6"/>
      <c r="H28" s="6"/>
      <c r="I28" s="6"/>
      <c r="J28" s="6"/>
      <c r="K28" s="6"/>
      <c r="L28" s="40"/>
    </row>
    <row r="29" spans="1:12" x14ac:dyDescent="0.35">
      <c r="A29" t="s">
        <v>62</v>
      </c>
      <c r="C29" s="7">
        <f>SUM(C28:L28)</f>
        <v>-3200000</v>
      </c>
    </row>
    <row r="31" spans="1:12" ht="15" thickBot="1" x14ac:dyDescent="0.4">
      <c r="A31" s="72" t="s">
        <v>65</v>
      </c>
      <c r="B31" s="73"/>
      <c r="C31" s="73"/>
      <c r="D31" s="73"/>
      <c r="E31" s="73"/>
      <c r="F31" s="72" t="s">
        <v>66</v>
      </c>
      <c r="G31" s="73"/>
      <c r="H31" s="73"/>
      <c r="I31" s="73"/>
      <c r="J31" s="74"/>
    </row>
    <row r="32" spans="1:12" ht="15" thickTop="1" x14ac:dyDescent="0.35">
      <c r="A32" s="68" t="s">
        <v>24</v>
      </c>
      <c r="B32" s="12"/>
      <c r="C32" s="46">
        <v>10000000</v>
      </c>
      <c r="D32" t="s">
        <v>25</v>
      </c>
      <c r="F32" s="68"/>
      <c r="G32" s="12" t="s">
        <v>37</v>
      </c>
      <c r="H32" s="63">
        <f>SQRT(C40)</f>
        <v>0.31622776601683794</v>
      </c>
      <c r="J32" s="29"/>
    </row>
    <row r="33" spans="1:10" x14ac:dyDescent="0.35">
      <c r="A33" s="68" t="s">
        <v>57</v>
      </c>
      <c r="B33" s="12"/>
      <c r="C33" s="55">
        <f>+E8</f>
        <v>0.04</v>
      </c>
      <c r="F33" s="68"/>
      <c r="G33" s="12" t="s">
        <v>40</v>
      </c>
      <c r="H33" s="64">
        <f>+C37*(1-C38)</f>
        <v>8</v>
      </c>
      <c r="I33" t="s">
        <v>67</v>
      </c>
      <c r="J33" s="29"/>
    </row>
    <row r="34" spans="1:10" x14ac:dyDescent="0.35">
      <c r="A34" s="68" t="s">
        <v>58</v>
      </c>
      <c r="B34" s="12"/>
      <c r="C34" s="50">
        <f>+C33*C32</f>
        <v>400000</v>
      </c>
      <c r="D34" t="s">
        <v>25</v>
      </c>
      <c r="F34" s="68"/>
      <c r="G34" s="12" t="s">
        <v>45</v>
      </c>
      <c r="H34" s="65">
        <f>+C39</f>
        <v>0.03</v>
      </c>
      <c r="I34" s="10" t="s">
        <v>68</v>
      </c>
      <c r="J34" s="29"/>
    </row>
    <row r="35" spans="1:10" x14ac:dyDescent="0.35">
      <c r="A35" s="68" t="s">
        <v>26</v>
      </c>
      <c r="B35" s="12"/>
      <c r="C35" s="47">
        <v>4</v>
      </c>
      <c r="D35" t="s">
        <v>27</v>
      </c>
      <c r="F35" s="68"/>
      <c r="G35" s="12" t="s">
        <v>47</v>
      </c>
      <c r="H35" s="66">
        <f>+C29</f>
        <v>-3200000</v>
      </c>
      <c r="I35" t="s">
        <v>69</v>
      </c>
      <c r="J35" s="29"/>
    </row>
    <row r="36" spans="1:10" x14ac:dyDescent="0.35">
      <c r="A36" s="68" t="s">
        <v>28</v>
      </c>
      <c r="B36" s="12"/>
      <c r="C36" s="47">
        <v>10</v>
      </c>
      <c r="D36" t="s">
        <v>29</v>
      </c>
      <c r="F36" s="68"/>
      <c r="G36" s="12" t="s">
        <v>49</v>
      </c>
      <c r="H36" s="66">
        <f>+C34*C36</f>
        <v>4000000</v>
      </c>
      <c r="I36" t="s">
        <v>70</v>
      </c>
      <c r="J36" s="29"/>
    </row>
    <row r="37" spans="1:10" x14ac:dyDescent="0.35">
      <c r="A37" s="68" t="s">
        <v>30</v>
      </c>
      <c r="B37" s="12"/>
      <c r="C37" s="48">
        <v>10</v>
      </c>
      <c r="D37" t="s">
        <v>31</v>
      </c>
      <c r="F37" s="68"/>
      <c r="G37" s="12" t="s">
        <v>50</v>
      </c>
      <c r="H37" s="67">
        <f>+C38</f>
        <v>0.2</v>
      </c>
      <c r="I37" t="s">
        <v>71</v>
      </c>
      <c r="J37" s="29"/>
    </row>
    <row r="38" spans="1:10" x14ac:dyDescent="0.35">
      <c r="A38" s="68" t="s">
        <v>59</v>
      </c>
      <c r="B38" s="12"/>
      <c r="C38" s="49">
        <v>0.2</v>
      </c>
      <c r="D38" s="62">
        <f>+C38*C37/C37</f>
        <v>0.2</v>
      </c>
      <c r="E38" t="s">
        <v>31</v>
      </c>
      <c r="F38" s="68"/>
      <c r="G38" s="12"/>
      <c r="H38" s="49"/>
      <c r="I38" s="62"/>
      <c r="J38" s="29"/>
    </row>
    <row r="39" spans="1:10" x14ac:dyDescent="0.35">
      <c r="A39" s="68" t="s">
        <v>32</v>
      </c>
      <c r="B39" s="12"/>
      <c r="C39" s="49">
        <v>0.03</v>
      </c>
      <c r="F39" s="68"/>
      <c r="G39" s="12"/>
      <c r="H39" s="49"/>
      <c r="J39" s="29"/>
    </row>
    <row r="40" spans="1:10" x14ac:dyDescent="0.35">
      <c r="A40" s="68" t="s">
        <v>33</v>
      </c>
      <c r="B40" s="12"/>
      <c r="C40" s="54">
        <v>0.1</v>
      </c>
      <c r="F40" s="68"/>
      <c r="G40" s="12"/>
      <c r="H40" s="54"/>
      <c r="J40" s="29"/>
    </row>
    <row r="41" spans="1:10" x14ac:dyDescent="0.35">
      <c r="A41" s="68"/>
      <c r="B41" s="13"/>
      <c r="F41" s="68"/>
      <c r="G41" s="13"/>
      <c r="H41" s="53"/>
      <c r="J41" s="29"/>
    </row>
    <row r="42" spans="1:10" x14ac:dyDescent="0.35">
      <c r="A42" s="69" t="s">
        <v>63</v>
      </c>
      <c r="B42" s="70"/>
      <c r="C42" s="71">
        <f>+H32*0.64</f>
        <v>0.20238577025077628</v>
      </c>
      <c r="D42" s="31"/>
      <c r="E42" s="31"/>
      <c r="F42" s="69"/>
      <c r="G42" s="70"/>
      <c r="H42" s="71"/>
      <c r="I42" s="31"/>
      <c r="J42" s="32"/>
    </row>
    <row r="43" spans="1:10" x14ac:dyDescent="0.35">
      <c r="A43" s="13"/>
      <c r="B43" s="13"/>
    </row>
    <row r="44" spans="1:10" ht="15" thickBot="1" x14ac:dyDescent="0.4">
      <c r="A44" s="13" t="s">
        <v>34</v>
      </c>
      <c r="B44" s="13"/>
    </row>
    <row r="45" spans="1:10" ht="23.75" customHeight="1" thickBot="1" x14ac:dyDescent="0.4">
      <c r="A45" s="14" t="s">
        <v>35</v>
      </c>
      <c r="B45" s="15"/>
      <c r="C45" s="16"/>
      <c r="D45" s="14" t="s">
        <v>36</v>
      </c>
      <c r="E45" s="17"/>
      <c r="G45" s="25" t="s">
        <v>52</v>
      </c>
      <c r="H45" s="26"/>
      <c r="I45" s="26"/>
      <c r="J45" s="27"/>
    </row>
    <row r="46" spans="1:10" ht="21.5" customHeight="1" x14ac:dyDescent="0.35">
      <c r="A46" s="75" t="s">
        <v>37</v>
      </c>
      <c r="B46" s="76"/>
      <c r="C46" s="77">
        <f>+H32</f>
        <v>0.31622776601683794</v>
      </c>
      <c r="D46" s="78" t="s">
        <v>38</v>
      </c>
      <c r="E46" s="79" t="e">
        <f>(G48+H48)/J48</f>
        <v>#NUM!</v>
      </c>
      <c r="G46" s="28" t="s">
        <v>39</v>
      </c>
      <c r="J46" s="29"/>
    </row>
    <row r="47" spans="1:10" ht="21.5" customHeight="1" x14ac:dyDescent="0.35">
      <c r="A47" s="19" t="s">
        <v>40</v>
      </c>
      <c r="B47" s="20"/>
      <c r="C47" s="80">
        <f t="shared" ref="C47:C51" si="9">+H33</f>
        <v>8</v>
      </c>
      <c r="D47" s="21" t="s">
        <v>41</v>
      </c>
      <c r="E47" s="22" t="e">
        <f>E46-J48</f>
        <v>#NUM!</v>
      </c>
      <c r="G47" s="28" t="s">
        <v>42</v>
      </c>
      <c r="H47" t="s">
        <v>43</v>
      </c>
      <c r="J47" s="29" t="s">
        <v>44</v>
      </c>
    </row>
    <row r="48" spans="1:10" ht="21.5" customHeight="1" x14ac:dyDescent="0.35">
      <c r="A48" s="19" t="s">
        <v>45</v>
      </c>
      <c r="B48" s="20"/>
      <c r="C48" s="81">
        <f t="shared" si="9"/>
        <v>0.03</v>
      </c>
      <c r="D48" s="21" t="s">
        <v>46</v>
      </c>
      <c r="E48" s="18" t="e">
        <f>NORMSDIST(E46)</f>
        <v>#NUM!</v>
      </c>
      <c r="G48" s="28" t="e">
        <f>LN(H35/H36)</f>
        <v>#NUM!</v>
      </c>
      <c r="H48">
        <f>(H34-H37+(H32^2)/2)*H33</f>
        <v>-0.96000000000000008</v>
      </c>
      <c r="J48" s="29">
        <f>H32*SQRT(H33)</f>
        <v>0.89442719099991597</v>
      </c>
    </row>
    <row r="49" spans="1:10" ht="21.5" customHeight="1" x14ac:dyDescent="0.35">
      <c r="A49" s="19" t="s">
        <v>47</v>
      </c>
      <c r="B49" s="20"/>
      <c r="C49" s="82">
        <f t="shared" si="9"/>
        <v>-3200000</v>
      </c>
      <c r="D49" s="21" t="s">
        <v>48</v>
      </c>
      <c r="E49" s="22" t="e">
        <f>NORMSDIST(E47)</f>
        <v>#NUM!</v>
      </c>
      <c r="G49" s="28"/>
      <c r="J49" s="29"/>
    </row>
    <row r="50" spans="1:10" ht="21.5" customHeight="1" x14ac:dyDescent="0.35">
      <c r="A50" s="19" t="s">
        <v>49</v>
      </c>
      <c r="B50" s="20"/>
      <c r="C50" s="82">
        <f t="shared" si="9"/>
        <v>4000000</v>
      </c>
      <c r="D50" s="23"/>
      <c r="E50" s="24"/>
      <c r="G50" s="30"/>
      <c r="H50" s="31"/>
      <c r="I50" s="31"/>
      <c r="J50" s="32"/>
    </row>
    <row r="51" spans="1:10" ht="21.5" customHeight="1" x14ac:dyDescent="0.35">
      <c r="A51" s="19" t="s">
        <v>50</v>
      </c>
      <c r="B51" s="20"/>
      <c r="C51" s="83">
        <f t="shared" si="9"/>
        <v>0.2</v>
      </c>
      <c r="D51" s="84" t="s">
        <v>51</v>
      </c>
      <c r="E51" s="85" t="e">
        <f>(H35*EXP(-H37*H33)*E48)-(H36*EXP(-H34*H33)*E49)</f>
        <v>#NUM!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Answers</vt:lpstr>
      <vt:lpstr>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2019-05-08T11:26:25Z</dcterms:created>
  <dcterms:modified xsi:type="dcterms:W3CDTF">2024-05-23T11:18:49Z</dcterms:modified>
</cp:coreProperties>
</file>