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d.docs.live.net/66921b89f68d3868/Documents/Baruch CAPS/Derivatives/EXAMS/"/>
    </mc:Choice>
  </mc:AlternateContent>
  <xr:revisionPtr revIDLastSave="0" documentId="8_{16268549-C95B-4EC5-AFC9-D8CE96E774E5}" xr6:coauthVersionLast="41" xr6:coauthVersionMax="41" xr10:uidLastSave="{00000000-0000-0000-0000-000000000000}"/>
  <bookViews>
    <workbookView xWindow="-93" yWindow="-93" windowWidth="20206" windowHeight="12186" tabRatio="597" xr2:uid="{00000000-000D-0000-FFFF-FFFF00000000}"/>
  </bookViews>
  <sheets>
    <sheet name="Answers" sheetId="3" r:id="rId1"/>
    <sheet name="INPUT" sheetId="4" r:id="rId2"/>
    <sheet name="Grades" sheetId="5" r:id="rId3"/>
  </sheets>
  <definedNames>
    <definedName name="_xlnm.Print_Area" localSheetId="0">Answers!$B$1:$M$120</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7" i="3" l="1"/>
  <c r="G93" i="3"/>
  <c r="C57" i="3"/>
  <c r="C56" i="3"/>
  <c r="I36" i="3"/>
  <c r="G36" i="3"/>
  <c r="D122" i="4" l="1"/>
  <c r="M120" i="4"/>
  <c r="M119" i="4"/>
  <c r="I118" i="4"/>
  <c r="F116" i="4"/>
  <c r="G118" i="4" s="1"/>
  <c r="D116" i="4"/>
  <c r="I114" i="4"/>
  <c r="J116" i="4" s="1"/>
  <c r="G114" i="4"/>
  <c r="J112" i="4"/>
  <c r="F112" i="4"/>
  <c r="D112" i="4"/>
  <c r="G110" i="4"/>
  <c r="E101" i="4"/>
  <c r="D99" i="4"/>
  <c r="J97" i="4"/>
  <c r="E97" i="4"/>
  <c r="G97" i="4" s="1"/>
  <c r="D95" i="4"/>
  <c r="G93" i="4"/>
  <c r="E93" i="4"/>
  <c r="D76" i="4"/>
  <c r="D79" i="4" s="1"/>
  <c r="D80" i="4" s="1"/>
  <c r="F72" i="4"/>
  <c r="G74" i="4" s="1"/>
  <c r="D72" i="4"/>
  <c r="C62" i="4"/>
  <c r="C60" i="4"/>
  <c r="C61" i="4" s="1"/>
  <c r="C56" i="4"/>
  <c r="C57" i="4" s="1"/>
  <c r="C55" i="4"/>
  <c r="H43" i="4"/>
  <c r="G43" i="4"/>
  <c r="F43" i="4"/>
  <c r="E26" i="4"/>
  <c r="E19" i="4"/>
  <c r="B9" i="4"/>
  <c r="B10" i="4" s="1"/>
  <c r="B11" i="4" s="1"/>
  <c r="E23" i="4" l="1"/>
  <c r="E20" i="4"/>
  <c r="B12" i="4"/>
  <c r="C119" i="4"/>
  <c r="E74" i="4"/>
  <c r="I74" i="4" s="1"/>
  <c r="D81" i="4" s="1"/>
  <c r="G80" i="4" s="1"/>
  <c r="E25" i="4"/>
  <c r="E21" i="4" l="1"/>
  <c r="B13" i="4"/>
  <c r="B14" i="4" l="1"/>
  <c r="E24" i="4"/>
  <c r="E27" i="4"/>
  <c r="E22" i="4" l="1"/>
  <c r="E28" i="4"/>
  <c r="C2" i="5" l="1"/>
  <c r="V1" i="5" s="1"/>
  <c r="J120" i="5"/>
  <c r="I120" i="5"/>
  <c r="H120" i="5"/>
  <c r="G120" i="5"/>
  <c r="F120" i="5"/>
  <c r="E120" i="5"/>
  <c r="D120" i="5"/>
  <c r="C120" i="5"/>
  <c r="J119" i="5"/>
  <c r="I119" i="5"/>
  <c r="H119" i="5"/>
  <c r="G119" i="5"/>
  <c r="F119" i="5"/>
  <c r="E119" i="5"/>
  <c r="D119" i="5"/>
  <c r="C119" i="5"/>
  <c r="O119" i="5" s="1"/>
  <c r="T119" i="5" s="1"/>
  <c r="J118" i="5"/>
  <c r="I118" i="5"/>
  <c r="O118" i="5" s="1"/>
  <c r="T118" i="5" s="1"/>
  <c r="H118" i="5"/>
  <c r="G118" i="5"/>
  <c r="F118" i="5"/>
  <c r="E118" i="5"/>
  <c r="D118" i="5"/>
  <c r="C118" i="5"/>
  <c r="J117" i="5"/>
  <c r="I117" i="5"/>
  <c r="H117" i="5"/>
  <c r="G117" i="5"/>
  <c r="F117" i="5"/>
  <c r="E117" i="5"/>
  <c r="D117" i="5"/>
  <c r="C117" i="5"/>
  <c r="J116" i="5"/>
  <c r="P116" i="5" s="1"/>
  <c r="T116" i="5" s="1"/>
  <c r="I116" i="5"/>
  <c r="H116" i="5"/>
  <c r="G116" i="5"/>
  <c r="F116" i="5"/>
  <c r="E116" i="5"/>
  <c r="D116" i="5"/>
  <c r="C116" i="5"/>
  <c r="J115" i="5"/>
  <c r="I115" i="5"/>
  <c r="H115" i="5"/>
  <c r="G115" i="5"/>
  <c r="F115" i="5"/>
  <c r="E115" i="5"/>
  <c r="D115" i="5"/>
  <c r="C115" i="5"/>
  <c r="J114" i="5"/>
  <c r="I114" i="5"/>
  <c r="O114" i="5" s="1"/>
  <c r="T114" i="5" s="1"/>
  <c r="H114" i="5"/>
  <c r="G114" i="5"/>
  <c r="F114" i="5"/>
  <c r="E114" i="5"/>
  <c r="D114" i="5"/>
  <c r="C114" i="5"/>
  <c r="J113" i="5"/>
  <c r="I113" i="5"/>
  <c r="H113" i="5"/>
  <c r="G113" i="5"/>
  <c r="F113" i="5"/>
  <c r="E113" i="5"/>
  <c r="D113" i="5"/>
  <c r="C113" i="5"/>
  <c r="J112" i="5"/>
  <c r="P112" i="5" s="1"/>
  <c r="T112" i="5" s="1"/>
  <c r="I112" i="5"/>
  <c r="H112" i="5"/>
  <c r="G112" i="5"/>
  <c r="F112" i="5"/>
  <c r="E112" i="5"/>
  <c r="D112" i="5"/>
  <c r="C112" i="5"/>
  <c r="J111" i="5"/>
  <c r="I111" i="5"/>
  <c r="H111" i="5"/>
  <c r="G111" i="5"/>
  <c r="F111" i="5"/>
  <c r="E111" i="5"/>
  <c r="D111" i="5"/>
  <c r="C111" i="5"/>
  <c r="J110" i="5"/>
  <c r="I110" i="5"/>
  <c r="O110" i="5" s="1"/>
  <c r="T110" i="5" s="1"/>
  <c r="H110" i="5"/>
  <c r="G110" i="5"/>
  <c r="F110" i="5"/>
  <c r="E110" i="5"/>
  <c r="D110" i="5"/>
  <c r="C110" i="5"/>
  <c r="J109" i="5"/>
  <c r="I109" i="5"/>
  <c r="H109" i="5"/>
  <c r="G109" i="5"/>
  <c r="F109" i="5"/>
  <c r="E109" i="5"/>
  <c r="D109" i="5"/>
  <c r="C109" i="5"/>
  <c r="J102" i="5"/>
  <c r="I102" i="5"/>
  <c r="H102" i="5"/>
  <c r="G102" i="5"/>
  <c r="F102" i="5"/>
  <c r="E102" i="5"/>
  <c r="D102" i="5"/>
  <c r="C102" i="5"/>
  <c r="J101" i="5"/>
  <c r="I101" i="5"/>
  <c r="H101" i="5"/>
  <c r="G101" i="5"/>
  <c r="O101" i="5" s="1"/>
  <c r="T101" i="5" s="1"/>
  <c r="F101" i="5"/>
  <c r="D101" i="5"/>
  <c r="C101" i="5"/>
  <c r="J100" i="5"/>
  <c r="I100" i="5"/>
  <c r="H100" i="5"/>
  <c r="G100" i="5"/>
  <c r="F100" i="5"/>
  <c r="E100" i="5"/>
  <c r="D100" i="5"/>
  <c r="C100" i="5"/>
  <c r="J99" i="5"/>
  <c r="I99" i="5"/>
  <c r="G99" i="5"/>
  <c r="F99" i="5"/>
  <c r="E99" i="5"/>
  <c r="C99" i="5"/>
  <c r="J98" i="5"/>
  <c r="I98" i="5"/>
  <c r="H98" i="5"/>
  <c r="G98" i="5"/>
  <c r="F98" i="5"/>
  <c r="E98" i="5"/>
  <c r="D98" i="5"/>
  <c r="C98" i="5"/>
  <c r="I97" i="5"/>
  <c r="H97" i="5"/>
  <c r="F97" i="5"/>
  <c r="D97" i="5"/>
  <c r="C97" i="5"/>
  <c r="J96" i="5"/>
  <c r="I96" i="5"/>
  <c r="H96" i="5"/>
  <c r="G96" i="5"/>
  <c r="F96" i="5"/>
  <c r="E96" i="5"/>
  <c r="D96" i="5"/>
  <c r="C96" i="5"/>
  <c r="J95" i="5"/>
  <c r="I95" i="5"/>
  <c r="G95" i="5"/>
  <c r="F95" i="5"/>
  <c r="E95" i="5"/>
  <c r="C95" i="5"/>
  <c r="J94" i="5"/>
  <c r="I94" i="5"/>
  <c r="H94" i="5"/>
  <c r="G94" i="5"/>
  <c r="F94" i="5"/>
  <c r="E94" i="5"/>
  <c r="D94" i="5"/>
  <c r="C94" i="5"/>
  <c r="J93" i="5"/>
  <c r="I93" i="5"/>
  <c r="H93" i="5"/>
  <c r="F93" i="5"/>
  <c r="D93" i="5"/>
  <c r="C93" i="5"/>
  <c r="D86" i="5"/>
  <c r="O86" i="5" s="1"/>
  <c r="T86" i="5" s="1"/>
  <c r="I81" i="5"/>
  <c r="H81" i="5"/>
  <c r="G81" i="5"/>
  <c r="F81" i="5"/>
  <c r="E81" i="5"/>
  <c r="D81" i="5"/>
  <c r="O81" i="5" s="1"/>
  <c r="T81" i="5" s="1"/>
  <c r="C81" i="5"/>
  <c r="I80" i="5"/>
  <c r="H80" i="5"/>
  <c r="G80" i="5"/>
  <c r="F80" i="5"/>
  <c r="E80" i="5"/>
  <c r="D80" i="5"/>
  <c r="O80" i="5" s="1"/>
  <c r="T80" i="5" s="1"/>
  <c r="C80" i="5"/>
  <c r="I79" i="5"/>
  <c r="H79" i="5"/>
  <c r="G79" i="5"/>
  <c r="F79" i="5"/>
  <c r="E79" i="5"/>
  <c r="D79" i="5"/>
  <c r="O79" i="5" s="1"/>
  <c r="T79" i="5" s="1"/>
  <c r="C79" i="5"/>
  <c r="I78" i="5"/>
  <c r="H78" i="5"/>
  <c r="G78" i="5"/>
  <c r="F78" i="5"/>
  <c r="E78" i="5"/>
  <c r="D78" i="5"/>
  <c r="C78" i="5"/>
  <c r="I77" i="5"/>
  <c r="H77" i="5"/>
  <c r="G77" i="5"/>
  <c r="F77" i="5"/>
  <c r="E77" i="5"/>
  <c r="D77" i="5"/>
  <c r="C77" i="5"/>
  <c r="I76" i="5"/>
  <c r="H76" i="5"/>
  <c r="G76" i="5"/>
  <c r="F76" i="5"/>
  <c r="E76" i="5"/>
  <c r="D76" i="5"/>
  <c r="C76" i="5"/>
  <c r="I75" i="5"/>
  <c r="H75" i="5"/>
  <c r="G75" i="5"/>
  <c r="F75" i="5"/>
  <c r="E75" i="5"/>
  <c r="D75" i="5"/>
  <c r="C75" i="5"/>
  <c r="I74" i="5"/>
  <c r="O72" i="5" s="1"/>
  <c r="T72" i="5" s="1"/>
  <c r="H74" i="5"/>
  <c r="G74" i="5"/>
  <c r="F74" i="5"/>
  <c r="E74" i="5"/>
  <c r="D74" i="5"/>
  <c r="C74" i="5"/>
  <c r="I73" i="5"/>
  <c r="H73" i="5"/>
  <c r="G73" i="5"/>
  <c r="F73" i="5"/>
  <c r="E73" i="5"/>
  <c r="D73" i="5"/>
  <c r="C73" i="5"/>
  <c r="I72" i="5"/>
  <c r="H72" i="5"/>
  <c r="G72" i="5"/>
  <c r="F72" i="5"/>
  <c r="E72" i="5"/>
  <c r="D72" i="5"/>
  <c r="C72" i="5"/>
  <c r="I38" i="5"/>
  <c r="Q38" i="5" s="1"/>
  <c r="L27" i="5"/>
  <c r="L26" i="5"/>
  <c r="K26" i="5"/>
  <c r="L25" i="5"/>
  <c r="K25" i="5"/>
  <c r="L24" i="5"/>
  <c r="K24" i="5"/>
  <c r="L23" i="5"/>
  <c r="K23" i="5"/>
  <c r="K22" i="5"/>
  <c r="K21" i="5"/>
  <c r="K20" i="5"/>
  <c r="K19" i="5"/>
  <c r="G86" i="5"/>
  <c r="G85" i="5"/>
  <c r="H43" i="5"/>
  <c r="G43" i="5"/>
  <c r="F43" i="5"/>
  <c r="F28" i="5"/>
  <c r="F27" i="5"/>
  <c r="F26" i="5"/>
  <c r="E26" i="5"/>
  <c r="F25" i="5"/>
  <c r="F24" i="5"/>
  <c r="F23" i="5"/>
  <c r="F22" i="5"/>
  <c r="F21" i="5"/>
  <c r="F20" i="5"/>
  <c r="F19" i="5"/>
  <c r="E19" i="5"/>
  <c r="B10" i="5"/>
  <c r="B11" i="5" s="1"/>
  <c r="B9" i="5"/>
  <c r="E25" i="5" s="1"/>
  <c r="H47" i="3"/>
  <c r="G47" i="3"/>
  <c r="F47" i="3"/>
  <c r="E47" i="3"/>
  <c r="D47" i="3"/>
  <c r="C47" i="3"/>
  <c r="B47" i="3"/>
  <c r="H46" i="3"/>
  <c r="G46" i="3"/>
  <c r="F46" i="3"/>
  <c r="E46" i="3"/>
  <c r="D46" i="3"/>
  <c r="C46" i="3"/>
  <c r="B46" i="3"/>
  <c r="H45" i="3"/>
  <c r="G45" i="3"/>
  <c r="F45" i="3"/>
  <c r="E45" i="3"/>
  <c r="D45" i="3"/>
  <c r="C45" i="3"/>
  <c r="B45" i="3"/>
  <c r="H44" i="3"/>
  <c r="G44" i="3"/>
  <c r="F44" i="3"/>
  <c r="E44" i="3"/>
  <c r="D44" i="3"/>
  <c r="C44" i="3"/>
  <c r="B44" i="3"/>
  <c r="H38" i="3"/>
  <c r="H37" i="3"/>
  <c r="H36" i="3"/>
  <c r="H35" i="3"/>
  <c r="H34" i="3"/>
  <c r="H33" i="3"/>
  <c r="F38" i="3"/>
  <c r="E38" i="3"/>
  <c r="D38" i="3"/>
  <c r="C38" i="3"/>
  <c r="B38" i="3"/>
  <c r="F37" i="3"/>
  <c r="E37" i="3"/>
  <c r="D37" i="3"/>
  <c r="C37" i="3"/>
  <c r="B37" i="3"/>
  <c r="F36" i="3"/>
  <c r="E36" i="3"/>
  <c r="D36" i="3"/>
  <c r="C36" i="3"/>
  <c r="B36" i="3"/>
  <c r="F35" i="3"/>
  <c r="E35" i="3"/>
  <c r="D35" i="3"/>
  <c r="C35" i="3"/>
  <c r="B35" i="3"/>
  <c r="F34" i="3"/>
  <c r="E34" i="3"/>
  <c r="D34" i="3"/>
  <c r="C34" i="3"/>
  <c r="B34" i="3"/>
  <c r="F33" i="3"/>
  <c r="E33" i="3"/>
  <c r="D33" i="3"/>
  <c r="C33" i="3"/>
  <c r="B33" i="3"/>
  <c r="G28" i="3"/>
  <c r="G27" i="3"/>
  <c r="G26" i="3"/>
  <c r="G25" i="3"/>
  <c r="G24" i="3"/>
  <c r="G23" i="3"/>
  <c r="G22" i="3"/>
  <c r="G21" i="3"/>
  <c r="G20" i="3"/>
  <c r="G1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H14" i="3"/>
  <c r="G14" i="3"/>
  <c r="F14" i="3"/>
  <c r="E14" i="3"/>
  <c r="D14" i="3"/>
  <c r="C14" i="3"/>
  <c r="B14" i="3"/>
  <c r="H13" i="3"/>
  <c r="G13" i="3"/>
  <c r="F13" i="3"/>
  <c r="E13" i="3"/>
  <c r="D13" i="3"/>
  <c r="C13" i="3"/>
  <c r="B13" i="3"/>
  <c r="H12" i="3"/>
  <c r="G12" i="3"/>
  <c r="F12" i="3"/>
  <c r="E12" i="3"/>
  <c r="D12" i="3"/>
  <c r="C12" i="3"/>
  <c r="B12" i="3"/>
  <c r="H11" i="3"/>
  <c r="G11" i="3"/>
  <c r="F11" i="3"/>
  <c r="E11" i="3"/>
  <c r="D11" i="3"/>
  <c r="C11" i="3"/>
  <c r="B11" i="3"/>
  <c r="H10" i="3"/>
  <c r="G10" i="3"/>
  <c r="F10" i="3"/>
  <c r="E10" i="3"/>
  <c r="D10" i="3"/>
  <c r="C10" i="3"/>
  <c r="B10" i="3"/>
  <c r="H9" i="3"/>
  <c r="G9" i="3"/>
  <c r="F9" i="3"/>
  <c r="E9" i="3"/>
  <c r="D9" i="3"/>
  <c r="C9" i="3"/>
  <c r="B9" i="3"/>
  <c r="H8" i="3"/>
  <c r="G8" i="3"/>
  <c r="F8" i="3"/>
  <c r="E8" i="3"/>
  <c r="D8" i="3"/>
  <c r="C8" i="3"/>
  <c r="B8" i="3"/>
  <c r="E20" i="5" l="1"/>
  <c r="B12" i="5"/>
  <c r="E23" i="5"/>
  <c r="D76" i="3"/>
  <c r="D79" i="3" s="1"/>
  <c r="D80" i="3" s="1"/>
  <c r="G85" i="3"/>
  <c r="G86" i="3" s="1"/>
  <c r="D72" i="3"/>
  <c r="F72" i="3" s="1"/>
  <c r="D86" i="3" s="1"/>
  <c r="C109" i="3"/>
  <c r="C110" i="3" s="1"/>
  <c r="D116" i="3"/>
  <c r="F116" i="3" s="1"/>
  <c r="G118" i="3" s="1"/>
  <c r="I118" i="3" s="1"/>
  <c r="D112" i="3"/>
  <c r="F112" i="3" s="1"/>
  <c r="G114" i="3" s="1"/>
  <c r="I114" i="3" s="1"/>
  <c r="C101" i="3"/>
  <c r="C102" i="3" s="1"/>
  <c r="D99" i="3"/>
  <c r="D95" i="3"/>
  <c r="C61" i="3"/>
  <c r="I37" i="3"/>
  <c r="I37" i="5" s="1"/>
  <c r="Q37" i="5" s="1"/>
  <c r="I34" i="3"/>
  <c r="I34" i="5" s="1"/>
  <c r="Q34" i="5" s="1"/>
  <c r="I36" i="5"/>
  <c r="Q36" i="5" s="1"/>
  <c r="I35" i="3"/>
  <c r="I35" i="5" s="1"/>
  <c r="Q35" i="5" s="1"/>
  <c r="I33" i="3"/>
  <c r="I33" i="5" s="1"/>
  <c r="Q33" i="5" s="1"/>
  <c r="G38" i="3"/>
  <c r="G37" i="3"/>
  <c r="G37" i="5" s="1"/>
  <c r="G36" i="5"/>
  <c r="G35" i="3"/>
  <c r="G35" i="5" s="1"/>
  <c r="G34" i="3"/>
  <c r="G34" i="5" s="1"/>
  <c r="G33" i="3"/>
  <c r="G33" i="5" s="1"/>
  <c r="F28" i="3"/>
  <c r="F27" i="3"/>
  <c r="F26" i="3"/>
  <c r="F25" i="3"/>
  <c r="F24" i="3"/>
  <c r="F23" i="3"/>
  <c r="F22" i="3"/>
  <c r="F21" i="3"/>
  <c r="F20" i="3"/>
  <c r="F19" i="3"/>
  <c r="H26" i="3"/>
  <c r="E97" i="3" l="1"/>
  <c r="D95" i="5"/>
  <c r="E101" i="3"/>
  <c r="E101" i="5" s="1"/>
  <c r="D99" i="5"/>
  <c r="I26" i="3"/>
  <c r="I26" i="5" s="1"/>
  <c r="P26" i="5" s="1"/>
  <c r="H26" i="5"/>
  <c r="O26" i="5" s="1"/>
  <c r="J38" i="3"/>
  <c r="J38" i="5" s="1"/>
  <c r="R38" i="5" s="1"/>
  <c r="G38" i="5"/>
  <c r="C62" i="3"/>
  <c r="C62" i="5" s="1"/>
  <c r="C61" i="5"/>
  <c r="O61" i="5" s="1"/>
  <c r="C57" i="5"/>
  <c r="O56" i="5" s="1"/>
  <c r="T56" i="5" s="1"/>
  <c r="C56" i="5"/>
  <c r="O55" i="5" s="1"/>
  <c r="T55" i="5" s="1"/>
  <c r="B13" i="5"/>
  <c r="E21" i="5"/>
  <c r="J35" i="3"/>
  <c r="J35" i="5" s="1"/>
  <c r="R35" i="5" s="1"/>
  <c r="T35" i="5" s="1"/>
  <c r="J19" i="3"/>
  <c r="J19" i="5" s="1"/>
  <c r="Q19" i="5" s="1"/>
  <c r="G74" i="3"/>
  <c r="E74" i="3"/>
  <c r="I74" i="3" s="1"/>
  <c r="D81" i="3" s="1"/>
  <c r="E93" i="3"/>
  <c r="G110" i="3"/>
  <c r="J116" i="3"/>
  <c r="J34" i="3"/>
  <c r="J34" i="5" s="1"/>
  <c r="R34" i="5" s="1"/>
  <c r="T34" i="5" s="1"/>
  <c r="J33" i="3"/>
  <c r="J33" i="5" s="1"/>
  <c r="R33" i="5" s="1"/>
  <c r="T33" i="5" s="1"/>
  <c r="J37" i="3"/>
  <c r="J37" i="5" s="1"/>
  <c r="R37" i="5" s="1"/>
  <c r="T37" i="5" s="1"/>
  <c r="H19" i="3"/>
  <c r="J36" i="3"/>
  <c r="J36" i="5" s="1"/>
  <c r="R36" i="5" s="1"/>
  <c r="T36" i="5" s="1"/>
  <c r="J26" i="3"/>
  <c r="J26" i="5" s="1"/>
  <c r="Q26" i="5" s="1"/>
  <c r="E93" i="5" l="1"/>
  <c r="E97" i="5"/>
  <c r="T26" i="5"/>
  <c r="T61" i="5"/>
  <c r="O62" i="5"/>
  <c r="T62" i="5" s="1"/>
  <c r="I19" i="3"/>
  <c r="H19" i="5"/>
  <c r="O19" i="5" s="1"/>
  <c r="T38" i="5"/>
  <c r="U38" i="5" s="1"/>
  <c r="E24" i="5"/>
  <c r="B14" i="5"/>
  <c r="E27" i="5"/>
  <c r="J112" i="3"/>
  <c r="C119" i="3" s="1"/>
  <c r="G97" i="5" l="1"/>
  <c r="O97" i="5" s="1"/>
  <c r="H99" i="3"/>
  <c r="H99" i="5" s="1"/>
  <c r="P99" i="5" s="1"/>
  <c r="T99" i="5" s="1"/>
  <c r="H95" i="3"/>
  <c r="G93" i="5"/>
  <c r="O93" i="5" s="1"/>
  <c r="T93" i="5" s="1"/>
  <c r="L19" i="3"/>
  <c r="L19" i="5" s="1"/>
  <c r="S19" i="5" s="1"/>
  <c r="I19" i="5"/>
  <c r="P19" i="5" s="1"/>
  <c r="T19" i="5" s="1"/>
  <c r="E28" i="5"/>
  <c r="E22" i="5"/>
  <c r="J97" i="3" l="1"/>
  <c r="J97" i="5" s="1"/>
  <c r="R97" i="5" s="1"/>
  <c r="T97" i="5" s="1"/>
  <c r="H95" i="5"/>
  <c r="P95" i="5" s="1"/>
  <c r="T95" i="5" s="1"/>
  <c r="J25" i="3"/>
  <c r="J25" i="5" s="1"/>
  <c r="Q25" i="5" s="1"/>
  <c r="H25" i="3"/>
  <c r="H43" i="3"/>
  <c r="G43" i="3"/>
  <c r="F43" i="3"/>
  <c r="I25" i="3" l="1"/>
  <c r="I25" i="5" s="1"/>
  <c r="P25" i="5" s="1"/>
  <c r="H25" i="5"/>
  <c r="O25" i="5" s="1"/>
  <c r="J20" i="3"/>
  <c r="J20" i="5" s="1"/>
  <c r="Q20" i="5" s="1"/>
  <c r="H20" i="3"/>
  <c r="J23" i="3"/>
  <c r="J23" i="5" s="1"/>
  <c r="Q23" i="5" s="1"/>
  <c r="H23" i="3"/>
  <c r="I20" i="3" l="1"/>
  <c r="H20" i="5"/>
  <c r="O20" i="5" s="1"/>
  <c r="I23" i="3"/>
  <c r="I23" i="5" s="1"/>
  <c r="P23" i="5" s="1"/>
  <c r="H23" i="5"/>
  <c r="O23" i="5" s="1"/>
  <c r="T23" i="5" s="1"/>
  <c r="T25" i="5"/>
  <c r="J21" i="3"/>
  <c r="J21" i="5" s="1"/>
  <c r="Q21" i="5" s="1"/>
  <c r="H21" i="3"/>
  <c r="I21" i="3" l="1"/>
  <c r="H21" i="5"/>
  <c r="O21" i="5" s="1"/>
  <c r="L20" i="3"/>
  <c r="L20" i="5" s="1"/>
  <c r="S20" i="5" s="1"/>
  <c r="I20" i="5"/>
  <c r="P20" i="5" s="1"/>
  <c r="J24" i="3"/>
  <c r="J24" i="5" s="1"/>
  <c r="Q24" i="5" s="1"/>
  <c r="H24" i="3"/>
  <c r="K27" i="3"/>
  <c r="K27" i="5" s="1"/>
  <c r="R27" i="5" s="1"/>
  <c r="H27" i="3"/>
  <c r="J27" i="3"/>
  <c r="J27" i="5" s="1"/>
  <c r="Q27" i="5" s="1"/>
  <c r="T20" i="5" l="1"/>
  <c r="I24" i="3"/>
  <c r="I24" i="5" s="1"/>
  <c r="P24" i="5" s="1"/>
  <c r="H24" i="5"/>
  <c r="O24" i="5" s="1"/>
  <c r="I27" i="3"/>
  <c r="I27" i="5" s="1"/>
  <c r="P27" i="5" s="1"/>
  <c r="H27" i="5"/>
  <c r="O27" i="5" s="1"/>
  <c r="L21" i="3"/>
  <c r="L21" i="5" s="1"/>
  <c r="S21" i="5" s="1"/>
  <c r="I21" i="5"/>
  <c r="P21" i="5" s="1"/>
  <c r="H22" i="3"/>
  <c r="J22" i="3"/>
  <c r="J22" i="5" s="1"/>
  <c r="Q22" i="5" s="1"/>
  <c r="J28" i="3"/>
  <c r="J28" i="5" s="1"/>
  <c r="Q28" i="5" s="1"/>
  <c r="H28" i="3"/>
  <c r="K28" i="3"/>
  <c r="K28" i="5" s="1"/>
  <c r="R28" i="5" s="1"/>
  <c r="T21" i="5" l="1"/>
  <c r="T27" i="5"/>
  <c r="I22" i="3"/>
  <c r="H22" i="5"/>
  <c r="O22" i="5" s="1"/>
  <c r="I28" i="3"/>
  <c r="H28" i="5"/>
  <c r="O28" i="5" s="1"/>
  <c r="T24" i="5"/>
  <c r="L22" i="3" l="1"/>
  <c r="L22" i="5" s="1"/>
  <c r="S22" i="5" s="1"/>
  <c r="I22" i="5"/>
  <c r="P22" i="5" s="1"/>
  <c r="T22" i="5" s="1"/>
  <c r="L28" i="3"/>
  <c r="L28" i="5" s="1"/>
  <c r="S28" i="5" s="1"/>
  <c r="T28" i="5" s="1"/>
  <c r="I28" i="5"/>
  <c r="P28" i="5" s="1"/>
  <c r="U28" i="5" l="1"/>
  <c r="T2" i="5"/>
  <c r="T1" i="5"/>
  <c r="W23" i="5" l="1"/>
  <c r="W27" i="5"/>
  <c r="W20" i="5"/>
  <c r="W24" i="5"/>
  <c r="W26" i="5"/>
  <c r="W21" i="5"/>
  <c r="W22" i="5"/>
  <c r="W25" i="5"/>
</calcChain>
</file>

<file path=xl/sharedStrings.xml><?xml version="1.0" encoding="utf-8"?>
<sst xmlns="http://schemas.openxmlformats.org/spreadsheetml/2006/main" count="390" uniqueCount="133">
  <si>
    <t>Action</t>
  </si>
  <si>
    <t>Option</t>
  </si>
  <si>
    <t>Exercise Price</t>
  </si>
  <si>
    <t>Buy</t>
  </si>
  <si>
    <t>Call</t>
  </si>
  <si>
    <t>Put</t>
  </si>
  <si>
    <t xml:space="preserve">Buy </t>
  </si>
  <si>
    <t>Sell</t>
  </si>
  <si>
    <t>Straddle</t>
  </si>
  <si>
    <t>Exercise Price 1</t>
  </si>
  <si>
    <t>Exercise Price 2</t>
  </si>
  <si>
    <t>Bull Call Spread</t>
  </si>
  <si>
    <t>Bull Put Spread</t>
  </si>
  <si>
    <t>CALLS</t>
  </si>
  <si>
    <t>PUTS</t>
  </si>
  <si>
    <t>Exercise
Price</t>
  </si>
  <si>
    <t>Question 4 (15 points)</t>
  </si>
  <si>
    <t>Question 6 (10 points)</t>
  </si>
  <si>
    <t>What Strategy to you recommend?</t>
  </si>
  <si>
    <t>A1</t>
  </si>
  <si>
    <t>Stock
Price</t>
  </si>
  <si>
    <t>ABC Inc.</t>
  </si>
  <si>
    <t>Bear Call Spread</t>
  </si>
  <si>
    <t>STEP 1</t>
  </si>
  <si>
    <t>STEP 2</t>
  </si>
  <si>
    <t>STEP 3</t>
  </si>
  <si>
    <t>STEP 4</t>
  </si>
  <si>
    <t>STEP 5</t>
  </si>
  <si>
    <t>STEP 6</t>
  </si>
  <si>
    <t>C =</t>
  </si>
  <si>
    <t>Create the Tree Sequence calculations</t>
  </si>
  <si>
    <t>BE (Stock)</t>
  </si>
  <si>
    <t>Exercise Price
(X)</t>
  </si>
  <si>
    <t>MARCH</t>
  </si>
  <si>
    <t>APRIL</t>
  </si>
  <si>
    <t>MAY</t>
  </si>
  <si>
    <t>CALL</t>
  </si>
  <si>
    <t>PUT</t>
  </si>
  <si>
    <t>Date</t>
  </si>
  <si>
    <t>March</t>
  </si>
  <si>
    <t>April</t>
  </si>
  <si>
    <t>May</t>
  </si>
  <si>
    <t>Stock 
Price</t>
  </si>
  <si>
    <t>Bear Put Spread</t>
  </si>
  <si>
    <t>Butterfly Call 
Spread</t>
  </si>
  <si>
    <t>Question 2 (18 points)</t>
  </si>
  <si>
    <t>Calculate the Payoff and Profit/Loss given the information below (3 points each):</t>
  </si>
  <si>
    <t>Calculate the Payoff and Profit/Loss given the information below (3 point each)</t>
  </si>
  <si>
    <r>
      <t xml:space="preserve">Total 
Payoff
</t>
    </r>
    <r>
      <rPr>
        <b/>
        <sz val="9"/>
        <rFont val="Arial"/>
        <family val="2"/>
      </rPr>
      <t>(1 point)</t>
    </r>
  </si>
  <si>
    <r>
      <t xml:space="preserve">Total 
Profit
</t>
    </r>
    <r>
      <rPr>
        <b/>
        <sz val="9"/>
        <rFont val="Arial"/>
        <family val="2"/>
      </rPr>
      <t>(1 point)</t>
    </r>
  </si>
  <si>
    <t>Question 1 (35 points)</t>
  </si>
  <si>
    <r>
      <t xml:space="preserve">Payoff
</t>
    </r>
    <r>
      <rPr>
        <b/>
        <sz val="9"/>
        <rFont val="Arial"/>
        <family val="2"/>
      </rPr>
      <t xml:space="preserve">(1 point) </t>
    </r>
  </si>
  <si>
    <r>
      <t xml:space="preserve">Profit /Loss
</t>
    </r>
    <r>
      <rPr>
        <b/>
        <sz val="9"/>
        <rFont val="Arial"/>
        <family val="2"/>
      </rPr>
      <t>(1 point)</t>
    </r>
  </si>
  <si>
    <r>
      <t xml:space="preserve">BE (Stock)
</t>
    </r>
    <r>
      <rPr>
        <b/>
        <sz val="9"/>
        <rFont val="Arial"/>
        <family val="2"/>
      </rPr>
      <t>(1 point)</t>
    </r>
  </si>
  <si>
    <r>
      <t xml:space="preserve">HPR %
</t>
    </r>
    <r>
      <rPr>
        <b/>
        <sz val="9"/>
        <rFont val="Arial"/>
        <family val="2"/>
      </rPr>
      <t>(1 point)</t>
    </r>
  </si>
  <si>
    <t>SECTION II - ADVISING ON OPTION STRATEGIES (12 POINTS)</t>
  </si>
  <si>
    <t>Question 3 (12 points)</t>
  </si>
  <si>
    <t>Protective Put</t>
  </si>
  <si>
    <t>Profit $ =</t>
  </si>
  <si>
    <t>HPR % =</t>
  </si>
  <si>
    <t>If the stock goes  down to $125 and decides to sell it at that level, please calculate John's profit and holding period rate of return (HPR) since his purchase including the cost of the option contract he entered.</t>
  </si>
  <si>
    <t>If the stock goes up to $165 and decides to sell, please calculate John's profit and holding period rate of return (HPR) since his purchase including the cost of the option contract he entered.</t>
  </si>
  <si>
    <t xml:space="preserve">On March 12, 2018 John bought 100 shares of ABC Inc. at $135 expecting to go up soon. Assuming he is right, he wants to protect his investment so that by June 2018 his investment won’t go below $13,500 (excluding premium costs).  Using the Options Market to protect this floor ($13,500), what will you recommend John do to protect his investment for the next 3 months (June 2018).  He does not mind paying for premium if he is fully protecting his investment. </t>
  </si>
  <si>
    <t>PAYOFF</t>
  </si>
  <si>
    <t>STOCK 2</t>
  </si>
  <si>
    <t>STOCK 1</t>
  </si>
  <si>
    <t>STOCK 0</t>
  </si>
  <si>
    <t>Cu^2 =</t>
  </si>
  <si>
    <t>Cd^2 =</t>
  </si>
  <si>
    <t>ANSWER</t>
  </si>
  <si>
    <t>P=</t>
  </si>
  <si>
    <t>1-P=</t>
  </si>
  <si>
    <r>
      <t xml:space="preserve">Consider the following binomial option pricing problem involving a Call.  This Call has two periods to go before expiring.  Its stock price is $65 and its exercise price is $60.  The risk-free rate is 0.05, the value of u is 1.20 and the value of the d is .95. </t>
    </r>
    <r>
      <rPr>
        <sz val="12"/>
        <color theme="1"/>
        <rFont val="Arial"/>
        <family val="2"/>
      </rPr>
      <t>Construct the 2-period Binomial Tree model and find the value of the call premium</t>
    </r>
  </si>
  <si>
    <t>Pu^2 =</t>
  </si>
  <si>
    <t>Pd^2 =</t>
  </si>
  <si>
    <t>P =</t>
  </si>
  <si>
    <t>SECTION I - BASIC AND ADVANCE OPTION STRATEGIES (53 POINTS)</t>
  </si>
  <si>
    <t>Question 5 (10 points)</t>
  </si>
  <si>
    <t>SECTION III - OPTION VALUATION (45 POINTS)</t>
  </si>
  <si>
    <t>Create the Tree Sequence calculations (6-step Method 1)</t>
  </si>
  <si>
    <t>h =</t>
  </si>
  <si>
    <t>Using the tree above calculate the Call Price using the Probability Method (Method 2) - Show Calculations</t>
  </si>
  <si>
    <t>p=</t>
  </si>
  <si>
    <r>
      <t xml:space="preserve">Consider the following binomial option pricing problem involving a Call.  This Call has one periods to go before expiring.  Its stock price is $45 and its exercise price is $49.50.  The risk-free rate is 0.05, the value of u is 1.25 and the value of the d is .95. </t>
    </r>
    <r>
      <rPr>
        <sz val="12"/>
        <color theme="1"/>
        <rFont val="Arial"/>
        <family val="2"/>
      </rPr>
      <t>Construct the 1-period Binomial Tree model and find the value of the call premium using the leverage (6-step, Method 1) and probability method (Method 2)</t>
    </r>
  </si>
  <si>
    <t xml:space="preserve">Call Premium  = </t>
  </si>
  <si>
    <t>Total Premium
(INPUT)</t>
  </si>
  <si>
    <r>
      <t xml:space="preserve">Net Premium
</t>
    </r>
    <r>
      <rPr>
        <b/>
        <sz val="9"/>
        <rFont val="Arial"/>
        <family val="2"/>
      </rPr>
      <t>(1 point)</t>
    </r>
    <r>
      <rPr>
        <b/>
        <sz val="12"/>
        <rFont val="Arial"/>
        <family val="2"/>
      </rPr>
      <t xml:space="preserve">
(INPUT)</t>
    </r>
  </si>
  <si>
    <t>Baruch CAPS - INTRODUCTION TO DERIVATIVES</t>
  </si>
  <si>
    <t xml:space="preserve">Input of 
Name </t>
  </si>
  <si>
    <t>Current Price: $135 (March 2019)</t>
  </si>
  <si>
    <r>
      <t xml:space="preserve">Net Premium
</t>
    </r>
    <r>
      <rPr>
        <b/>
        <sz val="9"/>
        <rFont val="Arial"/>
        <family val="2"/>
      </rPr>
      <t>(1 point)</t>
    </r>
    <r>
      <rPr>
        <b/>
        <sz val="12"/>
        <rFont val="Arial"/>
        <family val="2"/>
      </rPr>
      <t xml:space="preserve">
(INPUT)
</t>
    </r>
    <r>
      <rPr>
        <b/>
        <sz val="8"/>
        <rFont val="Arial"/>
        <family val="2"/>
      </rPr>
      <t>Show negatives if you pay and pisitive if you receive</t>
    </r>
  </si>
  <si>
    <t xml:space="preserve">Payoff
(1 point) </t>
  </si>
  <si>
    <t>Profit /Loss
(1 point)</t>
  </si>
  <si>
    <t>BE (Stock)
(1 point)</t>
  </si>
  <si>
    <t>HPR %
(1 point)</t>
  </si>
  <si>
    <t>Net Premium
(1 point)
(INPUT)</t>
  </si>
  <si>
    <t>Total 
Payoff
(1 point)</t>
  </si>
  <si>
    <t>Total 
Profit
(1 point)</t>
  </si>
  <si>
    <r>
      <t xml:space="preserve">Consider the following binomial option pricing problem involving a Call.  This Call has one periods to go before expiring.  Its stock price is $45 and its exercise price is $49.50.  The risk-free rate is 0.05, the value of u is 1.25 and the value of the d is .95. </t>
    </r>
    <r>
      <rPr>
        <sz val="8"/>
        <color theme="1"/>
        <rFont val="Arial"/>
        <family val="2"/>
      </rPr>
      <t>Construct the 1-period Binomial Tree model and find the value of the call premium using the leverage (6-step, Method 1) and probability method (Method 2)</t>
    </r>
  </si>
  <si>
    <r>
      <t xml:space="preserve">Consider the following binomial option pricing problem involving a Call.  This Call has two periods to go before expiring.  Its stock price is $65 and its exercise price is $60.  The risk-free rate is 0.05, the value of u is 1.20 and the value of the d is .95. </t>
    </r>
    <r>
      <rPr>
        <sz val="8"/>
        <color theme="1"/>
        <rFont val="Arial"/>
        <family val="2"/>
      </rPr>
      <t>Construct the 2-period Binomial Tree model and find the value of the call premium</t>
    </r>
  </si>
  <si>
    <r>
      <t xml:space="preserve">Consider the following binomial option pricing problem involving a Put.  This Put has two periods to go before expiring.  Its stock price is $100 and its exercise price is $110.  company expects to pay dividends after the first period. The Dividend yield is 7%, the risk-free rate is 0.05, the value of u is 1.15 and the value of the d is .90. </t>
    </r>
    <r>
      <rPr>
        <sz val="8"/>
        <color theme="1"/>
        <rFont val="Arial"/>
        <family val="2"/>
      </rPr>
      <t>Construct the 2-period Binomial Tree model and find the value of the call premium</t>
    </r>
  </si>
  <si>
    <t>POINTS</t>
  </si>
  <si>
    <t>BONILLA, ARACELYS</t>
  </si>
  <si>
    <t>Bouroid, Mohamed</t>
  </si>
  <si>
    <t>Halloran, Dillon</t>
  </si>
  <si>
    <t>HURTADO, PAULA</t>
  </si>
  <si>
    <t>Janabayev, Arman</t>
  </si>
  <si>
    <t>Pintapakang, Janejira</t>
  </si>
  <si>
    <t>SUAREZ, CAROLINA</t>
  </si>
  <si>
    <t>Tanil, Muhammed Said</t>
  </si>
  <si>
    <t>Wong, Chit Ying Natalie</t>
  </si>
  <si>
    <t>Muhammed Said Tanil</t>
  </si>
  <si>
    <t>Buy Straddle (135)</t>
  </si>
  <si>
    <t>Total premium=</t>
  </si>
  <si>
    <t>Pay off=</t>
  </si>
  <si>
    <t>Pay off =</t>
  </si>
  <si>
    <t>BE=</t>
  </si>
  <si>
    <t>(1+0.05) -0.95 / 1.25-0.90=Probability= 0.29</t>
  </si>
  <si>
    <t xml:space="preserve"> </t>
  </si>
  <si>
    <t>P=0.33</t>
  </si>
  <si>
    <t xml:space="preserve"> 1-P=0.67</t>
  </si>
  <si>
    <t>C=(0.33)(6.75)+(0.67)(0)/(1.05)= 2.14</t>
  </si>
  <si>
    <t>P=0.40</t>
  </si>
  <si>
    <t>1-P=0.60</t>
  </si>
  <si>
    <t>BE= 60+9.32= 69.32</t>
  </si>
  <si>
    <r>
      <t xml:space="preserve">Consider the following binomial option pricing problem involving a Put.  This Put has two periods to go before expiring.  Its stock price is $100 and its exercise price is $110.  company expects to pay dividends after the first period. The Dividend yield is 7%, the risk-free rate is 0.05, the value of u is 1.15 and the value of the d is .90. </t>
    </r>
    <r>
      <rPr>
        <sz val="12"/>
        <color theme="1"/>
        <rFont val="Arial"/>
        <family val="2"/>
      </rPr>
      <t>Construct the 2-period Binomial Tree model and find the value of the call premium (PUT)</t>
    </r>
  </si>
  <si>
    <t>1- Dividends=</t>
  </si>
  <si>
    <t>ANSWERS</t>
  </si>
  <si>
    <r>
      <t xml:space="preserve">Consider the following binomial option pricing problem involving a Put.  This Put has two periods to go before expiring.  Its stock price is $100 and its exercise price is $110.  company expects to pay dividends after the first period. The Dividend yield is 7%, the risk-free rate is 0.05, the value of u is 1.15 and the value of the d is .90. </t>
    </r>
    <r>
      <rPr>
        <sz val="12"/>
        <color theme="1"/>
        <rFont val="Arial"/>
        <family val="2"/>
      </rPr>
      <t>Construct the 2-period Binomial Tree model and find the value of the put premium</t>
    </r>
  </si>
  <si>
    <t xml:space="preserve">  1,755 / ( (135 + 12.45 ) * 100 )</t>
  </si>
  <si>
    <t xml:space="preserve"> ( ( 165 - 135 ) * 100 ) - ( 12.45 x 100 )</t>
  </si>
  <si>
    <t xml:space="preserve">  - 12.45 *100</t>
  </si>
  <si>
    <t xml:space="preserve">  -1,245 / ( (135 + 12.45 ) *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</si>
</sst>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7" x14ac:knownFonts="1">
    <font>
      <sz val="11"/>
      <color theme="1"/>
      <name val="Calibri"/>
      <family val="2"/>
      <scheme val="minor"/>
    </font>
    <font>
      <sz val="11"/>
      <color theme="1"/>
      <name val="Calibri"/>
      <family val="2"/>
      <scheme val="minor"/>
    </font>
    <font>
      <b/>
      <sz val="16"/>
      <name val="Arial"/>
      <family val="2"/>
    </font>
    <font>
      <sz val="10"/>
      <name val="Arial"/>
      <family val="2"/>
    </font>
    <font>
      <b/>
      <sz val="10"/>
      <name val="Arial"/>
      <family val="2"/>
    </font>
    <font>
      <b/>
      <sz val="14"/>
      <name val="Arial"/>
      <family val="2"/>
    </font>
    <font>
      <sz val="14"/>
      <name val="Arial"/>
      <family val="2"/>
    </font>
    <font>
      <sz val="22"/>
      <color rgb="FFFF0000"/>
      <name val="Arial"/>
      <family val="2"/>
    </font>
    <font>
      <b/>
      <sz val="16"/>
      <color indexed="9"/>
      <name val="Arial"/>
      <family val="2"/>
    </font>
    <font>
      <sz val="12"/>
      <color theme="1"/>
      <name val="Calibri"/>
      <family val="2"/>
      <scheme val="minor"/>
    </font>
    <font>
      <b/>
      <u/>
      <sz val="12"/>
      <color indexed="12"/>
      <name val="Arial"/>
      <family val="2"/>
    </font>
    <font>
      <sz val="12"/>
      <name val="Arial"/>
      <family val="2"/>
    </font>
    <font>
      <b/>
      <sz val="12"/>
      <name val="Arial"/>
      <family val="2"/>
    </font>
    <font>
      <b/>
      <sz val="12"/>
      <color theme="0"/>
      <name val="Arial"/>
      <family val="2"/>
    </font>
    <font>
      <sz val="12"/>
      <color theme="1"/>
      <name val="Arial"/>
      <family val="2"/>
    </font>
    <font>
      <b/>
      <sz val="11"/>
      <color theme="0"/>
      <name val="Calibri"/>
      <family val="2"/>
      <scheme val="minor"/>
    </font>
    <font>
      <b/>
      <sz val="11"/>
      <color theme="1"/>
      <name val="Calibri"/>
      <family val="2"/>
      <scheme val="minor"/>
    </font>
    <font>
      <sz val="12"/>
      <color rgb="FFFF0000"/>
      <name val="Arial"/>
      <family val="2"/>
    </font>
    <font>
      <b/>
      <sz val="11"/>
      <name val="Arial"/>
      <family val="2"/>
    </font>
    <font>
      <sz val="12"/>
      <color rgb="FFC00000"/>
      <name val="Arial"/>
      <family val="2"/>
    </font>
    <font>
      <b/>
      <sz val="9"/>
      <name val="Arial"/>
      <family val="2"/>
    </font>
    <font>
      <b/>
      <sz val="10"/>
      <color theme="1"/>
      <name val="Calibri"/>
      <family val="2"/>
      <scheme val="minor"/>
    </font>
    <font>
      <sz val="11"/>
      <color rgb="FFC00000"/>
      <name val="Calibri"/>
      <family val="2"/>
      <scheme val="minor"/>
    </font>
    <font>
      <b/>
      <sz val="8"/>
      <name val="Arial"/>
      <family val="2"/>
    </font>
    <font>
      <sz val="8"/>
      <color theme="1"/>
      <name val="Calibri"/>
      <family val="2"/>
      <scheme val="minor"/>
    </font>
    <font>
      <sz val="8"/>
      <name val="Arial"/>
      <family val="2"/>
    </font>
    <font>
      <sz val="8"/>
      <color rgb="FFFF0000"/>
      <name val="Arial"/>
      <family val="2"/>
    </font>
    <font>
      <b/>
      <sz val="8"/>
      <color indexed="9"/>
      <name val="Arial"/>
      <family val="2"/>
    </font>
    <font>
      <b/>
      <sz val="8"/>
      <color theme="0"/>
      <name val="Calibri"/>
      <family val="2"/>
      <scheme val="minor"/>
    </font>
    <font>
      <b/>
      <sz val="8"/>
      <color theme="1"/>
      <name val="Calibri"/>
      <family val="2"/>
      <scheme val="minor"/>
    </font>
    <font>
      <b/>
      <u/>
      <sz val="8"/>
      <color indexed="12"/>
      <name val="Arial"/>
      <family val="2"/>
    </font>
    <font>
      <sz val="8"/>
      <color rgb="FFC00000"/>
      <name val="Arial"/>
      <family val="2"/>
    </font>
    <font>
      <b/>
      <sz val="8"/>
      <color theme="0"/>
      <name val="Arial"/>
      <family val="2"/>
    </font>
    <font>
      <sz val="8"/>
      <color theme="1"/>
      <name val="Arial"/>
      <family val="2"/>
    </font>
    <font>
      <sz val="8"/>
      <color rgb="FFC00000"/>
      <name val="Calibri"/>
      <family val="2"/>
      <scheme val="minor"/>
    </font>
    <font>
      <sz val="10"/>
      <color theme="1"/>
      <name val="Calibri"/>
      <family val="2"/>
      <scheme val="minor"/>
    </font>
    <font>
      <b/>
      <sz val="18"/>
      <color theme="1"/>
      <name val="Calibri"/>
      <family val="2"/>
      <scheme val="minor"/>
    </font>
  </fonts>
  <fills count="13">
    <fill>
      <patternFill patternType="none"/>
    </fill>
    <fill>
      <patternFill patternType="gray125"/>
    </fill>
    <fill>
      <patternFill patternType="solid">
        <fgColor theme="4" tint="0.59999389629810485"/>
        <bgColor indexed="64"/>
      </patternFill>
    </fill>
    <fill>
      <patternFill patternType="solid">
        <fgColor indexed="18"/>
        <bgColor indexed="64"/>
      </patternFill>
    </fill>
    <fill>
      <patternFill patternType="solid">
        <fgColor rgb="FFFFFF00"/>
        <bgColor indexed="64"/>
      </patternFill>
    </fill>
    <fill>
      <patternFill patternType="solid">
        <fgColor rgb="FFFFC000"/>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241">
    <xf numFmtId="0" fontId="0" fillId="0" borderId="0" xfId="0"/>
    <xf numFmtId="0" fontId="0" fillId="0" borderId="0" xfId="0" applyAlignment="1">
      <alignment horizontal="center"/>
    </xf>
    <xf numFmtId="0" fontId="3" fillId="0" borderId="0" xfId="0" applyFont="1"/>
    <xf numFmtId="0" fontId="7" fillId="2" borderId="4" xfId="0" applyFont="1" applyFill="1" applyBorder="1" applyAlignment="1">
      <alignment horizontal="center"/>
    </xf>
    <xf numFmtId="0" fontId="0" fillId="0" borderId="0" xfId="0" applyAlignment="1">
      <alignment horizontal="center" vertical="center"/>
    </xf>
    <xf numFmtId="0" fontId="3" fillId="0" borderId="0" xfId="0" applyFont="1" applyAlignment="1">
      <alignment horizontal="center"/>
    </xf>
    <xf numFmtId="0" fontId="3" fillId="0" borderId="0" xfId="0" applyFont="1" applyAlignment="1">
      <alignment horizontal="center" vertical="center"/>
    </xf>
    <xf numFmtId="2" fontId="3" fillId="0" borderId="0" xfId="0" applyNumberFormat="1" applyFont="1" applyAlignment="1">
      <alignment horizontal="center" vertical="center"/>
    </xf>
    <xf numFmtId="43" fontId="3" fillId="0" borderId="0" xfId="1" applyFont="1"/>
    <xf numFmtId="43" fontId="3" fillId="0" borderId="0" xfId="1" applyFont="1" applyAlignment="1">
      <alignment horizontal="center"/>
    </xf>
    <xf numFmtId="0" fontId="9" fillId="0" borderId="0" xfId="0" applyFont="1" applyAlignment="1">
      <alignment wrapText="1"/>
    </xf>
    <xf numFmtId="0" fontId="10" fillId="0" borderId="0" xfId="0" applyFont="1"/>
    <xf numFmtId="0" fontId="11" fillId="0" borderId="0" xfId="0" applyFont="1"/>
    <xf numFmtId="0" fontId="11" fillId="0" borderId="0" xfId="0" applyFont="1" applyAlignment="1">
      <alignment horizontal="center"/>
    </xf>
    <xf numFmtId="0" fontId="12" fillId="4"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0" borderId="0" xfId="0" applyFont="1"/>
    <xf numFmtId="0" fontId="12" fillId="0" borderId="0" xfId="0" applyFont="1" applyAlignment="1">
      <alignment horizontal="center" wrapText="1"/>
    </xf>
    <xf numFmtId="0" fontId="12" fillId="4" borderId="9" xfId="0" applyFont="1" applyFill="1" applyBorder="1" applyAlignment="1">
      <alignment horizontal="center" wrapText="1"/>
    </xf>
    <xf numFmtId="17" fontId="12" fillId="4" borderId="10" xfId="0" applyNumberFormat="1" applyFont="1" applyFill="1" applyBorder="1" applyAlignment="1">
      <alignment horizontal="center"/>
    </xf>
    <xf numFmtId="17" fontId="12" fillId="4" borderId="5" xfId="0" applyNumberFormat="1" applyFont="1" applyFill="1" applyBorder="1" applyAlignment="1">
      <alignment horizontal="center"/>
    </xf>
    <xf numFmtId="17" fontId="12" fillId="4" borderId="11" xfId="0" applyNumberFormat="1" applyFont="1" applyFill="1" applyBorder="1" applyAlignment="1">
      <alignment horizontal="center"/>
    </xf>
    <xf numFmtId="0" fontId="13" fillId="6" borderId="6" xfId="0" applyFont="1" applyFill="1" applyBorder="1" applyAlignment="1">
      <alignment horizontal="centerContinuous" vertical="center"/>
    </xf>
    <xf numFmtId="0" fontId="13" fillId="6" borderId="7" xfId="0" applyFont="1" applyFill="1" applyBorder="1" applyAlignment="1">
      <alignment horizontal="centerContinuous" vertical="center"/>
    </xf>
    <xf numFmtId="0" fontId="13" fillId="6" borderId="8" xfId="0" applyFont="1" applyFill="1" applyBorder="1" applyAlignment="1">
      <alignment horizontal="centerContinuous" vertical="center"/>
    </xf>
    <xf numFmtId="0" fontId="12" fillId="0" borderId="0" xfId="0" applyFont="1" applyAlignment="1">
      <alignment horizontal="right" vertical="center"/>
    </xf>
    <xf numFmtId="44" fontId="11" fillId="0" borderId="0" xfId="2" applyFont="1"/>
    <xf numFmtId="0" fontId="11" fillId="0" borderId="0" xfId="0" quotePrefix="1" applyFont="1" applyAlignment="1">
      <alignment horizontal="center"/>
    </xf>
    <xf numFmtId="0" fontId="9" fillId="0" borderId="0" xfId="0" applyFont="1"/>
    <xf numFmtId="0" fontId="9" fillId="0" borderId="0" xfId="0" applyFont="1" applyAlignment="1">
      <alignment horizontal="center"/>
    </xf>
    <xf numFmtId="0" fontId="2" fillId="0" borderId="0" xfId="0" applyFont="1" applyAlignment="1">
      <alignment vertical="top"/>
    </xf>
    <xf numFmtId="0" fontId="11" fillId="0" borderId="0" xfId="0" applyFont="1" applyAlignment="1">
      <alignment horizontal="left"/>
    </xf>
    <xf numFmtId="2" fontId="17" fillId="7" borderId="5" xfId="0" applyNumberFormat="1" applyFont="1" applyFill="1" applyBorder="1" applyAlignment="1">
      <alignment horizontal="center" vertical="center"/>
    </xf>
    <xf numFmtId="2" fontId="17" fillId="0" borderId="5" xfId="0" applyNumberFormat="1" applyFont="1" applyBorder="1" applyAlignment="1">
      <alignment horizontal="center" vertical="center"/>
    </xf>
    <xf numFmtId="0" fontId="14" fillId="0" borderId="0" xfId="0" applyFont="1"/>
    <xf numFmtId="0" fontId="0" fillId="0" borderId="0" xfId="0" applyAlignment="1">
      <alignment horizontal="right"/>
    </xf>
    <xf numFmtId="2" fontId="17" fillId="6" borderId="5" xfId="0" applyNumberFormat="1" applyFont="1" applyFill="1" applyBorder="1" applyAlignment="1">
      <alignment horizontal="center" vertical="center"/>
    </xf>
    <xf numFmtId="0" fontId="0" fillId="7" borderId="0" xfId="0" applyFill="1"/>
    <xf numFmtId="0" fontId="3" fillId="7" borderId="0" xfId="0" applyFont="1" applyFill="1"/>
    <xf numFmtId="0" fontId="0" fillId="0" borderId="9" xfId="0" applyBorder="1" applyAlignment="1">
      <alignment horizontal="center"/>
    </xf>
    <xf numFmtId="0" fontId="16" fillId="4" borderId="1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9" xfId="0" applyFont="1" applyFill="1" applyBorder="1" applyAlignment="1">
      <alignment horizontal="center" wrapText="1"/>
    </xf>
    <xf numFmtId="2" fontId="19" fillId="0" borderId="5" xfId="0" applyNumberFormat="1" applyFont="1" applyBorder="1" applyAlignment="1">
      <alignment horizontal="center" vertical="center"/>
    </xf>
    <xf numFmtId="2" fontId="19" fillId="7" borderId="5" xfId="0" applyNumberFormat="1" applyFont="1" applyFill="1" applyBorder="1" applyAlignment="1">
      <alignment horizontal="center" vertical="center"/>
    </xf>
    <xf numFmtId="0" fontId="11" fillId="9" borderId="5" xfId="0" applyFont="1" applyFill="1" applyBorder="1" applyAlignment="1">
      <alignment horizontal="center" vertical="center"/>
    </xf>
    <xf numFmtId="2" fontId="11" fillId="9" borderId="5" xfId="0" applyNumberFormat="1" applyFont="1" applyFill="1" applyBorder="1" applyAlignment="1">
      <alignment horizontal="center" vertical="center"/>
    </xf>
    <xf numFmtId="9" fontId="19" fillId="7" borderId="5" xfId="4" applyFont="1" applyFill="1" applyBorder="1" applyAlignment="1">
      <alignment horizontal="center" vertical="center"/>
    </xf>
    <xf numFmtId="2" fontId="0" fillId="8" borderId="10" xfId="1" applyNumberFormat="1" applyFont="1" applyFill="1" applyBorder="1" applyAlignment="1">
      <alignment horizontal="center"/>
    </xf>
    <xf numFmtId="2" fontId="0" fillId="8" borderId="5" xfId="1" applyNumberFormat="1" applyFont="1" applyFill="1" applyBorder="1" applyAlignment="1">
      <alignment horizontal="center"/>
    </xf>
    <xf numFmtId="2" fontId="0" fillId="8" borderId="11" xfId="1" applyNumberFormat="1" applyFont="1" applyFill="1" applyBorder="1" applyAlignment="1">
      <alignment horizontal="center"/>
    </xf>
    <xf numFmtId="2" fontId="0" fillId="9" borderId="10" xfId="1" applyNumberFormat="1" applyFont="1" applyFill="1" applyBorder="1" applyAlignment="1">
      <alignment horizontal="center"/>
    </xf>
    <xf numFmtId="2" fontId="0" fillId="9" borderId="5" xfId="1" applyNumberFormat="1" applyFont="1" applyFill="1" applyBorder="1" applyAlignment="1">
      <alignment horizontal="center"/>
    </xf>
    <xf numFmtId="2" fontId="0" fillId="9" borderId="11" xfId="1" applyNumberFormat="1" applyFont="1" applyFill="1" applyBorder="1" applyAlignment="1">
      <alignment horizontal="center"/>
    </xf>
    <xf numFmtId="2" fontId="0" fillId="8" borderId="12" xfId="1" applyNumberFormat="1" applyFont="1" applyFill="1" applyBorder="1" applyAlignment="1">
      <alignment horizontal="center"/>
    </xf>
    <xf numFmtId="2" fontId="0" fillId="8" borderId="13" xfId="1" applyNumberFormat="1" applyFont="1" applyFill="1" applyBorder="1" applyAlignment="1">
      <alignment horizontal="center"/>
    </xf>
    <xf numFmtId="2" fontId="0" fillId="8" borderId="14" xfId="1" applyNumberFormat="1" applyFont="1" applyFill="1" applyBorder="1" applyAlignment="1">
      <alignment horizontal="center"/>
    </xf>
    <xf numFmtId="2" fontId="0" fillId="9" borderId="12" xfId="1" applyNumberFormat="1" applyFont="1" applyFill="1" applyBorder="1" applyAlignment="1">
      <alignment horizontal="center"/>
    </xf>
    <xf numFmtId="2" fontId="0" fillId="9" borderId="13" xfId="1" applyNumberFormat="1" applyFont="1" applyFill="1" applyBorder="1" applyAlignment="1">
      <alignment horizontal="center"/>
    </xf>
    <xf numFmtId="2" fontId="0" fillId="9" borderId="14" xfId="1" applyNumberFormat="1" applyFont="1" applyFill="1" applyBorder="1" applyAlignment="1">
      <alignment horizontal="center"/>
    </xf>
    <xf numFmtId="0" fontId="3" fillId="9" borderId="5" xfId="0" applyFont="1" applyFill="1" applyBorder="1" applyAlignment="1">
      <alignment horizontal="left" vertical="center"/>
    </xf>
    <xf numFmtId="0" fontId="11" fillId="9" borderId="5" xfId="0" quotePrefix="1" applyFont="1" applyFill="1" applyBorder="1" applyAlignment="1">
      <alignment horizontal="center" vertical="center"/>
    </xf>
    <xf numFmtId="0" fontId="3" fillId="9" borderId="5" xfId="0" applyFont="1" applyFill="1" applyBorder="1" applyAlignment="1">
      <alignment horizontal="left" vertical="center" wrapText="1"/>
    </xf>
    <xf numFmtId="10" fontId="19" fillId="0" borderId="14" xfId="4" applyNumberFormat="1" applyFont="1" applyBorder="1" applyAlignment="1">
      <alignment horizontal="center" vertical="center"/>
    </xf>
    <xf numFmtId="0" fontId="11" fillId="9" borderId="15" xfId="0" applyFont="1" applyFill="1" applyBorder="1" applyAlignment="1">
      <alignment horizontal="right" vertical="center"/>
    </xf>
    <xf numFmtId="0" fontId="11" fillId="9" borderId="12" xfId="0" applyFont="1" applyFill="1" applyBorder="1" applyAlignment="1">
      <alignment horizontal="right" vertical="center"/>
    </xf>
    <xf numFmtId="44" fontId="19" fillId="0" borderId="17" xfId="2" applyFont="1" applyBorder="1" applyAlignment="1">
      <alignment horizontal="center" vertical="center"/>
    </xf>
    <xf numFmtId="0" fontId="0" fillId="0" borderId="0" xfId="0" applyAlignment="1">
      <alignment horizontal="right" vertical="center"/>
    </xf>
    <xf numFmtId="0" fontId="21" fillId="0" borderId="0" xfId="0" applyFont="1" applyAlignment="1">
      <alignment horizontal="center"/>
    </xf>
    <xf numFmtId="0" fontId="21" fillId="0" borderId="0" xfId="0" applyFont="1" applyAlignment="1">
      <alignment horizontal="center" vertical="center"/>
    </xf>
    <xf numFmtId="0" fontId="0" fillId="0" borderId="0" xfId="0" quotePrefix="1" applyAlignment="1">
      <alignment horizontal="right"/>
    </xf>
    <xf numFmtId="10" fontId="0" fillId="0" borderId="0" xfId="0" applyNumberFormat="1" applyAlignment="1">
      <alignment horizontal="right"/>
    </xf>
    <xf numFmtId="44" fontId="0" fillId="11" borderId="4" xfId="0" applyNumberFormat="1" applyFill="1" applyBorder="1" applyAlignment="1">
      <alignment horizontal="right" vertical="center"/>
    </xf>
    <xf numFmtId="44" fontId="0" fillId="11" borderId="4" xfId="2" applyFont="1" applyFill="1" applyBorder="1" applyAlignment="1">
      <alignment horizontal="right" vertical="center"/>
    </xf>
    <xf numFmtId="44" fontId="22" fillId="10" borderId="4" xfId="2" applyFont="1" applyFill="1" applyBorder="1" applyAlignment="1">
      <alignment horizontal="right" vertical="center"/>
    </xf>
    <xf numFmtId="44" fontId="22" fillId="12" borderId="4" xfId="2" applyFont="1" applyFill="1" applyBorder="1" applyAlignment="1">
      <alignment horizontal="right" vertical="center"/>
    </xf>
    <xf numFmtId="10" fontId="0" fillId="0" borderId="0" xfId="4" applyNumberFormat="1" applyFont="1" applyAlignment="1">
      <alignment horizontal="right" vertical="center"/>
    </xf>
    <xf numFmtId="0" fontId="0" fillId="0" borderId="0" xfId="0" applyAlignment="1">
      <alignment vertical="center"/>
    </xf>
    <xf numFmtId="10" fontId="0" fillId="0" borderId="0" xfId="0" applyNumberFormat="1" applyAlignment="1">
      <alignment horizontal="right" vertical="center"/>
    </xf>
    <xf numFmtId="0" fontId="14" fillId="0" borderId="0" xfId="0" applyFont="1" applyAlignment="1">
      <alignment horizontal="center"/>
    </xf>
    <xf numFmtId="0" fontId="16" fillId="0" borderId="0" xfId="0" applyFont="1" applyAlignment="1">
      <alignment horizontal="right" vertical="center"/>
    </xf>
    <xf numFmtId="0" fontId="21" fillId="0" borderId="0" xfId="0" applyFont="1" applyAlignment="1">
      <alignment horizontal="right" vertical="center"/>
    </xf>
    <xf numFmtId="12" fontId="0" fillId="11" borderId="4" xfId="0" applyNumberFormat="1" applyFill="1" applyBorder="1" applyAlignment="1">
      <alignment horizontal="center" vertical="center"/>
    </xf>
    <xf numFmtId="0" fontId="14" fillId="0" borderId="0" xfId="0" applyFont="1" applyAlignment="1">
      <alignment horizontal="right"/>
    </xf>
    <xf numFmtId="0" fontId="11" fillId="9" borderId="9" xfId="0" applyFont="1" applyFill="1" applyBorder="1" applyAlignment="1">
      <alignment horizontal="center"/>
    </xf>
    <xf numFmtId="2" fontId="11" fillId="9" borderId="10" xfId="0" applyNumberFormat="1" applyFont="1" applyFill="1" applyBorder="1" applyAlignment="1">
      <alignment horizontal="center"/>
    </xf>
    <xf numFmtId="2" fontId="11" fillId="9" borderId="5" xfId="0" applyNumberFormat="1" applyFont="1" applyFill="1" applyBorder="1" applyAlignment="1">
      <alignment horizontal="center"/>
    </xf>
    <xf numFmtId="2" fontId="11" fillId="9" borderId="11" xfId="0" applyNumberFormat="1" applyFont="1" applyFill="1" applyBorder="1" applyAlignment="1">
      <alignment horizontal="center"/>
    </xf>
    <xf numFmtId="2" fontId="11" fillId="9" borderId="12" xfId="0" applyNumberFormat="1" applyFont="1" applyFill="1" applyBorder="1" applyAlignment="1">
      <alignment horizontal="center"/>
    </xf>
    <xf numFmtId="2" fontId="11" fillId="9" borderId="13" xfId="0" applyNumberFormat="1" applyFont="1" applyFill="1" applyBorder="1" applyAlignment="1">
      <alignment horizontal="center"/>
    </xf>
    <xf numFmtId="2" fontId="11" fillId="9" borderId="14" xfId="0" applyNumberFormat="1" applyFont="1" applyFill="1" applyBorder="1" applyAlignment="1">
      <alignment horizontal="center"/>
    </xf>
    <xf numFmtId="0" fontId="18" fillId="0" borderId="0" xfId="0" applyFont="1" applyAlignment="1">
      <alignment wrapText="1"/>
    </xf>
    <xf numFmtId="0" fontId="24" fillId="7" borderId="0" xfId="0" applyFont="1" applyFill="1"/>
    <xf numFmtId="0" fontId="23" fillId="0" borderId="0" xfId="0" applyFont="1" applyAlignment="1">
      <alignment vertical="top"/>
    </xf>
    <xf numFmtId="0" fontId="24" fillId="0" borderId="0" xfId="0" applyFont="1"/>
    <xf numFmtId="0" fontId="24" fillId="0" borderId="0" xfId="0" applyFont="1" applyAlignment="1">
      <alignment horizontal="center"/>
    </xf>
    <xf numFmtId="0" fontId="25" fillId="0" borderId="0" xfId="0" applyFont="1"/>
    <xf numFmtId="0" fontId="23" fillId="0" borderId="0" xfId="0" applyFont="1" applyAlignment="1">
      <alignment wrapText="1"/>
    </xf>
    <xf numFmtId="0" fontId="26" fillId="2" borderId="4" xfId="0" applyFont="1" applyFill="1" applyBorder="1" applyAlignment="1">
      <alignment horizontal="center"/>
    </xf>
    <xf numFmtId="0" fontId="24" fillId="0" borderId="0" xfId="0" applyFont="1" applyAlignment="1">
      <alignment horizontal="center" vertical="center"/>
    </xf>
    <xf numFmtId="0" fontId="29" fillId="4" borderId="9" xfId="0" applyFont="1" applyFill="1" applyBorder="1" applyAlignment="1">
      <alignment horizontal="center" wrapText="1"/>
    </xf>
    <xf numFmtId="0" fontId="29" fillId="4" borderId="10" xfId="0" applyFont="1" applyFill="1" applyBorder="1" applyAlignment="1">
      <alignment horizontal="center" vertical="center"/>
    </xf>
    <xf numFmtId="0" fontId="29" fillId="4" borderId="5" xfId="0" applyFont="1" applyFill="1" applyBorder="1" applyAlignment="1">
      <alignment horizontal="center" vertical="center"/>
    </xf>
    <xf numFmtId="0" fontId="29" fillId="4" borderId="11" xfId="0" applyFont="1" applyFill="1" applyBorder="1" applyAlignment="1">
      <alignment horizontal="center" vertical="center"/>
    </xf>
    <xf numFmtId="0" fontId="24" fillId="0" borderId="9" xfId="0" applyFont="1" applyBorder="1" applyAlignment="1">
      <alignment horizontal="center"/>
    </xf>
    <xf numFmtId="2" fontId="24" fillId="8" borderId="10" xfId="1" applyNumberFormat="1" applyFont="1" applyFill="1" applyBorder="1" applyAlignment="1">
      <alignment horizontal="center"/>
    </xf>
    <xf numFmtId="2" fontId="24" fillId="8" borderId="5" xfId="1" applyNumberFormat="1" applyFont="1" applyFill="1" applyBorder="1" applyAlignment="1">
      <alignment horizontal="center"/>
    </xf>
    <xf numFmtId="2" fontId="24" fillId="8" borderId="11" xfId="1" applyNumberFormat="1" applyFont="1" applyFill="1" applyBorder="1" applyAlignment="1">
      <alignment horizontal="center"/>
    </xf>
    <xf numFmtId="2" fontId="24" fillId="9" borderId="10" xfId="1" applyNumberFormat="1" applyFont="1" applyFill="1" applyBorder="1" applyAlignment="1">
      <alignment horizontal="center"/>
    </xf>
    <xf numFmtId="2" fontId="24" fillId="9" borderId="5" xfId="1" applyNumberFormat="1" applyFont="1" applyFill="1" applyBorder="1" applyAlignment="1">
      <alignment horizontal="center"/>
    </xf>
    <xf numFmtId="2" fontId="24" fillId="9" borderId="11" xfId="1" applyNumberFormat="1" applyFont="1" applyFill="1" applyBorder="1" applyAlignment="1">
      <alignment horizontal="center"/>
    </xf>
    <xf numFmtId="2" fontId="24" fillId="8" borderId="12" xfId="1" applyNumberFormat="1" applyFont="1" applyFill="1" applyBorder="1" applyAlignment="1">
      <alignment horizontal="center"/>
    </xf>
    <xf numFmtId="2" fontId="24" fillId="8" borderId="13" xfId="1" applyNumberFormat="1" applyFont="1" applyFill="1" applyBorder="1" applyAlignment="1">
      <alignment horizontal="center"/>
    </xf>
    <xf numFmtId="2" fontId="24" fillId="8" borderId="14" xfId="1" applyNumberFormat="1" applyFont="1" applyFill="1" applyBorder="1" applyAlignment="1">
      <alignment horizontal="center"/>
    </xf>
    <xf numFmtId="2" fontId="24" fillId="9" borderId="12" xfId="1" applyNumberFormat="1" applyFont="1" applyFill="1" applyBorder="1" applyAlignment="1">
      <alignment horizontal="center"/>
    </xf>
    <xf numFmtId="2" fontId="24" fillId="9" borderId="13" xfId="1" applyNumberFormat="1" applyFont="1" applyFill="1" applyBorder="1" applyAlignment="1">
      <alignment horizontal="center"/>
    </xf>
    <xf numFmtId="2" fontId="24" fillId="9" borderId="14" xfId="1" applyNumberFormat="1" applyFont="1" applyFill="1" applyBorder="1" applyAlignment="1">
      <alignment horizontal="center"/>
    </xf>
    <xf numFmtId="0" fontId="25" fillId="7" borderId="0" xfId="0" applyFont="1" applyFill="1"/>
    <xf numFmtId="0" fontId="30" fillId="0" borderId="0" xfId="0" applyFont="1"/>
    <xf numFmtId="0" fontId="25" fillId="0" borderId="0" xfId="0" applyFont="1" applyAlignment="1">
      <alignment horizontal="center"/>
    </xf>
    <xf numFmtId="0" fontId="23" fillId="4"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5" fillId="9" borderId="5" xfId="0" applyFont="1" applyFill="1" applyBorder="1" applyAlignment="1">
      <alignment horizontal="center" vertical="center"/>
    </xf>
    <xf numFmtId="2" fontId="25" fillId="9" borderId="5" xfId="0" applyNumberFormat="1" applyFont="1" applyFill="1" applyBorder="1" applyAlignment="1">
      <alignment horizontal="center" vertical="center"/>
    </xf>
    <xf numFmtId="2" fontId="31" fillId="0" borderId="5" xfId="0" applyNumberFormat="1" applyFont="1" applyBorder="1" applyAlignment="1">
      <alignment horizontal="center" vertical="center"/>
    </xf>
    <xf numFmtId="2" fontId="31" fillId="7" borderId="5" xfId="0" applyNumberFormat="1" applyFont="1" applyFill="1" applyBorder="1" applyAlignment="1">
      <alignment horizontal="center" vertical="center"/>
    </xf>
    <xf numFmtId="2" fontId="26" fillId="6" borderId="5" xfId="0" applyNumberFormat="1" applyFont="1" applyFill="1" applyBorder="1" applyAlignment="1">
      <alignment horizontal="center" vertical="center"/>
    </xf>
    <xf numFmtId="9" fontId="31" fillId="7" borderId="5" xfId="4" applyFont="1" applyFill="1" applyBorder="1" applyAlignment="1">
      <alignment horizontal="center" vertical="center"/>
    </xf>
    <xf numFmtId="2" fontId="26" fillId="7" borderId="5" xfId="0" applyNumberFormat="1" applyFont="1" applyFill="1" applyBorder="1" applyAlignment="1">
      <alignment horizontal="center" vertical="center"/>
    </xf>
    <xf numFmtId="0" fontId="25" fillId="0" borderId="0" xfId="0" applyFont="1" applyAlignment="1">
      <alignment horizontal="center" vertical="center"/>
    </xf>
    <xf numFmtId="2" fontId="25" fillId="0" borderId="0" xfId="0" applyNumberFormat="1" applyFont="1" applyAlignment="1">
      <alignment horizontal="center" vertical="center"/>
    </xf>
    <xf numFmtId="0" fontId="23" fillId="0" borderId="0" xfId="0" applyFont="1"/>
    <xf numFmtId="0" fontId="25" fillId="9" borderId="5" xfId="0" applyFont="1" applyFill="1" applyBorder="1" applyAlignment="1">
      <alignment horizontal="left" vertical="center"/>
    </xf>
    <xf numFmtId="0" fontId="25" fillId="9" borderId="5" xfId="0" quotePrefix="1" applyFont="1" applyFill="1" applyBorder="1" applyAlignment="1">
      <alignment horizontal="center" vertical="center"/>
    </xf>
    <xf numFmtId="2" fontId="26" fillId="0" borderId="5" xfId="0" applyNumberFormat="1" applyFont="1" applyBorder="1" applyAlignment="1">
      <alignment horizontal="center" vertical="center"/>
    </xf>
    <xf numFmtId="0" fontId="25" fillId="9" borderId="5" xfId="0" applyFont="1" applyFill="1" applyBorder="1" applyAlignment="1">
      <alignment horizontal="left" vertical="center" wrapText="1"/>
    </xf>
    <xf numFmtId="43" fontId="25" fillId="0" borderId="0" xfId="1" applyFont="1"/>
    <xf numFmtId="43" fontId="25" fillId="0" borderId="0" xfId="1" applyFont="1" applyAlignment="1">
      <alignment horizontal="center"/>
    </xf>
    <xf numFmtId="0" fontId="23" fillId="0" borderId="0" xfId="0" applyFont="1" applyAlignment="1">
      <alignment horizontal="center" wrapText="1"/>
    </xf>
    <xf numFmtId="0" fontId="32" fillId="6" borderId="6" xfId="0" applyFont="1" applyFill="1" applyBorder="1" applyAlignment="1">
      <alignment horizontal="centerContinuous" vertical="center"/>
    </xf>
    <xf numFmtId="0" fontId="32" fillId="6" borderId="7" xfId="0" applyFont="1" applyFill="1" applyBorder="1" applyAlignment="1">
      <alignment horizontal="centerContinuous" vertical="center"/>
    </xf>
    <xf numFmtId="0" fontId="32" fillId="6" borderId="8" xfId="0" applyFont="1" applyFill="1" applyBorder="1" applyAlignment="1">
      <alignment horizontal="centerContinuous" vertical="center"/>
    </xf>
    <xf numFmtId="0" fontId="23" fillId="4" borderId="9" xfId="0" applyFont="1" applyFill="1" applyBorder="1" applyAlignment="1">
      <alignment horizontal="center" wrapText="1"/>
    </xf>
    <xf numFmtId="17" fontId="23" fillId="4" borderId="10" xfId="0" applyNumberFormat="1" applyFont="1" applyFill="1" applyBorder="1" applyAlignment="1">
      <alignment horizontal="center"/>
    </xf>
    <xf numFmtId="17" fontId="23" fillId="4" borderId="5" xfId="0" applyNumberFormat="1" applyFont="1" applyFill="1" applyBorder="1" applyAlignment="1">
      <alignment horizontal="center"/>
    </xf>
    <xf numFmtId="17" fontId="23" fillId="4" borderId="11" xfId="0" applyNumberFormat="1" applyFont="1" applyFill="1" applyBorder="1" applyAlignment="1">
      <alignment horizontal="center"/>
    </xf>
    <xf numFmtId="0" fontId="25" fillId="9" borderId="9" xfId="0" applyFont="1" applyFill="1" applyBorder="1" applyAlignment="1">
      <alignment horizontal="center"/>
    </xf>
    <xf numFmtId="2" fontId="25" fillId="9" borderId="10" xfId="0" applyNumberFormat="1" applyFont="1" applyFill="1" applyBorder="1" applyAlignment="1">
      <alignment horizontal="center"/>
    </xf>
    <xf numFmtId="2" fontId="25" fillId="9" borderId="5" xfId="0" applyNumberFormat="1" applyFont="1" applyFill="1" applyBorder="1" applyAlignment="1">
      <alignment horizontal="center"/>
    </xf>
    <xf numFmtId="2" fontId="25" fillId="9" borderId="11" xfId="0" applyNumberFormat="1" applyFont="1" applyFill="1" applyBorder="1" applyAlignment="1">
      <alignment horizontal="center"/>
    </xf>
    <xf numFmtId="2" fontId="25" fillId="9" borderId="12" xfId="0" applyNumberFormat="1" applyFont="1" applyFill="1" applyBorder="1" applyAlignment="1">
      <alignment horizontal="center"/>
    </xf>
    <xf numFmtId="2" fontId="25" fillId="9" borderId="13" xfId="0" applyNumberFormat="1" applyFont="1" applyFill="1" applyBorder="1" applyAlignment="1">
      <alignment horizontal="center"/>
    </xf>
    <xf numFmtId="2" fontId="25" fillId="9" borderId="14" xfId="0" applyNumberFormat="1" applyFont="1" applyFill="1" applyBorder="1" applyAlignment="1">
      <alignment horizontal="center"/>
    </xf>
    <xf numFmtId="0" fontId="25" fillId="0" borderId="0" xfId="0" applyFont="1" applyAlignment="1">
      <alignment horizontal="left"/>
    </xf>
    <xf numFmtId="0" fontId="24" fillId="0" borderId="0" xfId="0" applyFont="1" applyAlignment="1">
      <alignment wrapText="1"/>
    </xf>
    <xf numFmtId="0" fontId="23" fillId="0" borderId="0" xfId="0" applyFont="1" applyAlignment="1">
      <alignment horizontal="right" vertical="center"/>
    </xf>
    <xf numFmtId="44" fontId="25" fillId="0" borderId="0" xfId="2" applyFont="1"/>
    <xf numFmtId="0" fontId="25" fillId="0" borderId="0" xfId="0" quotePrefix="1" applyFont="1" applyAlignment="1">
      <alignment horizontal="center"/>
    </xf>
    <xf numFmtId="0" fontId="25" fillId="9" borderId="15" xfId="0" applyFont="1" applyFill="1" applyBorder="1" applyAlignment="1">
      <alignment horizontal="right" vertical="center"/>
    </xf>
    <xf numFmtId="44" fontId="31" fillId="0" borderId="17" xfId="2" applyFont="1" applyBorder="1" applyAlignment="1">
      <alignment horizontal="center" vertical="center"/>
    </xf>
    <xf numFmtId="0" fontId="25" fillId="9" borderId="12" xfId="0" applyFont="1" applyFill="1" applyBorder="1" applyAlignment="1">
      <alignment horizontal="right" vertical="center"/>
    </xf>
    <xf numFmtId="10" fontId="31" fillId="0" borderId="14" xfId="4" applyNumberFormat="1" applyFont="1" applyBorder="1" applyAlignment="1">
      <alignment horizontal="center" vertical="center"/>
    </xf>
    <xf numFmtId="0" fontId="24" fillId="0" borderId="0" xfId="0" applyFont="1" applyAlignment="1">
      <alignment horizontal="right"/>
    </xf>
    <xf numFmtId="0" fontId="33" fillId="0" borderId="0" xfId="0" applyFont="1"/>
    <xf numFmtId="0" fontId="33" fillId="0" borderId="0" xfId="0" applyFont="1" applyAlignment="1">
      <alignment horizontal="center"/>
    </xf>
    <xf numFmtId="0" fontId="24" fillId="0" borderId="0" xfId="0" applyFont="1" applyAlignment="1">
      <alignment horizontal="right" vertical="center"/>
    </xf>
    <xf numFmtId="0" fontId="29" fillId="0" borderId="0" xfId="0" applyFont="1" applyAlignment="1">
      <alignment horizontal="center" vertical="center"/>
    </xf>
    <xf numFmtId="44" fontId="34" fillId="10" borderId="4" xfId="2" applyFont="1" applyFill="1" applyBorder="1" applyAlignment="1">
      <alignment horizontal="right" vertical="center"/>
    </xf>
    <xf numFmtId="44" fontId="24" fillId="11" borderId="4" xfId="0" applyNumberFormat="1" applyFont="1" applyFill="1" applyBorder="1" applyAlignment="1">
      <alignment horizontal="right" vertical="center"/>
    </xf>
    <xf numFmtId="0" fontId="29" fillId="0" borderId="0" xfId="0" applyFont="1" applyAlignment="1">
      <alignment horizontal="right" vertical="center"/>
    </xf>
    <xf numFmtId="12" fontId="24" fillId="11" borderId="4" xfId="0" applyNumberFormat="1" applyFont="1" applyFill="1" applyBorder="1" applyAlignment="1">
      <alignment horizontal="center" vertical="center"/>
    </xf>
    <xf numFmtId="0" fontId="33" fillId="0" borderId="0" xfId="0" applyFont="1" applyAlignment="1">
      <alignment horizontal="right"/>
    </xf>
    <xf numFmtId="0" fontId="29" fillId="0" borderId="0" xfId="0" applyFont="1" applyAlignment="1">
      <alignment horizontal="center"/>
    </xf>
    <xf numFmtId="44" fontId="34" fillId="12" borderId="4" xfId="2" applyFont="1" applyFill="1" applyBorder="1" applyAlignment="1">
      <alignment horizontal="right" vertical="center"/>
    </xf>
    <xf numFmtId="44" fontId="24" fillId="11" borderId="4" xfId="2" applyFont="1" applyFill="1" applyBorder="1" applyAlignment="1">
      <alignment horizontal="right" vertical="center"/>
    </xf>
    <xf numFmtId="10" fontId="24" fillId="0" borderId="0" xfId="4" applyNumberFormat="1" applyFont="1" applyAlignment="1">
      <alignment horizontal="right" vertical="center"/>
    </xf>
    <xf numFmtId="0" fontId="24" fillId="0" borderId="0" xfId="0" quotePrefix="1" applyFont="1" applyAlignment="1">
      <alignment horizontal="right"/>
    </xf>
    <xf numFmtId="10" fontId="24" fillId="0" borderId="0" xfId="0" applyNumberFormat="1" applyFont="1" applyAlignment="1">
      <alignment horizontal="right"/>
    </xf>
    <xf numFmtId="10" fontId="24" fillId="0" borderId="0" xfId="0" applyNumberFormat="1" applyFont="1" applyAlignment="1">
      <alignment horizontal="right" vertical="center"/>
    </xf>
    <xf numFmtId="0" fontId="24" fillId="0" borderId="0" xfId="0" applyFont="1" applyAlignment="1">
      <alignment vertical="center"/>
    </xf>
    <xf numFmtId="0" fontId="35" fillId="0" borderId="0" xfId="0" applyFont="1" applyAlignment="1">
      <alignment horizontal="center" vertical="center"/>
    </xf>
    <xf numFmtId="0" fontId="35" fillId="7" borderId="0" xfId="0" applyFont="1" applyFill="1"/>
    <xf numFmtId="0" fontId="35" fillId="0" borderId="0" xfId="0" applyFont="1" applyAlignment="1">
      <alignment wrapText="1"/>
    </xf>
    <xf numFmtId="0" fontId="35" fillId="0" borderId="0" xfId="0" applyFont="1" applyAlignment="1">
      <alignment horizontal="right"/>
    </xf>
    <xf numFmtId="0" fontId="21" fillId="4" borderId="18" xfId="0" applyFont="1" applyFill="1" applyBorder="1" applyAlignment="1">
      <alignment horizontal="center" vertical="center"/>
    </xf>
    <xf numFmtId="0" fontId="21" fillId="5" borderId="18" xfId="0" applyFont="1" applyFill="1" applyBorder="1" applyAlignment="1">
      <alignment horizontal="center" vertical="center"/>
    </xf>
    <xf numFmtId="0" fontId="36" fillId="4" borderId="18" xfId="0" applyFont="1" applyFill="1" applyBorder="1" applyAlignment="1">
      <alignment horizontal="center" vertical="center"/>
    </xf>
    <xf numFmtId="0" fontId="4" fillId="5" borderId="18" xfId="0" applyFont="1" applyFill="1" applyBorder="1" applyAlignment="1">
      <alignment horizontal="center"/>
    </xf>
    <xf numFmtId="0" fontId="4" fillId="5" borderId="5" xfId="0" applyFont="1" applyFill="1" applyBorder="1" applyAlignment="1">
      <alignment horizontal="center"/>
    </xf>
    <xf numFmtId="0" fontId="21" fillId="5" borderId="18" xfId="0" applyFont="1" applyFill="1" applyBorder="1" applyAlignment="1">
      <alignment horizontal="center" wrapText="1"/>
    </xf>
    <xf numFmtId="0" fontId="4" fillId="0" borderId="18" xfId="0" applyFont="1" applyBorder="1" applyAlignment="1">
      <alignment horizontal="center"/>
    </xf>
    <xf numFmtId="0" fontId="25" fillId="0" borderId="0" xfId="0" applyFont="1" applyAlignment="1">
      <alignment shrinkToFit="1"/>
    </xf>
    <xf numFmtId="0" fontId="24" fillId="0" borderId="0" xfId="0" applyFont="1" applyAlignment="1">
      <alignment horizontal="center" vertical="center" shrinkToFit="1"/>
    </xf>
    <xf numFmtId="0" fontId="3" fillId="0" borderId="0" xfId="0" applyFont="1" applyAlignment="1">
      <alignment shrinkToFit="1"/>
    </xf>
    <xf numFmtId="0" fontId="3" fillId="0" borderId="0" xfId="0" applyFont="1" applyAlignment="1">
      <alignment horizontal="left"/>
    </xf>
    <xf numFmtId="0" fontId="35" fillId="0" borderId="0" xfId="0" applyFont="1" applyAlignment="1">
      <alignment horizontal="left" vertical="center"/>
    </xf>
    <xf numFmtId="0" fontId="4" fillId="4" borderId="18" xfId="0" applyFont="1" applyFill="1" applyBorder="1" applyAlignment="1">
      <alignment horizontal="center"/>
    </xf>
    <xf numFmtId="0" fontId="4" fillId="4" borderId="5" xfId="0" applyFont="1" applyFill="1" applyBorder="1" applyAlignment="1">
      <alignment horizontal="center"/>
    </xf>
    <xf numFmtId="0" fontId="21" fillId="4" borderId="18" xfId="0" applyFont="1" applyFill="1" applyBorder="1" applyAlignment="1">
      <alignment horizontal="center" wrapText="1"/>
    </xf>
    <xf numFmtId="44" fontId="19" fillId="0" borderId="14" xfId="4" applyNumberFormat="1" applyFont="1" applyBorder="1" applyAlignment="1">
      <alignment horizontal="center" vertical="center"/>
    </xf>
    <xf numFmtId="44" fontId="14" fillId="0" borderId="0" xfId="0" applyNumberFormat="1" applyFont="1" applyAlignment="1">
      <alignment horizontal="center"/>
    </xf>
    <xf numFmtId="0" fontId="8" fillId="3" borderId="0" xfId="0" applyFont="1" applyFill="1" applyAlignment="1">
      <alignment horizontal="center" vertical="center"/>
    </xf>
    <xf numFmtId="0" fontId="0" fillId="0" borderId="0" xfId="0" applyAlignment="1">
      <alignment horizontal="center" vertical="center"/>
    </xf>
    <xf numFmtId="0" fontId="0" fillId="0" borderId="0" xfId="0"/>
    <xf numFmtId="0" fontId="5"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1" fillId="0" borderId="0" xfId="0" applyFont="1" applyAlignment="1">
      <alignment vertical="top" wrapText="1"/>
    </xf>
    <xf numFmtId="0" fontId="0" fillId="0" borderId="0" xfId="0" applyAlignment="1">
      <alignment vertical="top" wrapText="1"/>
    </xf>
    <xf numFmtId="0" fontId="11" fillId="0" borderId="0" xfId="0" applyFont="1" applyAlignment="1">
      <alignment wrapText="1"/>
    </xf>
    <xf numFmtId="0" fontId="0" fillId="0" borderId="0" xfId="0" applyAlignment="1">
      <alignment wrapText="1"/>
    </xf>
    <xf numFmtId="0" fontId="9" fillId="0" borderId="0" xfId="0" applyFont="1" applyAlignment="1">
      <alignment vertical="top" wrapText="1"/>
    </xf>
    <xf numFmtId="0" fontId="5"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25" fillId="0" borderId="0" xfId="0" applyFont="1" applyAlignment="1">
      <alignment wrapText="1"/>
    </xf>
    <xf numFmtId="0" fontId="24" fillId="0" borderId="0" xfId="0" applyFont="1" applyAlignment="1">
      <alignment wrapText="1"/>
    </xf>
    <xf numFmtId="0" fontId="23" fillId="0" borderId="1" xfId="0" applyFont="1" applyBorder="1" applyAlignment="1">
      <alignment horizontal="right"/>
    </xf>
    <xf numFmtId="0" fontId="25" fillId="0" borderId="2" xfId="0" applyFont="1" applyBorder="1" applyAlignment="1">
      <alignment horizontal="right"/>
    </xf>
    <xf numFmtId="0" fontId="25" fillId="0" borderId="3" xfId="0" applyFont="1" applyBorder="1" applyAlignment="1">
      <alignment horizontal="right"/>
    </xf>
    <xf numFmtId="0" fontId="27" fillId="3" borderId="0" xfId="0" applyFont="1" applyFill="1" applyAlignment="1">
      <alignment horizontal="center" vertical="center"/>
    </xf>
    <xf numFmtId="0" fontId="24" fillId="0" borderId="0" xfId="0" applyFont="1" applyAlignment="1">
      <alignment horizontal="center" vertical="center"/>
    </xf>
    <xf numFmtId="0" fontId="24" fillId="0" borderId="0" xfId="0" applyFont="1"/>
    <xf numFmtId="0" fontId="28" fillId="6" borderId="15" xfId="0" applyFont="1" applyFill="1" applyBorder="1" applyAlignment="1">
      <alignment horizontal="center" vertical="center"/>
    </xf>
    <xf numFmtId="0" fontId="28" fillId="6" borderId="16" xfId="0" applyFont="1" applyFill="1" applyBorder="1" applyAlignment="1">
      <alignment horizontal="center" vertical="center"/>
    </xf>
    <xf numFmtId="0" fontId="28" fillId="6" borderId="17" xfId="0" applyFont="1" applyFill="1" applyBorder="1" applyAlignment="1">
      <alignment horizontal="center" vertical="center"/>
    </xf>
    <xf numFmtId="0" fontId="25" fillId="0" borderId="0" xfId="0" applyFont="1" applyAlignment="1">
      <alignment vertical="top" wrapText="1"/>
    </xf>
    <xf numFmtId="0" fontId="24" fillId="0" borderId="0" xfId="0" applyFont="1" applyAlignment="1">
      <alignment vertical="top" wrapText="1"/>
    </xf>
    <xf numFmtId="0" fontId="26"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44" fontId="19" fillId="0" borderId="17" xfId="2" quotePrefix="1" applyFont="1" applyBorder="1" applyAlignment="1">
      <alignment horizontal="center" vertical="center"/>
    </xf>
    <xf numFmtId="10" fontId="19" fillId="0" borderId="14" xfId="4" quotePrefix="1" applyNumberFormat="1" applyFont="1" applyBorder="1" applyAlignment="1">
      <alignment horizontal="center" vertical="center"/>
    </xf>
    <xf numFmtId="0" fontId="12" fillId="0" borderId="0" xfId="0" quotePrefix="1" applyFont="1"/>
  </cellXfs>
  <cellStyles count="5">
    <cellStyle name="Comma" xfId="1" builtinId="3"/>
    <cellStyle name="Currency" xfId="2" builtinId="4"/>
    <cellStyle name="Normal" xfId="0" builtinId="0"/>
    <cellStyle name="Percent" xfId="4" builtinId="5"/>
    <cellStyle name="Percent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1058333</xdr:colOff>
      <xdr:row>94</xdr:row>
      <xdr:rowOff>325967</xdr:rowOff>
    </xdr:from>
    <xdr:to>
      <xdr:col>3</xdr:col>
      <xdr:colOff>469900</xdr:colOff>
      <xdr:row>96</xdr:row>
      <xdr:rowOff>131234</xdr:rowOff>
    </xdr:to>
    <xdr:cxnSp macro="">
      <xdr:nvCxnSpPr>
        <xdr:cNvPr id="3" name="Straight Arrow Connector 2">
          <a:extLst>
            <a:ext uri="{FF2B5EF4-FFF2-40B4-BE49-F238E27FC236}">
              <a16:creationId xmlns:a16="http://schemas.microsoft.com/office/drawing/2014/main" id="{140C7B95-96D6-467D-B06A-C238FF2CBF44}"/>
            </a:ext>
          </a:extLst>
        </xdr:cNvPr>
        <xdr:cNvCxnSpPr/>
      </xdr:nvCxnSpPr>
      <xdr:spPr>
        <a:xfrm flipV="1">
          <a:off x="2387600" y="24993600"/>
          <a:ext cx="474133"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4" name="Straight Arrow Connector 3">
          <a:extLst>
            <a:ext uri="{FF2B5EF4-FFF2-40B4-BE49-F238E27FC236}">
              <a16:creationId xmlns:a16="http://schemas.microsoft.com/office/drawing/2014/main" id="{E5C1A21E-B232-4665-A348-F51C5C8A7554}"/>
            </a:ext>
          </a:extLst>
        </xdr:cNvPr>
        <xdr:cNvCxnSpPr/>
      </xdr:nvCxnSpPr>
      <xdr:spPr>
        <a:xfrm flipV="1">
          <a:off x="3433233" y="243374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5" name="Straight Arrow Connector 4">
          <a:extLst>
            <a:ext uri="{FF2B5EF4-FFF2-40B4-BE49-F238E27FC236}">
              <a16:creationId xmlns:a16="http://schemas.microsoft.com/office/drawing/2014/main" id="{90D92FC7-A48C-4B5E-861B-C39AD042461E}"/>
            </a:ext>
          </a:extLst>
        </xdr:cNvPr>
        <xdr:cNvCxnSpPr/>
      </xdr:nvCxnSpPr>
      <xdr:spPr>
        <a:xfrm>
          <a:off x="4339166" y="242062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6" name="Straight Arrow Connector 5">
          <a:extLst>
            <a:ext uri="{FF2B5EF4-FFF2-40B4-BE49-F238E27FC236}">
              <a16:creationId xmlns:a16="http://schemas.microsoft.com/office/drawing/2014/main" id="{F57B53FA-373B-4306-8D92-0E5F6E711998}"/>
            </a:ext>
          </a:extLst>
        </xdr:cNvPr>
        <xdr:cNvCxnSpPr/>
      </xdr:nvCxnSpPr>
      <xdr:spPr>
        <a:xfrm>
          <a:off x="3437466" y="261662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7" name="Straight Arrow Connector 6">
          <a:extLst>
            <a:ext uri="{FF2B5EF4-FFF2-40B4-BE49-F238E27FC236}">
              <a16:creationId xmlns:a16="http://schemas.microsoft.com/office/drawing/2014/main" id="{906E7AF0-68DB-43E8-9666-A0009B314D70}"/>
            </a:ext>
          </a:extLst>
        </xdr:cNvPr>
        <xdr:cNvCxnSpPr/>
      </xdr:nvCxnSpPr>
      <xdr:spPr>
        <a:xfrm>
          <a:off x="2391833" y="254719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8" name="Straight Arrow Connector 7">
          <a:extLst>
            <a:ext uri="{FF2B5EF4-FFF2-40B4-BE49-F238E27FC236}">
              <a16:creationId xmlns:a16="http://schemas.microsoft.com/office/drawing/2014/main" id="{CF5A1533-15D1-403E-9541-5DBFB064914A}"/>
            </a:ext>
          </a:extLst>
        </xdr:cNvPr>
        <xdr:cNvCxnSpPr/>
      </xdr:nvCxnSpPr>
      <xdr:spPr>
        <a:xfrm flipV="1">
          <a:off x="4339167" y="268181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16" name="Straight Arrow Connector 15">
          <a:extLst>
            <a:ext uri="{FF2B5EF4-FFF2-40B4-BE49-F238E27FC236}">
              <a16:creationId xmlns:a16="http://schemas.microsoft.com/office/drawing/2014/main" id="{204FC822-AC03-40FF-9DBE-B4385CAB5074}"/>
            </a:ext>
          </a:extLst>
        </xdr:cNvPr>
        <xdr:cNvCxnSpPr/>
      </xdr:nvCxnSpPr>
      <xdr:spPr>
        <a:xfrm>
          <a:off x="3433233" y="248412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17" name="Straight Arrow Connector 16">
          <a:extLst>
            <a:ext uri="{FF2B5EF4-FFF2-40B4-BE49-F238E27FC236}">
              <a16:creationId xmlns:a16="http://schemas.microsoft.com/office/drawing/2014/main" id="{0472F310-9519-4CD9-81C3-116F6B11964C}"/>
            </a:ext>
          </a:extLst>
        </xdr:cNvPr>
        <xdr:cNvCxnSpPr/>
      </xdr:nvCxnSpPr>
      <xdr:spPr>
        <a:xfrm flipV="1">
          <a:off x="3441700" y="256582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21" name="Straight Arrow Connector 20">
          <a:extLst>
            <a:ext uri="{FF2B5EF4-FFF2-40B4-BE49-F238E27FC236}">
              <a16:creationId xmlns:a16="http://schemas.microsoft.com/office/drawing/2014/main" id="{B38343BF-E409-4F24-B1AF-C80602B9A653}"/>
            </a:ext>
          </a:extLst>
        </xdr:cNvPr>
        <xdr:cNvCxnSpPr/>
      </xdr:nvCxnSpPr>
      <xdr:spPr>
        <a:xfrm>
          <a:off x="4351866" y="255185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31" name="Straight Arrow Connector 30">
          <a:extLst>
            <a:ext uri="{FF2B5EF4-FFF2-40B4-BE49-F238E27FC236}">
              <a16:creationId xmlns:a16="http://schemas.microsoft.com/office/drawing/2014/main" id="{C9593175-0D92-4F12-8E40-B1DDB253B7A4}"/>
            </a:ext>
          </a:extLst>
        </xdr:cNvPr>
        <xdr:cNvCxnSpPr/>
      </xdr:nvCxnSpPr>
      <xdr:spPr>
        <a:xfrm flipV="1">
          <a:off x="3441700" y="30378400"/>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32" name="Straight Arrow Connector 31">
          <a:extLst>
            <a:ext uri="{FF2B5EF4-FFF2-40B4-BE49-F238E27FC236}">
              <a16:creationId xmlns:a16="http://schemas.microsoft.com/office/drawing/2014/main" id="{27C119CB-E9A2-4A7F-BF7A-53C11BA29C4F}"/>
            </a:ext>
          </a:extLst>
        </xdr:cNvPr>
        <xdr:cNvCxnSpPr/>
      </xdr:nvCxnSpPr>
      <xdr:spPr>
        <a:xfrm flipV="1">
          <a:off x="3433233" y="243374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33" name="Straight Arrow Connector 32">
          <a:extLst>
            <a:ext uri="{FF2B5EF4-FFF2-40B4-BE49-F238E27FC236}">
              <a16:creationId xmlns:a16="http://schemas.microsoft.com/office/drawing/2014/main" id="{46D04679-1C7C-4765-BBB7-45928FC700D9}"/>
            </a:ext>
          </a:extLst>
        </xdr:cNvPr>
        <xdr:cNvCxnSpPr/>
      </xdr:nvCxnSpPr>
      <xdr:spPr>
        <a:xfrm>
          <a:off x="4339166" y="242062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34" name="Straight Arrow Connector 33">
          <a:extLst>
            <a:ext uri="{FF2B5EF4-FFF2-40B4-BE49-F238E27FC236}">
              <a16:creationId xmlns:a16="http://schemas.microsoft.com/office/drawing/2014/main" id="{BEEC5E4B-AC70-4008-84F4-7CF16D14E921}"/>
            </a:ext>
          </a:extLst>
        </xdr:cNvPr>
        <xdr:cNvCxnSpPr/>
      </xdr:nvCxnSpPr>
      <xdr:spPr>
        <a:xfrm>
          <a:off x="3437466" y="261662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35" name="Straight Arrow Connector 34">
          <a:extLst>
            <a:ext uri="{FF2B5EF4-FFF2-40B4-BE49-F238E27FC236}">
              <a16:creationId xmlns:a16="http://schemas.microsoft.com/office/drawing/2014/main" id="{68DBC656-ED3B-493D-8DC0-5A24558467E3}"/>
            </a:ext>
          </a:extLst>
        </xdr:cNvPr>
        <xdr:cNvCxnSpPr/>
      </xdr:nvCxnSpPr>
      <xdr:spPr>
        <a:xfrm>
          <a:off x="3445933" y="31665334"/>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36" name="Straight Arrow Connector 35">
          <a:extLst>
            <a:ext uri="{FF2B5EF4-FFF2-40B4-BE49-F238E27FC236}">
              <a16:creationId xmlns:a16="http://schemas.microsoft.com/office/drawing/2014/main" id="{2958E5DD-DD69-4AF4-94FC-CEED44139EAB}"/>
            </a:ext>
          </a:extLst>
        </xdr:cNvPr>
        <xdr:cNvCxnSpPr/>
      </xdr:nvCxnSpPr>
      <xdr:spPr>
        <a:xfrm flipV="1">
          <a:off x="4339167" y="268181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37" name="Straight Arrow Connector 36">
          <a:extLst>
            <a:ext uri="{FF2B5EF4-FFF2-40B4-BE49-F238E27FC236}">
              <a16:creationId xmlns:a16="http://schemas.microsoft.com/office/drawing/2014/main" id="{DAF688B2-B0CA-424A-B225-306F79E45C4E}"/>
            </a:ext>
          </a:extLst>
        </xdr:cNvPr>
        <xdr:cNvCxnSpPr/>
      </xdr:nvCxnSpPr>
      <xdr:spPr>
        <a:xfrm>
          <a:off x="3433233" y="248412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38" name="Straight Arrow Connector 37">
          <a:extLst>
            <a:ext uri="{FF2B5EF4-FFF2-40B4-BE49-F238E27FC236}">
              <a16:creationId xmlns:a16="http://schemas.microsoft.com/office/drawing/2014/main" id="{71FF33C9-CBCD-490C-A911-335D02702EE0}"/>
            </a:ext>
          </a:extLst>
        </xdr:cNvPr>
        <xdr:cNvCxnSpPr/>
      </xdr:nvCxnSpPr>
      <xdr:spPr>
        <a:xfrm flipV="1">
          <a:off x="3441700" y="256582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39" name="Straight Arrow Connector 38">
          <a:extLst>
            <a:ext uri="{FF2B5EF4-FFF2-40B4-BE49-F238E27FC236}">
              <a16:creationId xmlns:a16="http://schemas.microsoft.com/office/drawing/2014/main" id="{715BF8B9-EA81-4E2B-B270-7F7DAF311999}"/>
            </a:ext>
          </a:extLst>
        </xdr:cNvPr>
        <xdr:cNvCxnSpPr/>
      </xdr:nvCxnSpPr>
      <xdr:spPr>
        <a:xfrm>
          <a:off x="4351866" y="255185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40" name="Straight Arrow Connector 39">
          <a:extLst>
            <a:ext uri="{FF2B5EF4-FFF2-40B4-BE49-F238E27FC236}">
              <a16:creationId xmlns:a16="http://schemas.microsoft.com/office/drawing/2014/main" id="{3BC602FD-9D5A-4416-BDC7-E960B822A856}"/>
            </a:ext>
          </a:extLst>
        </xdr:cNvPr>
        <xdr:cNvCxnSpPr/>
      </xdr:nvCxnSpPr>
      <xdr:spPr>
        <a:xfrm flipV="1">
          <a:off x="4330700" y="305181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41" name="Straight Arrow Connector 40">
          <a:extLst>
            <a:ext uri="{FF2B5EF4-FFF2-40B4-BE49-F238E27FC236}">
              <a16:creationId xmlns:a16="http://schemas.microsoft.com/office/drawing/2014/main" id="{5608618D-D33E-43C2-9D9B-000012B8D58D}"/>
            </a:ext>
          </a:extLst>
        </xdr:cNvPr>
        <xdr:cNvCxnSpPr/>
      </xdr:nvCxnSpPr>
      <xdr:spPr>
        <a:xfrm>
          <a:off x="4330700" y="309964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44" name="Straight Arrow Connector 43">
          <a:extLst>
            <a:ext uri="{FF2B5EF4-FFF2-40B4-BE49-F238E27FC236}">
              <a16:creationId xmlns:a16="http://schemas.microsoft.com/office/drawing/2014/main" id="{7C1F49A8-8576-4547-9F36-61B9153D4EC2}"/>
            </a:ext>
          </a:extLst>
        </xdr:cNvPr>
        <xdr:cNvCxnSpPr/>
      </xdr:nvCxnSpPr>
      <xdr:spPr>
        <a:xfrm flipV="1">
          <a:off x="2387600" y="30471534"/>
          <a:ext cx="474133"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45" name="Straight Arrow Connector 44">
          <a:extLst>
            <a:ext uri="{FF2B5EF4-FFF2-40B4-BE49-F238E27FC236}">
              <a16:creationId xmlns:a16="http://schemas.microsoft.com/office/drawing/2014/main" id="{1DE7D0A4-FFEC-49C1-B5AE-7F8E8A8259A5}"/>
            </a:ext>
          </a:extLst>
        </xdr:cNvPr>
        <xdr:cNvCxnSpPr/>
      </xdr:nvCxnSpPr>
      <xdr:spPr>
        <a:xfrm>
          <a:off x="2391833" y="30949901"/>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46" name="Right Brace 45">
          <a:extLst>
            <a:ext uri="{FF2B5EF4-FFF2-40B4-BE49-F238E27FC236}">
              <a16:creationId xmlns:a16="http://schemas.microsoft.com/office/drawing/2014/main" id="{75FB1BF7-0662-4DC0-9F83-E3F5718D3B39}"/>
            </a:ext>
          </a:extLst>
        </xdr:cNvPr>
        <xdr:cNvSpPr/>
      </xdr:nvSpPr>
      <xdr:spPr>
        <a:xfrm>
          <a:off x="3179233" y="25438100"/>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48" name="Right Brace 47">
          <a:extLst>
            <a:ext uri="{FF2B5EF4-FFF2-40B4-BE49-F238E27FC236}">
              <a16:creationId xmlns:a16="http://schemas.microsoft.com/office/drawing/2014/main" id="{A43A3518-F4B1-4097-BFBE-47A9023B9A74}"/>
            </a:ext>
          </a:extLst>
        </xdr:cNvPr>
        <xdr:cNvSpPr/>
      </xdr:nvSpPr>
      <xdr:spPr>
        <a:xfrm>
          <a:off x="5008033" y="25442334"/>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1058333</xdr:colOff>
      <xdr:row>94</xdr:row>
      <xdr:rowOff>325967</xdr:rowOff>
    </xdr:from>
    <xdr:to>
      <xdr:col>3</xdr:col>
      <xdr:colOff>469900</xdr:colOff>
      <xdr:row>96</xdr:row>
      <xdr:rowOff>131234</xdr:rowOff>
    </xdr:to>
    <xdr:cxnSp macro="">
      <xdr:nvCxnSpPr>
        <xdr:cNvPr id="2" name="Straight Arrow Connector 1">
          <a:extLst>
            <a:ext uri="{FF2B5EF4-FFF2-40B4-BE49-F238E27FC236}">
              <a16:creationId xmlns:a16="http://schemas.microsoft.com/office/drawing/2014/main" id="{70554D90-B898-4FDB-8C8B-5AF76F44DAB1}"/>
            </a:ext>
          </a:extLst>
        </xdr:cNvPr>
        <xdr:cNvCxnSpPr/>
      </xdr:nvCxnSpPr>
      <xdr:spPr>
        <a:xfrm flipV="1">
          <a:off x="2142066" y="346032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3" name="Straight Arrow Connector 2">
          <a:extLst>
            <a:ext uri="{FF2B5EF4-FFF2-40B4-BE49-F238E27FC236}">
              <a16:creationId xmlns:a16="http://schemas.microsoft.com/office/drawing/2014/main" id="{B1DA163A-69E0-4602-BDB2-575C0446BCD7}"/>
            </a:ext>
          </a:extLst>
        </xdr:cNvPr>
        <xdr:cNvCxnSpPr/>
      </xdr:nvCxnSpPr>
      <xdr:spPr>
        <a:xfrm flipV="1">
          <a:off x="3187700" y="339471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4" name="Straight Arrow Connector 3">
          <a:extLst>
            <a:ext uri="{FF2B5EF4-FFF2-40B4-BE49-F238E27FC236}">
              <a16:creationId xmlns:a16="http://schemas.microsoft.com/office/drawing/2014/main" id="{F604624C-008F-47C5-819B-953AEBC1F617}"/>
            </a:ext>
          </a:extLst>
        </xdr:cNvPr>
        <xdr:cNvCxnSpPr/>
      </xdr:nvCxnSpPr>
      <xdr:spPr>
        <a:xfrm>
          <a:off x="4093633" y="338158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5" name="Straight Arrow Connector 4">
          <a:extLst>
            <a:ext uri="{FF2B5EF4-FFF2-40B4-BE49-F238E27FC236}">
              <a16:creationId xmlns:a16="http://schemas.microsoft.com/office/drawing/2014/main" id="{6CB4B36A-24E9-43AA-8907-A00FA56A54E2}"/>
            </a:ext>
          </a:extLst>
        </xdr:cNvPr>
        <xdr:cNvCxnSpPr/>
      </xdr:nvCxnSpPr>
      <xdr:spPr>
        <a:xfrm>
          <a:off x="3191933" y="357759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6" name="Straight Arrow Connector 5">
          <a:extLst>
            <a:ext uri="{FF2B5EF4-FFF2-40B4-BE49-F238E27FC236}">
              <a16:creationId xmlns:a16="http://schemas.microsoft.com/office/drawing/2014/main" id="{2B128CF7-5BB5-4DC3-8455-742C5EF012AE}"/>
            </a:ext>
          </a:extLst>
        </xdr:cNvPr>
        <xdr:cNvCxnSpPr/>
      </xdr:nvCxnSpPr>
      <xdr:spPr>
        <a:xfrm>
          <a:off x="2146300" y="350816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7" name="Straight Arrow Connector 6">
          <a:extLst>
            <a:ext uri="{FF2B5EF4-FFF2-40B4-BE49-F238E27FC236}">
              <a16:creationId xmlns:a16="http://schemas.microsoft.com/office/drawing/2014/main" id="{BCEEC311-2906-4916-9D45-1E3071BD1705}"/>
            </a:ext>
          </a:extLst>
        </xdr:cNvPr>
        <xdr:cNvCxnSpPr/>
      </xdr:nvCxnSpPr>
      <xdr:spPr>
        <a:xfrm flipV="1">
          <a:off x="4093634" y="364278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8" name="Straight Arrow Connector 7">
          <a:extLst>
            <a:ext uri="{FF2B5EF4-FFF2-40B4-BE49-F238E27FC236}">
              <a16:creationId xmlns:a16="http://schemas.microsoft.com/office/drawing/2014/main" id="{B45F62E5-542F-40D8-9E21-9186191CF68E}"/>
            </a:ext>
          </a:extLst>
        </xdr:cNvPr>
        <xdr:cNvCxnSpPr/>
      </xdr:nvCxnSpPr>
      <xdr:spPr>
        <a:xfrm>
          <a:off x="3187700" y="344508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9" name="Straight Arrow Connector 8">
          <a:extLst>
            <a:ext uri="{FF2B5EF4-FFF2-40B4-BE49-F238E27FC236}">
              <a16:creationId xmlns:a16="http://schemas.microsoft.com/office/drawing/2014/main" id="{61F4A32A-79A1-440C-898A-A63D6ED4A1B7}"/>
            </a:ext>
          </a:extLst>
        </xdr:cNvPr>
        <xdr:cNvCxnSpPr/>
      </xdr:nvCxnSpPr>
      <xdr:spPr>
        <a:xfrm flipV="1">
          <a:off x="3196167" y="352679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0" name="Straight Arrow Connector 9">
          <a:extLst>
            <a:ext uri="{FF2B5EF4-FFF2-40B4-BE49-F238E27FC236}">
              <a16:creationId xmlns:a16="http://schemas.microsoft.com/office/drawing/2014/main" id="{FE6EB666-7D1B-4F57-A7B4-8E186A5FE6D2}"/>
            </a:ext>
          </a:extLst>
        </xdr:cNvPr>
        <xdr:cNvCxnSpPr/>
      </xdr:nvCxnSpPr>
      <xdr:spPr>
        <a:xfrm>
          <a:off x="4106333" y="351282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1" name="Straight Arrow Connector 10">
          <a:extLst>
            <a:ext uri="{FF2B5EF4-FFF2-40B4-BE49-F238E27FC236}">
              <a16:creationId xmlns:a16="http://schemas.microsoft.com/office/drawing/2014/main" id="{7A306B64-9178-4DC8-9291-5A291A308907}"/>
            </a:ext>
          </a:extLst>
        </xdr:cNvPr>
        <xdr:cNvCxnSpPr/>
      </xdr:nvCxnSpPr>
      <xdr:spPr>
        <a:xfrm flipV="1">
          <a:off x="3196167" y="399880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2" name="Straight Arrow Connector 11">
          <a:extLst>
            <a:ext uri="{FF2B5EF4-FFF2-40B4-BE49-F238E27FC236}">
              <a16:creationId xmlns:a16="http://schemas.microsoft.com/office/drawing/2014/main" id="{E2E72351-D030-46BA-AA21-18D0C58D67F2}"/>
            </a:ext>
          </a:extLst>
        </xdr:cNvPr>
        <xdr:cNvCxnSpPr/>
      </xdr:nvCxnSpPr>
      <xdr:spPr>
        <a:xfrm flipV="1">
          <a:off x="4982633" y="394716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3" name="Straight Arrow Connector 12">
          <a:extLst>
            <a:ext uri="{FF2B5EF4-FFF2-40B4-BE49-F238E27FC236}">
              <a16:creationId xmlns:a16="http://schemas.microsoft.com/office/drawing/2014/main" id="{BB3FB660-63C9-40D3-84BD-55A2E4F4ED00}"/>
            </a:ext>
          </a:extLst>
        </xdr:cNvPr>
        <xdr:cNvCxnSpPr/>
      </xdr:nvCxnSpPr>
      <xdr:spPr>
        <a:xfrm>
          <a:off x="5947833" y="393403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4" name="Straight Arrow Connector 13">
          <a:extLst>
            <a:ext uri="{FF2B5EF4-FFF2-40B4-BE49-F238E27FC236}">
              <a16:creationId xmlns:a16="http://schemas.microsoft.com/office/drawing/2014/main" id="{FAFE4989-AF8B-4B92-B79F-54A84CE64E94}"/>
            </a:ext>
          </a:extLst>
        </xdr:cNvPr>
        <xdr:cNvCxnSpPr/>
      </xdr:nvCxnSpPr>
      <xdr:spPr>
        <a:xfrm>
          <a:off x="4986866" y="413004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5" name="Straight Arrow Connector 14">
          <a:extLst>
            <a:ext uri="{FF2B5EF4-FFF2-40B4-BE49-F238E27FC236}">
              <a16:creationId xmlns:a16="http://schemas.microsoft.com/office/drawing/2014/main" id="{88907C0E-5809-4239-9C0A-883B6D9D0886}"/>
            </a:ext>
          </a:extLst>
        </xdr:cNvPr>
        <xdr:cNvCxnSpPr/>
      </xdr:nvCxnSpPr>
      <xdr:spPr>
        <a:xfrm>
          <a:off x="3200400" y="412750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6" name="Straight Arrow Connector 15">
          <a:extLst>
            <a:ext uri="{FF2B5EF4-FFF2-40B4-BE49-F238E27FC236}">
              <a16:creationId xmlns:a16="http://schemas.microsoft.com/office/drawing/2014/main" id="{E5804009-B549-4E6E-9945-74FAAE695EAE}"/>
            </a:ext>
          </a:extLst>
        </xdr:cNvPr>
        <xdr:cNvCxnSpPr/>
      </xdr:nvCxnSpPr>
      <xdr:spPr>
        <a:xfrm flipV="1">
          <a:off x="5947834" y="419523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7" name="Straight Arrow Connector 16">
          <a:extLst>
            <a:ext uri="{FF2B5EF4-FFF2-40B4-BE49-F238E27FC236}">
              <a16:creationId xmlns:a16="http://schemas.microsoft.com/office/drawing/2014/main" id="{123D5C6E-BA7B-4B8F-B8B9-68C21DD5580A}"/>
            </a:ext>
          </a:extLst>
        </xdr:cNvPr>
        <xdr:cNvCxnSpPr/>
      </xdr:nvCxnSpPr>
      <xdr:spPr>
        <a:xfrm>
          <a:off x="4982633" y="399753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8" name="Straight Arrow Connector 17">
          <a:extLst>
            <a:ext uri="{FF2B5EF4-FFF2-40B4-BE49-F238E27FC236}">
              <a16:creationId xmlns:a16="http://schemas.microsoft.com/office/drawing/2014/main" id="{99442865-4C95-4E01-B537-36E06E927712}"/>
            </a:ext>
          </a:extLst>
        </xdr:cNvPr>
        <xdr:cNvCxnSpPr/>
      </xdr:nvCxnSpPr>
      <xdr:spPr>
        <a:xfrm flipV="1">
          <a:off x="4991100" y="407924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9" name="Straight Arrow Connector 18">
          <a:extLst>
            <a:ext uri="{FF2B5EF4-FFF2-40B4-BE49-F238E27FC236}">
              <a16:creationId xmlns:a16="http://schemas.microsoft.com/office/drawing/2014/main" id="{11A7AC63-B502-49C2-BE88-10E4A8AE6CF2}"/>
            </a:ext>
          </a:extLst>
        </xdr:cNvPr>
        <xdr:cNvCxnSpPr/>
      </xdr:nvCxnSpPr>
      <xdr:spPr>
        <a:xfrm>
          <a:off x="5960533" y="406527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20" name="Straight Arrow Connector 19">
          <a:extLst>
            <a:ext uri="{FF2B5EF4-FFF2-40B4-BE49-F238E27FC236}">
              <a16:creationId xmlns:a16="http://schemas.microsoft.com/office/drawing/2014/main" id="{3A1A31DF-7EA6-476D-8E90-E4670D8AC5D5}"/>
            </a:ext>
          </a:extLst>
        </xdr:cNvPr>
        <xdr:cNvCxnSpPr/>
      </xdr:nvCxnSpPr>
      <xdr:spPr>
        <a:xfrm flipV="1">
          <a:off x="2142066" y="401277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21" name="Straight Arrow Connector 20">
          <a:extLst>
            <a:ext uri="{FF2B5EF4-FFF2-40B4-BE49-F238E27FC236}">
              <a16:creationId xmlns:a16="http://schemas.microsoft.com/office/drawing/2014/main" id="{2537B840-B240-4414-A6EB-9B655685CE15}"/>
            </a:ext>
          </a:extLst>
        </xdr:cNvPr>
        <xdr:cNvCxnSpPr/>
      </xdr:nvCxnSpPr>
      <xdr:spPr>
        <a:xfrm>
          <a:off x="2146300" y="406061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22" name="Straight Arrow Connector 21">
          <a:extLst>
            <a:ext uri="{FF2B5EF4-FFF2-40B4-BE49-F238E27FC236}">
              <a16:creationId xmlns:a16="http://schemas.microsoft.com/office/drawing/2014/main" id="{912CC36E-1F46-498B-B737-CDFFF73428B3}"/>
            </a:ext>
          </a:extLst>
        </xdr:cNvPr>
        <xdr:cNvCxnSpPr/>
      </xdr:nvCxnSpPr>
      <xdr:spPr>
        <a:xfrm flipV="1">
          <a:off x="2142066" y="281135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23" name="Straight Arrow Connector 22">
          <a:extLst>
            <a:ext uri="{FF2B5EF4-FFF2-40B4-BE49-F238E27FC236}">
              <a16:creationId xmlns:a16="http://schemas.microsoft.com/office/drawing/2014/main" id="{2A2E37E4-235E-42CA-B178-E8559CC62593}"/>
            </a:ext>
          </a:extLst>
        </xdr:cNvPr>
        <xdr:cNvCxnSpPr/>
      </xdr:nvCxnSpPr>
      <xdr:spPr>
        <a:xfrm>
          <a:off x="2146300" y="285157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24" name="Right Brace 23">
          <a:extLst>
            <a:ext uri="{FF2B5EF4-FFF2-40B4-BE49-F238E27FC236}">
              <a16:creationId xmlns:a16="http://schemas.microsoft.com/office/drawing/2014/main" id="{40B80760-1D64-45B3-A58F-CD48EA4D8A4D}"/>
            </a:ext>
          </a:extLst>
        </xdr:cNvPr>
        <xdr:cNvSpPr/>
      </xdr:nvSpPr>
      <xdr:spPr>
        <a:xfrm>
          <a:off x="2933700" y="281220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25" name="Right Brace 24">
          <a:extLst>
            <a:ext uri="{FF2B5EF4-FFF2-40B4-BE49-F238E27FC236}">
              <a16:creationId xmlns:a16="http://schemas.microsoft.com/office/drawing/2014/main" id="{7E8F7831-346C-448B-94CF-C00164E23C41}"/>
            </a:ext>
          </a:extLst>
        </xdr:cNvPr>
        <xdr:cNvSpPr/>
      </xdr:nvSpPr>
      <xdr:spPr>
        <a:xfrm>
          <a:off x="4762500" y="281262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26" name="Straight Arrow Connector 25">
          <a:extLst>
            <a:ext uri="{FF2B5EF4-FFF2-40B4-BE49-F238E27FC236}">
              <a16:creationId xmlns:a16="http://schemas.microsoft.com/office/drawing/2014/main" id="{2A0AB76D-1157-4192-B33C-51F4634FCAE4}"/>
            </a:ext>
          </a:extLst>
        </xdr:cNvPr>
        <xdr:cNvCxnSpPr/>
      </xdr:nvCxnSpPr>
      <xdr:spPr>
        <a:xfrm flipV="1">
          <a:off x="2142066" y="346032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27" name="Straight Arrow Connector 26">
          <a:extLst>
            <a:ext uri="{FF2B5EF4-FFF2-40B4-BE49-F238E27FC236}">
              <a16:creationId xmlns:a16="http://schemas.microsoft.com/office/drawing/2014/main" id="{182ACDBA-1F04-4138-9E29-69A119E6BC66}"/>
            </a:ext>
          </a:extLst>
        </xdr:cNvPr>
        <xdr:cNvCxnSpPr/>
      </xdr:nvCxnSpPr>
      <xdr:spPr>
        <a:xfrm flipV="1">
          <a:off x="3187700" y="339471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28" name="Straight Arrow Connector 27">
          <a:extLst>
            <a:ext uri="{FF2B5EF4-FFF2-40B4-BE49-F238E27FC236}">
              <a16:creationId xmlns:a16="http://schemas.microsoft.com/office/drawing/2014/main" id="{36D9E308-9611-409F-9457-F3319DD55C47}"/>
            </a:ext>
          </a:extLst>
        </xdr:cNvPr>
        <xdr:cNvCxnSpPr/>
      </xdr:nvCxnSpPr>
      <xdr:spPr>
        <a:xfrm>
          <a:off x="4093633" y="338158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29" name="Straight Arrow Connector 28">
          <a:extLst>
            <a:ext uri="{FF2B5EF4-FFF2-40B4-BE49-F238E27FC236}">
              <a16:creationId xmlns:a16="http://schemas.microsoft.com/office/drawing/2014/main" id="{48B7D71F-8C42-42CB-9575-4F7CA11E6939}"/>
            </a:ext>
          </a:extLst>
        </xdr:cNvPr>
        <xdr:cNvCxnSpPr/>
      </xdr:nvCxnSpPr>
      <xdr:spPr>
        <a:xfrm>
          <a:off x="3191933" y="357759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30" name="Straight Arrow Connector 29">
          <a:extLst>
            <a:ext uri="{FF2B5EF4-FFF2-40B4-BE49-F238E27FC236}">
              <a16:creationId xmlns:a16="http://schemas.microsoft.com/office/drawing/2014/main" id="{A4C650E2-CBD7-467A-A2C8-D17DAC7F5961}"/>
            </a:ext>
          </a:extLst>
        </xdr:cNvPr>
        <xdr:cNvCxnSpPr/>
      </xdr:nvCxnSpPr>
      <xdr:spPr>
        <a:xfrm>
          <a:off x="2146300" y="350816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31" name="Straight Arrow Connector 30">
          <a:extLst>
            <a:ext uri="{FF2B5EF4-FFF2-40B4-BE49-F238E27FC236}">
              <a16:creationId xmlns:a16="http://schemas.microsoft.com/office/drawing/2014/main" id="{B99C85CB-96D9-4706-8905-D5CDC3AD1BB2}"/>
            </a:ext>
          </a:extLst>
        </xdr:cNvPr>
        <xdr:cNvCxnSpPr/>
      </xdr:nvCxnSpPr>
      <xdr:spPr>
        <a:xfrm flipV="1">
          <a:off x="4093634" y="364278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32" name="Straight Arrow Connector 31">
          <a:extLst>
            <a:ext uri="{FF2B5EF4-FFF2-40B4-BE49-F238E27FC236}">
              <a16:creationId xmlns:a16="http://schemas.microsoft.com/office/drawing/2014/main" id="{D21AAACF-DA72-4124-8AA9-DD8ADADD4D7E}"/>
            </a:ext>
          </a:extLst>
        </xdr:cNvPr>
        <xdr:cNvCxnSpPr/>
      </xdr:nvCxnSpPr>
      <xdr:spPr>
        <a:xfrm>
          <a:off x="3187700" y="344508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33" name="Straight Arrow Connector 32">
          <a:extLst>
            <a:ext uri="{FF2B5EF4-FFF2-40B4-BE49-F238E27FC236}">
              <a16:creationId xmlns:a16="http://schemas.microsoft.com/office/drawing/2014/main" id="{DDACEE9C-8802-4D97-B49A-A78069C08888}"/>
            </a:ext>
          </a:extLst>
        </xdr:cNvPr>
        <xdr:cNvCxnSpPr/>
      </xdr:nvCxnSpPr>
      <xdr:spPr>
        <a:xfrm flipV="1">
          <a:off x="3196167" y="352679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34" name="Straight Arrow Connector 33">
          <a:extLst>
            <a:ext uri="{FF2B5EF4-FFF2-40B4-BE49-F238E27FC236}">
              <a16:creationId xmlns:a16="http://schemas.microsoft.com/office/drawing/2014/main" id="{876473CF-65BD-49E5-A7BA-3A17B9CDE4A2}"/>
            </a:ext>
          </a:extLst>
        </xdr:cNvPr>
        <xdr:cNvCxnSpPr/>
      </xdr:nvCxnSpPr>
      <xdr:spPr>
        <a:xfrm>
          <a:off x="4106333" y="351282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35" name="Straight Arrow Connector 34">
          <a:extLst>
            <a:ext uri="{FF2B5EF4-FFF2-40B4-BE49-F238E27FC236}">
              <a16:creationId xmlns:a16="http://schemas.microsoft.com/office/drawing/2014/main" id="{53093161-F5B0-4860-905F-FAF358B633F0}"/>
            </a:ext>
          </a:extLst>
        </xdr:cNvPr>
        <xdr:cNvCxnSpPr/>
      </xdr:nvCxnSpPr>
      <xdr:spPr>
        <a:xfrm flipV="1">
          <a:off x="3196167" y="399880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36" name="Straight Arrow Connector 35">
          <a:extLst>
            <a:ext uri="{FF2B5EF4-FFF2-40B4-BE49-F238E27FC236}">
              <a16:creationId xmlns:a16="http://schemas.microsoft.com/office/drawing/2014/main" id="{6A0376F5-39EE-450C-A87C-962C47467FEB}"/>
            </a:ext>
          </a:extLst>
        </xdr:cNvPr>
        <xdr:cNvCxnSpPr/>
      </xdr:nvCxnSpPr>
      <xdr:spPr>
        <a:xfrm flipV="1">
          <a:off x="4982633" y="394716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37" name="Straight Arrow Connector 36">
          <a:extLst>
            <a:ext uri="{FF2B5EF4-FFF2-40B4-BE49-F238E27FC236}">
              <a16:creationId xmlns:a16="http://schemas.microsoft.com/office/drawing/2014/main" id="{46353CF6-0102-43A5-A5C0-35DBDE6766B3}"/>
            </a:ext>
          </a:extLst>
        </xdr:cNvPr>
        <xdr:cNvCxnSpPr/>
      </xdr:nvCxnSpPr>
      <xdr:spPr>
        <a:xfrm>
          <a:off x="5947833" y="393403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38" name="Straight Arrow Connector 37">
          <a:extLst>
            <a:ext uri="{FF2B5EF4-FFF2-40B4-BE49-F238E27FC236}">
              <a16:creationId xmlns:a16="http://schemas.microsoft.com/office/drawing/2014/main" id="{37CEDD63-9AE0-4A3C-B65C-2D485FF5FD7F}"/>
            </a:ext>
          </a:extLst>
        </xdr:cNvPr>
        <xdr:cNvCxnSpPr/>
      </xdr:nvCxnSpPr>
      <xdr:spPr>
        <a:xfrm>
          <a:off x="4986866" y="413004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39" name="Straight Arrow Connector 38">
          <a:extLst>
            <a:ext uri="{FF2B5EF4-FFF2-40B4-BE49-F238E27FC236}">
              <a16:creationId xmlns:a16="http://schemas.microsoft.com/office/drawing/2014/main" id="{8C14A9B3-D5DE-4B7D-866E-84B9DA6FE62F}"/>
            </a:ext>
          </a:extLst>
        </xdr:cNvPr>
        <xdr:cNvCxnSpPr/>
      </xdr:nvCxnSpPr>
      <xdr:spPr>
        <a:xfrm>
          <a:off x="3200400" y="412750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40" name="Straight Arrow Connector 39">
          <a:extLst>
            <a:ext uri="{FF2B5EF4-FFF2-40B4-BE49-F238E27FC236}">
              <a16:creationId xmlns:a16="http://schemas.microsoft.com/office/drawing/2014/main" id="{2C59B654-0176-4FD7-B924-2F76D4DE4D32}"/>
            </a:ext>
          </a:extLst>
        </xdr:cNvPr>
        <xdr:cNvCxnSpPr/>
      </xdr:nvCxnSpPr>
      <xdr:spPr>
        <a:xfrm flipV="1">
          <a:off x="5947834" y="419523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41" name="Straight Arrow Connector 40">
          <a:extLst>
            <a:ext uri="{FF2B5EF4-FFF2-40B4-BE49-F238E27FC236}">
              <a16:creationId xmlns:a16="http://schemas.microsoft.com/office/drawing/2014/main" id="{7713ACF8-70DD-4159-91D5-BF2E00E53F02}"/>
            </a:ext>
          </a:extLst>
        </xdr:cNvPr>
        <xdr:cNvCxnSpPr/>
      </xdr:nvCxnSpPr>
      <xdr:spPr>
        <a:xfrm>
          <a:off x="4982633" y="399753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42" name="Straight Arrow Connector 41">
          <a:extLst>
            <a:ext uri="{FF2B5EF4-FFF2-40B4-BE49-F238E27FC236}">
              <a16:creationId xmlns:a16="http://schemas.microsoft.com/office/drawing/2014/main" id="{111B9DEC-27E7-49A8-876A-CA7DBCB3A434}"/>
            </a:ext>
          </a:extLst>
        </xdr:cNvPr>
        <xdr:cNvCxnSpPr/>
      </xdr:nvCxnSpPr>
      <xdr:spPr>
        <a:xfrm flipV="1">
          <a:off x="4991100" y="407924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43" name="Straight Arrow Connector 42">
          <a:extLst>
            <a:ext uri="{FF2B5EF4-FFF2-40B4-BE49-F238E27FC236}">
              <a16:creationId xmlns:a16="http://schemas.microsoft.com/office/drawing/2014/main" id="{857AE3B6-8BD8-4F13-9E8F-579A636015ED}"/>
            </a:ext>
          </a:extLst>
        </xdr:cNvPr>
        <xdr:cNvCxnSpPr/>
      </xdr:nvCxnSpPr>
      <xdr:spPr>
        <a:xfrm>
          <a:off x="5960533" y="406527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44" name="Straight Arrow Connector 43">
          <a:extLst>
            <a:ext uri="{FF2B5EF4-FFF2-40B4-BE49-F238E27FC236}">
              <a16:creationId xmlns:a16="http://schemas.microsoft.com/office/drawing/2014/main" id="{863FE9D0-0680-44A5-BACB-2B0E03D9D360}"/>
            </a:ext>
          </a:extLst>
        </xdr:cNvPr>
        <xdr:cNvCxnSpPr/>
      </xdr:nvCxnSpPr>
      <xdr:spPr>
        <a:xfrm flipV="1">
          <a:off x="2142066" y="401277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45" name="Straight Arrow Connector 44">
          <a:extLst>
            <a:ext uri="{FF2B5EF4-FFF2-40B4-BE49-F238E27FC236}">
              <a16:creationId xmlns:a16="http://schemas.microsoft.com/office/drawing/2014/main" id="{028498EB-650F-4B92-9E6E-DE5654DF1B0B}"/>
            </a:ext>
          </a:extLst>
        </xdr:cNvPr>
        <xdr:cNvCxnSpPr/>
      </xdr:nvCxnSpPr>
      <xdr:spPr>
        <a:xfrm>
          <a:off x="2146300" y="406061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46" name="Straight Arrow Connector 45">
          <a:extLst>
            <a:ext uri="{FF2B5EF4-FFF2-40B4-BE49-F238E27FC236}">
              <a16:creationId xmlns:a16="http://schemas.microsoft.com/office/drawing/2014/main" id="{60D78398-BA46-4218-9CE9-99762D03433F}"/>
            </a:ext>
          </a:extLst>
        </xdr:cNvPr>
        <xdr:cNvCxnSpPr/>
      </xdr:nvCxnSpPr>
      <xdr:spPr>
        <a:xfrm flipV="1">
          <a:off x="2142066" y="281135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47" name="Straight Arrow Connector 46">
          <a:extLst>
            <a:ext uri="{FF2B5EF4-FFF2-40B4-BE49-F238E27FC236}">
              <a16:creationId xmlns:a16="http://schemas.microsoft.com/office/drawing/2014/main" id="{F42F8B76-EC9B-470B-919B-043F294EEDF2}"/>
            </a:ext>
          </a:extLst>
        </xdr:cNvPr>
        <xdr:cNvCxnSpPr/>
      </xdr:nvCxnSpPr>
      <xdr:spPr>
        <a:xfrm>
          <a:off x="2146300" y="285157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48" name="Right Brace 47">
          <a:extLst>
            <a:ext uri="{FF2B5EF4-FFF2-40B4-BE49-F238E27FC236}">
              <a16:creationId xmlns:a16="http://schemas.microsoft.com/office/drawing/2014/main" id="{8B6B8D2E-C80B-4556-8BDC-34B1B5E714A8}"/>
            </a:ext>
          </a:extLst>
        </xdr:cNvPr>
        <xdr:cNvSpPr/>
      </xdr:nvSpPr>
      <xdr:spPr>
        <a:xfrm>
          <a:off x="2933700" y="281220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49" name="Right Brace 48">
          <a:extLst>
            <a:ext uri="{FF2B5EF4-FFF2-40B4-BE49-F238E27FC236}">
              <a16:creationId xmlns:a16="http://schemas.microsoft.com/office/drawing/2014/main" id="{E4C1A9C4-0E82-461B-BC06-3A27378F90ED}"/>
            </a:ext>
          </a:extLst>
        </xdr:cNvPr>
        <xdr:cNvSpPr/>
      </xdr:nvSpPr>
      <xdr:spPr>
        <a:xfrm>
          <a:off x="4762500" y="281262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50" name="Straight Arrow Connector 49">
          <a:extLst>
            <a:ext uri="{FF2B5EF4-FFF2-40B4-BE49-F238E27FC236}">
              <a16:creationId xmlns:a16="http://schemas.microsoft.com/office/drawing/2014/main" id="{E5156C47-6F2E-48B6-A4FF-4827837BE5BB}"/>
            </a:ext>
          </a:extLst>
        </xdr:cNvPr>
        <xdr:cNvCxnSpPr/>
      </xdr:nvCxnSpPr>
      <xdr:spPr>
        <a:xfrm flipV="1">
          <a:off x="2142066" y="338285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51" name="Straight Arrow Connector 50">
          <a:extLst>
            <a:ext uri="{FF2B5EF4-FFF2-40B4-BE49-F238E27FC236}">
              <a16:creationId xmlns:a16="http://schemas.microsoft.com/office/drawing/2014/main" id="{F0220CB8-7DE2-4296-9102-C8A8D39D5923}"/>
            </a:ext>
          </a:extLst>
        </xdr:cNvPr>
        <xdr:cNvCxnSpPr/>
      </xdr:nvCxnSpPr>
      <xdr:spPr>
        <a:xfrm flipV="1">
          <a:off x="3187700" y="331724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52" name="Straight Arrow Connector 51">
          <a:extLst>
            <a:ext uri="{FF2B5EF4-FFF2-40B4-BE49-F238E27FC236}">
              <a16:creationId xmlns:a16="http://schemas.microsoft.com/office/drawing/2014/main" id="{3389F1ED-E2D9-4A60-B802-29F1513DD451}"/>
            </a:ext>
          </a:extLst>
        </xdr:cNvPr>
        <xdr:cNvCxnSpPr/>
      </xdr:nvCxnSpPr>
      <xdr:spPr>
        <a:xfrm>
          <a:off x="4093633" y="330411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53" name="Straight Arrow Connector 52">
          <a:extLst>
            <a:ext uri="{FF2B5EF4-FFF2-40B4-BE49-F238E27FC236}">
              <a16:creationId xmlns:a16="http://schemas.microsoft.com/office/drawing/2014/main" id="{4E59E0EF-55FF-456C-8FD8-8A49BEE39461}"/>
            </a:ext>
          </a:extLst>
        </xdr:cNvPr>
        <xdr:cNvCxnSpPr/>
      </xdr:nvCxnSpPr>
      <xdr:spPr>
        <a:xfrm>
          <a:off x="3191933" y="350012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54" name="Straight Arrow Connector 53">
          <a:extLst>
            <a:ext uri="{FF2B5EF4-FFF2-40B4-BE49-F238E27FC236}">
              <a16:creationId xmlns:a16="http://schemas.microsoft.com/office/drawing/2014/main" id="{2F0973B8-8115-46D3-A044-2BAA02A5EF87}"/>
            </a:ext>
          </a:extLst>
        </xdr:cNvPr>
        <xdr:cNvCxnSpPr/>
      </xdr:nvCxnSpPr>
      <xdr:spPr>
        <a:xfrm>
          <a:off x="2146300" y="343069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55" name="Straight Arrow Connector 54">
          <a:extLst>
            <a:ext uri="{FF2B5EF4-FFF2-40B4-BE49-F238E27FC236}">
              <a16:creationId xmlns:a16="http://schemas.microsoft.com/office/drawing/2014/main" id="{E89F30EC-4C84-47B1-8870-E202555D3F4C}"/>
            </a:ext>
          </a:extLst>
        </xdr:cNvPr>
        <xdr:cNvCxnSpPr/>
      </xdr:nvCxnSpPr>
      <xdr:spPr>
        <a:xfrm flipV="1">
          <a:off x="4093634" y="356531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56" name="Straight Arrow Connector 55">
          <a:extLst>
            <a:ext uri="{FF2B5EF4-FFF2-40B4-BE49-F238E27FC236}">
              <a16:creationId xmlns:a16="http://schemas.microsoft.com/office/drawing/2014/main" id="{A8121D65-E32B-4B02-832F-9955157B572D}"/>
            </a:ext>
          </a:extLst>
        </xdr:cNvPr>
        <xdr:cNvCxnSpPr/>
      </xdr:nvCxnSpPr>
      <xdr:spPr>
        <a:xfrm>
          <a:off x="3187700" y="336761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57" name="Straight Arrow Connector 56">
          <a:extLst>
            <a:ext uri="{FF2B5EF4-FFF2-40B4-BE49-F238E27FC236}">
              <a16:creationId xmlns:a16="http://schemas.microsoft.com/office/drawing/2014/main" id="{3AB01C80-0CB4-4F4F-B841-EE669E837A0F}"/>
            </a:ext>
          </a:extLst>
        </xdr:cNvPr>
        <xdr:cNvCxnSpPr/>
      </xdr:nvCxnSpPr>
      <xdr:spPr>
        <a:xfrm flipV="1">
          <a:off x="3196167" y="344932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58" name="Straight Arrow Connector 57">
          <a:extLst>
            <a:ext uri="{FF2B5EF4-FFF2-40B4-BE49-F238E27FC236}">
              <a16:creationId xmlns:a16="http://schemas.microsoft.com/office/drawing/2014/main" id="{5D129228-1D24-4A0F-861C-323E42024662}"/>
            </a:ext>
          </a:extLst>
        </xdr:cNvPr>
        <xdr:cNvCxnSpPr/>
      </xdr:nvCxnSpPr>
      <xdr:spPr>
        <a:xfrm>
          <a:off x="4106333" y="34353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59" name="Straight Arrow Connector 58">
          <a:extLst>
            <a:ext uri="{FF2B5EF4-FFF2-40B4-BE49-F238E27FC236}">
              <a16:creationId xmlns:a16="http://schemas.microsoft.com/office/drawing/2014/main" id="{8D2FC865-1176-4D61-975D-8660B85DD320}"/>
            </a:ext>
          </a:extLst>
        </xdr:cNvPr>
        <xdr:cNvCxnSpPr/>
      </xdr:nvCxnSpPr>
      <xdr:spPr>
        <a:xfrm flipV="1">
          <a:off x="3196167" y="392133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60" name="Straight Arrow Connector 59">
          <a:extLst>
            <a:ext uri="{FF2B5EF4-FFF2-40B4-BE49-F238E27FC236}">
              <a16:creationId xmlns:a16="http://schemas.microsoft.com/office/drawing/2014/main" id="{CFEEB582-A98B-4033-B7EF-AE4E6A9DD866}"/>
            </a:ext>
          </a:extLst>
        </xdr:cNvPr>
        <xdr:cNvCxnSpPr/>
      </xdr:nvCxnSpPr>
      <xdr:spPr>
        <a:xfrm flipV="1">
          <a:off x="4982633" y="386969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61" name="Straight Arrow Connector 60">
          <a:extLst>
            <a:ext uri="{FF2B5EF4-FFF2-40B4-BE49-F238E27FC236}">
              <a16:creationId xmlns:a16="http://schemas.microsoft.com/office/drawing/2014/main" id="{F78767DB-A5BA-4DC1-90EF-18D80EEAA26F}"/>
            </a:ext>
          </a:extLst>
        </xdr:cNvPr>
        <xdr:cNvCxnSpPr/>
      </xdr:nvCxnSpPr>
      <xdr:spPr>
        <a:xfrm>
          <a:off x="5888566" y="385656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62" name="Straight Arrow Connector 61">
          <a:extLst>
            <a:ext uri="{FF2B5EF4-FFF2-40B4-BE49-F238E27FC236}">
              <a16:creationId xmlns:a16="http://schemas.microsoft.com/office/drawing/2014/main" id="{BE6E43A0-28CF-4FAC-9A34-F11A7FE5594E}"/>
            </a:ext>
          </a:extLst>
        </xdr:cNvPr>
        <xdr:cNvCxnSpPr/>
      </xdr:nvCxnSpPr>
      <xdr:spPr>
        <a:xfrm>
          <a:off x="4986866" y="405257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63" name="Straight Arrow Connector 62">
          <a:extLst>
            <a:ext uri="{FF2B5EF4-FFF2-40B4-BE49-F238E27FC236}">
              <a16:creationId xmlns:a16="http://schemas.microsoft.com/office/drawing/2014/main" id="{7C77EE41-6C69-4BC8-8960-B0EFAE60765D}"/>
            </a:ext>
          </a:extLst>
        </xdr:cNvPr>
        <xdr:cNvCxnSpPr/>
      </xdr:nvCxnSpPr>
      <xdr:spPr>
        <a:xfrm>
          <a:off x="3200400" y="405003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64" name="Straight Arrow Connector 63">
          <a:extLst>
            <a:ext uri="{FF2B5EF4-FFF2-40B4-BE49-F238E27FC236}">
              <a16:creationId xmlns:a16="http://schemas.microsoft.com/office/drawing/2014/main" id="{55FC039D-8355-4BF4-8C6E-64204FE682BD}"/>
            </a:ext>
          </a:extLst>
        </xdr:cNvPr>
        <xdr:cNvCxnSpPr/>
      </xdr:nvCxnSpPr>
      <xdr:spPr>
        <a:xfrm flipV="1">
          <a:off x="5888567" y="411776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65" name="Straight Arrow Connector 64">
          <a:extLst>
            <a:ext uri="{FF2B5EF4-FFF2-40B4-BE49-F238E27FC236}">
              <a16:creationId xmlns:a16="http://schemas.microsoft.com/office/drawing/2014/main" id="{51AC9257-608E-481B-B08C-440C28EF4699}"/>
            </a:ext>
          </a:extLst>
        </xdr:cNvPr>
        <xdr:cNvCxnSpPr/>
      </xdr:nvCxnSpPr>
      <xdr:spPr>
        <a:xfrm>
          <a:off x="4982633" y="392006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66" name="Straight Arrow Connector 65">
          <a:extLst>
            <a:ext uri="{FF2B5EF4-FFF2-40B4-BE49-F238E27FC236}">
              <a16:creationId xmlns:a16="http://schemas.microsoft.com/office/drawing/2014/main" id="{4D0BD496-3B69-4A5C-AB14-CB6E55ED35F1}"/>
            </a:ext>
          </a:extLst>
        </xdr:cNvPr>
        <xdr:cNvCxnSpPr/>
      </xdr:nvCxnSpPr>
      <xdr:spPr>
        <a:xfrm flipV="1">
          <a:off x="4991100" y="400177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67" name="Straight Arrow Connector 66">
          <a:extLst>
            <a:ext uri="{FF2B5EF4-FFF2-40B4-BE49-F238E27FC236}">
              <a16:creationId xmlns:a16="http://schemas.microsoft.com/office/drawing/2014/main" id="{0C013C33-F012-406A-A94C-8663E2C6E0C9}"/>
            </a:ext>
          </a:extLst>
        </xdr:cNvPr>
        <xdr:cNvCxnSpPr/>
      </xdr:nvCxnSpPr>
      <xdr:spPr>
        <a:xfrm>
          <a:off x="5901266" y="39878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68" name="Straight Arrow Connector 67">
          <a:extLst>
            <a:ext uri="{FF2B5EF4-FFF2-40B4-BE49-F238E27FC236}">
              <a16:creationId xmlns:a16="http://schemas.microsoft.com/office/drawing/2014/main" id="{BF42526C-1F8E-46E4-BA06-11503FADC2D2}"/>
            </a:ext>
          </a:extLst>
        </xdr:cNvPr>
        <xdr:cNvCxnSpPr/>
      </xdr:nvCxnSpPr>
      <xdr:spPr>
        <a:xfrm flipV="1">
          <a:off x="2142066" y="393530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69" name="Straight Arrow Connector 68">
          <a:extLst>
            <a:ext uri="{FF2B5EF4-FFF2-40B4-BE49-F238E27FC236}">
              <a16:creationId xmlns:a16="http://schemas.microsoft.com/office/drawing/2014/main" id="{935BD179-BF6E-455C-8F55-CD7788C91132}"/>
            </a:ext>
          </a:extLst>
        </xdr:cNvPr>
        <xdr:cNvCxnSpPr/>
      </xdr:nvCxnSpPr>
      <xdr:spPr>
        <a:xfrm>
          <a:off x="2146300" y="398314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70" name="Straight Arrow Connector 69">
          <a:extLst>
            <a:ext uri="{FF2B5EF4-FFF2-40B4-BE49-F238E27FC236}">
              <a16:creationId xmlns:a16="http://schemas.microsoft.com/office/drawing/2014/main" id="{743B6365-2309-4835-AE60-6A9EDB862B2A}"/>
            </a:ext>
          </a:extLst>
        </xdr:cNvPr>
        <xdr:cNvCxnSpPr/>
      </xdr:nvCxnSpPr>
      <xdr:spPr>
        <a:xfrm flipV="1">
          <a:off x="2142066" y="273388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71" name="Straight Arrow Connector 70">
          <a:extLst>
            <a:ext uri="{FF2B5EF4-FFF2-40B4-BE49-F238E27FC236}">
              <a16:creationId xmlns:a16="http://schemas.microsoft.com/office/drawing/2014/main" id="{6930D880-12D2-419E-BD2A-C4C7DF6C5D15}"/>
            </a:ext>
          </a:extLst>
        </xdr:cNvPr>
        <xdr:cNvCxnSpPr/>
      </xdr:nvCxnSpPr>
      <xdr:spPr>
        <a:xfrm>
          <a:off x="2146300" y="277410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72" name="Right Brace 71">
          <a:extLst>
            <a:ext uri="{FF2B5EF4-FFF2-40B4-BE49-F238E27FC236}">
              <a16:creationId xmlns:a16="http://schemas.microsoft.com/office/drawing/2014/main" id="{B03CC8C2-5F23-4237-8A7C-B461EA0A92D3}"/>
            </a:ext>
          </a:extLst>
        </xdr:cNvPr>
        <xdr:cNvSpPr/>
      </xdr:nvSpPr>
      <xdr:spPr>
        <a:xfrm>
          <a:off x="2933700" y="273473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73" name="Right Brace 72">
          <a:extLst>
            <a:ext uri="{FF2B5EF4-FFF2-40B4-BE49-F238E27FC236}">
              <a16:creationId xmlns:a16="http://schemas.microsoft.com/office/drawing/2014/main" id="{7363A0A0-CC60-49A5-AE64-87C4A9355B42}"/>
            </a:ext>
          </a:extLst>
        </xdr:cNvPr>
        <xdr:cNvSpPr/>
      </xdr:nvSpPr>
      <xdr:spPr>
        <a:xfrm>
          <a:off x="4762500" y="273515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74" name="Straight Arrow Connector 73">
          <a:extLst>
            <a:ext uri="{FF2B5EF4-FFF2-40B4-BE49-F238E27FC236}">
              <a16:creationId xmlns:a16="http://schemas.microsoft.com/office/drawing/2014/main" id="{981DFC87-7687-46D1-A271-DB1F92150114}"/>
            </a:ext>
          </a:extLst>
        </xdr:cNvPr>
        <xdr:cNvCxnSpPr/>
      </xdr:nvCxnSpPr>
      <xdr:spPr>
        <a:xfrm flipV="1">
          <a:off x="2150533" y="347599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75" name="Straight Arrow Connector 74">
          <a:extLst>
            <a:ext uri="{FF2B5EF4-FFF2-40B4-BE49-F238E27FC236}">
              <a16:creationId xmlns:a16="http://schemas.microsoft.com/office/drawing/2014/main" id="{29191E21-404F-41DA-A876-9D3BED331A03}"/>
            </a:ext>
          </a:extLst>
        </xdr:cNvPr>
        <xdr:cNvCxnSpPr/>
      </xdr:nvCxnSpPr>
      <xdr:spPr>
        <a:xfrm flipV="1">
          <a:off x="3187700" y="341037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76" name="Straight Arrow Connector 75">
          <a:extLst>
            <a:ext uri="{FF2B5EF4-FFF2-40B4-BE49-F238E27FC236}">
              <a16:creationId xmlns:a16="http://schemas.microsoft.com/office/drawing/2014/main" id="{B7035BE5-84B7-478D-9EF9-8D6E1DDB08F3}"/>
            </a:ext>
          </a:extLst>
        </xdr:cNvPr>
        <xdr:cNvCxnSpPr/>
      </xdr:nvCxnSpPr>
      <xdr:spPr>
        <a:xfrm>
          <a:off x="4089399" y="33972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77" name="Straight Arrow Connector 76">
          <a:extLst>
            <a:ext uri="{FF2B5EF4-FFF2-40B4-BE49-F238E27FC236}">
              <a16:creationId xmlns:a16="http://schemas.microsoft.com/office/drawing/2014/main" id="{BAC9157D-8396-4246-BB87-B06F0E018865}"/>
            </a:ext>
          </a:extLst>
        </xdr:cNvPr>
        <xdr:cNvCxnSpPr/>
      </xdr:nvCxnSpPr>
      <xdr:spPr>
        <a:xfrm>
          <a:off x="3191933" y="359325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78" name="Straight Arrow Connector 77">
          <a:extLst>
            <a:ext uri="{FF2B5EF4-FFF2-40B4-BE49-F238E27FC236}">
              <a16:creationId xmlns:a16="http://schemas.microsoft.com/office/drawing/2014/main" id="{D41F376E-E5BC-482B-9FB7-32A24B4B1AE8}"/>
            </a:ext>
          </a:extLst>
        </xdr:cNvPr>
        <xdr:cNvCxnSpPr/>
      </xdr:nvCxnSpPr>
      <xdr:spPr>
        <a:xfrm>
          <a:off x="2150533" y="352382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79" name="Straight Arrow Connector 78">
          <a:extLst>
            <a:ext uri="{FF2B5EF4-FFF2-40B4-BE49-F238E27FC236}">
              <a16:creationId xmlns:a16="http://schemas.microsoft.com/office/drawing/2014/main" id="{72B8D1ED-0662-4240-8EFC-B08DE4F23127}"/>
            </a:ext>
          </a:extLst>
        </xdr:cNvPr>
        <xdr:cNvCxnSpPr/>
      </xdr:nvCxnSpPr>
      <xdr:spPr>
        <a:xfrm flipV="1">
          <a:off x="4089400" y="365844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80" name="Straight Arrow Connector 79">
          <a:extLst>
            <a:ext uri="{FF2B5EF4-FFF2-40B4-BE49-F238E27FC236}">
              <a16:creationId xmlns:a16="http://schemas.microsoft.com/office/drawing/2014/main" id="{4E8807C8-7708-4C1C-9B5B-3322BDB5FAF5}"/>
            </a:ext>
          </a:extLst>
        </xdr:cNvPr>
        <xdr:cNvCxnSpPr/>
      </xdr:nvCxnSpPr>
      <xdr:spPr>
        <a:xfrm>
          <a:off x="3187700" y="346075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81" name="Straight Arrow Connector 80">
          <a:extLst>
            <a:ext uri="{FF2B5EF4-FFF2-40B4-BE49-F238E27FC236}">
              <a16:creationId xmlns:a16="http://schemas.microsoft.com/office/drawing/2014/main" id="{FBD8698F-3AAF-4C41-95E9-F92488C16538}"/>
            </a:ext>
          </a:extLst>
        </xdr:cNvPr>
        <xdr:cNvCxnSpPr/>
      </xdr:nvCxnSpPr>
      <xdr:spPr>
        <a:xfrm flipV="1">
          <a:off x="3196167" y="354245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82" name="Straight Arrow Connector 81">
          <a:extLst>
            <a:ext uri="{FF2B5EF4-FFF2-40B4-BE49-F238E27FC236}">
              <a16:creationId xmlns:a16="http://schemas.microsoft.com/office/drawing/2014/main" id="{AADDFC0E-A1B5-4406-AD79-6B1D833BC454}"/>
            </a:ext>
          </a:extLst>
        </xdr:cNvPr>
        <xdr:cNvCxnSpPr/>
      </xdr:nvCxnSpPr>
      <xdr:spPr>
        <a:xfrm>
          <a:off x="4102099" y="352848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83" name="Straight Arrow Connector 82">
          <a:extLst>
            <a:ext uri="{FF2B5EF4-FFF2-40B4-BE49-F238E27FC236}">
              <a16:creationId xmlns:a16="http://schemas.microsoft.com/office/drawing/2014/main" id="{7663189F-2717-416B-B5B2-C38A9FD3C12D}"/>
            </a:ext>
          </a:extLst>
        </xdr:cNvPr>
        <xdr:cNvCxnSpPr/>
      </xdr:nvCxnSpPr>
      <xdr:spPr>
        <a:xfrm flipV="1">
          <a:off x="3196167" y="40144700"/>
          <a:ext cx="884766"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84" name="Straight Arrow Connector 83">
          <a:extLst>
            <a:ext uri="{FF2B5EF4-FFF2-40B4-BE49-F238E27FC236}">
              <a16:creationId xmlns:a16="http://schemas.microsoft.com/office/drawing/2014/main" id="{02CF30EF-DA23-4562-AACC-C853EC99FFF2}"/>
            </a:ext>
          </a:extLst>
        </xdr:cNvPr>
        <xdr:cNvCxnSpPr/>
      </xdr:nvCxnSpPr>
      <xdr:spPr>
        <a:xfrm flipV="1">
          <a:off x="4974167" y="396282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85" name="Straight Arrow Connector 84">
          <a:extLst>
            <a:ext uri="{FF2B5EF4-FFF2-40B4-BE49-F238E27FC236}">
              <a16:creationId xmlns:a16="http://schemas.microsoft.com/office/drawing/2014/main" id="{643986CE-CCFE-4044-89DB-A9082389A721}"/>
            </a:ext>
          </a:extLst>
        </xdr:cNvPr>
        <xdr:cNvCxnSpPr/>
      </xdr:nvCxnSpPr>
      <xdr:spPr>
        <a:xfrm>
          <a:off x="5939366" y="39497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86" name="Straight Arrow Connector 85">
          <a:extLst>
            <a:ext uri="{FF2B5EF4-FFF2-40B4-BE49-F238E27FC236}">
              <a16:creationId xmlns:a16="http://schemas.microsoft.com/office/drawing/2014/main" id="{9A97746E-EDD1-4AC7-9CCD-481D978E8574}"/>
            </a:ext>
          </a:extLst>
        </xdr:cNvPr>
        <xdr:cNvCxnSpPr/>
      </xdr:nvCxnSpPr>
      <xdr:spPr>
        <a:xfrm>
          <a:off x="4978400" y="414570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87" name="Straight Arrow Connector 86">
          <a:extLst>
            <a:ext uri="{FF2B5EF4-FFF2-40B4-BE49-F238E27FC236}">
              <a16:creationId xmlns:a16="http://schemas.microsoft.com/office/drawing/2014/main" id="{9471D389-BC88-42E2-9FF7-E31A45DD0203}"/>
            </a:ext>
          </a:extLst>
        </xdr:cNvPr>
        <xdr:cNvCxnSpPr/>
      </xdr:nvCxnSpPr>
      <xdr:spPr>
        <a:xfrm>
          <a:off x="3200400" y="41431634"/>
          <a:ext cx="901700"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88" name="Straight Arrow Connector 87">
          <a:extLst>
            <a:ext uri="{FF2B5EF4-FFF2-40B4-BE49-F238E27FC236}">
              <a16:creationId xmlns:a16="http://schemas.microsoft.com/office/drawing/2014/main" id="{60CAEA60-CADB-4037-AA12-FB682FA87808}"/>
            </a:ext>
          </a:extLst>
        </xdr:cNvPr>
        <xdr:cNvCxnSpPr/>
      </xdr:nvCxnSpPr>
      <xdr:spPr>
        <a:xfrm flipV="1">
          <a:off x="5939367" y="421089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89" name="Straight Arrow Connector 88">
          <a:extLst>
            <a:ext uri="{FF2B5EF4-FFF2-40B4-BE49-F238E27FC236}">
              <a16:creationId xmlns:a16="http://schemas.microsoft.com/office/drawing/2014/main" id="{79A7FF37-D472-43B7-A1F6-8A1A7F408C35}"/>
            </a:ext>
          </a:extLst>
        </xdr:cNvPr>
        <xdr:cNvCxnSpPr/>
      </xdr:nvCxnSpPr>
      <xdr:spPr>
        <a:xfrm>
          <a:off x="4974167" y="401320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90" name="Straight Arrow Connector 89">
          <a:extLst>
            <a:ext uri="{FF2B5EF4-FFF2-40B4-BE49-F238E27FC236}">
              <a16:creationId xmlns:a16="http://schemas.microsoft.com/office/drawing/2014/main" id="{B998B1D5-E7EE-4676-8670-8EA8ED94BE42}"/>
            </a:ext>
          </a:extLst>
        </xdr:cNvPr>
        <xdr:cNvCxnSpPr/>
      </xdr:nvCxnSpPr>
      <xdr:spPr>
        <a:xfrm flipV="1">
          <a:off x="4982634" y="409490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91" name="Straight Arrow Connector 90">
          <a:extLst>
            <a:ext uri="{FF2B5EF4-FFF2-40B4-BE49-F238E27FC236}">
              <a16:creationId xmlns:a16="http://schemas.microsoft.com/office/drawing/2014/main" id="{FD7325EF-06AA-48F4-80CF-6995D8C972A7}"/>
            </a:ext>
          </a:extLst>
        </xdr:cNvPr>
        <xdr:cNvCxnSpPr/>
      </xdr:nvCxnSpPr>
      <xdr:spPr>
        <a:xfrm>
          <a:off x="5952066" y="408093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92" name="Straight Arrow Connector 91">
          <a:extLst>
            <a:ext uri="{FF2B5EF4-FFF2-40B4-BE49-F238E27FC236}">
              <a16:creationId xmlns:a16="http://schemas.microsoft.com/office/drawing/2014/main" id="{E2F3C8CA-DE15-468A-9BC5-57400B616AC2}"/>
            </a:ext>
          </a:extLst>
        </xdr:cNvPr>
        <xdr:cNvCxnSpPr/>
      </xdr:nvCxnSpPr>
      <xdr:spPr>
        <a:xfrm flipV="1">
          <a:off x="2150533" y="402844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93" name="Straight Arrow Connector 92">
          <a:extLst>
            <a:ext uri="{FF2B5EF4-FFF2-40B4-BE49-F238E27FC236}">
              <a16:creationId xmlns:a16="http://schemas.microsoft.com/office/drawing/2014/main" id="{F98C53AC-0ADD-4555-833A-15F6EE1B1B90}"/>
            </a:ext>
          </a:extLst>
        </xdr:cNvPr>
        <xdr:cNvCxnSpPr/>
      </xdr:nvCxnSpPr>
      <xdr:spPr>
        <a:xfrm>
          <a:off x="2150533" y="407627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94" name="Straight Arrow Connector 93">
          <a:extLst>
            <a:ext uri="{FF2B5EF4-FFF2-40B4-BE49-F238E27FC236}">
              <a16:creationId xmlns:a16="http://schemas.microsoft.com/office/drawing/2014/main" id="{F2EC0217-987F-4A95-9170-173B53006D34}"/>
            </a:ext>
          </a:extLst>
        </xdr:cNvPr>
        <xdr:cNvCxnSpPr/>
      </xdr:nvCxnSpPr>
      <xdr:spPr>
        <a:xfrm flipV="1">
          <a:off x="2150533" y="28270200"/>
          <a:ext cx="469900" cy="389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95" name="Straight Arrow Connector 94">
          <a:extLst>
            <a:ext uri="{FF2B5EF4-FFF2-40B4-BE49-F238E27FC236}">
              <a16:creationId xmlns:a16="http://schemas.microsoft.com/office/drawing/2014/main" id="{342AE14B-A01A-433E-B61C-B4D77B6766F5}"/>
            </a:ext>
          </a:extLst>
        </xdr:cNvPr>
        <xdr:cNvCxnSpPr/>
      </xdr:nvCxnSpPr>
      <xdr:spPr>
        <a:xfrm>
          <a:off x="2150533" y="28672367"/>
          <a:ext cx="474134" cy="3725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96" name="Right Brace 95">
          <a:extLst>
            <a:ext uri="{FF2B5EF4-FFF2-40B4-BE49-F238E27FC236}">
              <a16:creationId xmlns:a16="http://schemas.microsoft.com/office/drawing/2014/main" id="{73D4926F-300C-4E84-A85F-72899980F2D2}"/>
            </a:ext>
          </a:extLst>
        </xdr:cNvPr>
        <xdr:cNvSpPr/>
      </xdr:nvSpPr>
      <xdr:spPr>
        <a:xfrm>
          <a:off x="2937933" y="28278667"/>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97" name="Right Brace 96">
          <a:extLst>
            <a:ext uri="{FF2B5EF4-FFF2-40B4-BE49-F238E27FC236}">
              <a16:creationId xmlns:a16="http://schemas.microsoft.com/office/drawing/2014/main" id="{2509B9A7-AB98-470A-AB3C-E9BEA2328A0D}"/>
            </a:ext>
          </a:extLst>
        </xdr:cNvPr>
        <xdr:cNvSpPr/>
      </xdr:nvSpPr>
      <xdr:spPr>
        <a:xfrm>
          <a:off x="4758266" y="28282901"/>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98" name="Straight Arrow Connector 97">
          <a:extLst>
            <a:ext uri="{FF2B5EF4-FFF2-40B4-BE49-F238E27FC236}">
              <a16:creationId xmlns:a16="http://schemas.microsoft.com/office/drawing/2014/main" id="{1042D152-A72D-4BE6-9DF7-E84B7CB7D0FE}"/>
            </a:ext>
          </a:extLst>
        </xdr:cNvPr>
        <xdr:cNvCxnSpPr/>
      </xdr:nvCxnSpPr>
      <xdr:spPr>
        <a:xfrm flipV="1">
          <a:off x="2150533" y="347599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99" name="Straight Arrow Connector 98">
          <a:extLst>
            <a:ext uri="{FF2B5EF4-FFF2-40B4-BE49-F238E27FC236}">
              <a16:creationId xmlns:a16="http://schemas.microsoft.com/office/drawing/2014/main" id="{A8FDD746-B6BF-4204-8900-F5FFC2EFD125}"/>
            </a:ext>
          </a:extLst>
        </xdr:cNvPr>
        <xdr:cNvCxnSpPr/>
      </xdr:nvCxnSpPr>
      <xdr:spPr>
        <a:xfrm flipV="1">
          <a:off x="3187700" y="341037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100" name="Straight Arrow Connector 99">
          <a:extLst>
            <a:ext uri="{FF2B5EF4-FFF2-40B4-BE49-F238E27FC236}">
              <a16:creationId xmlns:a16="http://schemas.microsoft.com/office/drawing/2014/main" id="{19195F4C-2005-48FE-848E-293771178CC0}"/>
            </a:ext>
          </a:extLst>
        </xdr:cNvPr>
        <xdr:cNvCxnSpPr/>
      </xdr:nvCxnSpPr>
      <xdr:spPr>
        <a:xfrm>
          <a:off x="4089399" y="33972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101" name="Straight Arrow Connector 100">
          <a:extLst>
            <a:ext uri="{FF2B5EF4-FFF2-40B4-BE49-F238E27FC236}">
              <a16:creationId xmlns:a16="http://schemas.microsoft.com/office/drawing/2014/main" id="{50C95150-2739-45BF-AD11-810CED08C8F8}"/>
            </a:ext>
          </a:extLst>
        </xdr:cNvPr>
        <xdr:cNvCxnSpPr/>
      </xdr:nvCxnSpPr>
      <xdr:spPr>
        <a:xfrm>
          <a:off x="3191933" y="359325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102" name="Straight Arrow Connector 101">
          <a:extLst>
            <a:ext uri="{FF2B5EF4-FFF2-40B4-BE49-F238E27FC236}">
              <a16:creationId xmlns:a16="http://schemas.microsoft.com/office/drawing/2014/main" id="{6B511E2E-6BF6-426B-9831-7EF31CAF9804}"/>
            </a:ext>
          </a:extLst>
        </xdr:cNvPr>
        <xdr:cNvCxnSpPr/>
      </xdr:nvCxnSpPr>
      <xdr:spPr>
        <a:xfrm>
          <a:off x="2150533" y="352382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103" name="Straight Arrow Connector 102">
          <a:extLst>
            <a:ext uri="{FF2B5EF4-FFF2-40B4-BE49-F238E27FC236}">
              <a16:creationId xmlns:a16="http://schemas.microsoft.com/office/drawing/2014/main" id="{4E0E82FB-6941-4D95-BBFE-A1D6945F2293}"/>
            </a:ext>
          </a:extLst>
        </xdr:cNvPr>
        <xdr:cNvCxnSpPr/>
      </xdr:nvCxnSpPr>
      <xdr:spPr>
        <a:xfrm flipV="1">
          <a:off x="4089400" y="365844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104" name="Straight Arrow Connector 103">
          <a:extLst>
            <a:ext uri="{FF2B5EF4-FFF2-40B4-BE49-F238E27FC236}">
              <a16:creationId xmlns:a16="http://schemas.microsoft.com/office/drawing/2014/main" id="{E9023B08-7EE6-4266-B024-22A80B7AADF6}"/>
            </a:ext>
          </a:extLst>
        </xdr:cNvPr>
        <xdr:cNvCxnSpPr/>
      </xdr:nvCxnSpPr>
      <xdr:spPr>
        <a:xfrm>
          <a:off x="3187700" y="346075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105" name="Straight Arrow Connector 104">
          <a:extLst>
            <a:ext uri="{FF2B5EF4-FFF2-40B4-BE49-F238E27FC236}">
              <a16:creationId xmlns:a16="http://schemas.microsoft.com/office/drawing/2014/main" id="{CAF5D7B8-0394-4DD0-AD33-A63C75321C9D}"/>
            </a:ext>
          </a:extLst>
        </xdr:cNvPr>
        <xdr:cNvCxnSpPr/>
      </xdr:nvCxnSpPr>
      <xdr:spPr>
        <a:xfrm flipV="1">
          <a:off x="3196167" y="354245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06" name="Straight Arrow Connector 105">
          <a:extLst>
            <a:ext uri="{FF2B5EF4-FFF2-40B4-BE49-F238E27FC236}">
              <a16:creationId xmlns:a16="http://schemas.microsoft.com/office/drawing/2014/main" id="{674008C1-2862-4625-8AB2-93A447E44B84}"/>
            </a:ext>
          </a:extLst>
        </xdr:cNvPr>
        <xdr:cNvCxnSpPr/>
      </xdr:nvCxnSpPr>
      <xdr:spPr>
        <a:xfrm>
          <a:off x="4102099" y="352848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07" name="Straight Arrow Connector 106">
          <a:extLst>
            <a:ext uri="{FF2B5EF4-FFF2-40B4-BE49-F238E27FC236}">
              <a16:creationId xmlns:a16="http://schemas.microsoft.com/office/drawing/2014/main" id="{10504E42-3DBD-4F9B-B820-BF9771AAFE1E}"/>
            </a:ext>
          </a:extLst>
        </xdr:cNvPr>
        <xdr:cNvCxnSpPr/>
      </xdr:nvCxnSpPr>
      <xdr:spPr>
        <a:xfrm flipV="1">
          <a:off x="3196167" y="40144700"/>
          <a:ext cx="884766"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08" name="Straight Arrow Connector 107">
          <a:extLst>
            <a:ext uri="{FF2B5EF4-FFF2-40B4-BE49-F238E27FC236}">
              <a16:creationId xmlns:a16="http://schemas.microsoft.com/office/drawing/2014/main" id="{F139C7D9-BA05-447A-99CA-A586F5300E55}"/>
            </a:ext>
          </a:extLst>
        </xdr:cNvPr>
        <xdr:cNvCxnSpPr/>
      </xdr:nvCxnSpPr>
      <xdr:spPr>
        <a:xfrm flipV="1">
          <a:off x="4974167" y="396282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09" name="Straight Arrow Connector 108">
          <a:extLst>
            <a:ext uri="{FF2B5EF4-FFF2-40B4-BE49-F238E27FC236}">
              <a16:creationId xmlns:a16="http://schemas.microsoft.com/office/drawing/2014/main" id="{71BEC964-61D4-4FB1-9A94-6CFB48EBDB5E}"/>
            </a:ext>
          </a:extLst>
        </xdr:cNvPr>
        <xdr:cNvCxnSpPr/>
      </xdr:nvCxnSpPr>
      <xdr:spPr>
        <a:xfrm>
          <a:off x="5939366" y="39497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10" name="Straight Arrow Connector 109">
          <a:extLst>
            <a:ext uri="{FF2B5EF4-FFF2-40B4-BE49-F238E27FC236}">
              <a16:creationId xmlns:a16="http://schemas.microsoft.com/office/drawing/2014/main" id="{F2A3549A-3515-41CD-A26A-13A0D822D71F}"/>
            </a:ext>
          </a:extLst>
        </xdr:cNvPr>
        <xdr:cNvCxnSpPr/>
      </xdr:nvCxnSpPr>
      <xdr:spPr>
        <a:xfrm>
          <a:off x="4978400" y="414570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11" name="Straight Arrow Connector 110">
          <a:extLst>
            <a:ext uri="{FF2B5EF4-FFF2-40B4-BE49-F238E27FC236}">
              <a16:creationId xmlns:a16="http://schemas.microsoft.com/office/drawing/2014/main" id="{563192C7-1AA4-498B-9C39-3B0DC1388A76}"/>
            </a:ext>
          </a:extLst>
        </xdr:cNvPr>
        <xdr:cNvCxnSpPr/>
      </xdr:nvCxnSpPr>
      <xdr:spPr>
        <a:xfrm>
          <a:off x="3200400" y="41431634"/>
          <a:ext cx="901700"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12" name="Straight Arrow Connector 111">
          <a:extLst>
            <a:ext uri="{FF2B5EF4-FFF2-40B4-BE49-F238E27FC236}">
              <a16:creationId xmlns:a16="http://schemas.microsoft.com/office/drawing/2014/main" id="{0049D3B0-A56C-4B17-830A-58AC5DB21C12}"/>
            </a:ext>
          </a:extLst>
        </xdr:cNvPr>
        <xdr:cNvCxnSpPr/>
      </xdr:nvCxnSpPr>
      <xdr:spPr>
        <a:xfrm flipV="1">
          <a:off x="5939367" y="421089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13" name="Straight Arrow Connector 112">
          <a:extLst>
            <a:ext uri="{FF2B5EF4-FFF2-40B4-BE49-F238E27FC236}">
              <a16:creationId xmlns:a16="http://schemas.microsoft.com/office/drawing/2014/main" id="{AFC4C1B5-284B-4455-BF48-09333CC1CC23}"/>
            </a:ext>
          </a:extLst>
        </xdr:cNvPr>
        <xdr:cNvCxnSpPr/>
      </xdr:nvCxnSpPr>
      <xdr:spPr>
        <a:xfrm>
          <a:off x="4974167" y="401320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14" name="Straight Arrow Connector 113">
          <a:extLst>
            <a:ext uri="{FF2B5EF4-FFF2-40B4-BE49-F238E27FC236}">
              <a16:creationId xmlns:a16="http://schemas.microsoft.com/office/drawing/2014/main" id="{8A33F246-7134-4ADD-B950-8A8BCB6D7DC2}"/>
            </a:ext>
          </a:extLst>
        </xdr:cNvPr>
        <xdr:cNvCxnSpPr/>
      </xdr:nvCxnSpPr>
      <xdr:spPr>
        <a:xfrm flipV="1">
          <a:off x="4982634" y="409490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15" name="Straight Arrow Connector 114">
          <a:extLst>
            <a:ext uri="{FF2B5EF4-FFF2-40B4-BE49-F238E27FC236}">
              <a16:creationId xmlns:a16="http://schemas.microsoft.com/office/drawing/2014/main" id="{348FBE60-FC35-4429-9F39-074719A110C0}"/>
            </a:ext>
          </a:extLst>
        </xdr:cNvPr>
        <xdr:cNvCxnSpPr/>
      </xdr:nvCxnSpPr>
      <xdr:spPr>
        <a:xfrm>
          <a:off x="5952066" y="408093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116" name="Straight Arrow Connector 115">
          <a:extLst>
            <a:ext uri="{FF2B5EF4-FFF2-40B4-BE49-F238E27FC236}">
              <a16:creationId xmlns:a16="http://schemas.microsoft.com/office/drawing/2014/main" id="{13E1F521-1200-4DDE-8DEF-1AEB6EC435E5}"/>
            </a:ext>
          </a:extLst>
        </xdr:cNvPr>
        <xdr:cNvCxnSpPr/>
      </xdr:nvCxnSpPr>
      <xdr:spPr>
        <a:xfrm flipV="1">
          <a:off x="2150533" y="402844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117" name="Straight Arrow Connector 116">
          <a:extLst>
            <a:ext uri="{FF2B5EF4-FFF2-40B4-BE49-F238E27FC236}">
              <a16:creationId xmlns:a16="http://schemas.microsoft.com/office/drawing/2014/main" id="{01926A50-D2E8-41CA-91B5-BA463566509B}"/>
            </a:ext>
          </a:extLst>
        </xdr:cNvPr>
        <xdr:cNvCxnSpPr/>
      </xdr:nvCxnSpPr>
      <xdr:spPr>
        <a:xfrm>
          <a:off x="2150533" y="407627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118" name="Straight Arrow Connector 117">
          <a:extLst>
            <a:ext uri="{FF2B5EF4-FFF2-40B4-BE49-F238E27FC236}">
              <a16:creationId xmlns:a16="http://schemas.microsoft.com/office/drawing/2014/main" id="{AA8663B4-9F9D-4855-A575-0F98848CD32A}"/>
            </a:ext>
          </a:extLst>
        </xdr:cNvPr>
        <xdr:cNvCxnSpPr/>
      </xdr:nvCxnSpPr>
      <xdr:spPr>
        <a:xfrm flipV="1">
          <a:off x="2150533" y="28270200"/>
          <a:ext cx="469900" cy="389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119" name="Straight Arrow Connector 118">
          <a:extLst>
            <a:ext uri="{FF2B5EF4-FFF2-40B4-BE49-F238E27FC236}">
              <a16:creationId xmlns:a16="http://schemas.microsoft.com/office/drawing/2014/main" id="{00B320E4-3C69-4D17-BAF2-E9B774054EBF}"/>
            </a:ext>
          </a:extLst>
        </xdr:cNvPr>
        <xdr:cNvCxnSpPr/>
      </xdr:nvCxnSpPr>
      <xdr:spPr>
        <a:xfrm>
          <a:off x="2150533" y="28672367"/>
          <a:ext cx="474134" cy="3725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120" name="Right Brace 119">
          <a:extLst>
            <a:ext uri="{FF2B5EF4-FFF2-40B4-BE49-F238E27FC236}">
              <a16:creationId xmlns:a16="http://schemas.microsoft.com/office/drawing/2014/main" id="{1DA4F953-BBFE-4431-B132-7166AF287F25}"/>
            </a:ext>
          </a:extLst>
        </xdr:cNvPr>
        <xdr:cNvSpPr/>
      </xdr:nvSpPr>
      <xdr:spPr>
        <a:xfrm>
          <a:off x="2937933" y="28278667"/>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121" name="Right Brace 120">
          <a:extLst>
            <a:ext uri="{FF2B5EF4-FFF2-40B4-BE49-F238E27FC236}">
              <a16:creationId xmlns:a16="http://schemas.microsoft.com/office/drawing/2014/main" id="{AC65C82B-5D29-433F-9088-369BFBBB5831}"/>
            </a:ext>
          </a:extLst>
        </xdr:cNvPr>
        <xdr:cNvSpPr/>
      </xdr:nvSpPr>
      <xdr:spPr>
        <a:xfrm>
          <a:off x="4758266" y="28282901"/>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122" name="Straight Arrow Connector 121">
          <a:extLst>
            <a:ext uri="{FF2B5EF4-FFF2-40B4-BE49-F238E27FC236}">
              <a16:creationId xmlns:a16="http://schemas.microsoft.com/office/drawing/2014/main" id="{F7E9EC1A-AF2A-4613-A197-CE1FDEF6121B}"/>
            </a:ext>
          </a:extLst>
        </xdr:cNvPr>
        <xdr:cNvCxnSpPr/>
      </xdr:nvCxnSpPr>
      <xdr:spPr>
        <a:xfrm flipV="1">
          <a:off x="2150533" y="345694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123" name="Straight Arrow Connector 122">
          <a:extLst>
            <a:ext uri="{FF2B5EF4-FFF2-40B4-BE49-F238E27FC236}">
              <a16:creationId xmlns:a16="http://schemas.microsoft.com/office/drawing/2014/main" id="{455AC95A-2009-4CE6-A77F-101C0980438E}"/>
            </a:ext>
          </a:extLst>
        </xdr:cNvPr>
        <xdr:cNvCxnSpPr/>
      </xdr:nvCxnSpPr>
      <xdr:spPr>
        <a:xfrm flipV="1">
          <a:off x="3187700" y="339132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124" name="Straight Arrow Connector 123">
          <a:extLst>
            <a:ext uri="{FF2B5EF4-FFF2-40B4-BE49-F238E27FC236}">
              <a16:creationId xmlns:a16="http://schemas.microsoft.com/office/drawing/2014/main" id="{FF6ACC0C-EBCB-48E7-973E-2FED2DECF4EE}"/>
            </a:ext>
          </a:extLst>
        </xdr:cNvPr>
        <xdr:cNvCxnSpPr/>
      </xdr:nvCxnSpPr>
      <xdr:spPr>
        <a:xfrm>
          <a:off x="4089399" y="33782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125" name="Straight Arrow Connector 124">
          <a:extLst>
            <a:ext uri="{FF2B5EF4-FFF2-40B4-BE49-F238E27FC236}">
              <a16:creationId xmlns:a16="http://schemas.microsoft.com/office/drawing/2014/main" id="{F5BB0FDB-B4B5-4B71-8408-F2E2FDD53118}"/>
            </a:ext>
          </a:extLst>
        </xdr:cNvPr>
        <xdr:cNvCxnSpPr/>
      </xdr:nvCxnSpPr>
      <xdr:spPr>
        <a:xfrm>
          <a:off x="3191933" y="357420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126" name="Straight Arrow Connector 125">
          <a:extLst>
            <a:ext uri="{FF2B5EF4-FFF2-40B4-BE49-F238E27FC236}">
              <a16:creationId xmlns:a16="http://schemas.microsoft.com/office/drawing/2014/main" id="{2D33C438-C79D-48F5-9BD8-7C7032F13DD2}"/>
            </a:ext>
          </a:extLst>
        </xdr:cNvPr>
        <xdr:cNvCxnSpPr/>
      </xdr:nvCxnSpPr>
      <xdr:spPr>
        <a:xfrm>
          <a:off x="2150533" y="350477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127" name="Straight Arrow Connector 126">
          <a:extLst>
            <a:ext uri="{FF2B5EF4-FFF2-40B4-BE49-F238E27FC236}">
              <a16:creationId xmlns:a16="http://schemas.microsoft.com/office/drawing/2014/main" id="{2A02A492-A94A-4DD3-BA4A-A4835A211054}"/>
            </a:ext>
          </a:extLst>
        </xdr:cNvPr>
        <xdr:cNvCxnSpPr/>
      </xdr:nvCxnSpPr>
      <xdr:spPr>
        <a:xfrm flipV="1">
          <a:off x="4089400" y="363939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128" name="Straight Arrow Connector 127">
          <a:extLst>
            <a:ext uri="{FF2B5EF4-FFF2-40B4-BE49-F238E27FC236}">
              <a16:creationId xmlns:a16="http://schemas.microsoft.com/office/drawing/2014/main" id="{59862BE0-A019-4E3F-9956-9EEC5495A383}"/>
            </a:ext>
          </a:extLst>
        </xdr:cNvPr>
        <xdr:cNvCxnSpPr/>
      </xdr:nvCxnSpPr>
      <xdr:spPr>
        <a:xfrm>
          <a:off x="3187700" y="344170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129" name="Straight Arrow Connector 128">
          <a:extLst>
            <a:ext uri="{FF2B5EF4-FFF2-40B4-BE49-F238E27FC236}">
              <a16:creationId xmlns:a16="http://schemas.microsoft.com/office/drawing/2014/main" id="{5DA50413-88CC-4017-80DD-F686B92B00E8}"/>
            </a:ext>
          </a:extLst>
        </xdr:cNvPr>
        <xdr:cNvCxnSpPr/>
      </xdr:nvCxnSpPr>
      <xdr:spPr>
        <a:xfrm flipV="1">
          <a:off x="3196167" y="352340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30" name="Straight Arrow Connector 129">
          <a:extLst>
            <a:ext uri="{FF2B5EF4-FFF2-40B4-BE49-F238E27FC236}">
              <a16:creationId xmlns:a16="http://schemas.microsoft.com/office/drawing/2014/main" id="{BF73FCC2-F7D2-4413-8D19-30CD71CB3902}"/>
            </a:ext>
          </a:extLst>
        </xdr:cNvPr>
        <xdr:cNvCxnSpPr/>
      </xdr:nvCxnSpPr>
      <xdr:spPr>
        <a:xfrm>
          <a:off x="4102099" y="350943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31" name="Straight Arrow Connector 130">
          <a:extLst>
            <a:ext uri="{FF2B5EF4-FFF2-40B4-BE49-F238E27FC236}">
              <a16:creationId xmlns:a16="http://schemas.microsoft.com/office/drawing/2014/main" id="{9C6D5EC6-9E33-46B3-8C94-CADEE191469D}"/>
            </a:ext>
          </a:extLst>
        </xdr:cNvPr>
        <xdr:cNvCxnSpPr/>
      </xdr:nvCxnSpPr>
      <xdr:spPr>
        <a:xfrm flipV="1">
          <a:off x="3196167" y="39954200"/>
          <a:ext cx="884766"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32" name="Straight Arrow Connector 131">
          <a:extLst>
            <a:ext uri="{FF2B5EF4-FFF2-40B4-BE49-F238E27FC236}">
              <a16:creationId xmlns:a16="http://schemas.microsoft.com/office/drawing/2014/main" id="{E69C33F7-8BD2-4B9B-9002-6CFB290509A8}"/>
            </a:ext>
          </a:extLst>
        </xdr:cNvPr>
        <xdr:cNvCxnSpPr/>
      </xdr:nvCxnSpPr>
      <xdr:spPr>
        <a:xfrm flipV="1">
          <a:off x="4974167" y="394377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33" name="Straight Arrow Connector 132">
          <a:extLst>
            <a:ext uri="{FF2B5EF4-FFF2-40B4-BE49-F238E27FC236}">
              <a16:creationId xmlns:a16="http://schemas.microsoft.com/office/drawing/2014/main" id="{B0A0AAEC-8D85-495F-BED2-A3B67B2126DE}"/>
            </a:ext>
          </a:extLst>
        </xdr:cNvPr>
        <xdr:cNvCxnSpPr/>
      </xdr:nvCxnSpPr>
      <xdr:spPr>
        <a:xfrm>
          <a:off x="5939366" y="39306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34" name="Straight Arrow Connector 133">
          <a:extLst>
            <a:ext uri="{FF2B5EF4-FFF2-40B4-BE49-F238E27FC236}">
              <a16:creationId xmlns:a16="http://schemas.microsoft.com/office/drawing/2014/main" id="{13123B19-0CC8-407A-99B7-7D825DD038F3}"/>
            </a:ext>
          </a:extLst>
        </xdr:cNvPr>
        <xdr:cNvCxnSpPr/>
      </xdr:nvCxnSpPr>
      <xdr:spPr>
        <a:xfrm>
          <a:off x="4978400" y="412665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35" name="Straight Arrow Connector 134">
          <a:extLst>
            <a:ext uri="{FF2B5EF4-FFF2-40B4-BE49-F238E27FC236}">
              <a16:creationId xmlns:a16="http://schemas.microsoft.com/office/drawing/2014/main" id="{8BBBD199-C465-4D6E-A700-6341A9FD0EEA}"/>
            </a:ext>
          </a:extLst>
        </xdr:cNvPr>
        <xdr:cNvCxnSpPr/>
      </xdr:nvCxnSpPr>
      <xdr:spPr>
        <a:xfrm>
          <a:off x="3200400" y="41241134"/>
          <a:ext cx="901700"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36" name="Straight Arrow Connector 135">
          <a:extLst>
            <a:ext uri="{FF2B5EF4-FFF2-40B4-BE49-F238E27FC236}">
              <a16:creationId xmlns:a16="http://schemas.microsoft.com/office/drawing/2014/main" id="{A2C6C4A1-8130-4B10-A22A-8206587FC17D}"/>
            </a:ext>
          </a:extLst>
        </xdr:cNvPr>
        <xdr:cNvCxnSpPr/>
      </xdr:nvCxnSpPr>
      <xdr:spPr>
        <a:xfrm flipV="1">
          <a:off x="5939367" y="419184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37" name="Straight Arrow Connector 136">
          <a:extLst>
            <a:ext uri="{FF2B5EF4-FFF2-40B4-BE49-F238E27FC236}">
              <a16:creationId xmlns:a16="http://schemas.microsoft.com/office/drawing/2014/main" id="{E7C7A069-22C3-4477-BFBF-06647AFB0EE5}"/>
            </a:ext>
          </a:extLst>
        </xdr:cNvPr>
        <xdr:cNvCxnSpPr/>
      </xdr:nvCxnSpPr>
      <xdr:spPr>
        <a:xfrm>
          <a:off x="4974167" y="399415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38" name="Straight Arrow Connector 137">
          <a:extLst>
            <a:ext uri="{FF2B5EF4-FFF2-40B4-BE49-F238E27FC236}">
              <a16:creationId xmlns:a16="http://schemas.microsoft.com/office/drawing/2014/main" id="{5C5EAE18-E347-40EB-8317-02CFC3E6C4FC}"/>
            </a:ext>
          </a:extLst>
        </xdr:cNvPr>
        <xdr:cNvCxnSpPr/>
      </xdr:nvCxnSpPr>
      <xdr:spPr>
        <a:xfrm flipV="1">
          <a:off x="4982634" y="407585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39" name="Straight Arrow Connector 138">
          <a:extLst>
            <a:ext uri="{FF2B5EF4-FFF2-40B4-BE49-F238E27FC236}">
              <a16:creationId xmlns:a16="http://schemas.microsoft.com/office/drawing/2014/main" id="{C91620E5-9496-429A-B633-2609F2638602}"/>
            </a:ext>
          </a:extLst>
        </xdr:cNvPr>
        <xdr:cNvCxnSpPr/>
      </xdr:nvCxnSpPr>
      <xdr:spPr>
        <a:xfrm>
          <a:off x="5952066" y="406188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140" name="Straight Arrow Connector 139">
          <a:extLst>
            <a:ext uri="{FF2B5EF4-FFF2-40B4-BE49-F238E27FC236}">
              <a16:creationId xmlns:a16="http://schemas.microsoft.com/office/drawing/2014/main" id="{A6E57E6C-33DA-4846-A332-4167196AE963}"/>
            </a:ext>
          </a:extLst>
        </xdr:cNvPr>
        <xdr:cNvCxnSpPr/>
      </xdr:nvCxnSpPr>
      <xdr:spPr>
        <a:xfrm flipV="1">
          <a:off x="2150533" y="400939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141" name="Straight Arrow Connector 140">
          <a:extLst>
            <a:ext uri="{FF2B5EF4-FFF2-40B4-BE49-F238E27FC236}">
              <a16:creationId xmlns:a16="http://schemas.microsoft.com/office/drawing/2014/main" id="{FAC9C08B-D3F1-4C25-9C28-CB1B378D87D5}"/>
            </a:ext>
          </a:extLst>
        </xdr:cNvPr>
        <xdr:cNvCxnSpPr/>
      </xdr:nvCxnSpPr>
      <xdr:spPr>
        <a:xfrm>
          <a:off x="2150533" y="405722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142" name="Straight Arrow Connector 141">
          <a:extLst>
            <a:ext uri="{FF2B5EF4-FFF2-40B4-BE49-F238E27FC236}">
              <a16:creationId xmlns:a16="http://schemas.microsoft.com/office/drawing/2014/main" id="{B29AEC9F-7F7E-42B4-AD26-1E81806F83D6}"/>
            </a:ext>
          </a:extLst>
        </xdr:cNvPr>
        <xdr:cNvCxnSpPr/>
      </xdr:nvCxnSpPr>
      <xdr:spPr>
        <a:xfrm flipV="1">
          <a:off x="2150533" y="28079700"/>
          <a:ext cx="469900" cy="389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143" name="Straight Arrow Connector 142">
          <a:extLst>
            <a:ext uri="{FF2B5EF4-FFF2-40B4-BE49-F238E27FC236}">
              <a16:creationId xmlns:a16="http://schemas.microsoft.com/office/drawing/2014/main" id="{AC40AF6B-5D04-4C18-8F68-EE4475E0DB7E}"/>
            </a:ext>
          </a:extLst>
        </xdr:cNvPr>
        <xdr:cNvCxnSpPr/>
      </xdr:nvCxnSpPr>
      <xdr:spPr>
        <a:xfrm>
          <a:off x="2150533" y="28481867"/>
          <a:ext cx="474134" cy="3725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144" name="Right Brace 143">
          <a:extLst>
            <a:ext uri="{FF2B5EF4-FFF2-40B4-BE49-F238E27FC236}">
              <a16:creationId xmlns:a16="http://schemas.microsoft.com/office/drawing/2014/main" id="{C6D9AD6C-BB41-41A4-9482-C8FE864F3138}"/>
            </a:ext>
          </a:extLst>
        </xdr:cNvPr>
        <xdr:cNvSpPr/>
      </xdr:nvSpPr>
      <xdr:spPr>
        <a:xfrm>
          <a:off x="2937933" y="28088167"/>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145" name="Right Brace 144">
          <a:extLst>
            <a:ext uri="{FF2B5EF4-FFF2-40B4-BE49-F238E27FC236}">
              <a16:creationId xmlns:a16="http://schemas.microsoft.com/office/drawing/2014/main" id="{D54039B9-D31D-464D-95E1-5907D715389A}"/>
            </a:ext>
          </a:extLst>
        </xdr:cNvPr>
        <xdr:cNvSpPr/>
      </xdr:nvSpPr>
      <xdr:spPr>
        <a:xfrm>
          <a:off x="4758266" y="28092401"/>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146" name="Straight Arrow Connector 145">
          <a:extLst>
            <a:ext uri="{FF2B5EF4-FFF2-40B4-BE49-F238E27FC236}">
              <a16:creationId xmlns:a16="http://schemas.microsoft.com/office/drawing/2014/main" id="{0CDDAF73-9060-4251-91AB-227B21AD3B8F}"/>
            </a:ext>
          </a:extLst>
        </xdr:cNvPr>
        <xdr:cNvCxnSpPr/>
      </xdr:nvCxnSpPr>
      <xdr:spPr>
        <a:xfrm flipV="1">
          <a:off x="2150533" y="345694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147" name="Straight Arrow Connector 146">
          <a:extLst>
            <a:ext uri="{FF2B5EF4-FFF2-40B4-BE49-F238E27FC236}">
              <a16:creationId xmlns:a16="http://schemas.microsoft.com/office/drawing/2014/main" id="{0614E572-31C8-4337-87C5-FCB638F904AB}"/>
            </a:ext>
          </a:extLst>
        </xdr:cNvPr>
        <xdr:cNvCxnSpPr/>
      </xdr:nvCxnSpPr>
      <xdr:spPr>
        <a:xfrm flipV="1">
          <a:off x="3187700" y="339132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148" name="Straight Arrow Connector 147">
          <a:extLst>
            <a:ext uri="{FF2B5EF4-FFF2-40B4-BE49-F238E27FC236}">
              <a16:creationId xmlns:a16="http://schemas.microsoft.com/office/drawing/2014/main" id="{4E7E5728-1865-4360-B707-A08BA189CB59}"/>
            </a:ext>
          </a:extLst>
        </xdr:cNvPr>
        <xdr:cNvCxnSpPr/>
      </xdr:nvCxnSpPr>
      <xdr:spPr>
        <a:xfrm>
          <a:off x="4089399" y="33782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149" name="Straight Arrow Connector 148">
          <a:extLst>
            <a:ext uri="{FF2B5EF4-FFF2-40B4-BE49-F238E27FC236}">
              <a16:creationId xmlns:a16="http://schemas.microsoft.com/office/drawing/2014/main" id="{2C2F98F0-03FA-452D-8910-D598B2366366}"/>
            </a:ext>
          </a:extLst>
        </xdr:cNvPr>
        <xdr:cNvCxnSpPr/>
      </xdr:nvCxnSpPr>
      <xdr:spPr>
        <a:xfrm>
          <a:off x="3191933" y="357420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150" name="Straight Arrow Connector 149">
          <a:extLst>
            <a:ext uri="{FF2B5EF4-FFF2-40B4-BE49-F238E27FC236}">
              <a16:creationId xmlns:a16="http://schemas.microsoft.com/office/drawing/2014/main" id="{C61EF5AC-82F8-4BB5-82B9-73027685F756}"/>
            </a:ext>
          </a:extLst>
        </xdr:cNvPr>
        <xdr:cNvCxnSpPr/>
      </xdr:nvCxnSpPr>
      <xdr:spPr>
        <a:xfrm>
          <a:off x="2150533" y="350477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151" name="Straight Arrow Connector 150">
          <a:extLst>
            <a:ext uri="{FF2B5EF4-FFF2-40B4-BE49-F238E27FC236}">
              <a16:creationId xmlns:a16="http://schemas.microsoft.com/office/drawing/2014/main" id="{D71B3F56-EE3B-41DF-A198-9B0AA79F8157}"/>
            </a:ext>
          </a:extLst>
        </xdr:cNvPr>
        <xdr:cNvCxnSpPr/>
      </xdr:nvCxnSpPr>
      <xdr:spPr>
        <a:xfrm flipV="1">
          <a:off x="4089400" y="363939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152" name="Straight Arrow Connector 151">
          <a:extLst>
            <a:ext uri="{FF2B5EF4-FFF2-40B4-BE49-F238E27FC236}">
              <a16:creationId xmlns:a16="http://schemas.microsoft.com/office/drawing/2014/main" id="{DE706583-17CD-4A0B-9048-6E1E4DD79762}"/>
            </a:ext>
          </a:extLst>
        </xdr:cNvPr>
        <xdr:cNvCxnSpPr/>
      </xdr:nvCxnSpPr>
      <xdr:spPr>
        <a:xfrm>
          <a:off x="3187700" y="344170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153" name="Straight Arrow Connector 152">
          <a:extLst>
            <a:ext uri="{FF2B5EF4-FFF2-40B4-BE49-F238E27FC236}">
              <a16:creationId xmlns:a16="http://schemas.microsoft.com/office/drawing/2014/main" id="{4EBD98AA-6B56-4995-80EE-1355B2B698FF}"/>
            </a:ext>
          </a:extLst>
        </xdr:cNvPr>
        <xdr:cNvCxnSpPr/>
      </xdr:nvCxnSpPr>
      <xdr:spPr>
        <a:xfrm flipV="1">
          <a:off x="3196167" y="352340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54" name="Straight Arrow Connector 153">
          <a:extLst>
            <a:ext uri="{FF2B5EF4-FFF2-40B4-BE49-F238E27FC236}">
              <a16:creationId xmlns:a16="http://schemas.microsoft.com/office/drawing/2014/main" id="{2E37E820-DE00-4914-B649-0494C6571338}"/>
            </a:ext>
          </a:extLst>
        </xdr:cNvPr>
        <xdr:cNvCxnSpPr/>
      </xdr:nvCxnSpPr>
      <xdr:spPr>
        <a:xfrm>
          <a:off x="4102099" y="350943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55" name="Straight Arrow Connector 154">
          <a:extLst>
            <a:ext uri="{FF2B5EF4-FFF2-40B4-BE49-F238E27FC236}">
              <a16:creationId xmlns:a16="http://schemas.microsoft.com/office/drawing/2014/main" id="{33531D5C-4090-4E65-8702-426DF55DCE81}"/>
            </a:ext>
          </a:extLst>
        </xdr:cNvPr>
        <xdr:cNvCxnSpPr/>
      </xdr:nvCxnSpPr>
      <xdr:spPr>
        <a:xfrm flipV="1">
          <a:off x="3196167" y="39954200"/>
          <a:ext cx="884766"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56" name="Straight Arrow Connector 155">
          <a:extLst>
            <a:ext uri="{FF2B5EF4-FFF2-40B4-BE49-F238E27FC236}">
              <a16:creationId xmlns:a16="http://schemas.microsoft.com/office/drawing/2014/main" id="{B48AE3C2-3EBD-4FC4-822C-1BE199331934}"/>
            </a:ext>
          </a:extLst>
        </xdr:cNvPr>
        <xdr:cNvCxnSpPr/>
      </xdr:nvCxnSpPr>
      <xdr:spPr>
        <a:xfrm flipV="1">
          <a:off x="4974167" y="394377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57" name="Straight Arrow Connector 156">
          <a:extLst>
            <a:ext uri="{FF2B5EF4-FFF2-40B4-BE49-F238E27FC236}">
              <a16:creationId xmlns:a16="http://schemas.microsoft.com/office/drawing/2014/main" id="{B82D5F91-3058-4E0E-92F5-87BE8851C18E}"/>
            </a:ext>
          </a:extLst>
        </xdr:cNvPr>
        <xdr:cNvCxnSpPr/>
      </xdr:nvCxnSpPr>
      <xdr:spPr>
        <a:xfrm>
          <a:off x="5939366" y="39306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58" name="Straight Arrow Connector 157">
          <a:extLst>
            <a:ext uri="{FF2B5EF4-FFF2-40B4-BE49-F238E27FC236}">
              <a16:creationId xmlns:a16="http://schemas.microsoft.com/office/drawing/2014/main" id="{B0BAE84E-EFB5-43AA-B58E-C7EC6381B8F4}"/>
            </a:ext>
          </a:extLst>
        </xdr:cNvPr>
        <xdr:cNvCxnSpPr/>
      </xdr:nvCxnSpPr>
      <xdr:spPr>
        <a:xfrm>
          <a:off x="4978400" y="412665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59" name="Straight Arrow Connector 158">
          <a:extLst>
            <a:ext uri="{FF2B5EF4-FFF2-40B4-BE49-F238E27FC236}">
              <a16:creationId xmlns:a16="http://schemas.microsoft.com/office/drawing/2014/main" id="{320285A5-76A2-432E-BF33-6C504A84BA88}"/>
            </a:ext>
          </a:extLst>
        </xdr:cNvPr>
        <xdr:cNvCxnSpPr/>
      </xdr:nvCxnSpPr>
      <xdr:spPr>
        <a:xfrm>
          <a:off x="3200400" y="41241134"/>
          <a:ext cx="901700"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60" name="Straight Arrow Connector 159">
          <a:extLst>
            <a:ext uri="{FF2B5EF4-FFF2-40B4-BE49-F238E27FC236}">
              <a16:creationId xmlns:a16="http://schemas.microsoft.com/office/drawing/2014/main" id="{DB0546AD-FC3D-4A9E-A1DD-5940B47FF9CC}"/>
            </a:ext>
          </a:extLst>
        </xdr:cNvPr>
        <xdr:cNvCxnSpPr/>
      </xdr:nvCxnSpPr>
      <xdr:spPr>
        <a:xfrm flipV="1">
          <a:off x="5939367" y="419184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61" name="Straight Arrow Connector 160">
          <a:extLst>
            <a:ext uri="{FF2B5EF4-FFF2-40B4-BE49-F238E27FC236}">
              <a16:creationId xmlns:a16="http://schemas.microsoft.com/office/drawing/2014/main" id="{2D53F33C-AD26-475E-9B52-36B095FFF9ED}"/>
            </a:ext>
          </a:extLst>
        </xdr:cNvPr>
        <xdr:cNvCxnSpPr/>
      </xdr:nvCxnSpPr>
      <xdr:spPr>
        <a:xfrm>
          <a:off x="4974167" y="399415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62" name="Straight Arrow Connector 161">
          <a:extLst>
            <a:ext uri="{FF2B5EF4-FFF2-40B4-BE49-F238E27FC236}">
              <a16:creationId xmlns:a16="http://schemas.microsoft.com/office/drawing/2014/main" id="{414B7D6B-09C7-436D-9B13-47E5738D7721}"/>
            </a:ext>
          </a:extLst>
        </xdr:cNvPr>
        <xdr:cNvCxnSpPr/>
      </xdr:nvCxnSpPr>
      <xdr:spPr>
        <a:xfrm flipV="1">
          <a:off x="4982634" y="407585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63" name="Straight Arrow Connector 162">
          <a:extLst>
            <a:ext uri="{FF2B5EF4-FFF2-40B4-BE49-F238E27FC236}">
              <a16:creationId xmlns:a16="http://schemas.microsoft.com/office/drawing/2014/main" id="{E1FED75A-7279-446A-9C61-9D58CE686A84}"/>
            </a:ext>
          </a:extLst>
        </xdr:cNvPr>
        <xdr:cNvCxnSpPr/>
      </xdr:nvCxnSpPr>
      <xdr:spPr>
        <a:xfrm>
          <a:off x="5952066" y="406188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164" name="Straight Arrow Connector 163">
          <a:extLst>
            <a:ext uri="{FF2B5EF4-FFF2-40B4-BE49-F238E27FC236}">
              <a16:creationId xmlns:a16="http://schemas.microsoft.com/office/drawing/2014/main" id="{BF71C40F-EA62-4AA2-A527-B41971AC315B}"/>
            </a:ext>
          </a:extLst>
        </xdr:cNvPr>
        <xdr:cNvCxnSpPr/>
      </xdr:nvCxnSpPr>
      <xdr:spPr>
        <a:xfrm flipV="1">
          <a:off x="2150533" y="400939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165" name="Straight Arrow Connector 164">
          <a:extLst>
            <a:ext uri="{FF2B5EF4-FFF2-40B4-BE49-F238E27FC236}">
              <a16:creationId xmlns:a16="http://schemas.microsoft.com/office/drawing/2014/main" id="{632B5945-D5A3-4398-961A-ED42835AF9F7}"/>
            </a:ext>
          </a:extLst>
        </xdr:cNvPr>
        <xdr:cNvCxnSpPr/>
      </xdr:nvCxnSpPr>
      <xdr:spPr>
        <a:xfrm>
          <a:off x="2150533" y="405722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166" name="Straight Arrow Connector 165">
          <a:extLst>
            <a:ext uri="{FF2B5EF4-FFF2-40B4-BE49-F238E27FC236}">
              <a16:creationId xmlns:a16="http://schemas.microsoft.com/office/drawing/2014/main" id="{3851112F-6BEA-428B-A60B-6467CFEB9D6E}"/>
            </a:ext>
          </a:extLst>
        </xdr:cNvPr>
        <xdr:cNvCxnSpPr/>
      </xdr:nvCxnSpPr>
      <xdr:spPr>
        <a:xfrm flipV="1">
          <a:off x="2150533" y="28079700"/>
          <a:ext cx="469900" cy="389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167" name="Straight Arrow Connector 166">
          <a:extLst>
            <a:ext uri="{FF2B5EF4-FFF2-40B4-BE49-F238E27FC236}">
              <a16:creationId xmlns:a16="http://schemas.microsoft.com/office/drawing/2014/main" id="{6DB21183-6DB1-4390-92A5-3F8732E3EB96}"/>
            </a:ext>
          </a:extLst>
        </xdr:cNvPr>
        <xdr:cNvCxnSpPr/>
      </xdr:nvCxnSpPr>
      <xdr:spPr>
        <a:xfrm>
          <a:off x="2150533" y="28481867"/>
          <a:ext cx="474134" cy="3725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168" name="Right Brace 167">
          <a:extLst>
            <a:ext uri="{FF2B5EF4-FFF2-40B4-BE49-F238E27FC236}">
              <a16:creationId xmlns:a16="http://schemas.microsoft.com/office/drawing/2014/main" id="{4B453F76-F77F-44C6-B922-7C050FFDFDBF}"/>
            </a:ext>
          </a:extLst>
        </xdr:cNvPr>
        <xdr:cNvSpPr/>
      </xdr:nvSpPr>
      <xdr:spPr>
        <a:xfrm>
          <a:off x="2937933" y="28088167"/>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en-US" sz="1100"/>
            <a:t>=</a:t>
          </a:r>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169" name="Right Brace 168">
          <a:extLst>
            <a:ext uri="{FF2B5EF4-FFF2-40B4-BE49-F238E27FC236}">
              <a16:creationId xmlns:a16="http://schemas.microsoft.com/office/drawing/2014/main" id="{38B38C79-28F1-493C-9FA6-CFE4EB29B63D}"/>
            </a:ext>
          </a:extLst>
        </xdr:cNvPr>
        <xdr:cNvSpPr/>
      </xdr:nvSpPr>
      <xdr:spPr>
        <a:xfrm>
          <a:off x="4758266" y="28092401"/>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170" name="Straight Arrow Connector 169">
          <a:extLst>
            <a:ext uri="{FF2B5EF4-FFF2-40B4-BE49-F238E27FC236}">
              <a16:creationId xmlns:a16="http://schemas.microsoft.com/office/drawing/2014/main" id="{707ABEFA-696A-4C65-A915-AE6766824C5E}"/>
            </a:ext>
          </a:extLst>
        </xdr:cNvPr>
        <xdr:cNvCxnSpPr/>
      </xdr:nvCxnSpPr>
      <xdr:spPr>
        <a:xfrm flipV="1">
          <a:off x="2150533" y="345694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171" name="Straight Arrow Connector 170">
          <a:extLst>
            <a:ext uri="{FF2B5EF4-FFF2-40B4-BE49-F238E27FC236}">
              <a16:creationId xmlns:a16="http://schemas.microsoft.com/office/drawing/2014/main" id="{E7E55016-BA9B-43FD-9ADE-52987887146A}"/>
            </a:ext>
          </a:extLst>
        </xdr:cNvPr>
        <xdr:cNvCxnSpPr/>
      </xdr:nvCxnSpPr>
      <xdr:spPr>
        <a:xfrm flipV="1">
          <a:off x="3187700" y="339132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172" name="Straight Arrow Connector 171">
          <a:extLst>
            <a:ext uri="{FF2B5EF4-FFF2-40B4-BE49-F238E27FC236}">
              <a16:creationId xmlns:a16="http://schemas.microsoft.com/office/drawing/2014/main" id="{76893C28-92F6-4CD4-BB68-CF02FE3FF6F4}"/>
            </a:ext>
          </a:extLst>
        </xdr:cNvPr>
        <xdr:cNvCxnSpPr/>
      </xdr:nvCxnSpPr>
      <xdr:spPr>
        <a:xfrm>
          <a:off x="4089399" y="33782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173" name="Straight Arrow Connector 172">
          <a:extLst>
            <a:ext uri="{FF2B5EF4-FFF2-40B4-BE49-F238E27FC236}">
              <a16:creationId xmlns:a16="http://schemas.microsoft.com/office/drawing/2014/main" id="{9EED1C80-8BDB-4EC8-8D34-641BDA55750F}"/>
            </a:ext>
          </a:extLst>
        </xdr:cNvPr>
        <xdr:cNvCxnSpPr/>
      </xdr:nvCxnSpPr>
      <xdr:spPr>
        <a:xfrm>
          <a:off x="3191933" y="357420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174" name="Straight Arrow Connector 173">
          <a:extLst>
            <a:ext uri="{FF2B5EF4-FFF2-40B4-BE49-F238E27FC236}">
              <a16:creationId xmlns:a16="http://schemas.microsoft.com/office/drawing/2014/main" id="{563D6063-0535-468B-AF41-9F89C4CB7812}"/>
            </a:ext>
          </a:extLst>
        </xdr:cNvPr>
        <xdr:cNvCxnSpPr/>
      </xdr:nvCxnSpPr>
      <xdr:spPr>
        <a:xfrm>
          <a:off x="2150533" y="350477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175" name="Straight Arrow Connector 174">
          <a:extLst>
            <a:ext uri="{FF2B5EF4-FFF2-40B4-BE49-F238E27FC236}">
              <a16:creationId xmlns:a16="http://schemas.microsoft.com/office/drawing/2014/main" id="{AA1E7803-F0CD-45D4-BAA9-066ADD41307C}"/>
            </a:ext>
          </a:extLst>
        </xdr:cNvPr>
        <xdr:cNvCxnSpPr/>
      </xdr:nvCxnSpPr>
      <xdr:spPr>
        <a:xfrm flipV="1">
          <a:off x="4089400" y="363939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176" name="Straight Arrow Connector 175">
          <a:extLst>
            <a:ext uri="{FF2B5EF4-FFF2-40B4-BE49-F238E27FC236}">
              <a16:creationId xmlns:a16="http://schemas.microsoft.com/office/drawing/2014/main" id="{EEA8FC4B-B985-43DB-A9B4-EBA88AB1BDEA}"/>
            </a:ext>
          </a:extLst>
        </xdr:cNvPr>
        <xdr:cNvCxnSpPr/>
      </xdr:nvCxnSpPr>
      <xdr:spPr>
        <a:xfrm>
          <a:off x="3187700" y="344170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177" name="Straight Arrow Connector 176">
          <a:extLst>
            <a:ext uri="{FF2B5EF4-FFF2-40B4-BE49-F238E27FC236}">
              <a16:creationId xmlns:a16="http://schemas.microsoft.com/office/drawing/2014/main" id="{52904B3C-D2BC-4430-AECF-7AFC3CBF0EC4}"/>
            </a:ext>
          </a:extLst>
        </xdr:cNvPr>
        <xdr:cNvCxnSpPr/>
      </xdr:nvCxnSpPr>
      <xdr:spPr>
        <a:xfrm flipV="1">
          <a:off x="3196167" y="352340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78" name="Straight Arrow Connector 177">
          <a:extLst>
            <a:ext uri="{FF2B5EF4-FFF2-40B4-BE49-F238E27FC236}">
              <a16:creationId xmlns:a16="http://schemas.microsoft.com/office/drawing/2014/main" id="{60E52E52-F5F9-486D-B8CA-044BE2F9C783}"/>
            </a:ext>
          </a:extLst>
        </xdr:cNvPr>
        <xdr:cNvCxnSpPr/>
      </xdr:nvCxnSpPr>
      <xdr:spPr>
        <a:xfrm>
          <a:off x="4102099" y="350943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79" name="Straight Arrow Connector 178">
          <a:extLst>
            <a:ext uri="{FF2B5EF4-FFF2-40B4-BE49-F238E27FC236}">
              <a16:creationId xmlns:a16="http://schemas.microsoft.com/office/drawing/2014/main" id="{92430D37-8AEF-404D-B355-E2F97CE7E8B5}"/>
            </a:ext>
          </a:extLst>
        </xdr:cNvPr>
        <xdr:cNvCxnSpPr/>
      </xdr:nvCxnSpPr>
      <xdr:spPr>
        <a:xfrm flipV="1">
          <a:off x="3196167" y="39954200"/>
          <a:ext cx="884766"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80" name="Straight Arrow Connector 179">
          <a:extLst>
            <a:ext uri="{FF2B5EF4-FFF2-40B4-BE49-F238E27FC236}">
              <a16:creationId xmlns:a16="http://schemas.microsoft.com/office/drawing/2014/main" id="{14EBA9BB-50B5-4994-871E-BFE059B64806}"/>
            </a:ext>
          </a:extLst>
        </xdr:cNvPr>
        <xdr:cNvCxnSpPr/>
      </xdr:nvCxnSpPr>
      <xdr:spPr>
        <a:xfrm flipV="1">
          <a:off x="4974167" y="394377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81" name="Straight Arrow Connector 180">
          <a:extLst>
            <a:ext uri="{FF2B5EF4-FFF2-40B4-BE49-F238E27FC236}">
              <a16:creationId xmlns:a16="http://schemas.microsoft.com/office/drawing/2014/main" id="{5FFA10A2-ED9F-424B-95CB-DAD9A5F25AAE}"/>
            </a:ext>
          </a:extLst>
        </xdr:cNvPr>
        <xdr:cNvCxnSpPr/>
      </xdr:nvCxnSpPr>
      <xdr:spPr>
        <a:xfrm>
          <a:off x="5939366" y="39306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82" name="Straight Arrow Connector 181">
          <a:extLst>
            <a:ext uri="{FF2B5EF4-FFF2-40B4-BE49-F238E27FC236}">
              <a16:creationId xmlns:a16="http://schemas.microsoft.com/office/drawing/2014/main" id="{12D04C40-81B4-438B-9281-9E66AB5E2D44}"/>
            </a:ext>
          </a:extLst>
        </xdr:cNvPr>
        <xdr:cNvCxnSpPr/>
      </xdr:nvCxnSpPr>
      <xdr:spPr>
        <a:xfrm>
          <a:off x="4978400" y="412665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83" name="Straight Arrow Connector 182">
          <a:extLst>
            <a:ext uri="{FF2B5EF4-FFF2-40B4-BE49-F238E27FC236}">
              <a16:creationId xmlns:a16="http://schemas.microsoft.com/office/drawing/2014/main" id="{5157E861-289B-4883-B739-85E33DD7C76D}"/>
            </a:ext>
          </a:extLst>
        </xdr:cNvPr>
        <xdr:cNvCxnSpPr/>
      </xdr:nvCxnSpPr>
      <xdr:spPr>
        <a:xfrm>
          <a:off x="3200400" y="41241134"/>
          <a:ext cx="901700"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84" name="Straight Arrow Connector 183">
          <a:extLst>
            <a:ext uri="{FF2B5EF4-FFF2-40B4-BE49-F238E27FC236}">
              <a16:creationId xmlns:a16="http://schemas.microsoft.com/office/drawing/2014/main" id="{4F13C2FC-0895-4966-9FAD-EDA0BD2F0A7C}"/>
            </a:ext>
          </a:extLst>
        </xdr:cNvPr>
        <xdr:cNvCxnSpPr/>
      </xdr:nvCxnSpPr>
      <xdr:spPr>
        <a:xfrm flipV="1">
          <a:off x="5939367" y="419184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85" name="Straight Arrow Connector 184">
          <a:extLst>
            <a:ext uri="{FF2B5EF4-FFF2-40B4-BE49-F238E27FC236}">
              <a16:creationId xmlns:a16="http://schemas.microsoft.com/office/drawing/2014/main" id="{268E8A3B-A2B7-4181-A9E2-25342F7C9E27}"/>
            </a:ext>
          </a:extLst>
        </xdr:cNvPr>
        <xdr:cNvCxnSpPr/>
      </xdr:nvCxnSpPr>
      <xdr:spPr>
        <a:xfrm>
          <a:off x="4974167" y="399415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86" name="Straight Arrow Connector 185">
          <a:extLst>
            <a:ext uri="{FF2B5EF4-FFF2-40B4-BE49-F238E27FC236}">
              <a16:creationId xmlns:a16="http://schemas.microsoft.com/office/drawing/2014/main" id="{064293C8-0B8B-4657-A34E-E28883D27F7C}"/>
            </a:ext>
          </a:extLst>
        </xdr:cNvPr>
        <xdr:cNvCxnSpPr/>
      </xdr:nvCxnSpPr>
      <xdr:spPr>
        <a:xfrm flipV="1">
          <a:off x="4982634" y="407585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87" name="Straight Arrow Connector 186">
          <a:extLst>
            <a:ext uri="{FF2B5EF4-FFF2-40B4-BE49-F238E27FC236}">
              <a16:creationId xmlns:a16="http://schemas.microsoft.com/office/drawing/2014/main" id="{99AEA7F4-F02A-4307-8F80-BF3259270AE7}"/>
            </a:ext>
          </a:extLst>
        </xdr:cNvPr>
        <xdr:cNvCxnSpPr/>
      </xdr:nvCxnSpPr>
      <xdr:spPr>
        <a:xfrm>
          <a:off x="5952066" y="406188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188" name="Straight Arrow Connector 187">
          <a:extLst>
            <a:ext uri="{FF2B5EF4-FFF2-40B4-BE49-F238E27FC236}">
              <a16:creationId xmlns:a16="http://schemas.microsoft.com/office/drawing/2014/main" id="{AFBFC0E3-FC70-4AB9-90CD-7329081C6B9F}"/>
            </a:ext>
          </a:extLst>
        </xdr:cNvPr>
        <xdr:cNvCxnSpPr/>
      </xdr:nvCxnSpPr>
      <xdr:spPr>
        <a:xfrm flipV="1">
          <a:off x="2150533" y="400939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189" name="Straight Arrow Connector 188">
          <a:extLst>
            <a:ext uri="{FF2B5EF4-FFF2-40B4-BE49-F238E27FC236}">
              <a16:creationId xmlns:a16="http://schemas.microsoft.com/office/drawing/2014/main" id="{E5A0160B-57D1-49ED-BCEC-42AE34BDECF6}"/>
            </a:ext>
          </a:extLst>
        </xdr:cNvPr>
        <xdr:cNvCxnSpPr/>
      </xdr:nvCxnSpPr>
      <xdr:spPr>
        <a:xfrm>
          <a:off x="2150533" y="405722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190" name="Straight Arrow Connector 189">
          <a:extLst>
            <a:ext uri="{FF2B5EF4-FFF2-40B4-BE49-F238E27FC236}">
              <a16:creationId xmlns:a16="http://schemas.microsoft.com/office/drawing/2014/main" id="{F8BFD9FF-09B7-450F-8582-F60853E63EA8}"/>
            </a:ext>
          </a:extLst>
        </xdr:cNvPr>
        <xdr:cNvCxnSpPr/>
      </xdr:nvCxnSpPr>
      <xdr:spPr>
        <a:xfrm flipV="1">
          <a:off x="2150533" y="28079700"/>
          <a:ext cx="469900" cy="389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191" name="Straight Arrow Connector 190">
          <a:extLst>
            <a:ext uri="{FF2B5EF4-FFF2-40B4-BE49-F238E27FC236}">
              <a16:creationId xmlns:a16="http://schemas.microsoft.com/office/drawing/2014/main" id="{296AD752-B952-4AB5-8D55-21B5822487DD}"/>
            </a:ext>
          </a:extLst>
        </xdr:cNvPr>
        <xdr:cNvCxnSpPr/>
      </xdr:nvCxnSpPr>
      <xdr:spPr>
        <a:xfrm>
          <a:off x="2150533" y="28481867"/>
          <a:ext cx="474134" cy="3725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192" name="Right Brace 191">
          <a:extLst>
            <a:ext uri="{FF2B5EF4-FFF2-40B4-BE49-F238E27FC236}">
              <a16:creationId xmlns:a16="http://schemas.microsoft.com/office/drawing/2014/main" id="{9744E262-46F1-4654-B564-75594845C671}"/>
            </a:ext>
          </a:extLst>
        </xdr:cNvPr>
        <xdr:cNvSpPr/>
      </xdr:nvSpPr>
      <xdr:spPr>
        <a:xfrm>
          <a:off x="2937933" y="28088167"/>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193" name="Right Brace 192">
          <a:extLst>
            <a:ext uri="{FF2B5EF4-FFF2-40B4-BE49-F238E27FC236}">
              <a16:creationId xmlns:a16="http://schemas.microsoft.com/office/drawing/2014/main" id="{E5E65439-2823-4C8F-81F8-1D74CE487E0B}"/>
            </a:ext>
          </a:extLst>
        </xdr:cNvPr>
        <xdr:cNvSpPr/>
      </xdr:nvSpPr>
      <xdr:spPr>
        <a:xfrm>
          <a:off x="4758266" y="28092401"/>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194" name="Straight Arrow Connector 193">
          <a:extLst>
            <a:ext uri="{FF2B5EF4-FFF2-40B4-BE49-F238E27FC236}">
              <a16:creationId xmlns:a16="http://schemas.microsoft.com/office/drawing/2014/main" id="{7CEBC41C-10C8-4343-B52C-8F558E7B30B8}"/>
            </a:ext>
          </a:extLst>
        </xdr:cNvPr>
        <xdr:cNvCxnSpPr/>
      </xdr:nvCxnSpPr>
      <xdr:spPr>
        <a:xfrm flipV="1">
          <a:off x="2150533" y="345694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195" name="Straight Arrow Connector 194">
          <a:extLst>
            <a:ext uri="{FF2B5EF4-FFF2-40B4-BE49-F238E27FC236}">
              <a16:creationId xmlns:a16="http://schemas.microsoft.com/office/drawing/2014/main" id="{2BC471CC-F0A5-497E-9240-543526EBA8C3}"/>
            </a:ext>
          </a:extLst>
        </xdr:cNvPr>
        <xdr:cNvCxnSpPr/>
      </xdr:nvCxnSpPr>
      <xdr:spPr>
        <a:xfrm flipV="1">
          <a:off x="3187700" y="339132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196" name="Straight Arrow Connector 195">
          <a:extLst>
            <a:ext uri="{FF2B5EF4-FFF2-40B4-BE49-F238E27FC236}">
              <a16:creationId xmlns:a16="http://schemas.microsoft.com/office/drawing/2014/main" id="{58063FB9-48FA-4737-BB5A-E356F939FA97}"/>
            </a:ext>
          </a:extLst>
        </xdr:cNvPr>
        <xdr:cNvCxnSpPr/>
      </xdr:nvCxnSpPr>
      <xdr:spPr>
        <a:xfrm>
          <a:off x="4089399" y="33782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197" name="Straight Arrow Connector 196">
          <a:extLst>
            <a:ext uri="{FF2B5EF4-FFF2-40B4-BE49-F238E27FC236}">
              <a16:creationId xmlns:a16="http://schemas.microsoft.com/office/drawing/2014/main" id="{4A720050-00C0-4416-87CD-D6B9C5FCFF8C}"/>
            </a:ext>
          </a:extLst>
        </xdr:cNvPr>
        <xdr:cNvCxnSpPr/>
      </xdr:nvCxnSpPr>
      <xdr:spPr>
        <a:xfrm>
          <a:off x="3191933" y="357420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198" name="Straight Arrow Connector 197">
          <a:extLst>
            <a:ext uri="{FF2B5EF4-FFF2-40B4-BE49-F238E27FC236}">
              <a16:creationId xmlns:a16="http://schemas.microsoft.com/office/drawing/2014/main" id="{D47D6626-25B3-4977-9E78-9B5FAF0D6961}"/>
            </a:ext>
          </a:extLst>
        </xdr:cNvPr>
        <xdr:cNvCxnSpPr/>
      </xdr:nvCxnSpPr>
      <xdr:spPr>
        <a:xfrm>
          <a:off x="2150533" y="350477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199" name="Straight Arrow Connector 198">
          <a:extLst>
            <a:ext uri="{FF2B5EF4-FFF2-40B4-BE49-F238E27FC236}">
              <a16:creationId xmlns:a16="http://schemas.microsoft.com/office/drawing/2014/main" id="{B2064EF4-827E-4001-8784-8F614B2D3DCB}"/>
            </a:ext>
          </a:extLst>
        </xdr:cNvPr>
        <xdr:cNvCxnSpPr/>
      </xdr:nvCxnSpPr>
      <xdr:spPr>
        <a:xfrm flipV="1">
          <a:off x="4089400" y="363939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200" name="Straight Arrow Connector 199">
          <a:extLst>
            <a:ext uri="{FF2B5EF4-FFF2-40B4-BE49-F238E27FC236}">
              <a16:creationId xmlns:a16="http://schemas.microsoft.com/office/drawing/2014/main" id="{0865A8D2-A82E-4AC8-B6F2-D579C0A806C8}"/>
            </a:ext>
          </a:extLst>
        </xdr:cNvPr>
        <xdr:cNvCxnSpPr/>
      </xdr:nvCxnSpPr>
      <xdr:spPr>
        <a:xfrm>
          <a:off x="3187700" y="344170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201" name="Straight Arrow Connector 200">
          <a:extLst>
            <a:ext uri="{FF2B5EF4-FFF2-40B4-BE49-F238E27FC236}">
              <a16:creationId xmlns:a16="http://schemas.microsoft.com/office/drawing/2014/main" id="{DBA17D6C-8F41-4D16-BFDC-98F9A813603D}"/>
            </a:ext>
          </a:extLst>
        </xdr:cNvPr>
        <xdr:cNvCxnSpPr/>
      </xdr:nvCxnSpPr>
      <xdr:spPr>
        <a:xfrm flipV="1">
          <a:off x="3196167" y="352340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202" name="Straight Arrow Connector 201">
          <a:extLst>
            <a:ext uri="{FF2B5EF4-FFF2-40B4-BE49-F238E27FC236}">
              <a16:creationId xmlns:a16="http://schemas.microsoft.com/office/drawing/2014/main" id="{23470DB8-E498-40FD-B25A-394275304D8F}"/>
            </a:ext>
          </a:extLst>
        </xdr:cNvPr>
        <xdr:cNvCxnSpPr/>
      </xdr:nvCxnSpPr>
      <xdr:spPr>
        <a:xfrm>
          <a:off x="4102099" y="350943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203" name="Straight Arrow Connector 202">
          <a:extLst>
            <a:ext uri="{FF2B5EF4-FFF2-40B4-BE49-F238E27FC236}">
              <a16:creationId xmlns:a16="http://schemas.microsoft.com/office/drawing/2014/main" id="{F51910C6-629B-49FA-BE04-7F416F18E0E9}"/>
            </a:ext>
          </a:extLst>
        </xdr:cNvPr>
        <xdr:cNvCxnSpPr/>
      </xdr:nvCxnSpPr>
      <xdr:spPr>
        <a:xfrm flipV="1">
          <a:off x="3196167" y="39954200"/>
          <a:ext cx="884766"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204" name="Straight Arrow Connector 203">
          <a:extLst>
            <a:ext uri="{FF2B5EF4-FFF2-40B4-BE49-F238E27FC236}">
              <a16:creationId xmlns:a16="http://schemas.microsoft.com/office/drawing/2014/main" id="{4D05A0C2-3F9B-4564-A2D1-0BFE233EE29A}"/>
            </a:ext>
          </a:extLst>
        </xdr:cNvPr>
        <xdr:cNvCxnSpPr/>
      </xdr:nvCxnSpPr>
      <xdr:spPr>
        <a:xfrm flipV="1">
          <a:off x="4974167" y="39437734"/>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205" name="Straight Arrow Connector 204">
          <a:extLst>
            <a:ext uri="{FF2B5EF4-FFF2-40B4-BE49-F238E27FC236}">
              <a16:creationId xmlns:a16="http://schemas.microsoft.com/office/drawing/2014/main" id="{F395239E-F0A5-4978-8A0A-A89CEE6B766C}"/>
            </a:ext>
          </a:extLst>
        </xdr:cNvPr>
        <xdr:cNvCxnSpPr/>
      </xdr:nvCxnSpPr>
      <xdr:spPr>
        <a:xfrm>
          <a:off x="5939366" y="39306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206" name="Straight Arrow Connector 205">
          <a:extLst>
            <a:ext uri="{FF2B5EF4-FFF2-40B4-BE49-F238E27FC236}">
              <a16:creationId xmlns:a16="http://schemas.microsoft.com/office/drawing/2014/main" id="{D111722D-4F74-44E0-A35C-6B8BF0A05BD4}"/>
            </a:ext>
          </a:extLst>
        </xdr:cNvPr>
        <xdr:cNvCxnSpPr/>
      </xdr:nvCxnSpPr>
      <xdr:spPr>
        <a:xfrm>
          <a:off x="4978400" y="41266534"/>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207" name="Straight Arrow Connector 206">
          <a:extLst>
            <a:ext uri="{FF2B5EF4-FFF2-40B4-BE49-F238E27FC236}">
              <a16:creationId xmlns:a16="http://schemas.microsoft.com/office/drawing/2014/main" id="{4C456AC4-3C0F-4276-A690-F7B9E8770B6B}"/>
            </a:ext>
          </a:extLst>
        </xdr:cNvPr>
        <xdr:cNvCxnSpPr/>
      </xdr:nvCxnSpPr>
      <xdr:spPr>
        <a:xfrm>
          <a:off x="3200400" y="41241134"/>
          <a:ext cx="901700"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208" name="Straight Arrow Connector 207">
          <a:extLst>
            <a:ext uri="{FF2B5EF4-FFF2-40B4-BE49-F238E27FC236}">
              <a16:creationId xmlns:a16="http://schemas.microsoft.com/office/drawing/2014/main" id="{C7BEC4A8-FEC2-4A84-B787-B20678ECED5B}"/>
            </a:ext>
          </a:extLst>
        </xdr:cNvPr>
        <xdr:cNvCxnSpPr/>
      </xdr:nvCxnSpPr>
      <xdr:spPr>
        <a:xfrm flipV="1">
          <a:off x="5939367" y="41918467"/>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209" name="Straight Arrow Connector 208">
          <a:extLst>
            <a:ext uri="{FF2B5EF4-FFF2-40B4-BE49-F238E27FC236}">
              <a16:creationId xmlns:a16="http://schemas.microsoft.com/office/drawing/2014/main" id="{F6DF01C3-FF9F-4E1A-B32C-58A411B72516}"/>
            </a:ext>
          </a:extLst>
        </xdr:cNvPr>
        <xdr:cNvCxnSpPr/>
      </xdr:nvCxnSpPr>
      <xdr:spPr>
        <a:xfrm>
          <a:off x="4974167" y="39941500"/>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210" name="Straight Arrow Connector 209">
          <a:extLst>
            <a:ext uri="{FF2B5EF4-FFF2-40B4-BE49-F238E27FC236}">
              <a16:creationId xmlns:a16="http://schemas.microsoft.com/office/drawing/2014/main" id="{BD178849-ACFC-4C52-8940-618C282F6A65}"/>
            </a:ext>
          </a:extLst>
        </xdr:cNvPr>
        <xdr:cNvCxnSpPr/>
      </xdr:nvCxnSpPr>
      <xdr:spPr>
        <a:xfrm flipV="1">
          <a:off x="4982634" y="40758533"/>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211" name="Straight Arrow Connector 210">
          <a:extLst>
            <a:ext uri="{FF2B5EF4-FFF2-40B4-BE49-F238E27FC236}">
              <a16:creationId xmlns:a16="http://schemas.microsoft.com/office/drawing/2014/main" id="{9F9018F7-C562-41FF-AA09-3D1C772D7A0F}"/>
            </a:ext>
          </a:extLst>
        </xdr:cNvPr>
        <xdr:cNvCxnSpPr/>
      </xdr:nvCxnSpPr>
      <xdr:spPr>
        <a:xfrm>
          <a:off x="5952066" y="40618833"/>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212" name="Straight Arrow Connector 211">
          <a:extLst>
            <a:ext uri="{FF2B5EF4-FFF2-40B4-BE49-F238E27FC236}">
              <a16:creationId xmlns:a16="http://schemas.microsoft.com/office/drawing/2014/main" id="{2DF9B900-AE1C-4C9F-B1E2-F72A7300C125}"/>
            </a:ext>
          </a:extLst>
        </xdr:cNvPr>
        <xdr:cNvCxnSpPr/>
      </xdr:nvCxnSpPr>
      <xdr:spPr>
        <a:xfrm flipV="1">
          <a:off x="2150533" y="40093900"/>
          <a:ext cx="469900"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213" name="Straight Arrow Connector 212">
          <a:extLst>
            <a:ext uri="{FF2B5EF4-FFF2-40B4-BE49-F238E27FC236}">
              <a16:creationId xmlns:a16="http://schemas.microsoft.com/office/drawing/2014/main" id="{3FA1C219-8F79-4FEB-9C63-2DF3B61F639F}"/>
            </a:ext>
          </a:extLst>
        </xdr:cNvPr>
        <xdr:cNvCxnSpPr/>
      </xdr:nvCxnSpPr>
      <xdr:spPr>
        <a:xfrm>
          <a:off x="2150533" y="40572267"/>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214" name="Straight Arrow Connector 213">
          <a:extLst>
            <a:ext uri="{FF2B5EF4-FFF2-40B4-BE49-F238E27FC236}">
              <a16:creationId xmlns:a16="http://schemas.microsoft.com/office/drawing/2014/main" id="{A75DF280-E546-4B8D-AB51-AB459B5E44C4}"/>
            </a:ext>
          </a:extLst>
        </xdr:cNvPr>
        <xdr:cNvCxnSpPr/>
      </xdr:nvCxnSpPr>
      <xdr:spPr>
        <a:xfrm flipV="1">
          <a:off x="2150533" y="28079700"/>
          <a:ext cx="469900" cy="3894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215" name="Straight Arrow Connector 214">
          <a:extLst>
            <a:ext uri="{FF2B5EF4-FFF2-40B4-BE49-F238E27FC236}">
              <a16:creationId xmlns:a16="http://schemas.microsoft.com/office/drawing/2014/main" id="{5293A1B0-453D-4B4A-8740-DE7767FF45F6}"/>
            </a:ext>
          </a:extLst>
        </xdr:cNvPr>
        <xdr:cNvCxnSpPr/>
      </xdr:nvCxnSpPr>
      <xdr:spPr>
        <a:xfrm>
          <a:off x="2150533" y="28481867"/>
          <a:ext cx="474134" cy="37253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216" name="Right Brace 215">
          <a:extLst>
            <a:ext uri="{FF2B5EF4-FFF2-40B4-BE49-F238E27FC236}">
              <a16:creationId xmlns:a16="http://schemas.microsoft.com/office/drawing/2014/main" id="{D3D4FCDD-1505-4B32-A95B-330D73F84D7E}"/>
            </a:ext>
          </a:extLst>
        </xdr:cNvPr>
        <xdr:cNvSpPr/>
      </xdr:nvSpPr>
      <xdr:spPr>
        <a:xfrm>
          <a:off x="2937933" y="28088167"/>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217" name="Right Brace 216">
          <a:extLst>
            <a:ext uri="{FF2B5EF4-FFF2-40B4-BE49-F238E27FC236}">
              <a16:creationId xmlns:a16="http://schemas.microsoft.com/office/drawing/2014/main" id="{C1E22E92-9B54-4471-ABAE-FE93299B13C6}"/>
            </a:ext>
          </a:extLst>
        </xdr:cNvPr>
        <xdr:cNvSpPr/>
      </xdr:nvSpPr>
      <xdr:spPr>
        <a:xfrm>
          <a:off x="4758266" y="28092401"/>
          <a:ext cx="182034" cy="7535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1058333</xdr:colOff>
      <xdr:row>94</xdr:row>
      <xdr:rowOff>325967</xdr:rowOff>
    </xdr:from>
    <xdr:to>
      <xdr:col>3</xdr:col>
      <xdr:colOff>469900</xdr:colOff>
      <xdr:row>96</xdr:row>
      <xdr:rowOff>131234</xdr:rowOff>
    </xdr:to>
    <xdr:cxnSp macro="">
      <xdr:nvCxnSpPr>
        <xdr:cNvPr id="2" name="Straight Arrow Connector 1">
          <a:extLst>
            <a:ext uri="{FF2B5EF4-FFF2-40B4-BE49-F238E27FC236}">
              <a16:creationId xmlns:a16="http://schemas.microsoft.com/office/drawing/2014/main" id="{E3776A88-5442-496B-ACD3-7459729373D1}"/>
            </a:ext>
          </a:extLst>
        </xdr:cNvPr>
        <xdr:cNvCxnSpPr/>
      </xdr:nvCxnSpPr>
      <xdr:spPr>
        <a:xfrm flipV="1">
          <a:off x="2142066" y="338285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3" name="Straight Arrow Connector 2">
          <a:extLst>
            <a:ext uri="{FF2B5EF4-FFF2-40B4-BE49-F238E27FC236}">
              <a16:creationId xmlns:a16="http://schemas.microsoft.com/office/drawing/2014/main" id="{7728F6BF-300E-496A-A4FD-F36DCD3F30DA}"/>
            </a:ext>
          </a:extLst>
        </xdr:cNvPr>
        <xdr:cNvCxnSpPr/>
      </xdr:nvCxnSpPr>
      <xdr:spPr>
        <a:xfrm flipV="1">
          <a:off x="3187700" y="331724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4" name="Straight Arrow Connector 3">
          <a:extLst>
            <a:ext uri="{FF2B5EF4-FFF2-40B4-BE49-F238E27FC236}">
              <a16:creationId xmlns:a16="http://schemas.microsoft.com/office/drawing/2014/main" id="{C2744C7C-70E6-478B-862E-6D8B61F03FCE}"/>
            </a:ext>
          </a:extLst>
        </xdr:cNvPr>
        <xdr:cNvCxnSpPr/>
      </xdr:nvCxnSpPr>
      <xdr:spPr>
        <a:xfrm>
          <a:off x="4093633" y="330411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5" name="Straight Arrow Connector 4">
          <a:extLst>
            <a:ext uri="{FF2B5EF4-FFF2-40B4-BE49-F238E27FC236}">
              <a16:creationId xmlns:a16="http://schemas.microsoft.com/office/drawing/2014/main" id="{652C27AF-38A9-4616-B7AA-E1818F621C03}"/>
            </a:ext>
          </a:extLst>
        </xdr:cNvPr>
        <xdr:cNvCxnSpPr/>
      </xdr:nvCxnSpPr>
      <xdr:spPr>
        <a:xfrm>
          <a:off x="3191933" y="350012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6" name="Straight Arrow Connector 5">
          <a:extLst>
            <a:ext uri="{FF2B5EF4-FFF2-40B4-BE49-F238E27FC236}">
              <a16:creationId xmlns:a16="http://schemas.microsoft.com/office/drawing/2014/main" id="{F0BD312F-63EE-49DC-8BC0-D738FB286D0F}"/>
            </a:ext>
          </a:extLst>
        </xdr:cNvPr>
        <xdr:cNvCxnSpPr/>
      </xdr:nvCxnSpPr>
      <xdr:spPr>
        <a:xfrm>
          <a:off x="2146300" y="343069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7" name="Straight Arrow Connector 6">
          <a:extLst>
            <a:ext uri="{FF2B5EF4-FFF2-40B4-BE49-F238E27FC236}">
              <a16:creationId xmlns:a16="http://schemas.microsoft.com/office/drawing/2014/main" id="{B5D8414C-3DE6-4CDC-A267-956CA6C12D33}"/>
            </a:ext>
          </a:extLst>
        </xdr:cNvPr>
        <xdr:cNvCxnSpPr/>
      </xdr:nvCxnSpPr>
      <xdr:spPr>
        <a:xfrm flipV="1">
          <a:off x="4093634" y="356531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8" name="Straight Arrow Connector 7">
          <a:extLst>
            <a:ext uri="{FF2B5EF4-FFF2-40B4-BE49-F238E27FC236}">
              <a16:creationId xmlns:a16="http://schemas.microsoft.com/office/drawing/2014/main" id="{39269DA9-8F6B-4D49-8889-00318CEABB63}"/>
            </a:ext>
          </a:extLst>
        </xdr:cNvPr>
        <xdr:cNvCxnSpPr/>
      </xdr:nvCxnSpPr>
      <xdr:spPr>
        <a:xfrm>
          <a:off x="3187700" y="336761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9" name="Straight Arrow Connector 8">
          <a:extLst>
            <a:ext uri="{FF2B5EF4-FFF2-40B4-BE49-F238E27FC236}">
              <a16:creationId xmlns:a16="http://schemas.microsoft.com/office/drawing/2014/main" id="{3F8E70FA-466E-407B-BC95-EC98B2F39C00}"/>
            </a:ext>
          </a:extLst>
        </xdr:cNvPr>
        <xdr:cNvCxnSpPr/>
      </xdr:nvCxnSpPr>
      <xdr:spPr>
        <a:xfrm flipV="1">
          <a:off x="3196167" y="344932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10" name="Straight Arrow Connector 9">
          <a:extLst>
            <a:ext uri="{FF2B5EF4-FFF2-40B4-BE49-F238E27FC236}">
              <a16:creationId xmlns:a16="http://schemas.microsoft.com/office/drawing/2014/main" id="{0D748CCB-4964-423F-B09A-E9F3DAFCD599}"/>
            </a:ext>
          </a:extLst>
        </xdr:cNvPr>
        <xdr:cNvCxnSpPr/>
      </xdr:nvCxnSpPr>
      <xdr:spPr>
        <a:xfrm>
          <a:off x="4106333" y="34353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11" name="Straight Arrow Connector 10">
          <a:extLst>
            <a:ext uri="{FF2B5EF4-FFF2-40B4-BE49-F238E27FC236}">
              <a16:creationId xmlns:a16="http://schemas.microsoft.com/office/drawing/2014/main" id="{7917A6AF-6495-4EB7-952A-19D7E6AD6BDB}"/>
            </a:ext>
          </a:extLst>
        </xdr:cNvPr>
        <xdr:cNvCxnSpPr/>
      </xdr:nvCxnSpPr>
      <xdr:spPr>
        <a:xfrm flipV="1">
          <a:off x="3196167" y="392133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12" name="Straight Arrow Connector 11">
          <a:extLst>
            <a:ext uri="{FF2B5EF4-FFF2-40B4-BE49-F238E27FC236}">
              <a16:creationId xmlns:a16="http://schemas.microsoft.com/office/drawing/2014/main" id="{659B607A-09F6-4B17-8908-A8C745F9016D}"/>
            </a:ext>
          </a:extLst>
        </xdr:cNvPr>
        <xdr:cNvCxnSpPr/>
      </xdr:nvCxnSpPr>
      <xdr:spPr>
        <a:xfrm flipV="1">
          <a:off x="4982633" y="386969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13" name="Straight Arrow Connector 12">
          <a:extLst>
            <a:ext uri="{FF2B5EF4-FFF2-40B4-BE49-F238E27FC236}">
              <a16:creationId xmlns:a16="http://schemas.microsoft.com/office/drawing/2014/main" id="{7D8F2660-59AF-40B9-98B1-DAB0D304939E}"/>
            </a:ext>
          </a:extLst>
        </xdr:cNvPr>
        <xdr:cNvCxnSpPr/>
      </xdr:nvCxnSpPr>
      <xdr:spPr>
        <a:xfrm>
          <a:off x="5888566" y="385656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14" name="Straight Arrow Connector 13">
          <a:extLst>
            <a:ext uri="{FF2B5EF4-FFF2-40B4-BE49-F238E27FC236}">
              <a16:creationId xmlns:a16="http://schemas.microsoft.com/office/drawing/2014/main" id="{DCA11015-F886-4438-8317-7AF07786429D}"/>
            </a:ext>
          </a:extLst>
        </xdr:cNvPr>
        <xdr:cNvCxnSpPr/>
      </xdr:nvCxnSpPr>
      <xdr:spPr>
        <a:xfrm>
          <a:off x="4986866" y="405257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15" name="Straight Arrow Connector 14">
          <a:extLst>
            <a:ext uri="{FF2B5EF4-FFF2-40B4-BE49-F238E27FC236}">
              <a16:creationId xmlns:a16="http://schemas.microsoft.com/office/drawing/2014/main" id="{89B425BB-89A0-4FF9-8569-1E2B5A7E5EF7}"/>
            </a:ext>
          </a:extLst>
        </xdr:cNvPr>
        <xdr:cNvCxnSpPr/>
      </xdr:nvCxnSpPr>
      <xdr:spPr>
        <a:xfrm>
          <a:off x="3200400" y="405003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16" name="Straight Arrow Connector 15">
          <a:extLst>
            <a:ext uri="{FF2B5EF4-FFF2-40B4-BE49-F238E27FC236}">
              <a16:creationId xmlns:a16="http://schemas.microsoft.com/office/drawing/2014/main" id="{E00FEF2E-FCB1-466B-A41C-E434AC51F085}"/>
            </a:ext>
          </a:extLst>
        </xdr:cNvPr>
        <xdr:cNvCxnSpPr/>
      </xdr:nvCxnSpPr>
      <xdr:spPr>
        <a:xfrm flipV="1">
          <a:off x="5888567" y="411776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17" name="Straight Arrow Connector 16">
          <a:extLst>
            <a:ext uri="{FF2B5EF4-FFF2-40B4-BE49-F238E27FC236}">
              <a16:creationId xmlns:a16="http://schemas.microsoft.com/office/drawing/2014/main" id="{73AF4AD8-47DD-4A3F-A751-F5022B6E67C0}"/>
            </a:ext>
          </a:extLst>
        </xdr:cNvPr>
        <xdr:cNvCxnSpPr/>
      </xdr:nvCxnSpPr>
      <xdr:spPr>
        <a:xfrm>
          <a:off x="4982633" y="392006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18" name="Straight Arrow Connector 17">
          <a:extLst>
            <a:ext uri="{FF2B5EF4-FFF2-40B4-BE49-F238E27FC236}">
              <a16:creationId xmlns:a16="http://schemas.microsoft.com/office/drawing/2014/main" id="{1BAF40CF-77E8-4E97-A2A3-BC60486DA14D}"/>
            </a:ext>
          </a:extLst>
        </xdr:cNvPr>
        <xdr:cNvCxnSpPr/>
      </xdr:nvCxnSpPr>
      <xdr:spPr>
        <a:xfrm flipV="1">
          <a:off x="4991100" y="400177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19" name="Straight Arrow Connector 18">
          <a:extLst>
            <a:ext uri="{FF2B5EF4-FFF2-40B4-BE49-F238E27FC236}">
              <a16:creationId xmlns:a16="http://schemas.microsoft.com/office/drawing/2014/main" id="{D1658761-6D30-4EF1-BE2C-890930EC46ED}"/>
            </a:ext>
          </a:extLst>
        </xdr:cNvPr>
        <xdr:cNvCxnSpPr/>
      </xdr:nvCxnSpPr>
      <xdr:spPr>
        <a:xfrm>
          <a:off x="5901266" y="39878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20" name="Straight Arrow Connector 19">
          <a:extLst>
            <a:ext uri="{FF2B5EF4-FFF2-40B4-BE49-F238E27FC236}">
              <a16:creationId xmlns:a16="http://schemas.microsoft.com/office/drawing/2014/main" id="{3C902186-75C7-469F-85C5-372676233D22}"/>
            </a:ext>
          </a:extLst>
        </xdr:cNvPr>
        <xdr:cNvCxnSpPr/>
      </xdr:nvCxnSpPr>
      <xdr:spPr>
        <a:xfrm flipV="1">
          <a:off x="2142066" y="393530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21" name="Straight Arrow Connector 20">
          <a:extLst>
            <a:ext uri="{FF2B5EF4-FFF2-40B4-BE49-F238E27FC236}">
              <a16:creationId xmlns:a16="http://schemas.microsoft.com/office/drawing/2014/main" id="{00314033-7477-4927-B85B-FAC22DD82236}"/>
            </a:ext>
          </a:extLst>
        </xdr:cNvPr>
        <xdr:cNvCxnSpPr/>
      </xdr:nvCxnSpPr>
      <xdr:spPr>
        <a:xfrm>
          <a:off x="2146300" y="398314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22" name="Straight Arrow Connector 21">
          <a:extLst>
            <a:ext uri="{FF2B5EF4-FFF2-40B4-BE49-F238E27FC236}">
              <a16:creationId xmlns:a16="http://schemas.microsoft.com/office/drawing/2014/main" id="{D4DDFF06-CD21-4872-851A-7C5B6B850006}"/>
            </a:ext>
          </a:extLst>
        </xdr:cNvPr>
        <xdr:cNvCxnSpPr/>
      </xdr:nvCxnSpPr>
      <xdr:spPr>
        <a:xfrm flipV="1">
          <a:off x="2142066" y="273388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23" name="Straight Arrow Connector 22">
          <a:extLst>
            <a:ext uri="{FF2B5EF4-FFF2-40B4-BE49-F238E27FC236}">
              <a16:creationId xmlns:a16="http://schemas.microsoft.com/office/drawing/2014/main" id="{E84E1DC3-0B34-4D94-A190-DE1C0B633A92}"/>
            </a:ext>
          </a:extLst>
        </xdr:cNvPr>
        <xdr:cNvCxnSpPr/>
      </xdr:nvCxnSpPr>
      <xdr:spPr>
        <a:xfrm>
          <a:off x="2146300" y="277410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24" name="Right Brace 23">
          <a:extLst>
            <a:ext uri="{FF2B5EF4-FFF2-40B4-BE49-F238E27FC236}">
              <a16:creationId xmlns:a16="http://schemas.microsoft.com/office/drawing/2014/main" id="{01CD5656-98AF-4826-AA9D-61311563A0ED}"/>
            </a:ext>
          </a:extLst>
        </xdr:cNvPr>
        <xdr:cNvSpPr/>
      </xdr:nvSpPr>
      <xdr:spPr>
        <a:xfrm>
          <a:off x="2933700" y="273473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25" name="Right Brace 24">
          <a:extLst>
            <a:ext uri="{FF2B5EF4-FFF2-40B4-BE49-F238E27FC236}">
              <a16:creationId xmlns:a16="http://schemas.microsoft.com/office/drawing/2014/main" id="{3108F7FB-0331-401D-907F-F2397B5286B2}"/>
            </a:ext>
          </a:extLst>
        </xdr:cNvPr>
        <xdr:cNvSpPr/>
      </xdr:nvSpPr>
      <xdr:spPr>
        <a:xfrm>
          <a:off x="4762500" y="273515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26" name="Straight Arrow Connector 25">
          <a:extLst>
            <a:ext uri="{FF2B5EF4-FFF2-40B4-BE49-F238E27FC236}">
              <a16:creationId xmlns:a16="http://schemas.microsoft.com/office/drawing/2014/main" id="{9CB06D35-F112-4685-860B-8D3F6331DB7D}"/>
            </a:ext>
          </a:extLst>
        </xdr:cNvPr>
        <xdr:cNvCxnSpPr/>
      </xdr:nvCxnSpPr>
      <xdr:spPr>
        <a:xfrm flipV="1">
          <a:off x="2142066" y="338285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27" name="Straight Arrow Connector 26">
          <a:extLst>
            <a:ext uri="{FF2B5EF4-FFF2-40B4-BE49-F238E27FC236}">
              <a16:creationId xmlns:a16="http://schemas.microsoft.com/office/drawing/2014/main" id="{7F7B6BCF-C596-47BF-87A5-1BBC5D5EA411}"/>
            </a:ext>
          </a:extLst>
        </xdr:cNvPr>
        <xdr:cNvCxnSpPr/>
      </xdr:nvCxnSpPr>
      <xdr:spPr>
        <a:xfrm flipV="1">
          <a:off x="3187700" y="331724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28" name="Straight Arrow Connector 27">
          <a:extLst>
            <a:ext uri="{FF2B5EF4-FFF2-40B4-BE49-F238E27FC236}">
              <a16:creationId xmlns:a16="http://schemas.microsoft.com/office/drawing/2014/main" id="{B4160553-19EF-4605-86B4-E5D900E42BD8}"/>
            </a:ext>
          </a:extLst>
        </xdr:cNvPr>
        <xdr:cNvCxnSpPr/>
      </xdr:nvCxnSpPr>
      <xdr:spPr>
        <a:xfrm>
          <a:off x="4093633" y="330411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29" name="Straight Arrow Connector 28">
          <a:extLst>
            <a:ext uri="{FF2B5EF4-FFF2-40B4-BE49-F238E27FC236}">
              <a16:creationId xmlns:a16="http://schemas.microsoft.com/office/drawing/2014/main" id="{21CAB3DB-097C-4EB9-83B6-98EC81415D0E}"/>
            </a:ext>
          </a:extLst>
        </xdr:cNvPr>
        <xdr:cNvCxnSpPr/>
      </xdr:nvCxnSpPr>
      <xdr:spPr>
        <a:xfrm>
          <a:off x="3191933" y="350012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30" name="Straight Arrow Connector 29">
          <a:extLst>
            <a:ext uri="{FF2B5EF4-FFF2-40B4-BE49-F238E27FC236}">
              <a16:creationId xmlns:a16="http://schemas.microsoft.com/office/drawing/2014/main" id="{E66FCD44-A073-4791-AB25-118913B63CCB}"/>
            </a:ext>
          </a:extLst>
        </xdr:cNvPr>
        <xdr:cNvCxnSpPr/>
      </xdr:nvCxnSpPr>
      <xdr:spPr>
        <a:xfrm>
          <a:off x="2146300" y="343069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31" name="Straight Arrow Connector 30">
          <a:extLst>
            <a:ext uri="{FF2B5EF4-FFF2-40B4-BE49-F238E27FC236}">
              <a16:creationId xmlns:a16="http://schemas.microsoft.com/office/drawing/2014/main" id="{0BAF42AC-878D-460B-AA4E-568072DB5AF8}"/>
            </a:ext>
          </a:extLst>
        </xdr:cNvPr>
        <xdr:cNvCxnSpPr/>
      </xdr:nvCxnSpPr>
      <xdr:spPr>
        <a:xfrm flipV="1">
          <a:off x="4093634" y="356531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32" name="Straight Arrow Connector 31">
          <a:extLst>
            <a:ext uri="{FF2B5EF4-FFF2-40B4-BE49-F238E27FC236}">
              <a16:creationId xmlns:a16="http://schemas.microsoft.com/office/drawing/2014/main" id="{EAE3D2D8-03A4-424A-BB98-460127AA5ABE}"/>
            </a:ext>
          </a:extLst>
        </xdr:cNvPr>
        <xdr:cNvCxnSpPr/>
      </xdr:nvCxnSpPr>
      <xdr:spPr>
        <a:xfrm>
          <a:off x="3187700" y="336761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33" name="Straight Arrow Connector 32">
          <a:extLst>
            <a:ext uri="{FF2B5EF4-FFF2-40B4-BE49-F238E27FC236}">
              <a16:creationId xmlns:a16="http://schemas.microsoft.com/office/drawing/2014/main" id="{1574C06E-CB75-46AE-A437-768CEC544A36}"/>
            </a:ext>
          </a:extLst>
        </xdr:cNvPr>
        <xdr:cNvCxnSpPr/>
      </xdr:nvCxnSpPr>
      <xdr:spPr>
        <a:xfrm flipV="1">
          <a:off x="3196167" y="344932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34" name="Straight Arrow Connector 33">
          <a:extLst>
            <a:ext uri="{FF2B5EF4-FFF2-40B4-BE49-F238E27FC236}">
              <a16:creationId xmlns:a16="http://schemas.microsoft.com/office/drawing/2014/main" id="{88FC77BA-161C-44BD-BAC3-E9B7306521F0}"/>
            </a:ext>
          </a:extLst>
        </xdr:cNvPr>
        <xdr:cNvCxnSpPr/>
      </xdr:nvCxnSpPr>
      <xdr:spPr>
        <a:xfrm>
          <a:off x="4106333" y="34353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35" name="Straight Arrow Connector 34">
          <a:extLst>
            <a:ext uri="{FF2B5EF4-FFF2-40B4-BE49-F238E27FC236}">
              <a16:creationId xmlns:a16="http://schemas.microsoft.com/office/drawing/2014/main" id="{8E87078D-6EA7-43F9-B770-393E7DDCC996}"/>
            </a:ext>
          </a:extLst>
        </xdr:cNvPr>
        <xdr:cNvCxnSpPr/>
      </xdr:nvCxnSpPr>
      <xdr:spPr>
        <a:xfrm flipV="1">
          <a:off x="3196167" y="392133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36" name="Straight Arrow Connector 35">
          <a:extLst>
            <a:ext uri="{FF2B5EF4-FFF2-40B4-BE49-F238E27FC236}">
              <a16:creationId xmlns:a16="http://schemas.microsoft.com/office/drawing/2014/main" id="{E3D995C1-FA35-43DD-9432-F2F9ED42FC89}"/>
            </a:ext>
          </a:extLst>
        </xdr:cNvPr>
        <xdr:cNvCxnSpPr/>
      </xdr:nvCxnSpPr>
      <xdr:spPr>
        <a:xfrm flipV="1">
          <a:off x="4982633" y="386969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37" name="Straight Arrow Connector 36">
          <a:extLst>
            <a:ext uri="{FF2B5EF4-FFF2-40B4-BE49-F238E27FC236}">
              <a16:creationId xmlns:a16="http://schemas.microsoft.com/office/drawing/2014/main" id="{8760FF03-5E27-4A04-AC29-9BEE157281FC}"/>
            </a:ext>
          </a:extLst>
        </xdr:cNvPr>
        <xdr:cNvCxnSpPr/>
      </xdr:nvCxnSpPr>
      <xdr:spPr>
        <a:xfrm>
          <a:off x="5888566" y="385656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38" name="Straight Arrow Connector 37">
          <a:extLst>
            <a:ext uri="{FF2B5EF4-FFF2-40B4-BE49-F238E27FC236}">
              <a16:creationId xmlns:a16="http://schemas.microsoft.com/office/drawing/2014/main" id="{B9B3F1C0-F21B-4C5A-BFA9-9CBF1BD56707}"/>
            </a:ext>
          </a:extLst>
        </xdr:cNvPr>
        <xdr:cNvCxnSpPr/>
      </xdr:nvCxnSpPr>
      <xdr:spPr>
        <a:xfrm>
          <a:off x="4986866" y="405257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39" name="Straight Arrow Connector 38">
          <a:extLst>
            <a:ext uri="{FF2B5EF4-FFF2-40B4-BE49-F238E27FC236}">
              <a16:creationId xmlns:a16="http://schemas.microsoft.com/office/drawing/2014/main" id="{44D882F3-1DDC-42DC-A483-664108D42272}"/>
            </a:ext>
          </a:extLst>
        </xdr:cNvPr>
        <xdr:cNvCxnSpPr/>
      </xdr:nvCxnSpPr>
      <xdr:spPr>
        <a:xfrm>
          <a:off x="3200400" y="405003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40" name="Straight Arrow Connector 39">
          <a:extLst>
            <a:ext uri="{FF2B5EF4-FFF2-40B4-BE49-F238E27FC236}">
              <a16:creationId xmlns:a16="http://schemas.microsoft.com/office/drawing/2014/main" id="{6DC96DC2-3883-4111-8C68-DA023A5C6F49}"/>
            </a:ext>
          </a:extLst>
        </xdr:cNvPr>
        <xdr:cNvCxnSpPr/>
      </xdr:nvCxnSpPr>
      <xdr:spPr>
        <a:xfrm flipV="1">
          <a:off x="5888567" y="411776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41" name="Straight Arrow Connector 40">
          <a:extLst>
            <a:ext uri="{FF2B5EF4-FFF2-40B4-BE49-F238E27FC236}">
              <a16:creationId xmlns:a16="http://schemas.microsoft.com/office/drawing/2014/main" id="{679DA001-3A72-486C-8D25-63F2DF3CDEE0}"/>
            </a:ext>
          </a:extLst>
        </xdr:cNvPr>
        <xdr:cNvCxnSpPr/>
      </xdr:nvCxnSpPr>
      <xdr:spPr>
        <a:xfrm>
          <a:off x="4982633" y="392006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42" name="Straight Arrow Connector 41">
          <a:extLst>
            <a:ext uri="{FF2B5EF4-FFF2-40B4-BE49-F238E27FC236}">
              <a16:creationId xmlns:a16="http://schemas.microsoft.com/office/drawing/2014/main" id="{9692A26F-AE02-4283-8F41-BD20479CDD5F}"/>
            </a:ext>
          </a:extLst>
        </xdr:cNvPr>
        <xdr:cNvCxnSpPr/>
      </xdr:nvCxnSpPr>
      <xdr:spPr>
        <a:xfrm flipV="1">
          <a:off x="4991100" y="400177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43" name="Straight Arrow Connector 42">
          <a:extLst>
            <a:ext uri="{FF2B5EF4-FFF2-40B4-BE49-F238E27FC236}">
              <a16:creationId xmlns:a16="http://schemas.microsoft.com/office/drawing/2014/main" id="{E752D788-D0EA-4E21-BC36-ECBC34CF0B85}"/>
            </a:ext>
          </a:extLst>
        </xdr:cNvPr>
        <xdr:cNvCxnSpPr/>
      </xdr:nvCxnSpPr>
      <xdr:spPr>
        <a:xfrm>
          <a:off x="5901266" y="39878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44" name="Straight Arrow Connector 43">
          <a:extLst>
            <a:ext uri="{FF2B5EF4-FFF2-40B4-BE49-F238E27FC236}">
              <a16:creationId xmlns:a16="http://schemas.microsoft.com/office/drawing/2014/main" id="{EA1176C1-0704-4A47-8859-B092F665A599}"/>
            </a:ext>
          </a:extLst>
        </xdr:cNvPr>
        <xdr:cNvCxnSpPr/>
      </xdr:nvCxnSpPr>
      <xdr:spPr>
        <a:xfrm flipV="1">
          <a:off x="2142066" y="393530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45" name="Straight Arrow Connector 44">
          <a:extLst>
            <a:ext uri="{FF2B5EF4-FFF2-40B4-BE49-F238E27FC236}">
              <a16:creationId xmlns:a16="http://schemas.microsoft.com/office/drawing/2014/main" id="{F2EEC73F-B50B-44F7-801F-662648B75B71}"/>
            </a:ext>
          </a:extLst>
        </xdr:cNvPr>
        <xdr:cNvCxnSpPr/>
      </xdr:nvCxnSpPr>
      <xdr:spPr>
        <a:xfrm>
          <a:off x="2146300" y="398314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46" name="Straight Arrow Connector 45">
          <a:extLst>
            <a:ext uri="{FF2B5EF4-FFF2-40B4-BE49-F238E27FC236}">
              <a16:creationId xmlns:a16="http://schemas.microsoft.com/office/drawing/2014/main" id="{2CCC7F20-C63D-4A84-BEB0-B47867E27678}"/>
            </a:ext>
          </a:extLst>
        </xdr:cNvPr>
        <xdr:cNvCxnSpPr/>
      </xdr:nvCxnSpPr>
      <xdr:spPr>
        <a:xfrm flipV="1">
          <a:off x="2142066" y="273388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47" name="Straight Arrow Connector 46">
          <a:extLst>
            <a:ext uri="{FF2B5EF4-FFF2-40B4-BE49-F238E27FC236}">
              <a16:creationId xmlns:a16="http://schemas.microsoft.com/office/drawing/2014/main" id="{C154D9F4-D549-4C09-81FC-78717223B1C5}"/>
            </a:ext>
          </a:extLst>
        </xdr:cNvPr>
        <xdr:cNvCxnSpPr/>
      </xdr:nvCxnSpPr>
      <xdr:spPr>
        <a:xfrm>
          <a:off x="2146300" y="277410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48" name="Right Brace 47">
          <a:extLst>
            <a:ext uri="{FF2B5EF4-FFF2-40B4-BE49-F238E27FC236}">
              <a16:creationId xmlns:a16="http://schemas.microsoft.com/office/drawing/2014/main" id="{CDD21C32-4D1D-4816-BA14-69EDE19152D3}"/>
            </a:ext>
          </a:extLst>
        </xdr:cNvPr>
        <xdr:cNvSpPr/>
      </xdr:nvSpPr>
      <xdr:spPr>
        <a:xfrm>
          <a:off x="2933700" y="273473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49" name="Right Brace 48">
          <a:extLst>
            <a:ext uri="{FF2B5EF4-FFF2-40B4-BE49-F238E27FC236}">
              <a16:creationId xmlns:a16="http://schemas.microsoft.com/office/drawing/2014/main" id="{AB541C66-BB7F-4D88-94AC-51187E989860}"/>
            </a:ext>
          </a:extLst>
        </xdr:cNvPr>
        <xdr:cNvSpPr/>
      </xdr:nvSpPr>
      <xdr:spPr>
        <a:xfrm>
          <a:off x="4762500" y="273515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xdr:col>
      <xdr:colOff>1058333</xdr:colOff>
      <xdr:row>94</xdr:row>
      <xdr:rowOff>325967</xdr:rowOff>
    </xdr:from>
    <xdr:to>
      <xdr:col>3</xdr:col>
      <xdr:colOff>469900</xdr:colOff>
      <xdr:row>96</xdr:row>
      <xdr:rowOff>131234</xdr:rowOff>
    </xdr:to>
    <xdr:cxnSp macro="">
      <xdr:nvCxnSpPr>
        <xdr:cNvPr id="50" name="Straight Arrow Connector 49">
          <a:extLst>
            <a:ext uri="{FF2B5EF4-FFF2-40B4-BE49-F238E27FC236}">
              <a16:creationId xmlns:a16="http://schemas.microsoft.com/office/drawing/2014/main" id="{100808DF-EE44-43F6-91DD-EC2A426FE23F}"/>
            </a:ext>
          </a:extLst>
        </xdr:cNvPr>
        <xdr:cNvCxnSpPr/>
      </xdr:nvCxnSpPr>
      <xdr:spPr>
        <a:xfrm flipV="1">
          <a:off x="2142066" y="338285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93</xdr:row>
      <xdr:rowOff>1</xdr:rowOff>
    </xdr:from>
    <xdr:to>
      <xdr:col>4</xdr:col>
      <xdr:colOff>444500</xdr:colOff>
      <xdr:row>94</xdr:row>
      <xdr:rowOff>169334</xdr:rowOff>
    </xdr:to>
    <xdr:cxnSp macro="">
      <xdr:nvCxnSpPr>
        <xdr:cNvPr id="51" name="Straight Arrow Connector 50">
          <a:extLst>
            <a:ext uri="{FF2B5EF4-FFF2-40B4-BE49-F238E27FC236}">
              <a16:creationId xmlns:a16="http://schemas.microsoft.com/office/drawing/2014/main" id="{6E3599CE-71D2-475B-A2CC-A56654DA4B73}"/>
            </a:ext>
          </a:extLst>
        </xdr:cNvPr>
        <xdr:cNvCxnSpPr/>
      </xdr:nvCxnSpPr>
      <xdr:spPr>
        <a:xfrm flipV="1">
          <a:off x="3187700" y="331724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8466</xdr:colOff>
      <xdr:row>92</xdr:row>
      <xdr:rowOff>198967</xdr:rowOff>
    </xdr:from>
    <xdr:to>
      <xdr:col>5</xdr:col>
      <xdr:colOff>880533</xdr:colOff>
      <xdr:row>92</xdr:row>
      <xdr:rowOff>198967</xdr:rowOff>
    </xdr:to>
    <xdr:cxnSp macro="">
      <xdr:nvCxnSpPr>
        <xdr:cNvPr id="52" name="Straight Arrow Connector 51">
          <a:extLst>
            <a:ext uri="{FF2B5EF4-FFF2-40B4-BE49-F238E27FC236}">
              <a16:creationId xmlns:a16="http://schemas.microsoft.com/office/drawing/2014/main" id="{9E4021CB-95D4-43DC-B774-7E43D69D15B0}"/>
            </a:ext>
          </a:extLst>
        </xdr:cNvPr>
        <xdr:cNvCxnSpPr/>
      </xdr:nvCxnSpPr>
      <xdr:spPr>
        <a:xfrm>
          <a:off x="4093633" y="330411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4233</xdr:colOff>
      <xdr:row>98</xdr:row>
      <xdr:rowOff>177801</xdr:rowOff>
    </xdr:from>
    <xdr:to>
      <xdr:col>4</xdr:col>
      <xdr:colOff>482600</xdr:colOff>
      <xdr:row>100</xdr:row>
      <xdr:rowOff>0</xdr:rowOff>
    </xdr:to>
    <xdr:cxnSp macro="">
      <xdr:nvCxnSpPr>
        <xdr:cNvPr id="53" name="Straight Arrow Connector 52">
          <a:extLst>
            <a:ext uri="{FF2B5EF4-FFF2-40B4-BE49-F238E27FC236}">
              <a16:creationId xmlns:a16="http://schemas.microsoft.com/office/drawing/2014/main" id="{87269B59-D358-4909-8CA2-B0D62C27E0AC}"/>
            </a:ext>
          </a:extLst>
        </xdr:cNvPr>
        <xdr:cNvCxnSpPr/>
      </xdr:nvCxnSpPr>
      <xdr:spPr>
        <a:xfrm>
          <a:off x="3191933" y="350012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96</xdr:row>
      <xdr:rowOff>143934</xdr:rowOff>
    </xdr:from>
    <xdr:to>
      <xdr:col>3</xdr:col>
      <xdr:colOff>474134</xdr:colOff>
      <xdr:row>97</xdr:row>
      <xdr:rowOff>321734</xdr:rowOff>
    </xdr:to>
    <xdr:cxnSp macro="">
      <xdr:nvCxnSpPr>
        <xdr:cNvPr id="54" name="Straight Arrow Connector 53">
          <a:extLst>
            <a:ext uri="{FF2B5EF4-FFF2-40B4-BE49-F238E27FC236}">
              <a16:creationId xmlns:a16="http://schemas.microsoft.com/office/drawing/2014/main" id="{1143C798-6902-4CFE-999E-938BF996A4D6}"/>
            </a:ext>
          </a:extLst>
        </xdr:cNvPr>
        <xdr:cNvCxnSpPr/>
      </xdr:nvCxnSpPr>
      <xdr:spPr>
        <a:xfrm>
          <a:off x="2146300" y="343069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8467</xdr:colOff>
      <xdr:row>100</xdr:row>
      <xdr:rowOff>169334</xdr:rowOff>
    </xdr:from>
    <xdr:to>
      <xdr:col>5</xdr:col>
      <xdr:colOff>893233</xdr:colOff>
      <xdr:row>100</xdr:row>
      <xdr:rowOff>182034</xdr:rowOff>
    </xdr:to>
    <xdr:cxnSp macro="">
      <xdr:nvCxnSpPr>
        <xdr:cNvPr id="55" name="Straight Arrow Connector 54">
          <a:extLst>
            <a:ext uri="{FF2B5EF4-FFF2-40B4-BE49-F238E27FC236}">
              <a16:creationId xmlns:a16="http://schemas.microsoft.com/office/drawing/2014/main" id="{FABEC014-6883-45BD-AE91-B7B7A31C213A}"/>
            </a:ext>
          </a:extLst>
        </xdr:cNvPr>
        <xdr:cNvCxnSpPr/>
      </xdr:nvCxnSpPr>
      <xdr:spPr>
        <a:xfrm flipV="1">
          <a:off x="4093634" y="356531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94</xdr:row>
      <xdr:rowOff>173567</xdr:rowOff>
    </xdr:from>
    <xdr:to>
      <xdr:col>4</xdr:col>
      <xdr:colOff>495301</xdr:colOff>
      <xdr:row>96</xdr:row>
      <xdr:rowOff>8467</xdr:rowOff>
    </xdr:to>
    <xdr:cxnSp macro="">
      <xdr:nvCxnSpPr>
        <xdr:cNvPr id="56" name="Straight Arrow Connector 55">
          <a:extLst>
            <a:ext uri="{FF2B5EF4-FFF2-40B4-BE49-F238E27FC236}">
              <a16:creationId xmlns:a16="http://schemas.microsoft.com/office/drawing/2014/main" id="{6759027A-06D9-43FC-9C66-796AEFD42D11}"/>
            </a:ext>
          </a:extLst>
        </xdr:cNvPr>
        <xdr:cNvCxnSpPr/>
      </xdr:nvCxnSpPr>
      <xdr:spPr>
        <a:xfrm>
          <a:off x="3187700" y="336761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97</xdr:row>
      <xdr:rowOff>0</xdr:rowOff>
    </xdr:from>
    <xdr:to>
      <xdr:col>4</xdr:col>
      <xdr:colOff>512234</xdr:colOff>
      <xdr:row>98</xdr:row>
      <xdr:rowOff>182035</xdr:rowOff>
    </xdr:to>
    <xdr:cxnSp macro="">
      <xdr:nvCxnSpPr>
        <xdr:cNvPr id="57" name="Straight Arrow Connector 56">
          <a:extLst>
            <a:ext uri="{FF2B5EF4-FFF2-40B4-BE49-F238E27FC236}">
              <a16:creationId xmlns:a16="http://schemas.microsoft.com/office/drawing/2014/main" id="{5990F982-1220-42E8-968A-3088B78A3B2B}"/>
            </a:ext>
          </a:extLst>
        </xdr:cNvPr>
        <xdr:cNvCxnSpPr/>
      </xdr:nvCxnSpPr>
      <xdr:spPr>
        <a:xfrm flipV="1">
          <a:off x="3196167" y="344932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21166</xdr:colOff>
      <xdr:row>96</xdr:row>
      <xdr:rowOff>190500</xdr:rowOff>
    </xdr:from>
    <xdr:to>
      <xdr:col>5</xdr:col>
      <xdr:colOff>893233</xdr:colOff>
      <xdr:row>96</xdr:row>
      <xdr:rowOff>190500</xdr:rowOff>
    </xdr:to>
    <xdr:cxnSp macro="">
      <xdr:nvCxnSpPr>
        <xdr:cNvPr id="58" name="Straight Arrow Connector 57">
          <a:extLst>
            <a:ext uri="{FF2B5EF4-FFF2-40B4-BE49-F238E27FC236}">
              <a16:creationId xmlns:a16="http://schemas.microsoft.com/office/drawing/2014/main" id="{322CB67D-30AC-47C4-A09C-049540DD13D8}"/>
            </a:ext>
          </a:extLst>
        </xdr:cNvPr>
        <xdr:cNvCxnSpPr/>
      </xdr:nvCxnSpPr>
      <xdr:spPr>
        <a:xfrm>
          <a:off x="4106333" y="343535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8467</xdr:colOff>
      <xdr:row>111</xdr:row>
      <xdr:rowOff>186267</xdr:rowOff>
    </xdr:from>
    <xdr:to>
      <xdr:col>5</xdr:col>
      <xdr:colOff>0</xdr:colOff>
      <xdr:row>111</xdr:row>
      <xdr:rowOff>198968</xdr:rowOff>
    </xdr:to>
    <xdr:cxnSp macro="">
      <xdr:nvCxnSpPr>
        <xdr:cNvPr id="59" name="Straight Arrow Connector 58">
          <a:extLst>
            <a:ext uri="{FF2B5EF4-FFF2-40B4-BE49-F238E27FC236}">
              <a16:creationId xmlns:a16="http://schemas.microsoft.com/office/drawing/2014/main" id="{7614FFDB-1F13-472A-9D36-EA16DCD6A06F}"/>
            </a:ext>
          </a:extLst>
        </xdr:cNvPr>
        <xdr:cNvCxnSpPr/>
      </xdr:nvCxnSpPr>
      <xdr:spPr>
        <a:xfrm flipV="1">
          <a:off x="3196167" y="39213367"/>
          <a:ext cx="889000" cy="1270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110</xdr:row>
      <xdr:rowOff>1</xdr:rowOff>
    </xdr:from>
    <xdr:to>
      <xdr:col>6</xdr:col>
      <xdr:colOff>444500</xdr:colOff>
      <xdr:row>111</xdr:row>
      <xdr:rowOff>169334</xdr:rowOff>
    </xdr:to>
    <xdr:cxnSp macro="">
      <xdr:nvCxnSpPr>
        <xdr:cNvPr id="60" name="Straight Arrow Connector 59">
          <a:extLst>
            <a:ext uri="{FF2B5EF4-FFF2-40B4-BE49-F238E27FC236}">
              <a16:creationId xmlns:a16="http://schemas.microsoft.com/office/drawing/2014/main" id="{0CDC3A82-B659-4D15-B7B3-2AA582F23E2D}"/>
            </a:ext>
          </a:extLst>
        </xdr:cNvPr>
        <xdr:cNvCxnSpPr/>
      </xdr:nvCxnSpPr>
      <xdr:spPr>
        <a:xfrm flipV="1">
          <a:off x="4982633" y="38696901"/>
          <a:ext cx="444500" cy="499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xdr:colOff>
      <xdr:row>109</xdr:row>
      <xdr:rowOff>198967</xdr:rowOff>
    </xdr:from>
    <xdr:to>
      <xdr:col>7</xdr:col>
      <xdr:colOff>880533</xdr:colOff>
      <xdr:row>109</xdr:row>
      <xdr:rowOff>198967</xdr:rowOff>
    </xdr:to>
    <xdr:cxnSp macro="">
      <xdr:nvCxnSpPr>
        <xdr:cNvPr id="61" name="Straight Arrow Connector 60">
          <a:extLst>
            <a:ext uri="{FF2B5EF4-FFF2-40B4-BE49-F238E27FC236}">
              <a16:creationId xmlns:a16="http://schemas.microsoft.com/office/drawing/2014/main" id="{CF4E3FB8-53A2-466B-BE81-29D8D8F92B2E}"/>
            </a:ext>
          </a:extLst>
        </xdr:cNvPr>
        <xdr:cNvCxnSpPr/>
      </xdr:nvCxnSpPr>
      <xdr:spPr>
        <a:xfrm>
          <a:off x="5888566" y="38565667"/>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xdr:colOff>
      <xdr:row>115</xdr:row>
      <xdr:rowOff>177801</xdr:rowOff>
    </xdr:from>
    <xdr:to>
      <xdr:col>6</xdr:col>
      <xdr:colOff>482600</xdr:colOff>
      <xdr:row>117</xdr:row>
      <xdr:rowOff>0</xdr:rowOff>
    </xdr:to>
    <xdr:cxnSp macro="">
      <xdr:nvCxnSpPr>
        <xdr:cNvPr id="62" name="Straight Arrow Connector 61">
          <a:extLst>
            <a:ext uri="{FF2B5EF4-FFF2-40B4-BE49-F238E27FC236}">
              <a16:creationId xmlns:a16="http://schemas.microsoft.com/office/drawing/2014/main" id="{647CFF4C-2D14-40C7-A8D1-6A7FB7D73DA0}"/>
            </a:ext>
          </a:extLst>
        </xdr:cNvPr>
        <xdr:cNvCxnSpPr/>
      </xdr:nvCxnSpPr>
      <xdr:spPr>
        <a:xfrm>
          <a:off x="4986866" y="40525701"/>
          <a:ext cx="478367" cy="48259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12700</xdr:colOff>
      <xdr:row>115</xdr:row>
      <xdr:rowOff>152401</xdr:rowOff>
    </xdr:from>
    <xdr:to>
      <xdr:col>5</xdr:col>
      <xdr:colOff>21167</xdr:colOff>
      <xdr:row>115</xdr:row>
      <xdr:rowOff>156634</xdr:rowOff>
    </xdr:to>
    <xdr:cxnSp macro="">
      <xdr:nvCxnSpPr>
        <xdr:cNvPr id="63" name="Straight Arrow Connector 62">
          <a:extLst>
            <a:ext uri="{FF2B5EF4-FFF2-40B4-BE49-F238E27FC236}">
              <a16:creationId xmlns:a16="http://schemas.microsoft.com/office/drawing/2014/main" id="{B21AD35F-D21B-4796-BD2D-5675A090A916}"/>
            </a:ext>
          </a:extLst>
        </xdr:cNvPr>
        <xdr:cNvCxnSpPr/>
      </xdr:nvCxnSpPr>
      <xdr:spPr>
        <a:xfrm>
          <a:off x="3200400" y="40500301"/>
          <a:ext cx="905934" cy="4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8467</xdr:colOff>
      <xdr:row>117</xdr:row>
      <xdr:rowOff>169334</xdr:rowOff>
    </xdr:from>
    <xdr:to>
      <xdr:col>7</xdr:col>
      <xdr:colOff>893233</xdr:colOff>
      <xdr:row>117</xdr:row>
      <xdr:rowOff>182034</xdr:rowOff>
    </xdr:to>
    <xdr:cxnSp macro="">
      <xdr:nvCxnSpPr>
        <xdr:cNvPr id="64" name="Straight Arrow Connector 63">
          <a:extLst>
            <a:ext uri="{FF2B5EF4-FFF2-40B4-BE49-F238E27FC236}">
              <a16:creationId xmlns:a16="http://schemas.microsoft.com/office/drawing/2014/main" id="{0CCE7217-3C24-42DD-B62B-8F344B47504B}"/>
            </a:ext>
          </a:extLst>
        </xdr:cNvPr>
        <xdr:cNvCxnSpPr/>
      </xdr:nvCxnSpPr>
      <xdr:spPr>
        <a:xfrm flipV="1">
          <a:off x="5888567" y="41177634"/>
          <a:ext cx="884766" cy="127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111</xdr:row>
      <xdr:rowOff>173567</xdr:rowOff>
    </xdr:from>
    <xdr:to>
      <xdr:col>6</xdr:col>
      <xdr:colOff>495301</xdr:colOff>
      <xdr:row>113</xdr:row>
      <xdr:rowOff>8467</xdr:rowOff>
    </xdr:to>
    <xdr:cxnSp macro="">
      <xdr:nvCxnSpPr>
        <xdr:cNvPr id="65" name="Straight Arrow Connector 64">
          <a:extLst>
            <a:ext uri="{FF2B5EF4-FFF2-40B4-BE49-F238E27FC236}">
              <a16:creationId xmlns:a16="http://schemas.microsoft.com/office/drawing/2014/main" id="{ECECA0A2-4BCF-4BA8-B735-482229F95522}"/>
            </a:ext>
          </a:extLst>
        </xdr:cNvPr>
        <xdr:cNvCxnSpPr/>
      </xdr:nvCxnSpPr>
      <xdr:spPr>
        <a:xfrm>
          <a:off x="4982633" y="39200667"/>
          <a:ext cx="495301" cy="495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8467</xdr:colOff>
      <xdr:row>114</xdr:row>
      <xdr:rowOff>0</xdr:rowOff>
    </xdr:from>
    <xdr:to>
      <xdr:col>6</xdr:col>
      <xdr:colOff>512234</xdr:colOff>
      <xdr:row>115</xdr:row>
      <xdr:rowOff>182035</xdr:rowOff>
    </xdr:to>
    <xdr:cxnSp macro="">
      <xdr:nvCxnSpPr>
        <xdr:cNvPr id="66" name="Straight Arrow Connector 65">
          <a:extLst>
            <a:ext uri="{FF2B5EF4-FFF2-40B4-BE49-F238E27FC236}">
              <a16:creationId xmlns:a16="http://schemas.microsoft.com/office/drawing/2014/main" id="{C61F16B7-658D-405A-AC94-455ACF3514D5}"/>
            </a:ext>
          </a:extLst>
        </xdr:cNvPr>
        <xdr:cNvCxnSpPr/>
      </xdr:nvCxnSpPr>
      <xdr:spPr>
        <a:xfrm flipV="1">
          <a:off x="4991100" y="40017700"/>
          <a:ext cx="503767" cy="51223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21166</xdr:colOff>
      <xdr:row>113</xdr:row>
      <xdr:rowOff>190500</xdr:rowOff>
    </xdr:from>
    <xdr:to>
      <xdr:col>7</xdr:col>
      <xdr:colOff>893233</xdr:colOff>
      <xdr:row>113</xdr:row>
      <xdr:rowOff>190500</xdr:rowOff>
    </xdr:to>
    <xdr:cxnSp macro="">
      <xdr:nvCxnSpPr>
        <xdr:cNvPr id="67" name="Straight Arrow Connector 66">
          <a:extLst>
            <a:ext uri="{FF2B5EF4-FFF2-40B4-BE49-F238E27FC236}">
              <a16:creationId xmlns:a16="http://schemas.microsoft.com/office/drawing/2014/main" id="{F90690C7-A43A-4F59-9C58-0F4A38CF7470}"/>
            </a:ext>
          </a:extLst>
        </xdr:cNvPr>
        <xdr:cNvCxnSpPr/>
      </xdr:nvCxnSpPr>
      <xdr:spPr>
        <a:xfrm>
          <a:off x="5901266" y="39878000"/>
          <a:ext cx="872067"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111</xdr:row>
      <xdr:rowOff>325967</xdr:rowOff>
    </xdr:from>
    <xdr:to>
      <xdr:col>3</xdr:col>
      <xdr:colOff>469900</xdr:colOff>
      <xdr:row>113</xdr:row>
      <xdr:rowOff>131234</xdr:rowOff>
    </xdr:to>
    <xdr:cxnSp macro="">
      <xdr:nvCxnSpPr>
        <xdr:cNvPr id="68" name="Straight Arrow Connector 67">
          <a:extLst>
            <a:ext uri="{FF2B5EF4-FFF2-40B4-BE49-F238E27FC236}">
              <a16:creationId xmlns:a16="http://schemas.microsoft.com/office/drawing/2014/main" id="{14D527DE-E0EA-4FC6-B24A-7DB8BA150F55}"/>
            </a:ext>
          </a:extLst>
        </xdr:cNvPr>
        <xdr:cNvCxnSpPr/>
      </xdr:nvCxnSpPr>
      <xdr:spPr>
        <a:xfrm flipV="1">
          <a:off x="2142066" y="39353067"/>
          <a:ext cx="474134" cy="46566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113</xdr:row>
      <xdr:rowOff>143934</xdr:rowOff>
    </xdr:from>
    <xdr:to>
      <xdr:col>3</xdr:col>
      <xdr:colOff>474134</xdr:colOff>
      <xdr:row>114</xdr:row>
      <xdr:rowOff>321734</xdr:rowOff>
    </xdr:to>
    <xdr:cxnSp macro="">
      <xdr:nvCxnSpPr>
        <xdr:cNvPr id="69" name="Straight Arrow Connector 68">
          <a:extLst>
            <a:ext uri="{FF2B5EF4-FFF2-40B4-BE49-F238E27FC236}">
              <a16:creationId xmlns:a16="http://schemas.microsoft.com/office/drawing/2014/main" id="{B0E09F12-EAFF-48B4-861A-410EEE074696}"/>
            </a:ext>
          </a:extLst>
        </xdr:cNvPr>
        <xdr:cNvCxnSpPr/>
      </xdr:nvCxnSpPr>
      <xdr:spPr>
        <a:xfrm>
          <a:off x="2146300" y="39831434"/>
          <a:ext cx="474134"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1058333</xdr:colOff>
      <xdr:row>71</xdr:row>
      <xdr:rowOff>325967</xdr:rowOff>
    </xdr:from>
    <xdr:to>
      <xdr:col>3</xdr:col>
      <xdr:colOff>469900</xdr:colOff>
      <xdr:row>73</xdr:row>
      <xdr:rowOff>131234</xdr:rowOff>
    </xdr:to>
    <xdr:cxnSp macro="">
      <xdr:nvCxnSpPr>
        <xdr:cNvPr id="70" name="Straight Arrow Connector 69">
          <a:extLst>
            <a:ext uri="{FF2B5EF4-FFF2-40B4-BE49-F238E27FC236}">
              <a16:creationId xmlns:a16="http://schemas.microsoft.com/office/drawing/2014/main" id="{8BBB277F-1940-4274-8A1E-DECAA9798D99}"/>
            </a:ext>
          </a:extLst>
        </xdr:cNvPr>
        <xdr:cNvCxnSpPr/>
      </xdr:nvCxnSpPr>
      <xdr:spPr>
        <a:xfrm flipV="1">
          <a:off x="2142066" y="27338866"/>
          <a:ext cx="474134" cy="38946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73</xdr:row>
      <xdr:rowOff>143934</xdr:rowOff>
    </xdr:from>
    <xdr:to>
      <xdr:col>3</xdr:col>
      <xdr:colOff>474134</xdr:colOff>
      <xdr:row>74</xdr:row>
      <xdr:rowOff>321734</xdr:rowOff>
    </xdr:to>
    <xdr:cxnSp macro="">
      <xdr:nvCxnSpPr>
        <xdr:cNvPr id="71" name="Straight Arrow Connector 70">
          <a:extLst>
            <a:ext uri="{FF2B5EF4-FFF2-40B4-BE49-F238E27FC236}">
              <a16:creationId xmlns:a16="http://schemas.microsoft.com/office/drawing/2014/main" id="{4500592E-9C22-412F-9712-DD656C603011}"/>
            </a:ext>
          </a:extLst>
        </xdr:cNvPr>
        <xdr:cNvCxnSpPr/>
      </xdr:nvCxnSpPr>
      <xdr:spPr>
        <a:xfrm>
          <a:off x="2146300" y="27741034"/>
          <a:ext cx="474134" cy="3725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787400</xdr:colOff>
      <xdr:row>72</xdr:row>
      <xdr:rowOff>8467</xdr:rowOff>
    </xdr:from>
    <xdr:to>
      <xdr:col>3</xdr:col>
      <xdr:colOff>969434</xdr:colOff>
      <xdr:row>74</xdr:row>
      <xdr:rowOff>245533</xdr:rowOff>
    </xdr:to>
    <xdr:sp macro="" textlink="">
      <xdr:nvSpPr>
        <xdr:cNvPr id="72" name="Right Brace 71">
          <a:extLst>
            <a:ext uri="{FF2B5EF4-FFF2-40B4-BE49-F238E27FC236}">
              <a16:creationId xmlns:a16="http://schemas.microsoft.com/office/drawing/2014/main" id="{94D55AA2-6F46-4704-B915-3A4E5C1F15C0}"/>
            </a:ext>
          </a:extLst>
        </xdr:cNvPr>
        <xdr:cNvSpPr/>
      </xdr:nvSpPr>
      <xdr:spPr>
        <a:xfrm>
          <a:off x="2933700" y="27347334"/>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5</xdr:col>
      <xdr:colOff>677333</xdr:colOff>
      <xdr:row>72</xdr:row>
      <xdr:rowOff>12701</xdr:rowOff>
    </xdr:from>
    <xdr:to>
      <xdr:col>5</xdr:col>
      <xdr:colOff>859367</xdr:colOff>
      <xdr:row>74</xdr:row>
      <xdr:rowOff>249767</xdr:rowOff>
    </xdr:to>
    <xdr:sp macro="" textlink="">
      <xdr:nvSpPr>
        <xdr:cNvPr id="73" name="Right Brace 72">
          <a:extLst>
            <a:ext uri="{FF2B5EF4-FFF2-40B4-BE49-F238E27FC236}">
              <a16:creationId xmlns:a16="http://schemas.microsoft.com/office/drawing/2014/main" id="{0F35C157-248D-45D3-9C3E-DACDF975CCC5}"/>
            </a:ext>
          </a:extLst>
        </xdr:cNvPr>
        <xdr:cNvSpPr/>
      </xdr:nvSpPr>
      <xdr:spPr>
        <a:xfrm>
          <a:off x="4762500" y="27351568"/>
          <a:ext cx="182034" cy="7535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09CBB-7208-425E-A22C-E23DA6C4D4F9}">
  <sheetPr>
    <pageSetUpPr fitToPage="1"/>
  </sheetPr>
  <dimension ref="A1:AZ122"/>
  <sheetViews>
    <sheetView tabSelected="1" topLeftCell="A106" zoomScale="70" zoomScaleNormal="70" workbookViewId="0">
      <selection activeCell="N114" sqref="N114"/>
    </sheetView>
  </sheetViews>
  <sheetFormatPr defaultRowHeight="14.35" x14ac:dyDescent="0.5"/>
  <cols>
    <col min="1" max="1" width="4.234375" style="37" customWidth="1"/>
    <col min="2" max="2" width="10.8203125" customWidth="1"/>
    <col min="3" max="3" width="14.76171875" customWidth="1"/>
    <col min="4" max="4" width="14.46875" customWidth="1"/>
    <col min="5" max="6" width="12.46875" customWidth="1"/>
    <col min="7" max="8" width="12.46875" style="1" customWidth="1"/>
    <col min="9" max="10" width="12.46875" customWidth="1"/>
    <col min="11" max="11" width="10.64453125" style="2" customWidth="1"/>
    <col min="12" max="12" width="9.234375" style="2" customWidth="1"/>
    <col min="13" max="16" width="13.5859375" style="2" customWidth="1"/>
    <col min="17" max="18" width="24.1171875" style="2" customWidth="1"/>
    <col min="19" max="26" width="13.234375" style="2" customWidth="1"/>
    <col min="27" max="27" width="8.8203125" style="2"/>
    <col min="28" max="28" width="8.41015625" style="2" customWidth="1"/>
    <col min="29" max="52" width="8.8203125" style="2"/>
    <col min="258" max="258" width="9.41015625" customWidth="1"/>
    <col min="259" max="259" width="11" customWidth="1"/>
    <col min="260" max="271" width="9.234375" customWidth="1"/>
    <col min="284" max="284" width="10.5859375" customWidth="1"/>
    <col min="514" max="514" width="9.41015625" customWidth="1"/>
    <col min="515" max="515" width="11" customWidth="1"/>
    <col min="516" max="527" width="9.234375" customWidth="1"/>
    <col min="540" max="540" width="10.5859375" customWidth="1"/>
    <col min="770" max="770" width="9.41015625" customWidth="1"/>
    <col min="771" max="771" width="11" customWidth="1"/>
    <col min="772" max="783" width="9.234375" customWidth="1"/>
    <col min="796" max="796" width="10.5859375" customWidth="1"/>
    <col min="1026" max="1026" width="9.41015625" customWidth="1"/>
    <col min="1027" max="1027" width="11" customWidth="1"/>
    <col min="1028" max="1039" width="9.234375" customWidth="1"/>
    <col min="1052" max="1052" width="10.5859375" customWidth="1"/>
    <col min="1282" max="1282" width="9.41015625" customWidth="1"/>
    <col min="1283" max="1283" width="11" customWidth="1"/>
    <col min="1284" max="1295" width="9.234375" customWidth="1"/>
    <col min="1308" max="1308" width="10.5859375" customWidth="1"/>
    <col min="1538" max="1538" width="9.41015625" customWidth="1"/>
    <col min="1539" max="1539" width="11" customWidth="1"/>
    <col min="1540" max="1551" width="9.234375" customWidth="1"/>
    <col min="1564" max="1564" width="10.5859375" customWidth="1"/>
    <col min="1794" max="1794" width="9.41015625" customWidth="1"/>
    <col min="1795" max="1795" width="11" customWidth="1"/>
    <col min="1796" max="1807" width="9.234375" customWidth="1"/>
    <col min="1820" max="1820" width="10.5859375" customWidth="1"/>
    <col min="2050" max="2050" width="9.41015625" customWidth="1"/>
    <col min="2051" max="2051" width="11" customWidth="1"/>
    <col min="2052" max="2063" width="9.234375" customWidth="1"/>
    <col min="2076" max="2076" width="10.5859375" customWidth="1"/>
    <col min="2306" max="2306" width="9.41015625" customWidth="1"/>
    <col min="2307" max="2307" width="11" customWidth="1"/>
    <col min="2308" max="2319" width="9.234375" customWidth="1"/>
    <col min="2332" max="2332" width="10.5859375" customWidth="1"/>
    <col min="2562" max="2562" width="9.41015625" customWidth="1"/>
    <col min="2563" max="2563" width="11" customWidth="1"/>
    <col min="2564" max="2575" width="9.234375" customWidth="1"/>
    <col min="2588" max="2588" width="10.5859375" customWidth="1"/>
    <col min="2818" max="2818" width="9.41015625" customWidth="1"/>
    <col min="2819" max="2819" width="11" customWidth="1"/>
    <col min="2820" max="2831" width="9.234375" customWidth="1"/>
    <col min="2844" max="2844" width="10.5859375" customWidth="1"/>
    <col min="3074" max="3074" width="9.41015625" customWidth="1"/>
    <col min="3075" max="3075" width="11" customWidth="1"/>
    <col min="3076" max="3087" width="9.234375" customWidth="1"/>
    <col min="3100" max="3100" width="10.5859375" customWidth="1"/>
    <col min="3330" max="3330" width="9.41015625" customWidth="1"/>
    <col min="3331" max="3331" width="11" customWidth="1"/>
    <col min="3332" max="3343" width="9.234375" customWidth="1"/>
    <col min="3356" max="3356" width="10.5859375" customWidth="1"/>
    <col min="3586" max="3586" width="9.41015625" customWidth="1"/>
    <col min="3587" max="3587" width="11" customWidth="1"/>
    <col min="3588" max="3599" width="9.234375" customWidth="1"/>
    <col min="3612" max="3612" width="10.5859375" customWidth="1"/>
    <col min="3842" max="3842" width="9.41015625" customWidth="1"/>
    <col min="3843" max="3843" width="11" customWidth="1"/>
    <col min="3844" max="3855" width="9.234375" customWidth="1"/>
    <col min="3868" max="3868" width="10.5859375" customWidth="1"/>
    <col min="4098" max="4098" width="9.41015625" customWidth="1"/>
    <col min="4099" max="4099" width="11" customWidth="1"/>
    <col min="4100" max="4111" width="9.234375" customWidth="1"/>
    <col min="4124" max="4124" width="10.5859375" customWidth="1"/>
    <col min="4354" max="4354" width="9.41015625" customWidth="1"/>
    <col min="4355" max="4355" width="11" customWidth="1"/>
    <col min="4356" max="4367" width="9.234375" customWidth="1"/>
    <col min="4380" max="4380" width="10.5859375" customWidth="1"/>
    <col min="4610" max="4610" width="9.41015625" customWidth="1"/>
    <col min="4611" max="4611" width="11" customWidth="1"/>
    <col min="4612" max="4623" width="9.234375" customWidth="1"/>
    <col min="4636" max="4636" width="10.5859375" customWidth="1"/>
    <col min="4866" max="4866" width="9.41015625" customWidth="1"/>
    <col min="4867" max="4867" width="11" customWidth="1"/>
    <col min="4868" max="4879" width="9.234375" customWidth="1"/>
    <col min="4892" max="4892" width="10.5859375" customWidth="1"/>
    <col min="5122" max="5122" width="9.41015625" customWidth="1"/>
    <col min="5123" max="5123" width="11" customWidth="1"/>
    <col min="5124" max="5135" width="9.234375" customWidth="1"/>
    <col min="5148" max="5148" width="10.5859375" customWidth="1"/>
    <col min="5378" max="5378" width="9.41015625" customWidth="1"/>
    <col min="5379" max="5379" width="11" customWidth="1"/>
    <col min="5380" max="5391" width="9.234375" customWidth="1"/>
    <col min="5404" max="5404" width="10.5859375" customWidth="1"/>
    <col min="5634" max="5634" width="9.41015625" customWidth="1"/>
    <col min="5635" max="5635" width="11" customWidth="1"/>
    <col min="5636" max="5647" width="9.234375" customWidth="1"/>
    <col min="5660" max="5660" width="10.5859375" customWidth="1"/>
    <col min="5890" max="5890" width="9.41015625" customWidth="1"/>
    <col min="5891" max="5891" width="11" customWidth="1"/>
    <col min="5892" max="5903" width="9.234375" customWidth="1"/>
    <col min="5916" max="5916" width="10.5859375" customWidth="1"/>
    <col min="6146" max="6146" width="9.41015625" customWidth="1"/>
    <col min="6147" max="6147" width="11" customWidth="1"/>
    <col min="6148" max="6159" width="9.234375" customWidth="1"/>
    <col min="6172" max="6172" width="10.5859375" customWidth="1"/>
    <col min="6402" max="6402" width="9.41015625" customWidth="1"/>
    <col min="6403" max="6403" width="11" customWidth="1"/>
    <col min="6404" max="6415" width="9.234375" customWidth="1"/>
    <col min="6428" max="6428" width="10.5859375" customWidth="1"/>
    <col min="6658" max="6658" width="9.41015625" customWidth="1"/>
    <col min="6659" max="6659" width="11" customWidth="1"/>
    <col min="6660" max="6671" width="9.234375" customWidth="1"/>
    <col min="6684" max="6684" width="10.5859375" customWidth="1"/>
    <col min="6914" max="6914" width="9.41015625" customWidth="1"/>
    <col min="6915" max="6915" width="11" customWidth="1"/>
    <col min="6916" max="6927" width="9.234375" customWidth="1"/>
    <col min="6940" max="6940" width="10.5859375" customWidth="1"/>
    <col min="7170" max="7170" width="9.41015625" customWidth="1"/>
    <col min="7171" max="7171" width="11" customWidth="1"/>
    <col min="7172" max="7183" width="9.234375" customWidth="1"/>
    <col min="7196" max="7196" width="10.5859375" customWidth="1"/>
    <col min="7426" max="7426" width="9.41015625" customWidth="1"/>
    <col min="7427" max="7427" width="11" customWidth="1"/>
    <col min="7428" max="7439" width="9.234375" customWidth="1"/>
    <col min="7452" max="7452" width="10.5859375" customWidth="1"/>
    <col min="7682" max="7682" width="9.41015625" customWidth="1"/>
    <col min="7683" max="7683" width="11" customWidth="1"/>
    <col min="7684" max="7695" width="9.234375" customWidth="1"/>
    <col min="7708" max="7708" width="10.5859375" customWidth="1"/>
    <col min="7938" max="7938" width="9.41015625" customWidth="1"/>
    <col min="7939" max="7939" width="11" customWidth="1"/>
    <col min="7940" max="7951" width="9.234375" customWidth="1"/>
    <col min="7964" max="7964" width="10.5859375" customWidth="1"/>
    <col min="8194" max="8194" width="9.41015625" customWidth="1"/>
    <col min="8195" max="8195" width="11" customWidth="1"/>
    <col min="8196" max="8207" width="9.234375" customWidth="1"/>
    <col min="8220" max="8220" width="10.5859375" customWidth="1"/>
    <col min="8450" max="8450" width="9.41015625" customWidth="1"/>
    <col min="8451" max="8451" width="11" customWidth="1"/>
    <col min="8452" max="8463" width="9.234375" customWidth="1"/>
    <col min="8476" max="8476" width="10.5859375" customWidth="1"/>
    <col min="8706" max="8706" width="9.41015625" customWidth="1"/>
    <col min="8707" max="8707" width="11" customWidth="1"/>
    <col min="8708" max="8719" width="9.234375" customWidth="1"/>
    <col min="8732" max="8732" width="10.5859375" customWidth="1"/>
    <col min="8962" max="8962" width="9.41015625" customWidth="1"/>
    <col min="8963" max="8963" width="11" customWidth="1"/>
    <col min="8964" max="8975" width="9.234375" customWidth="1"/>
    <col min="8988" max="8988" width="10.5859375" customWidth="1"/>
    <col min="9218" max="9218" width="9.41015625" customWidth="1"/>
    <col min="9219" max="9219" width="11" customWidth="1"/>
    <col min="9220" max="9231" width="9.234375" customWidth="1"/>
    <col min="9244" max="9244" width="10.5859375" customWidth="1"/>
    <col min="9474" max="9474" width="9.41015625" customWidth="1"/>
    <col min="9475" max="9475" width="11" customWidth="1"/>
    <col min="9476" max="9487" width="9.234375" customWidth="1"/>
    <col min="9500" max="9500" width="10.5859375" customWidth="1"/>
    <col min="9730" max="9730" width="9.41015625" customWidth="1"/>
    <col min="9731" max="9731" width="11" customWidth="1"/>
    <col min="9732" max="9743" width="9.234375" customWidth="1"/>
    <col min="9756" max="9756" width="10.5859375" customWidth="1"/>
    <col min="9986" max="9986" width="9.41015625" customWidth="1"/>
    <col min="9987" max="9987" width="11" customWidth="1"/>
    <col min="9988" max="9999" width="9.234375" customWidth="1"/>
    <col min="10012" max="10012" width="10.5859375" customWidth="1"/>
    <col min="10242" max="10242" width="9.41015625" customWidth="1"/>
    <col min="10243" max="10243" width="11" customWidth="1"/>
    <col min="10244" max="10255" width="9.234375" customWidth="1"/>
    <col min="10268" max="10268" width="10.5859375" customWidth="1"/>
    <col min="10498" max="10498" width="9.41015625" customWidth="1"/>
    <col min="10499" max="10499" width="11" customWidth="1"/>
    <col min="10500" max="10511" width="9.234375" customWidth="1"/>
    <col min="10524" max="10524" width="10.5859375" customWidth="1"/>
    <col min="10754" max="10754" width="9.41015625" customWidth="1"/>
    <col min="10755" max="10755" width="11" customWidth="1"/>
    <col min="10756" max="10767" width="9.234375" customWidth="1"/>
    <col min="10780" max="10780" width="10.5859375" customWidth="1"/>
    <col min="11010" max="11010" width="9.41015625" customWidth="1"/>
    <col min="11011" max="11011" width="11" customWidth="1"/>
    <col min="11012" max="11023" width="9.234375" customWidth="1"/>
    <col min="11036" max="11036" width="10.5859375" customWidth="1"/>
    <col min="11266" max="11266" width="9.41015625" customWidth="1"/>
    <col min="11267" max="11267" width="11" customWidth="1"/>
    <col min="11268" max="11279" width="9.234375" customWidth="1"/>
    <col min="11292" max="11292" width="10.5859375" customWidth="1"/>
    <col min="11522" max="11522" width="9.41015625" customWidth="1"/>
    <col min="11523" max="11523" width="11" customWidth="1"/>
    <col min="11524" max="11535" width="9.234375" customWidth="1"/>
    <col min="11548" max="11548" width="10.5859375" customWidth="1"/>
    <col min="11778" max="11778" width="9.41015625" customWidth="1"/>
    <col min="11779" max="11779" width="11" customWidth="1"/>
    <col min="11780" max="11791" width="9.234375" customWidth="1"/>
    <col min="11804" max="11804" width="10.5859375" customWidth="1"/>
    <col min="12034" max="12034" width="9.41015625" customWidth="1"/>
    <col min="12035" max="12035" width="11" customWidth="1"/>
    <col min="12036" max="12047" width="9.234375" customWidth="1"/>
    <col min="12060" max="12060" width="10.5859375" customWidth="1"/>
    <col min="12290" max="12290" width="9.41015625" customWidth="1"/>
    <col min="12291" max="12291" width="11" customWidth="1"/>
    <col min="12292" max="12303" width="9.234375" customWidth="1"/>
    <col min="12316" max="12316" width="10.5859375" customWidth="1"/>
    <col min="12546" max="12546" width="9.41015625" customWidth="1"/>
    <col min="12547" max="12547" width="11" customWidth="1"/>
    <col min="12548" max="12559" width="9.234375" customWidth="1"/>
    <col min="12572" max="12572" width="10.5859375" customWidth="1"/>
    <col min="12802" max="12802" width="9.41015625" customWidth="1"/>
    <col min="12803" max="12803" width="11" customWidth="1"/>
    <col min="12804" max="12815" width="9.234375" customWidth="1"/>
    <col min="12828" max="12828" width="10.5859375" customWidth="1"/>
    <col min="13058" max="13058" width="9.41015625" customWidth="1"/>
    <col min="13059" max="13059" width="11" customWidth="1"/>
    <col min="13060" max="13071" width="9.234375" customWidth="1"/>
    <col min="13084" max="13084" width="10.5859375" customWidth="1"/>
    <col min="13314" max="13314" width="9.41015625" customWidth="1"/>
    <col min="13315" max="13315" width="11" customWidth="1"/>
    <col min="13316" max="13327" width="9.234375" customWidth="1"/>
    <col min="13340" max="13340" width="10.5859375" customWidth="1"/>
    <col min="13570" max="13570" width="9.41015625" customWidth="1"/>
    <col min="13571" max="13571" width="11" customWidth="1"/>
    <col min="13572" max="13583" width="9.234375" customWidth="1"/>
    <col min="13596" max="13596" width="10.5859375" customWidth="1"/>
    <col min="13826" max="13826" width="9.41015625" customWidth="1"/>
    <col min="13827" max="13827" width="11" customWidth="1"/>
    <col min="13828" max="13839" width="9.234375" customWidth="1"/>
    <col min="13852" max="13852" width="10.5859375" customWidth="1"/>
    <col min="14082" max="14082" width="9.41015625" customWidth="1"/>
    <col min="14083" max="14083" width="11" customWidth="1"/>
    <col min="14084" max="14095" width="9.234375" customWidth="1"/>
    <col min="14108" max="14108" width="10.5859375" customWidth="1"/>
    <col min="14338" max="14338" width="9.41015625" customWidth="1"/>
    <col min="14339" max="14339" width="11" customWidth="1"/>
    <col min="14340" max="14351" width="9.234375" customWidth="1"/>
    <col min="14364" max="14364" width="10.5859375" customWidth="1"/>
    <col min="14594" max="14594" width="9.41015625" customWidth="1"/>
    <col min="14595" max="14595" width="11" customWidth="1"/>
    <col min="14596" max="14607" width="9.234375" customWidth="1"/>
    <col min="14620" max="14620" width="10.5859375" customWidth="1"/>
    <col min="14850" max="14850" width="9.41015625" customWidth="1"/>
    <col min="14851" max="14851" width="11" customWidth="1"/>
    <col min="14852" max="14863" width="9.234375" customWidth="1"/>
    <col min="14876" max="14876" width="10.5859375" customWidth="1"/>
    <col min="15106" max="15106" width="9.41015625" customWidth="1"/>
    <col min="15107" max="15107" width="11" customWidth="1"/>
    <col min="15108" max="15119" width="9.234375" customWidth="1"/>
    <col min="15132" max="15132" width="10.5859375" customWidth="1"/>
    <col min="15362" max="15362" width="9.41015625" customWidth="1"/>
    <col min="15363" max="15363" width="11" customWidth="1"/>
    <col min="15364" max="15375" width="9.234375" customWidth="1"/>
    <col min="15388" max="15388" width="10.5859375" customWidth="1"/>
    <col min="15618" max="15618" width="9.41015625" customWidth="1"/>
    <col min="15619" max="15619" width="11" customWidth="1"/>
    <col min="15620" max="15631" width="9.234375" customWidth="1"/>
    <col min="15644" max="15644" width="10.5859375" customWidth="1"/>
    <col min="15874" max="15874" width="9.41015625" customWidth="1"/>
    <col min="15875" max="15875" width="11" customWidth="1"/>
    <col min="15876" max="15887" width="9.234375" customWidth="1"/>
    <col min="15900" max="15900" width="10.5859375" customWidth="1"/>
    <col min="16130" max="16130" width="9.41015625" customWidth="1"/>
    <col min="16131" max="16131" width="11" customWidth="1"/>
    <col min="16132" max="16143" width="9.234375" customWidth="1"/>
    <col min="16156" max="16156" width="10.5859375" customWidth="1"/>
  </cols>
  <sheetData>
    <row r="1" spans="1:21" ht="33.75" customHeight="1" thickBot="1" x14ac:dyDescent="0.55000000000000004">
      <c r="B1" s="30" t="s">
        <v>87</v>
      </c>
    </row>
    <row r="2" spans="1:21" ht="33.75" customHeight="1" thickBot="1" x14ac:dyDescent="0.8">
      <c r="B2" s="92" t="s">
        <v>88</v>
      </c>
      <c r="C2" s="205" t="s">
        <v>127</v>
      </c>
      <c r="D2" s="206"/>
      <c r="E2" s="206"/>
      <c r="F2" s="206"/>
      <c r="G2" s="206"/>
      <c r="H2" s="206"/>
      <c r="I2" s="207"/>
      <c r="L2" s="3" t="s">
        <v>19</v>
      </c>
    </row>
    <row r="3" spans="1:21" ht="18.75" customHeight="1" x14ac:dyDescent="0.5"/>
    <row r="4" spans="1:21" ht="33.75" customHeight="1" x14ac:dyDescent="0.5">
      <c r="B4" s="202" t="s">
        <v>76</v>
      </c>
      <c r="C4" s="203"/>
      <c r="D4" s="203"/>
      <c r="E4" s="203"/>
      <c r="F4" s="203"/>
      <c r="G4" s="203"/>
      <c r="H4" s="203"/>
      <c r="I4" s="203"/>
      <c r="J4" s="203"/>
      <c r="K4" s="204"/>
      <c r="L4" s="204"/>
      <c r="M4" s="4"/>
      <c r="N4" s="4"/>
      <c r="O4" s="4"/>
      <c r="P4" s="4"/>
      <c r="Q4" s="4"/>
      <c r="R4" s="4"/>
      <c r="S4" s="4"/>
      <c r="T4" s="4"/>
      <c r="U4" s="4"/>
    </row>
    <row r="5" spans="1:21" ht="14" customHeight="1" thickBot="1" x14ac:dyDescent="0.55000000000000004">
      <c r="B5" s="37"/>
      <c r="C5" s="37"/>
      <c r="D5" s="37"/>
      <c r="E5" s="37"/>
      <c r="F5" s="37"/>
      <c r="G5" s="37"/>
      <c r="H5" s="37"/>
      <c r="I5" s="37"/>
      <c r="J5" s="37"/>
      <c r="K5" s="37"/>
      <c r="L5" s="37"/>
      <c r="M5" s="37"/>
      <c r="N5" s="4"/>
      <c r="O5" s="4"/>
      <c r="P5" s="4"/>
      <c r="Q5" s="4"/>
      <c r="R5" s="4"/>
      <c r="S5" s="4"/>
      <c r="T5" s="4"/>
      <c r="U5" s="4"/>
    </row>
    <row r="6" spans="1:21" ht="22.7" customHeight="1" x14ac:dyDescent="0.5">
      <c r="C6" s="208" t="s">
        <v>36</v>
      </c>
      <c r="D6" s="209"/>
      <c r="E6" s="210"/>
      <c r="F6" s="208" t="s">
        <v>37</v>
      </c>
      <c r="G6" s="209"/>
      <c r="H6" s="210"/>
    </row>
    <row r="7" spans="1:21" ht="49.7" customHeight="1" x14ac:dyDescent="0.5">
      <c r="B7" s="43" t="s">
        <v>32</v>
      </c>
      <c r="C7" s="40" t="s">
        <v>33</v>
      </c>
      <c r="D7" s="41" t="s">
        <v>34</v>
      </c>
      <c r="E7" s="42" t="s">
        <v>35</v>
      </c>
      <c r="F7" s="40" t="s">
        <v>33</v>
      </c>
      <c r="G7" s="41" t="s">
        <v>34</v>
      </c>
      <c r="H7" s="42" t="s">
        <v>35</v>
      </c>
    </row>
    <row r="8" spans="1:21" ht="28" customHeight="1" x14ac:dyDescent="0.5">
      <c r="B8" s="39">
        <f>+INPUT!B8</f>
        <v>150</v>
      </c>
      <c r="C8" s="49">
        <f>+INPUT!C8</f>
        <v>20</v>
      </c>
      <c r="D8" s="50">
        <f>+INPUT!D8</f>
        <v>21.5</v>
      </c>
      <c r="E8" s="51">
        <f>+INPUT!E8</f>
        <v>23</v>
      </c>
      <c r="F8" s="52">
        <f>+INPUT!F8</f>
        <v>3</v>
      </c>
      <c r="G8" s="53">
        <f>+INPUT!G8</f>
        <v>3.5</v>
      </c>
      <c r="H8" s="54">
        <f>+INPUT!H8</f>
        <v>4.45</v>
      </c>
    </row>
    <row r="9" spans="1:21" ht="28" customHeight="1" x14ac:dyDescent="0.5">
      <c r="B9" s="39">
        <f>+INPUT!B9</f>
        <v>155</v>
      </c>
      <c r="C9" s="49">
        <f>+INPUT!C9</f>
        <v>15.5</v>
      </c>
      <c r="D9" s="50">
        <f>+INPUT!D9</f>
        <v>16.25</v>
      </c>
      <c r="E9" s="51">
        <f>+INPUT!E9</f>
        <v>17.75</v>
      </c>
      <c r="F9" s="52">
        <f>+INPUT!F9</f>
        <v>4.0999999999999996</v>
      </c>
      <c r="G9" s="53">
        <f>+INPUT!G9</f>
        <v>4.9000000000000004</v>
      </c>
      <c r="H9" s="54">
        <f>+INPUT!H9</f>
        <v>5.9</v>
      </c>
    </row>
    <row r="10" spans="1:21" ht="28" customHeight="1" x14ac:dyDescent="0.5">
      <c r="B10" s="39">
        <f>+INPUT!B10</f>
        <v>160</v>
      </c>
      <c r="C10" s="49">
        <f>+INPUT!C10</f>
        <v>12.5</v>
      </c>
      <c r="D10" s="50">
        <f>+INPUT!D10</f>
        <v>12.85</v>
      </c>
      <c r="E10" s="51">
        <f>+INPUT!E10</f>
        <v>13.5</v>
      </c>
      <c r="F10" s="52">
        <f>+INPUT!F10</f>
        <v>5.3</v>
      </c>
      <c r="G10" s="53">
        <f>+INPUT!G10</f>
        <v>6</v>
      </c>
      <c r="H10" s="54">
        <f>+INPUT!H10</f>
        <v>6.8</v>
      </c>
    </row>
    <row r="11" spans="1:21" ht="28" customHeight="1" x14ac:dyDescent="0.5">
      <c r="B11" s="39">
        <f>+INPUT!B11</f>
        <v>165</v>
      </c>
      <c r="C11" s="49">
        <f>+INPUT!C11</f>
        <v>8.1</v>
      </c>
      <c r="D11" s="50">
        <f>+INPUT!D11</f>
        <v>9</v>
      </c>
      <c r="E11" s="51">
        <f>+INPUT!E11</f>
        <v>10.65</v>
      </c>
      <c r="F11" s="52">
        <f>+INPUT!F11</f>
        <v>7</v>
      </c>
      <c r="G11" s="53">
        <f>+INPUT!G11</f>
        <v>8</v>
      </c>
      <c r="H11" s="54">
        <f>+INPUT!H11</f>
        <v>9.1999999999999993</v>
      </c>
    </row>
    <row r="12" spans="1:21" ht="28" customHeight="1" x14ac:dyDescent="0.5">
      <c r="B12" s="39">
        <f>+INPUT!B12</f>
        <v>170</v>
      </c>
      <c r="C12" s="49">
        <f>+INPUT!C12</f>
        <v>5.2</v>
      </c>
      <c r="D12" s="50">
        <f>+INPUT!D12</f>
        <v>6.3</v>
      </c>
      <c r="E12" s="51">
        <f>+INPUT!E12</f>
        <v>8.5</v>
      </c>
      <c r="F12" s="52">
        <f>+INPUT!F12</f>
        <v>9.4</v>
      </c>
      <c r="G12" s="53">
        <f>+INPUT!G12</f>
        <v>10.75</v>
      </c>
      <c r="H12" s="54">
        <f>+INPUT!H12</f>
        <v>12.45</v>
      </c>
    </row>
    <row r="13" spans="1:21" ht="28" customHeight="1" x14ac:dyDescent="0.5">
      <c r="B13" s="39">
        <f>+INPUT!B13</f>
        <v>175</v>
      </c>
      <c r="C13" s="49">
        <f>+INPUT!C13</f>
        <v>3.25</v>
      </c>
      <c r="D13" s="50">
        <f>+INPUT!D13</f>
        <v>4.25</v>
      </c>
      <c r="E13" s="51">
        <f>+INPUT!E13</f>
        <v>5.75</v>
      </c>
      <c r="F13" s="52">
        <f>+INPUT!F13</f>
        <v>13</v>
      </c>
      <c r="G13" s="53">
        <f>+INPUT!G13</f>
        <v>14.3</v>
      </c>
      <c r="H13" s="54">
        <f>+INPUT!H13</f>
        <v>14.2</v>
      </c>
    </row>
    <row r="14" spans="1:21" ht="28" customHeight="1" thickBot="1" x14ac:dyDescent="0.55000000000000004">
      <c r="B14" s="39">
        <f>+INPUT!B14</f>
        <v>180</v>
      </c>
      <c r="C14" s="55">
        <f>+INPUT!C14</f>
        <v>2.5</v>
      </c>
      <c r="D14" s="56">
        <f>+INPUT!D14</f>
        <v>3.4</v>
      </c>
      <c r="E14" s="57">
        <f>+INPUT!E14</f>
        <v>4.45</v>
      </c>
      <c r="F14" s="58">
        <f>+INPUT!F14</f>
        <v>15</v>
      </c>
      <c r="G14" s="59">
        <f>+INPUT!G14</f>
        <v>16.100000000000001</v>
      </c>
      <c r="H14" s="60">
        <f>+INPUT!H14</f>
        <v>17.75</v>
      </c>
    </row>
    <row r="15" spans="1:21" ht="9" customHeight="1" x14ac:dyDescent="0.5"/>
    <row r="16" spans="1:21" s="2" customFormat="1" ht="22.7" customHeight="1" x14ac:dyDescent="0.5">
      <c r="A16" s="38"/>
      <c r="B16" s="11" t="s">
        <v>50</v>
      </c>
      <c r="C16" s="12"/>
      <c r="D16" s="12"/>
      <c r="E16" s="12"/>
      <c r="F16" s="12"/>
      <c r="G16" s="13"/>
      <c r="H16" s="13"/>
      <c r="I16" s="12"/>
      <c r="P16" s="4"/>
      <c r="Q16" s="4"/>
      <c r="R16" s="4"/>
      <c r="S16" s="4"/>
      <c r="T16" s="4"/>
      <c r="U16" s="4"/>
    </row>
    <row r="17" spans="1:21" s="2" customFormat="1" ht="33.75" customHeight="1" x14ac:dyDescent="0.45">
      <c r="A17" s="38"/>
      <c r="B17" s="12" t="s">
        <v>47</v>
      </c>
      <c r="C17" s="12"/>
      <c r="D17" s="12"/>
      <c r="E17" s="12"/>
      <c r="F17" s="12"/>
      <c r="G17" s="13"/>
      <c r="H17" s="13"/>
      <c r="I17" s="12"/>
    </row>
    <row r="18" spans="1:21" s="2" customFormat="1" ht="51" customHeight="1" x14ac:dyDescent="0.4">
      <c r="A18" s="38"/>
      <c r="B18" s="14" t="s">
        <v>0</v>
      </c>
      <c r="C18" s="14" t="s">
        <v>38</v>
      </c>
      <c r="D18" s="14" t="s">
        <v>1</v>
      </c>
      <c r="E18" s="14" t="s">
        <v>2</v>
      </c>
      <c r="F18" s="14" t="s">
        <v>85</v>
      </c>
      <c r="G18" s="14" t="s">
        <v>42</v>
      </c>
      <c r="H18" s="15" t="s">
        <v>51</v>
      </c>
      <c r="I18" s="15" t="s">
        <v>52</v>
      </c>
      <c r="J18" s="15" t="s">
        <v>53</v>
      </c>
      <c r="K18" s="15" t="s">
        <v>31</v>
      </c>
      <c r="L18" s="15" t="s">
        <v>54</v>
      </c>
      <c r="P18" s="4"/>
      <c r="Q18" s="4"/>
      <c r="R18" s="4"/>
      <c r="S18" s="4"/>
      <c r="T18" s="4"/>
      <c r="U18" s="4"/>
    </row>
    <row r="19" spans="1:21" s="2" customFormat="1" ht="33.75" customHeight="1" x14ac:dyDescent="0.4">
      <c r="A19" s="38"/>
      <c r="B19" s="46" t="str">
        <f>+INPUT!B19</f>
        <v>Buy</v>
      </c>
      <c r="C19" s="46" t="str">
        <f>+INPUT!C19</f>
        <v>March</v>
      </c>
      <c r="D19" s="46" t="str">
        <f>+INPUT!D19</f>
        <v>Call</v>
      </c>
      <c r="E19" s="47">
        <f>+INPUT!E19</f>
        <v>150</v>
      </c>
      <c r="F19" s="44">
        <f>+C8</f>
        <v>20</v>
      </c>
      <c r="G19" s="47">
        <f>+INPUT!G19</f>
        <v>175</v>
      </c>
      <c r="H19" s="45">
        <f>MAX(0,G19-E19)</f>
        <v>25</v>
      </c>
      <c r="I19" s="45">
        <f>+H19-F19</f>
        <v>5</v>
      </c>
      <c r="J19" s="45">
        <f>+E19+F19</f>
        <v>170</v>
      </c>
      <c r="K19" s="36"/>
      <c r="L19" s="48">
        <f>+I19/F19</f>
        <v>0.25</v>
      </c>
    </row>
    <row r="20" spans="1:21" s="2" customFormat="1" ht="33.75" customHeight="1" x14ac:dyDescent="0.4">
      <c r="A20" s="38"/>
      <c r="B20" s="46" t="str">
        <f>+INPUT!B20</f>
        <v>Buy</v>
      </c>
      <c r="C20" s="46" t="str">
        <f>+INPUT!C20</f>
        <v>April</v>
      </c>
      <c r="D20" s="46" t="str">
        <f>+INPUT!D20</f>
        <v>Call</v>
      </c>
      <c r="E20" s="47">
        <f>+INPUT!E20</f>
        <v>165</v>
      </c>
      <c r="F20" s="44">
        <f>+D11</f>
        <v>9</v>
      </c>
      <c r="G20" s="47">
        <f>+INPUT!G20</f>
        <v>165</v>
      </c>
      <c r="H20" s="45">
        <f>MAX(0,G20-E20)</f>
        <v>0</v>
      </c>
      <c r="I20" s="45">
        <f>+H20-F20</f>
        <v>-9</v>
      </c>
      <c r="J20" s="45">
        <f>+E20+F20</f>
        <v>174</v>
      </c>
      <c r="K20" s="36"/>
      <c r="L20" s="48">
        <f t="shared" ref="L20:L22" si="0">+I20/F20</f>
        <v>-1</v>
      </c>
      <c r="P20" s="4"/>
      <c r="Q20" s="4"/>
      <c r="R20" s="4"/>
      <c r="S20" s="4"/>
      <c r="T20" s="4"/>
      <c r="U20" s="4"/>
    </row>
    <row r="21" spans="1:21" s="2" customFormat="1" ht="33.75" customHeight="1" x14ac:dyDescent="0.4">
      <c r="A21" s="38"/>
      <c r="B21" s="46" t="str">
        <f>+INPUT!B21</f>
        <v>Buy</v>
      </c>
      <c r="C21" s="46" t="str">
        <f>+INPUT!C21</f>
        <v>May</v>
      </c>
      <c r="D21" s="46" t="str">
        <f>+INPUT!D21</f>
        <v>Put</v>
      </c>
      <c r="E21" s="47">
        <f>+INPUT!E21</f>
        <v>170</v>
      </c>
      <c r="F21" s="44">
        <f>+H12</f>
        <v>12.45</v>
      </c>
      <c r="G21" s="47">
        <f>+INPUT!G21</f>
        <v>160</v>
      </c>
      <c r="H21" s="45">
        <f>MAX(0,E21-G21)</f>
        <v>10</v>
      </c>
      <c r="I21" s="45">
        <f>+H21-F21</f>
        <v>-2.4499999999999993</v>
      </c>
      <c r="J21" s="45">
        <f>+E21-F21</f>
        <v>157.55000000000001</v>
      </c>
      <c r="K21" s="36"/>
      <c r="L21" s="48">
        <f t="shared" si="0"/>
        <v>-0.19678714859437746</v>
      </c>
    </row>
    <row r="22" spans="1:21" s="2" customFormat="1" ht="33.75" customHeight="1" x14ac:dyDescent="0.4">
      <c r="A22" s="38"/>
      <c r="B22" s="46" t="str">
        <f>+INPUT!B22</f>
        <v xml:space="preserve">Buy </v>
      </c>
      <c r="C22" s="46" t="str">
        <f>+INPUT!C22</f>
        <v>March</v>
      </c>
      <c r="D22" s="46" t="str">
        <f>+INPUT!D22</f>
        <v>Put</v>
      </c>
      <c r="E22" s="47">
        <f>+INPUT!E22</f>
        <v>180</v>
      </c>
      <c r="F22" s="44">
        <f>+F14</f>
        <v>15</v>
      </c>
      <c r="G22" s="47">
        <f>+INPUT!G22</f>
        <v>162</v>
      </c>
      <c r="H22" s="45">
        <f>MAX(0,E22-G22)</f>
        <v>18</v>
      </c>
      <c r="I22" s="45">
        <f>+H22-F22</f>
        <v>3</v>
      </c>
      <c r="J22" s="45">
        <f>+E22-F22</f>
        <v>165</v>
      </c>
      <c r="K22" s="36"/>
      <c r="L22" s="48">
        <f t="shared" si="0"/>
        <v>0.2</v>
      </c>
      <c r="P22" s="4"/>
      <c r="Q22" s="4"/>
      <c r="R22" s="4"/>
      <c r="S22" s="4"/>
      <c r="T22" s="4"/>
      <c r="U22" s="4"/>
    </row>
    <row r="23" spans="1:21" s="2" customFormat="1" ht="33.75" customHeight="1" x14ac:dyDescent="0.4">
      <c r="A23" s="38"/>
      <c r="B23" s="46" t="str">
        <f>+INPUT!B23</f>
        <v>Sell</v>
      </c>
      <c r="C23" s="46" t="str">
        <f>+INPUT!C23</f>
        <v>May</v>
      </c>
      <c r="D23" s="46" t="str">
        <f>+INPUT!D23</f>
        <v>Put</v>
      </c>
      <c r="E23" s="47">
        <f>+INPUT!E23</f>
        <v>165</v>
      </c>
      <c r="F23" s="44">
        <f>+H11</f>
        <v>9.1999999999999993</v>
      </c>
      <c r="G23" s="47">
        <f>+INPUT!G23</f>
        <v>125</v>
      </c>
      <c r="H23" s="45">
        <f>-MAX(0,E23-G23)</f>
        <v>-40</v>
      </c>
      <c r="I23" s="45">
        <f>+F23+H23</f>
        <v>-30.8</v>
      </c>
      <c r="J23" s="45">
        <f t="shared" ref="J23:J28" si="1">+E23-F23</f>
        <v>155.80000000000001</v>
      </c>
      <c r="K23" s="36"/>
      <c r="L23" s="36"/>
    </row>
    <row r="24" spans="1:21" s="2" customFormat="1" ht="33.75" customHeight="1" x14ac:dyDescent="0.4">
      <c r="A24" s="38"/>
      <c r="B24" s="46" t="str">
        <f>+INPUT!B24</f>
        <v>Sell</v>
      </c>
      <c r="C24" s="46" t="str">
        <f>+INPUT!C24</f>
        <v>April</v>
      </c>
      <c r="D24" s="46" t="str">
        <f>+INPUT!D24</f>
        <v>Put</v>
      </c>
      <c r="E24" s="47">
        <f>+INPUT!E24</f>
        <v>175</v>
      </c>
      <c r="F24" s="44">
        <f>+G13</f>
        <v>14.3</v>
      </c>
      <c r="G24" s="47">
        <f>+INPUT!G24</f>
        <v>165</v>
      </c>
      <c r="H24" s="45">
        <f>-MAX(0,E24-G24)</f>
        <v>-10</v>
      </c>
      <c r="I24" s="45">
        <f>+F24+H24</f>
        <v>4.3000000000000007</v>
      </c>
      <c r="J24" s="45">
        <f t="shared" si="1"/>
        <v>160.69999999999999</v>
      </c>
      <c r="K24" s="36"/>
      <c r="L24" s="36"/>
      <c r="P24" s="4"/>
      <c r="Q24" s="4"/>
      <c r="R24" s="4"/>
      <c r="S24" s="4"/>
      <c r="T24" s="4"/>
      <c r="U24" s="4"/>
    </row>
    <row r="25" spans="1:21" s="2" customFormat="1" ht="33.75" customHeight="1" x14ac:dyDescent="0.4">
      <c r="A25" s="38"/>
      <c r="B25" s="46" t="str">
        <f>+INPUT!B25</f>
        <v>Sell</v>
      </c>
      <c r="C25" s="46" t="str">
        <f>+INPUT!C25</f>
        <v>May</v>
      </c>
      <c r="D25" s="46" t="str">
        <f>+INPUT!D25</f>
        <v>Call</v>
      </c>
      <c r="E25" s="47">
        <f>+INPUT!E25</f>
        <v>155</v>
      </c>
      <c r="F25" s="44">
        <f>+E9</f>
        <v>17.75</v>
      </c>
      <c r="G25" s="47">
        <f>+INPUT!G25</f>
        <v>180</v>
      </c>
      <c r="H25" s="45">
        <f>-MAX(0,G25-E25)</f>
        <v>-25</v>
      </c>
      <c r="I25" s="45">
        <f>+F25+H25</f>
        <v>-7.25</v>
      </c>
      <c r="J25" s="45">
        <f>+E25+F25</f>
        <v>172.75</v>
      </c>
      <c r="K25" s="36"/>
      <c r="L25" s="36"/>
    </row>
    <row r="26" spans="1:21" s="2" customFormat="1" ht="33.75" customHeight="1" x14ac:dyDescent="0.4">
      <c r="A26" s="38"/>
      <c r="B26" s="46" t="str">
        <f>+INPUT!B26</f>
        <v>Sell</v>
      </c>
      <c r="C26" s="46" t="str">
        <f>+INPUT!C26</f>
        <v>April</v>
      </c>
      <c r="D26" s="46" t="str">
        <f>+INPUT!D26</f>
        <v>Call</v>
      </c>
      <c r="E26" s="47">
        <f>+INPUT!E26</f>
        <v>150</v>
      </c>
      <c r="F26" s="44">
        <f>+D8</f>
        <v>21.5</v>
      </c>
      <c r="G26" s="47">
        <f>+INPUT!G26</f>
        <v>165</v>
      </c>
      <c r="H26" s="45">
        <f>-MAX(0,G26-E26)</f>
        <v>-15</v>
      </c>
      <c r="I26" s="45">
        <f>+F26+H26</f>
        <v>6.5</v>
      </c>
      <c r="J26" s="45">
        <f>+E26+F26</f>
        <v>171.5</v>
      </c>
      <c r="K26" s="36"/>
      <c r="L26" s="36"/>
      <c r="P26" s="4"/>
      <c r="Q26" s="4"/>
      <c r="R26" s="4"/>
      <c r="S26" s="4"/>
      <c r="T26" s="4"/>
      <c r="U26" s="4"/>
    </row>
    <row r="27" spans="1:21" s="2" customFormat="1" ht="33.75" customHeight="1" x14ac:dyDescent="0.4">
      <c r="A27" s="38"/>
      <c r="B27" s="46" t="str">
        <f>+INPUT!B27</f>
        <v>Sell</v>
      </c>
      <c r="C27" s="46" t="str">
        <f>+INPUT!C27</f>
        <v>May</v>
      </c>
      <c r="D27" s="46" t="str">
        <f>+INPUT!D27</f>
        <v>Straddle</v>
      </c>
      <c r="E27" s="47">
        <f>+INPUT!E27</f>
        <v>175</v>
      </c>
      <c r="F27" s="44">
        <f>+E13+H13</f>
        <v>19.95</v>
      </c>
      <c r="G27" s="47">
        <f>+INPUT!G27</f>
        <v>200</v>
      </c>
      <c r="H27" s="45">
        <f>+E27-G27</f>
        <v>-25</v>
      </c>
      <c r="I27" s="45">
        <f>+F27+H27</f>
        <v>-5.0500000000000007</v>
      </c>
      <c r="J27" s="45">
        <f t="shared" si="1"/>
        <v>155.05000000000001</v>
      </c>
      <c r="K27" s="32">
        <f>+E27+F27</f>
        <v>194.95</v>
      </c>
      <c r="L27" s="36"/>
    </row>
    <row r="28" spans="1:21" s="2" customFormat="1" ht="33.75" customHeight="1" x14ac:dyDescent="0.4">
      <c r="A28" s="38"/>
      <c r="B28" s="46" t="str">
        <f>+INPUT!B28</f>
        <v>Buy</v>
      </c>
      <c r="C28" s="46" t="str">
        <f>+INPUT!C28</f>
        <v>March</v>
      </c>
      <c r="D28" s="46" t="str">
        <f>+INPUT!D28</f>
        <v>Straddle</v>
      </c>
      <c r="E28" s="47">
        <f>+INPUT!E28</f>
        <v>180</v>
      </c>
      <c r="F28" s="44">
        <f>+C14+F14</f>
        <v>17.5</v>
      </c>
      <c r="G28" s="47">
        <f>+INPUT!G28</f>
        <v>185</v>
      </c>
      <c r="H28" s="45">
        <f>+G28-E28</f>
        <v>5</v>
      </c>
      <c r="I28" s="45">
        <f>+H28-F28</f>
        <v>-12.5</v>
      </c>
      <c r="J28" s="45">
        <f t="shared" si="1"/>
        <v>162.5</v>
      </c>
      <c r="K28" s="32">
        <f>+F28+E28</f>
        <v>197.5</v>
      </c>
      <c r="L28" s="48">
        <f t="shared" ref="L28" si="2">+I28/F28</f>
        <v>-0.7142857142857143</v>
      </c>
      <c r="P28" s="4"/>
      <c r="Q28" s="4"/>
      <c r="R28" s="4"/>
      <c r="S28" s="4"/>
      <c r="T28" s="4"/>
      <c r="U28" s="4"/>
    </row>
    <row r="29" spans="1:21" s="2" customFormat="1" ht="24" customHeight="1" x14ac:dyDescent="0.45">
      <c r="A29" s="38"/>
      <c r="B29" s="6"/>
      <c r="C29" s="6"/>
      <c r="D29" s="7"/>
      <c r="E29" s="7"/>
      <c r="F29" s="7"/>
      <c r="G29" s="7"/>
      <c r="H29" s="7"/>
      <c r="I29" s="12"/>
    </row>
    <row r="30" spans="1:21" s="2" customFormat="1" ht="21" customHeight="1" x14ac:dyDescent="0.5">
      <c r="A30" s="38"/>
      <c r="B30" s="11" t="s">
        <v>45</v>
      </c>
      <c r="C30" s="12"/>
      <c r="D30" s="12"/>
      <c r="E30" s="12"/>
      <c r="F30" s="12"/>
      <c r="G30" s="13"/>
      <c r="H30" s="13"/>
      <c r="I30" s="12"/>
      <c r="J30" s="12"/>
      <c r="K30" s="12"/>
      <c r="P30" s="4"/>
      <c r="Q30" s="4"/>
      <c r="R30" s="4"/>
      <c r="S30" s="4"/>
      <c r="T30" s="4"/>
      <c r="U30" s="4"/>
    </row>
    <row r="31" spans="1:21" s="2" customFormat="1" ht="33.75" customHeight="1" x14ac:dyDescent="0.5">
      <c r="A31" s="38"/>
      <c r="B31" s="16" t="s">
        <v>46</v>
      </c>
      <c r="C31" s="12"/>
      <c r="D31" s="12"/>
      <c r="E31" s="12"/>
      <c r="F31" s="12"/>
      <c r="G31" s="13"/>
      <c r="H31" s="13"/>
      <c r="I31" s="12"/>
      <c r="J31" s="12"/>
      <c r="K31" s="12"/>
      <c r="L31" s="12"/>
      <c r="M31" s="12"/>
      <c r="N31" s="12"/>
      <c r="O31" s="12"/>
    </row>
    <row r="32" spans="1:21" s="2" customFormat="1" ht="73" customHeight="1" x14ac:dyDescent="0.45">
      <c r="A32" s="38"/>
      <c r="B32" s="14" t="s">
        <v>0</v>
      </c>
      <c r="C32" s="14" t="s">
        <v>38</v>
      </c>
      <c r="D32" s="14" t="s">
        <v>1</v>
      </c>
      <c r="E32" s="14" t="s">
        <v>9</v>
      </c>
      <c r="F32" s="14" t="s">
        <v>10</v>
      </c>
      <c r="G32" s="14" t="s">
        <v>86</v>
      </c>
      <c r="H32" s="14" t="s">
        <v>20</v>
      </c>
      <c r="I32" s="15" t="s">
        <v>48</v>
      </c>
      <c r="J32" s="15" t="s">
        <v>49</v>
      </c>
      <c r="K32" s="12"/>
      <c r="L32" s="12"/>
      <c r="M32" s="12"/>
      <c r="N32" s="12"/>
      <c r="O32" s="12"/>
      <c r="P32" s="4"/>
      <c r="Q32" s="4"/>
      <c r="R32" s="4"/>
      <c r="S32" s="4"/>
      <c r="T32" s="4"/>
      <c r="U32" s="4"/>
    </row>
    <row r="33" spans="1:23" s="2" customFormat="1" ht="33.75" customHeight="1" x14ac:dyDescent="0.45">
      <c r="A33" s="38"/>
      <c r="B33" s="46" t="str">
        <f>+INPUT!B33</f>
        <v>Buy</v>
      </c>
      <c r="C33" s="46" t="str">
        <f>+INPUT!C33</f>
        <v>March</v>
      </c>
      <c r="D33" s="61" t="str">
        <f>+INPUT!D33</f>
        <v>Bull Call Spread</v>
      </c>
      <c r="E33" s="62">
        <f>+INPUT!E33</f>
        <v>150</v>
      </c>
      <c r="F33" s="62">
        <f>+INPUT!F33</f>
        <v>160</v>
      </c>
      <c r="G33" s="44">
        <f>-C8+C10</f>
        <v>-7.5</v>
      </c>
      <c r="H33" s="46">
        <f>+INPUT!H33</f>
        <v>170</v>
      </c>
      <c r="I33" s="33">
        <f>+(H33-E33)-(H33-F33)</f>
        <v>10</v>
      </c>
      <c r="J33" s="33">
        <f t="shared" ref="J33:J38" si="3">+I33+G33</f>
        <v>2.5</v>
      </c>
      <c r="K33" s="12"/>
      <c r="L33" s="12"/>
      <c r="M33" s="12"/>
      <c r="N33" s="12"/>
      <c r="O33" s="12"/>
      <c r="P33" s="12"/>
      <c r="Q33" s="12"/>
      <c r="R33" s="12"/>
      <c r="S33" s="12"/>
      <c r="T33" s="12"/>
      <c r="U33" s="12"/>
      <c r="V33" s="12"/>
      <c r="W33" s="12"/>
    </row>
    <row r="34" spans="1:23" s="2" customFormat="1" ht="33.75" customHeight="1" x14ac:dyDescent="0.45">
      <c r="A34" s="38"/>
      <c r="B34" s="46" t="str">
        <f>+INPUT!B34</f>
        <v>Buy</v>
      </c>
      <c r="C34" s="46" t="str">
        <f>+INPUT!C34</f>
        <v>April</v>
      </c>
      <c r="D34" s="61" t="str">
        <f>+INPUT!D34</f>
        <v>Bull Put Spread</v>
      </c>
      <c r="E34" s="62">
        <f>+INPUT!E34</f>
        <v>160</v>
      </c>
      <c r="F34" s="62">
        <f>+INPUT!F34</f>
        <v>165</v>
      </c>
      <c r="G34" s="44">
        <f>-G10+G11</f>
        <v>2</v>
      </c>
      <c r="H34" s="46">
        <f>+INPUT!H34</f>
        <v>162</v>
      </c>
      <c r="I34" s="33">
        <f>+H34-F34</f>
        <v>-3</v>
      </c>
      <c r="J34" s="33">
        <f t="shared" si="3"/>
        <v>-1</v>
      </c>
      <c r="K34" s="12"/>
      <c r="L34" s="12"/>
      <c r="M34" s="12"/>
      <c r="N34" s="12"/>
      <c r="O34" s="12"/>
      <c r="P34" s="12"/>
      <c r="Q34" s="12"/>
      <c r="R34" s="12"/>
      <c r="S34" s="12"/>
      <c r="T34" s="12"/>
      <c r="U34" s="12"/>
      <c r="V34" s="12"/>
      <c r="W34" s="12"/>
    </row>
    <row r="35" spans="1:23" s="2" customFormat="1" ht="33.75" customHeight="1" x14ac:dyDescent="0.45">
      <c r="A35" s="38"/>
      <c r="B35" s="46" t="str">
        <f>+INPUT!B35</f>
        <v>Buy</v>
      </c>
      <c r="C35" s="46" t="str">
        <f>+INPUT!C35</f>
        <v>May</v>
      </c>
      <c r="D35" s="61" t="str">
        <f>+INPUT!D35</f>
        <v>Bear Put Spread</v>
      </c>
      <c r="E35" s="62">
        <f>+INPUT!E35</f>
        <v>170</v>
      </c>
      <c r="F35" s="62">
        <f>+INPUT!F35</f>
        <v>180</v>
      </c>
      <c r="G35" s="44">
        <f>-H14+H12</f>
        <v>-5.3000000000000007</v>
      </c>
      <c r="H35" s="46">
        <f>+INPUT!H35</f>
        <v>150</v>
      </c>
      <c r="I35" s="33">
        <f>+(H35-E35)-(H35-F35)</f>
        <v>10</v>
      </c>
      <c r="J35" s="33">
        <f t="shared" si="3"/>
        <v>4.6999999999999993</v>
      </c>
      <c r="K35" s="12"/>
      <c r="L35" s="12"/>
      <c r="M35" s="12"/>
      <c r="N35" s="12"/>
      <c r="O35" s="12"/>
      <c r="P35" s="12"/>
      <c r="Q35" s="12"/>
      <c r="R35" s="12"/>
      <c r="S35" s="12"/>
      <c r="T35" s="12"/>
      <c r="U35" s="12"/>
      <c r="V35" s="12"/>
      <c r="W35" s="12"/>
    </row>
    <row r="36" spans="1:23" s="2" customFormat="1" ht="33.75" customHeight="1" x14ac:dyDescent="0.45">
      <c r="A36" s="38"/>
      <c r="B36" s="46" t="str">
        <f>+INPUT!B36</f>
        <v>Buy</v>
      </c>
      <c r="C36" s="46" t="str">
        <f>+INPUT!C36</f>
        <v>April</v>
      </c>
      <c r="D36" s="61" t="str">
        <f>+INPUT!D36</f>
        <v>Bear Call Spread</v>
      </c>
      <c r="E36" s="62">
        <f>+INPUT!E36</f>
        <v>160</v>
      </c>
      <c r="F36" s="62">
        <f>+INPUT!F36</f>
        <v>180</v>
      </c>
      <c r="G36" s="44">
        <f>+D10-D14</f>
        <v>9.4499999999999993</v>
      </c>
      <c r="H36" s="46">
        <f>+INPUT!H36</f>
        <v>170</v>
      </c>
      <c r="I36" s="33">
        <f>+H36-F36</f>
        <v>-10</v>
      </c>
      <c r="J36" s="33">
        <f t="shared" si="3"/>
        <v>-0.55000000000000071</v>
      </c>
      <c r="K36" s="12"/>
      <c r="L36" s="12"/>
      <c r="M36" s="12"/>
      <c r="N36" s="12"/>
      <c r="O36" s="12"/>
      <c r="P36" s="12"/>
      <c r="Q36" s="12"/>
      <c r="R36" s="12"/>
      <c r="S36" s="12"/>
      <c r="T36" s="12"/>
      <c r="U36" s="12"/>
      <c r="V36" s="12"/>
      <c r="W36" s="12"/>
    </row>
    <row r="37" spans="1:23" s="2" customFormat="1" ht="33.75" customHeight="1" x14ac:dyDescent="0.45">
      <c r="A37" s="38"/>
      <c r="B37" s="46" t="str">
        <f>+INPUT!B37</f>
        <v>Buy</v>
      </c>
      <c r="C37" s="46" t="str">
        <f>+INPUT!C37</f>
        <v>March</v>
      </c>
      <c r="D37" s="63" t="str">
        <f>+INPUT!D37</f>
        <v>Butterfly Call 
Spread</v>
      </c>
      <c r="E37" s="62">
        <f>+INPUT!E37</f>
        <v>150</v>
      </c>
      <c r="F37" s="62">
        <f>+INPUT!F37</f>
        <v>180</v>
      </c>
      <c r="G37" s="44">
        <f>-C8-C14+C11+C11</f>
        <v>-6.3000000000000007</v>
      </c>
      <c r="H37" s="46">
        <f>+INPUT!H37</f>
        <v>165</v>
      </c>
      <c r="I37" s="33">
        <f>+H37-E37</f>
        <v>15</v>
      </c>
      <c r="J37" s="33">
        <f t="shared" si="3"/>
        <v>8.6999999999999993</v>
      </c>
      <c r="K37" s="12"/>
      <c r="L37" s="12"/>
      <c r="M37" s="12"/>
      <c r="N37" s="12"/>
      <c r="O37" s="12"/>
      <c r="P37" s="12"/>
      <c r="Q37" s="12"/>
      <c r="R37" s="12"/>
      <c r="S37" s="12"/>
      <c r="T37" s="12"/>
      <c r="U37" s="12"/>
      <c r="V37" s="12"/>
      <c r="W37" s="12"/>
    </row>
    <row r="38" spans="1:23" s="2" customFormat="1" ht="33.6" customHeight="1" x14ac:dyDescent="0.45">
      <c r="A38" s="38"/>
      <c r="B38" s="46" t="str">
        <f>+INPUT!B38</f>
        <v>Sell</v>
      </c>
      <c r="C38" s="46" t="str">
        <f>+INPUT!C38</f>
        <v>May</v>
      </c>
      <c r="D38" s="63" t="str">
        <f>+INPUT!D38</f>
        <v>Butterfly Call 
Spread</v>
      </c>
      <c r="E38" s="62">
        <f>+INPUT!E38</f>
        <v>170</v>
      </c>
      <c r="F38" s="62">
        <f>+INPUT!F38</f>
        <v>180</v>
      </c>
      <c r="G38" s="44">
        <f>+E12+E14-E13-E13</f>
        <v>1.4499999999999993</v>
      </c>
      <c r="H38" s="46">
        <f>+INPUT!H38</f>
        <v>200</v>
      </c>
      <c r="I38" s="33">
        <v>0</v>
      </c>
      <c r="J38" s="33">
        <f t="shared" si="3"/>
        <v>1.4499999999999993</v>
      </c>
      <c r="K38" s="12"/>
      <c r="L38" s="12"/>
      <c r="M38" s="12"/>
      <c r="N38" s="12"/>
      <c r="O38" s="12"/>
      <c r="P38" s="12"/>
      <c r="Q38" s="12"/>
      <c r="R38" s="12"/>
      <c r="S38" s="12"/>
      <c r="T38" s="12"/>
      <c r="U38" s="12"/>
      <c r="V38" s="12"/>
      <c r="W38" s="12"/>
    </row>
    <row r="39" spans="1:23" s="2" customFormat="1" ht="15.6" customHeight="1" x14ac:dyDescent="0.45">
      <c r="A39" s="38"/>
      <c r="D39" s="8"/>
      <c r="E39" s="8"/>
      <c r="F39" s="8"/>
      <c r="G39" s="9"/>
      <c r="H39" s="9"/>
      <c r="J39" s="12"/>
      <c r="K39" s="12"/>
      <c r="L39" s="12"/>
      <c r="M39" s="12"/>
      <c r="N39" s="12"/>
      <c r="O39" s="12"/>
      <c r="P39" s="12"/>
      <c r="Q39" s="12"/>
      <c r="R39" s="12"/>
      <c r="S39" s="12"/>
      <c r="T39" s="12"/>
      <c r="U39" s="12"/>
      <c r="V39" s="12"/>
      <c r="W39" s="12"/>
    </row>
    <row r="40" spans="1:23" ht="33.75" customHeight="1" x14ac:dyDescent="0.5">
      <c r="B40" s="202" t="s">
        <v>55</v>
      </c>
      <c r="C40" s="203"/>
      <c r="D40" s="203"/>
      <c r="E40" s="203"/>
      <c r="F40" s="203"/>
      <c r="G40" s="203"/>
      <c r="H40" s="203"/>
      <c r="I40" s="203"/>
      <c r="J40" s="203"/>
      <c r="K40" s="204"/>
      <c r="L40" s="204"/>
      <c r="M40" s="4"/>
      <c r="N40" s="4"/>
      <c r="O40" s="4"/>
      <c r="P40" s="4"/>
      <c r="Q40" s="4"/>
      <c r="R40" s="4"/>
      <c r="S40" s="4"/>
      <c r="T40" s="4"/>
      <c r="U40" s="4"/>
    </row>
    <row r="41" spans="1:23" s="2" customFormat="1" ht="17.7" customHeight="1" thickBot="1" x14ac:dyDescent="0.45">
      <c r="A41" s="38"/>
      <c r="G41" s="5"/>
      <c r="H41" s="5"/>
    </row>
    <row r="42" spans="1:23" s="2" customFormat="1" ht="33.75" customHeight="1" x14ac:dyDescent="0.5">
      <c r="A42" s="38"/>
      <c r="B42" s="17" t="s">
        <v>21</v>
      </c>
      <c r="C42" s="22" t="s">
        <v>13</v>
      </c>
      <c r="D42" s="23"/>
      <c r="E42" s="24"/>
      <c r="F42" s="22" t="s">
        <v>14</v>
      </c>
      <c r="G42" s="23"/>
      <c r="H42" s="24"/>
    </row>
    <row r="43" spans="1:23" s="2" customFormat="1" ht="33.75" customHeight="1" x14ac:dyDescent="0.5">
      <c r="A43" s="38"/>
      <c r="B43" s="18" t="s">
        <v>15</v>
      </c>
      <c r="C43" s="19">
        <v>43556</v>
      </c>
      <c r="D43" s="20">
        <v>43586</v>
      </c>
      <c r="E43" s="21">
        <v>43617</v>
      </c>
      <c r="F43" s="19">
        <f>+C43</f>
        <v>43556</v>
      </c>
      <c r="G43" s="20">
        <f>+D43</f>
        <v>43586</v>
      </c>
      <c r="H43" s="21">
        <f>+E43</f>
        <v>43617</v>
      </c>
    </row>
    <row r="44" spans="1:23" s="2" customFormat="1" ht="33.75" customHeight="1" x14ac:dyDescent="0.45">
      <c r="A44" s="38"/>
      <c r="B44" s="85">
        <f>+INPUT!B44</f>
        <v>125</v>
      </c>
      <c r="C44" s="86">
        <f>+INPUT!C44</f>
        <v>12.65</v>
      </c>
      <c r="D44" s="87">
        <f>+INPUT!D44</f>
        <v>12.8</v>
      </c>
      <c r="E44" s="88">
        <f>+INPUT!E44</f>
        <v>13.4</v>
      </c>
      <c r="F44" s="86">
        <f>+INPUT!F44</f>
        <v>5.3</v>
      </c>
      <c r="G44" s="87">
        <f>+INPUT!G44</f>
        <v>6</v>
      </c>
      <c r="H44" s="88">
        <f>+INPUT!H44</f>
        <v>6.8</v>
      </c>
    </row>
    <row r="45" spans="1:23" s="2" customFormat="1" ht="33.75" customHeight="1" x14ac:dyDescent="0.45">
      <c r="A45" s="38"/>
      <c r="B45" s="85">
        <f>+INPUT!B45</f>
        <v>130</v>
      </c>
      <c r="C45" s="86">
        <f>+INPUT!C45</f>
        <v>8.1</v>
      </c>
      <c r="D45" s="87">
        <f>+INPUT!D45</f>
        <v>9</v>
      </c>
      <c r="E45" s="88">
        <f>+INPUT!E45</f>
        <v>10.65</v>
      </c>
      <c r="F45" s="86">
        <f>+INPUT!F45</f>
        <v>7</v>
      </c>
      <c r="G45" s="87">
        <f>+INPUT!G45</f>
        <v>8</v>
      </c>
      <c r="H45" s="88">
        <f>+INPUT!H45</f>
        <v>9</v>
      </c>
    </row>
    <row r="46" spans="1:23" s="2" customFormat="1" ht="33.75" customHeight="1" x14ac:dyDescent="0.45">
      <c r="A46" s="38"/>
      <c r="B46" s="85">
        <f>+INPUT!B46</f>
        <v>135</v>
      </c>
      <c r="C46" s="86">
        <f>+INPUT!C46</f>
        <v>5.2</v>
      </c>
      <c r="D46" s="87">
        <f>+INPUT!D46</f>
        <v>6.3</v>
      </c>
      <c r="E46" s="88">
        <f>+INPUT!E46</f>
        <v>8.5</v>
      </c>
      <c r="F46" s="86">
        <f>+INPUT!F46</f>
        <v>9.4</v>
      </c>
      <c r="G46" s="87">
        <f>+INPUT!G46</f>
        <v>10.75</v>
      </c>
      <c r="H46" s="88">
        <f>+INPUT!H46</f>
        <v>12.45</v>
      </c>
    </row>
    <row r="47" spans="1:23" s="2" customFormat="1" ht="33.75" customHeight="1" thickBot="1" x14ac:dyDescent="0.5">
      <c r="A47" s="38"/>
      <c r="B47" s="85">
        <f>+INPUT!B47</f>
        <v>140</v>
      </c>
      <c r="C47" s="89">
        <f>+INPUT!C47</f>
        <v>3.25</v>
      </c>
      <c r="D47" s="90">
        <f>+INPUT!D47</f>
        <v>4.25</v>
      </c>
      <c r="E47" s="91">
        <f>+INPUT!E47</f>
        <v>5.75</v>
      </c>
      <c r="F47" s="89">
        <f>+INPUT!F47</f>
        <v>13</v>
      </c>
      <c r="G47" s="90">
        <f>+INPUT!G47</f>
        <v>14.3</v>
      </c>
      <c r="H47" s="91">
        <f>+INPUT!H47</f>
        <v>16.2</v>
      </c>
    </row>
    <row r="48" spans="1:23" s="2" customFormat="1" ht="33.75" customHeight="1" x14ac:dyDescent="0.45">
      <c r="A48" s="38"/>
      <c r="B48" s="31" t="s">
        <v>89</v>
      </c>
      <c r="C48" s="12"/>
      <c r="D48" s="12"/>
      <c r="E48" s="12"/>
      <c r="F48" s="12"/>
      <c r="G48" s="13"/>
      <c r="H48" s="13"/>
      <c r="I48" s="12"/>
      <c r="J48" s="12"/>
      <c r="K48" s="12"/>
      <c r="L48" s="12"/>
      <c r="M48" s="12"/>
    </row>
    <row r="49" spans="1:21" s="2" customFormat="1" ht="33.75" customHeight="1" x14ac:dyDescent="0.5">
      <c r="A49" s="38"/>
      <c r="B49" s="11" t="s">
        <v>56</v>
      </c>
      <c r="C49" s="12"/>
      <c r="D49" s="12"/>
      <c r="E49" s="12"/>
      <c r="F49" s="12"/>
      <c r="G49" s="13"/>
      <c r="H49" s="12"/>
      <c r="I49" s="12"/>
      <c r="J49" s="12"/>
      <c r="K49" s="12"/>
      <c r="L49" s="12"/>
      <c r="M49" s="12"/>
      <c r="N49" s="12"/>
      <c r="O49" s="12"/>
      <c r="P49" s="12"/>
      <c r="Q49" s="12"/>
      <c r="R49" s="12"/>
      <c r="S49" s="12"/>
    </row>
    <row r="50" spans="1:21" s="2" customFormat="1" ht="75.75" customHeight="1" x14ac:dyDescent="0.55000000000000004">
      <c r="A50" s="38"/>
      <c r="B50" s="214" t="s">
        <v>62</v>
      </c>
      <c r="C50" s="215"/>
      <c r="D50" s="215"/>
      <c r="E50" s="215"/>
      <c r="F50" s="215"/>
      <c r="G50" s="215"/>
      <c r="H50" s="215"/>
      <c r="I50" s="215"/>
      <c r="J50" s="215"/>
      <c r="K50" s="215"/>
      <c r="L50" s="10"/>
      <c r="M50" s="10"/>
      <c r="N50" s="10"/>
      <c r="O50" s="10"/>
      <c r="P50" s="10"/>
      <c r="Q50" s="10"/>
      <c r="R50" s="10"/>
      <c r="S50" s="10"/>
    </row>
    <row r="51" spans="1:21" s="2" customFormat="1" ht="19.7" customHeight="1" thickBot="1" x14ac:dyDescent="0.55000000000000004">
      <c r="A51" s="38"/>
      <c r="B51" s="12" t="s">
        <v>18</v>
      </c>
      <c r="C51" s="12"/>
      <c r="D51" s="12"/>
      <c r="E51" s="12"/>
      <c r="F51" s="12"/>
      <c r="G51" s="13"/>
      <c r="H51" s="11"/>
      <c r="I51" s="25"/>
      <c r="J51" s="26"/>
      <c r="K51" s="26"/>
      <c r="L51" s="27"/>
      <c r="M51" s="12"/>
      <c r="N51" s="12"/>
      <c r="O51" s="12"/>
      <c r="P51" s="12"/>
      <c r="Q51" s="12"/>
      <c r="R51" s="12"/>
      <c r="S51" s="12"/>
      <c r="T51" s="12"/>
      <c r="U51" s="12"/>
    </row>
    <row r="52" spans="1:21" s="2" customFormat="1" ht="25" customHeight="1" thickBot="1" x14ac:dyDescent="0.55000000000000004">
      <c r="A52" s="38"/>
      <c r="B52" s="211" t="s">
        <v>57</v>
      </c>
      <c r="C52" s="212"/>
      <c r="D52" s="213"/>
      <c r="E52" s="12"/>
      <c r="F52" s="12"/>
      <c r="G52" s="13"/>
      <c r="H52" s="11"/>
      <c r="I52" s="25"/>
      <c r="J52" s="26"/>
      <c r="K52" s="26"/>
      <c r="L52" s="27"/>
      <c r="M52" s="12"/>
      <c r="N52" s="12"/>
      <c r="O52" s="12"/>
      <c r="P52" s="12"/>
      <c r="Q52" s="12"/>
      <c r="R52" s="12"/>
      <c r="S52" s="12"/>
      <c r="T52" s="12"/>
      <c r="U52" s="12"/>
    </row>
    <row r="53" spans="1:21" s="2" customFormat="1" ht="7.7" customHeight="1" x14ac:dyDescent="0.5">
      <c r="A53" s="38"/>
      <c r="B53" s="12"/>
      <c r="C53" s="12"/>
      <c r="D53" s="12"/>
      <c r="E53" s="12"/>
      <c r="F53" s="12"/>
      <c r="G53" s="13"/>
      <c r="H53" s="11"/>
      <c r="I53" s="25"/>
      <c r="J53" s="26"/>
      <c r="K53" s="26"/>
      <c r="L53" s="27"/>
      <c r="M53" s="12"/>
      <c r="N53" s="12"/>
      <c r="O53" s="12"/>
      <c r="P53" s="12"/>
      <c r="Q53" s="12"/>
      <c r="R53" s="12"/>
      <c r="S53" s="12"/>
      <c r="T53" s="12"/>
      <c r="U53" s="12"/>
    </row>
    <row r="54" spans="1:21" s="2" customFormat="1" ht="41" customHeight="1" x14ac:dyDescent="0.55000000000000004">
      <c r="A54" s="38"/>
      <c r="B54" s="214" t="s">
        <v>61</v>
      </c>
      <c r="C54" s="215"/>
      <c r="D54" s="215"/>
      <c r="E54" s="215"/>
      <c r="F54" s="215"/>
      <c r="G54" s="215"/>
      <c r="H54" s="215"/>
      <c r="I54" s="215"/>
      <c r="J54" s="215"/>
      <c r="K54" s="215"/>
      <c r="L54" s="10"/>
      <c r="M54" s="10"/>
      <c r="N54" s="12"/>
      <c r="O54" s="12"/>
      <c r="P54" s="12"/>
      <c r="Q54" s="12"/>
      <c r="R54" s="12"/>
      <c r="S54" s="12"/>
      <c r="T54" s="12"/>
      <c r="U54" s="12"/>
    </row>
    <row r="55" spans="1:21" s="2" customFormat="1" ht="19.7" customHeight="1" thickBot="1" x14ac:dyDescent="0.55000000000000004">
      <c r="A55" s="38"/>
      <c r="B55" s="12"/>
      <c r="C55" s="12"/>
      <c r="D55" s="12"/>
      <c r="E55" s="12"/>
      <c r="F55" s="12"/>
      <c r="G55" s="13"/>
      <c r="H55" s="11"/>
      <c r="I55" s="25"/>
      <c r="J55" s="26"/>
      <c r="K55" s="26"/>
      <c r="L55" s="27"/>
      <c r="M55" s="12"/>
      <c r="N55" s="12"/>
      <c r="O55" s="12"/>
      <c r="P55" s="12"/>
      <c r="Q55" s="12"/>
      <c r="R55" s="12"/>
      <c r="S55" s="12"/>
      <c r="T55" s="12"/>
      <c r="U55" s="12"/>
    </row>
    <row r="56" spans="1:21" s="2" customFormat="1" ht="19.7" customHeight="1" x14ac:dyDescent="0.5">
      <c r="A56" s="38"/>
      <c r="B56" s="65" t="s">
        <v>58</v>
      </c>
      <c r="C56" s="238">
        <f>+((165-135)*100)-(H46*100)</f>
        <v>1755</v>
      </c>
      <c r="D56" s="12"/>
      <c r="E56" s="240" t="s">
        <v>130</v>
      </c>
      <c r="F56" s="12"/>
      <c r="G56" s="13"/>
      <c r="H56" s="11"/>
      <c r="I56" s="25"/>
      <c r="J56" s="26"/>
      <c r="K56" s="26"/>
      <c r="L56" s="27"/>
      <c r="M56" s="12"/>
      <c r="N56" s="12"/>
      <c r="O56" s="12"/>
      <c r="P56" s="12"/>
      <c r="Q56" s="12"/>
      <c r="R56" s="12"/>
      <c r="S56" s="12"/>
      <c r="T56" s="12"/>
      <c r="U56" s="12"/>
    </row>
    <row r="57" spans="1:21" s="2" customFormat="1" ht="19.7" customHeight="1" thickBot="1" x14ac:dyDescent="0.55000000000000004">
      <c r="A57" s="38"/>
      <c r="B57" s="66" t="s">
        <v>59</v>
      </c>
      <c r="C57" s="239">
        <f>+C56/((135+H46)*100)</f>
        <v>0.11902339776195323</v>
      </c>
      <c r="D57" s="12"/>
      <c r="E57" s="16" t="s">
        <v>129</v>
      </c>
      <c r="F57" s="12"/>
      <c r="G57" s="12"/>
      <c r="H57" s="12"/>
      <c r="I57" s="12"/>
      <c r="J57" s="12"/>
      <c r="K57" s="12"/>
      <c r="L57" s="27"/>
      <c r="M57" s="12"/>
      <c r="N57" s="12"/>
      <c r="O57" s="12"/>
      <c r="P57" s="12"/>
      <c r="Q57" s="12"/>
      <c r="R57" s="12"/>
      <c r="S57" s="12"/>
      <c r="T57" s="12"/>
      <c r="U57" s="12"/>
    </row>
    <row r="58" spans="1:21" s="2" customFormat="1" ht="19.7" customHeight="1" x14ac:dyDescent="0.45">
      <c r="A58" s="38"/>
      <c r="B58" s="12"/>
      <c r="C58" s="12"/>
      <c r="D58" s="12"/>
      <c r="E58" s="12"/>
      <c r="F58" s="12"/>
      <c r="G58" s="12"/>
      <c r="H58" s="12"/>
      <c r="I58" s="12"/>
      <c r="J58" s="12"/>
      <c r="K58" s="12"/>
      <c r="L58" s="27"/>
      <c r="M58" s="12"/>
      <c r="N58" s="12"/>
      <c r="O58" s="12"/>
      <c r="P58" s="12"/>
      <c r="Q58" s="12"/>
      <c r="R58" s="12"/>
      <c r="S58" s="12"/>
      <c r="T58" s="12"/>
      <c r="U58" s="12"/>
    </row>
    <row r="59" spans="1:21" s="2" customFormat="1" ht="37.450000000000003" customHeight="1" x14ac:dyDescent="0.55000000000000004">
      <c r="A59" s="38"/>
      <c r="B59" s="214" t="s">
        <v>60</v>
      </c>
      <c r="C59" s="215"/>
      <c r="D59" s="215"/>
      <c r="E59" s="215"/>
      <c r="F59" s="215"/>
      <c r="G59" s="215"/>
      <c r="H59" s="215"/>
      <c r="I59" s="215"/>
      <c r="J59" s="215"/>
      <c r="K59" s="215"/>
      <c r="L59" s="10"/>
      <c r="M59" s="10"/>
      <c r="N59" s="12"/>
      <c r="O59" s="12"/>
      <c r="P59" s="12"/>
      <c r="Q59" s="12"/>
      <c r="R59" s="12"/>
      <c r="S59" s="12"/>
      <c r="T59" s="12"/>
      <c r="U59" s="12"/>
    </row>
    <row r="60" spans="1:21" s="2" customFormat="1" ht="19.7" customHeight="1" thickBot="1" x14ac:dyDescent="0.5">
      <c r="A60" s="38"/>
      <c r="D60" s="12"/>
      <c r="E60" s="12"/>
      <c r="F60" s="12"/>
      <c r="G60" s="12"/>
      <c r="H60" s="12"/>
      <c r="I60" s="12"/>
      <c r="J60" s="12"/>
      <c r="K60" s="12"/>
      <c r="L60" s="27"/>
      <c r="M60" s="12"/>
      <c r="N60" s="12"/>
      <c r="O60" s="12"/>
      <c r="P60" s="12"/>
      <c r="Q60" s="12"/>
      <c r="R60" s="12"/>
      <c r="S60" s="12"/>
      <c r="T60" s="12"/>
      <c r="U60" s="12"/>
    </row>
    <row r="61" spans="1:21" s="2" customFormat="1" ht="19.7" customHeight="1" x14ac:dyDescent="0.5">
      <c r="A61" s="38"/>
      <c r="B61" s="65" t="s">
        <v>58</v>
      </c>
      <c r="C61" s="67">
        <f>-(H46*100)</f>
        <v>-1245</v>
      </c>
      <c r="D61" s="12"/>
      <c r="E61" s="16" t="s">
        <v>131</v>
      </c>
      <c r="F61" s="12"/>
      <c r="G61" s="12"/>
      <c r="H61" s="12"/>
      <c r="I61" s="12"/>
      <c r="J61" s="12"/>
      <c r="K61" s="12"/>
      <c r="L61" s="27"/>
      <c r="M61" s="12"/>
      <c r="N61" s="12"/>
      <c r="O61" s="12"/>
      <c r="P61" s="12"/>
      <c r="Q61" s="12"/>
      <c r="R61" s="12"/>
      <c r="S61" s="12"/>
      <c r="T61" s="12"/>
      <c r="U61" s="12"/>
    </row>
    <row r="62" spans="1:21" s="2" customFormat="1" ht="19.7" customHeight="1" thickBot="1" x14ac:dyDescent="0.55000000000000004">
      <c r="A62" s="38"/>
      <c r="B62" s="66" t="s">
        <v>59</v>
      </c>
      <c r="C62" s="64">
        <f>+C61/((135-H46)*100)</f>
        <v>-0.10159118727050184</v>
      </c>
      <c r="D62" s="12"/>
      <c r="E62" s="16" t="s">
        <v>132</v>
      </c>
      <c r="F62" s="12"/>
      <c r="G62" s="12"/>
      <c r="H62" s="12"/>
      <c r="I62" s="12"/>
      <c r="J62" s="12"/>
      <c r="K62" s="12"/>
      <c r="L62" s="27"/>
      <c r="M62" s="12"/>
      <c r="N62" s="12"/>
      <c r="O62" s="12"/>
      <c r="P62" s="12"/>
      <c r="Q62" s="12"/>
      <c r="R62" s="12"/>
      <c r="S62" s="12"/>
      <c r="T62" s="12"/>
      <c r="U62" s="12"/>
    </row>
    <row r="63" spans="1:21" s="2" customFormat="1" ht="26.45" customHeight="1" x14ac:dyDescent="0.45">
      <c r="A63" s="38"/>
      <c r="B63" s="12"/>
      <c r="C63" s="12"/>
      <c r="D63" s="12"/>
      <c r="E63" s="12"/>
      <c r="F63" s="12"/>
      <c r="G63" s="12"/>
      <c r="H63" s="12"/>
      <c r="I63" s="12"/>
      <c r="J63" s="12"/>
      <c r="K63" s="12"/>
      <c r="L63" s="27"/>
      <c r="M63" s="12"/>
      <c r="N63" s="12"/>
      <c r="O63" s="12"/>
      <c r="P63" s="12"/>
      <c r="Q63" s="12"/>
      <c r="R63" s="12"/>
      <c r="S63" s="12"/>
      <c r="T63" s="12"/>
      <c r="U63" s="12"/>
    </row>
    <row r="64" spans="1:21" ht="33.75" customHeight="1" x14ac:dyDescent="0.5">
      <c r="B64" s="202" t="s">
        <v>78</v>
      </c>
      <c r="C64" s="203"/>
      <c r="D64" s="203"/>
      <c r="E64" s="203"/>
      <c r="F64" s="203"/>
      <c r="G64" s="203"/>
      <c r="H64" s="203"/>
      <c r="I64" s="203"/>
      <c r="J64" s="203"/>
      <c r="K64" s="204"/>
      <c r="L64" s="204"/>
      <c r="M64" s="4"/>
      <c r="N64" s="4"/>
      <c r="O64" s="4"/>
      <c r="P64" s="4"/>
      <c r="Q64" s="4"/>
      <c r="R64" s="4"/>
      <c r="S64" s="4"/>
      <c r="T64" s="4"/>
      <c r="U64" s="4"/>
    </row>
    <row r="65" spans="2:21" ht="22.5" customHeight="1" x14ac:dyDescent="0.55000000000000004">
      <c r="B65" s="11" t="s">
        <v>16</v>
      </c>
      <c r="C65" s="28"/>
      <c r="D65" s="28"/>
      <c r="E65" s="28"/>
      <c r="F65" s="28"/>
      <c r="G65" s="29"/>
      <c r="H65" s="29"/>
      <c r="I65" s="28"/>
      <c r="J65" s="28"/>
      <c r="K65" s="12"/>
      <c r="L65" s="12"/>
      <c r="M65" s="12"/>
      <c r="N65" s="12"/>
      <c r="O65" s="12"/>
      <c r="P65" s="12"/>
      <c r="Q65" s="12"/>
      <c r="R65" s="12"/>
      <c r="S65" s="12"/>
      <c r="T65" s="12"/>
      <c r="U65" s="12"/>
    </row>
    <row r="66" spans="2:21" ht="54" customHeight="1" x14ac:dyDescent="0.55000000000000004">
      <c r="B66" s="214" t="s">
        <v>83</v>
      </c>
      <c r="C66" s="218"/>
      <c r="D66" s="218"/>
      <c r="E66" s="218"/>
      <c r="F66" s="218"/>
      <c r="G66" s="218"/>
      <c r="H66" s="218"/>
      <c r="I66" s="218"/>
      <c r="J66" s="218"/>
      <c r="K66" s="215"/>
      <c r="L66" s="10"/>
      <c r="M66" s="10"/>
      <c r="N66" s="12"/>
      <c r="O66" s="12"/>
      <c r="P66" s="12"/>
      <c r="Q66" s="12"/>
      <c r="R66" s="12"/>
      <c r="S66" s="10"/>
      <c r="T66" s="10"/>
      <c r="U66" s="10"/>
    </row>
    <row r="67" spans="2:21" ht="22.5" customHeight="1" x14ac:dyDescent="0.55000000000000004">
      <c r="B67" s="11"/>
      <c r="C67" s="28"/>
      <c r="D67" s="28"/>
      <c r="E67" s="28"/>
      <c r="F67" s="28"/>
      <c r="G67" s="29"/>
      <c r="H67" s="29"/>
      <c r="I67" s="28"/>
      <c r="J67" s="28"/>
      <c r="K67" s="12"/>
      <c r="L67" s="12"/>
      <c r="M67" s="12"/>
      <c r="N67" s="12"/>
      <c r="O67" s="12"/>
      <c r="P67" s="12"/>
      <c r="Q67" s="12"/>
      <c r="R67" s="12"/>
      <c r="S67" s="12"/>
      <c r="T67" s="12"/>
      <c r="U67" s="12"/>
    </row>
    <row r="68" spans="2:21" ht="22.5" customHeight="1" x14ac:dyDescent="0.5">
      <c r="B68" s="216" t="s">
        <v>79</v>
      </c>
      <c r="C68" s="217"/>
      <c r="D68" s="217"/>
      <c r="E68" s="217"/>
      <c r="F68" s="217"/>
      <c r="G68" s="217"/>
      <c r="H68" s="217"/>
      <c r="I68" s="217"/>
      <c r="J68" s="217"/>
      <c r="K68" s="12"/>
      <c r="L68" s="12"/>
      <c r="M68" s="12"/>
      <c r="N68" s="12"/>
      <c r="O68" s="12"/>
      <c r="P68" s="12"/>
      <c r="Q68" s="12"/>
      <c r="R68" s="12"/>
      <c r="S68" s="12"/>
      <c r="T68" s="12"/>
      <c r="U68" s="12"/>
    </row>
    <row r="69" spans="2:21" ht="22.5" customHeight="1" x14ac:dyDescent="0.5">
      <c r="B69" s="35"/>
      <c r="C69" s="35"/>
      <c r="D69" s="35"/>
      <c r="E69" s="34"/>
      <c r="F69" s="34"/>
      <c r="G69" s="80"/>
      <c r="H69" s="80"/>
      <c r="I69" s="34"/>
      <c r="J69" s="34"/>
      <c r="K69" s="12"/>
      <c r="L69" s="12"/>
      <c r="M69" s="12"/>
      <c r="N69" s="12"/>
      <c r="O69" s="12"/>
      <c r="P69" s="12"/>
      <c r="Q69" s="12"/>
      <c r="R69" s="12"/>
      <c r="S69" s="12"/>
      <c r="T69" s="12"/>
      <c r="U69" s="12"/>
    </row>
    <row r="70" spans="2:21" ht="20.45" customHeight="1" x14ac:dyDescent="0.5">
      <c r="B70" s="35"/>
      <c r="C70" s="68"/>
      <c r="D70" s="68"/>
      <c r="E70" s="70" t="s">
        <v>23</v>
      </c>
      <c r="F70" s="34"/>
      <c r="G70" s="70" t="s">
        <v>24</v>
      </c>
      <c r="H70" s="70"/>
      <c r="I70" s="70" t="s">
        <v>25</v>
      </c>
      <c r="J70" s="34"/>
      <c r="K70" s="12"/>
      <c r="L70" s="12"/>
      <c r="M70" s="12"/>
      <c r="N70" s="12"/>
      <c r="O70" s="12"/>
      <c r="P70" s="12"/>
      <c r="Q70" s="12"/>
      <c r="R70" s="12"/>
      <c r="S70" s="12"/>
      <c r="T70" s="12"/>
      <c r="U70" s="12"/>
    </row>
    <row r="71" spans="2:21" ht="20.45" customHeight="1" thickBot="1" x14ac:dyDescent="0.55000000000000004">
      <c r="B71" s="35"/>
      <c r="C71" s="68"/>
      <c r="D71" s="70" t="s">
        <v>65</v>
      </c>
      <c r="E71" s="34"/>
      <c r="F71" s="34"/>
      <c r="G71" s="80"/>
      <c r="H71" s="80"/>
      <c r="I71" s="34"/>
      <c r="J71" s="34"/>
      <c r="K71" s="12"/>
      <c r="L71" s="12"/>
      <c r="M71" s="12"/>
      <c r="N71" s="12"/>
      <c r="O71" s="12"/>
      <c r="P71" s="12"/>
      <c r="Q71" s="12"/>
      <c r="R71" s="12"/>
      <c r="S71" s="12"/>
      <c r="T71" s="12"/>
      <c r="U71" s="12"/>
    </row>
    <row r="72" spans="2:21" ht="20.45" customHeight="1" thickBot="1" x14ac:dyDescent="0.55000000000000004">
      <c r="B72" s="35"/>
      <c r="C72" s="68"/>
      <c r="D72" s="75">
        <f>+C74*1.25</f>
        <v>56.25</v>
      </c>
      <c r="E72" s="34"/>
      <c r="F72" s="75">
        <f>+D72-49.5</f>
        <v>6.75</v>
      </c>
      <c r="G72" s="80"/>
      <c r="H72" s="80"/>
      <c r="I72" s="34"/>
      <c r="J72" s="34"/>
      <c r="K72" s="12"/>
      <c r="L72" s="12"/>
      <c r="M72" s="12"/>
      <c r="N72" s="12"/>
      <c r="O72" s="12"/>
      <c r="P72" s="12"/>
      <c r="Q72" s="12"/>
      <c r="R72" s="12"/>
      <c r="S72" s="12"/>
      <c r="T72" s="12"/>
      <c r="U72" s="12"/>
    </row>
    <row r="73" spans="2:21" ht="20.45" customHeight="1" thickBot="1" x14ac:dyDescent="0.55000000000000004">
      <c r="B73" s="35"/>
      <c r="C73" s="70" t="s">
        <v>66</v>
      </c>
      <c r="D73" s="68"/>
      <c r="E73" s="34"/>
      <c r="F73" s="34"/>
      <c r="G73" s="80"/>
      <c r="H73" s="80"/>
      <c r="I73" s="34"/>
      <c r="J73" s="34"/>
      <c r="K73" s="12"/>
      <c r="L73" s="12"/>
      <c r="M73" s="12"/>
      <c r="N73" s="12"/>
      <c r="O73" s="12"/>
      <c r="P73" s="12"/>
      <c r="Q73" s="12"/>
      <c r="R73" s="12"/>
      <c r="S73" s="12"/>
      <c r="T73" s="12"/>
      <c r="U73" s="12"/>
    </row>
    <row r="74" spans="2:21" ht="20.45" customHeight="1" thickBot="1" x14ac:dyDescent="0.55000000000000004">
      <c r="B74" s="35"/>
      <c r="C74" s="75">
        <v>45</v>
      </c>
      <c r="D74" s="68"/>
      <c r="E74" s="73">
        <f>+D72-D76</f>
        <v>13.5</v>
      </c>
      <c r="F74" s="34"/>
      <c r="G74" s="73">
        <f>+F72-F76</f>
        <v>6.75</v>
      </c>
      <c r="H74" s="81" t="s">
        <v>80</v>
      </c>
      <c r="I74" s="83">
        <f>+G74/E74</f>
        <v>0.5</v>
      </c>
      <c r="J74" s="34"/>
      <c r="K74" s="12"/>
      <c r="L74" s="12"/>
      <c r="M74" s="12"/>
      <c r="N74" s="12"/>
      <c r="O74" s="12"/>
      <c r="P74" s="12"/>
      <c r="Q74" s="12"/>
      <c r="R74" s="12"/>
      <c r="S74" s="12"/>
      <c r="T74" s="12"/>
      <c r="U74" s="12"/>
    </row>
    <row r="75" spans="2:21" ht="20.45" customHeight="1" thickBot="1" x14ac:dyDescent="0.55000000000000004">
      <c r="B75" s="35"/>
      <c r="C75" s="68"/>
      <c r="D75" s="68"/>
      <c r="E75" s="34"/>
      <c r="F75" s="34"/>
      <c r="G75" s="80"/>
      <c r="H75" s="80"/>
      <c r="I75" s="34"/>
      <c r="J75" s="34"/>
      <c r="K75" s="12"/>
      <c r="L75" s="12"/>
      <c r="M75" s="12"/>
      <c r="N75" s="12"/>
      <c r="O75" s="12"/>
      <c r="P75" s="12"/>
      <c r="Q75" s="12"/>
      <c r="R75" s="12"/>
      <c r="S75" s="12"/>
      <c r="T75" s="12"/>
      <c r="U75" s="12"/>
    </row>
    <row r="76" spans="2:21" ht="20.45" customHeight="1" thickBot="1" x14ac:dyDescent="0.55000000000000004">
      <c r="B76" s="35"/>
      <c r="C76" s="68"/>
      <c r="D76" s="75">
        <f>+C74*0.95</f>
        <v>42.75</v>
      </c>
      <c r="E76" s="34"/>
      <c r="F76" s="75">
        <v>0</v>
      </c>
      <c r="G76" s="80"/>
      <c r="H76" s="80"/>
      <c r="I76" s="34"/>
      <c r="J76" s="34"/>
      <c r="K76" s="12"/>
      <c r="L76" s="12"/>
      <c r="M76" s="12"/>
      <c r="N76" s="12"/>
      <c r="O76" s="12"/>
      <c r="P76" s="12"/>
      <c r="Q76" s="12"/>
      <c r="R76" s="12"/>
      <c r="S76" s="12"/>
      <c r="T76" s="12"/>
      <c r="U76" s="12"/>
    </row>
    <row r="77" spans="2:21" ht="20.45" customHeight="1" x14ac:dyDescent="0.5">
      <c r="B77" s="35"/>
      <c r="C77" s="68"/>
      <c r="D77" s="68"/>
      <c r="E77" s="34"/>
      <c r="F77" s="34"/>
      <c r="G77" s="80"/>
      <c r="H77" s="80"/>
      <c r="I77" s="34"/>
      <c r="J77" s="34"/>
      <c r="K77" s="12"/>
      <c r="L77" s="12"/>
      <c r="M77" s="12"/>
      <c r="N77" s="12"/>
      <c r="O77" s="12"/>
      <c r="P77" s="12"/>
      <c r="Q77" s="12"/>
      <c r="R77" s="12"/>
      <c r="S77" s="12"/>
      <c r="T77" s="12"/>
      <c r="U77" s="12"/>
    </row>
    <row r="78" spans="2:21" ht="20.45" customHeight="1" thickBot="1" x14ac:dyDescent="0.55000000000000004">
      <c r="B78" s="11"/>
      <c r="C78" s="34"/>
      <c r="D78" s="34"/>
      <c r="E78" s="34"/>
      <c r="F78" s="34"/>
      <c r="G78" s="80"/>
      <c r="H78" s="80"/>
      <c r="I78" s="34"/>
      <c r="J78" s="34"/>
      <c r="K78" s="12"/>
      <c r="L78" s="12"/>
      <c r="M78" s="12"/>
      <c r="N78" s="12"/>
      <c r="O78" s="12"/>
      <c r="P78" s="12"/>
      <c r="Q78" s="12"/>
      <c r="R78" s="12"/>
      <c r="S78" s="12"/>
      <c r="T78" s="12"/>
      <c r="U78" s="12"/>
    </row>
    <row r="79" spans="2:21" ht="20.45" customHeight="1" thickBot="1" x14ac:dyDescent="0.55000000000000004">
      <c r="B79" s="11"/>
      <c r="C79" s="70" t="s">
        <v>26</v>
      </c>
      <c r="D79" s="73">
        <f>+(D76/1.05)</f>
        <v>40.714285714285715</v>
      </c>
      <c r="E79" s="34"/>
      <c r="F79" s="34"/>
      <c r="G79" s="80"/>
      <c r="H79" s="80"/>
      <c r="I79" s="34"/>
      <c r="J79" s="34"/>
      <c r="K79" s="12"/>
      <c r="L79" s="12"/>
      <c r="M79" s="12"/>
      <c r="N79" s="12"/>
      <c r="O79" s="12"/>
      <c r="P79" s="12"/>
      <c r="Q79" s="12"/>
      <c r="R79" s="12"/>
      <c r="S79" s="12"/>
      <c r="T79" s="12"/>
      <c r="U79" s="12"/>
    </row>
    <row r="80" spans="2:21" ht="20.45" customHeight="1" thickBot="1" x14ac:dyDescent="0.55000000000000004">
      <c r="B80" s="11"/>
      <c r="C80" s="70" t="s">
        <v>27</v>
      </c>
      <c r="D80" s="73">
        <f>+C74-D79</f>
        <v>4.2857142857142847</v>
      </c>
      <c r="E80" s="34"/>
      <c r="F80" s="34"/>
      <c r="G80" s="80"/>
      <c r="H80" s="80"/>
      <c r="I80" s="34"/>
      <c r="J80" s="34"/>
      <c r="K80" s="12"/>
      <c r="L80" s="12"/>
      <c r="M80" s="12"/>
      <c r="N80" s="12"/>
      <c r="O80" s="12"/>
      <c r="P80" s="12"/>
      <c r="Q80" s="12"/>
      <c r="R80" s="12"/>
      <c r="S80" s="12"/>
      <c r="T80" s="12"/>
      <c r="U80" s="12"/>
    </row>
    <row r="81" spans="2:52" ht="20.45" customHeight="1" thickBot="1" x14ac:dyDescent="0.55000000000000004">
      <c r="B81" s="11"/>
      <c r="C81" s="70" t="s">
        <v>28</v>
      </c>
      <c r="D81" s="73">
        <f>+D80*I74</f>
        <v>2.1428571428571423</v>
      </c>
      <c r="E81" s="34"/>
      <c r="F81" s="34"/>
      <c r="G81" s="80"/>
      <c r="H81" s="80"/>
      <c r="I81" s="34"/>
      <c r="J81" s="34"/>
      <c r="K81" s="12"/>
      <c r="L81" s="12"/>
      <c r="M81" s="12"/>
      <c r="N81" s="12"/>
      <c r="O81" s="12"/>
      <c r="P81" s="12"/>
      <c r="Q81" s="12"/>
      <c r="R81" s="12"/>
      <c r="S81" s="12"/>
      <c r="T81" s="12"/>
      <c r="U81" s="12"/>
    </row>
    <row r="82" spans="2:52" ht="20.45" customHeight="1" x14ac:dyDescent="0.5">
      <c r="B82" s="11"/>
      <c r="C82" s="34"/>
      <c r="D82" s="34"/>
      <c r="E82" s="34"/>
      <c r="F82" s="34"/>
      <c r="G82" s="80"/>
      <c r="H82" s="80"/>
      <c r="I82" s="34"/>
      <c r="J82" s="34"/>
      <c r="K82" s="12"/>
      <c r="L82" s="12"/>
      <c r="M82" s="12"/>
      <c r="N82" s="12"/>
      <c r="O82" s="12"/>
      <c r="P82" s="12"/>
      <c r="Q82" s="12"/>
      <c r="R82" s="12"/>
      <c r="S82" s="12"/>
      <c r="T82" s="12"/>
      <c r="U82" s="12"/>
    </row>
    <row r="83" spans="2:52" ht="20.45" customHeight="1" x14ac:dyDescent="0.5">
      <c r="B83" s="214" t="s">
        <v>81</v>
      </c>
      <c r="C83" s="215"/>
      <c r="D83" s="215"/>
      <c r="E83" s="215"/>
      <c r="F83" s="215"/>
      <c r="G83" s="215"/>
      <c r="H83" s="215"/>
      <c r="I83" s="215"/>
      <c r="J83" s="215"/>
      <c r="K83" s="217"/>
      <c r="L83" s="12"/>
      <c r="M83" s="12"/>
      <c r="N83" s="12"/>
      <c r="O83" s="12"/>
      <c r="P83" s="12"/>
      <c r="Q83" s="12"/>
      <c r="R83" s="12"/>
      <c r="S83" s="12"/>
      <c r="T83" s="12"/>
      <c r="U83" s="12"/>
    </row>
    <row r="84" spans="2:52" ht="12" customHeight="1" x14ac:dyDescent="0.5">
      <c r="B84" s="11"/>
      <c r="C84" s="34"/>
      <c r="D84" s="34"/>
      <c r="E84" s="34"/>
      <c r="F84" s="34"/>
      <c r="G84" s="80"/>
      <c r="H84" s="80"/>
      <c r="I84" s="34"/>
      <c r="J84" s="34"/>
      <c r="K84" s="12"/>
      <c r="L84" s="12"/>
      <c r="M84" s="12"/>
      <c r="N84" s="12"/>
      <c r="O84" s="12"/>
      <c r="P84" s="12"/>
      <c r="Q84" s="12"/>
      <c r="R84" s="12"/>
      <c r="S84" s="12"/>
      <c r="T84" s="12"/>
      <c r="U84" s="12"/>
    </row>
    <row r="85" spans="2:52" ht="20.45" customHeight="1" thickBot="1" x14ac:dyDescent="0.55000000000000004">
      <c r="B85" s="11"/>
      <c r="C85" s="34"/>
      <c r="D85" s="34"/>
      <c r="E85" s="34"/>
      <c r="F85" s="84" t="s">
        <v>82</v>
      </c>
      <c r="G85" s="80">
        <f>+((1.05-0.95)/(1.25-0.95))</f>
        <v>0.33333333333333359</v>
      </c>
      <c r="H85" s="80"/>
      <c r="I85" s="34"/>
      <c r="J85" s="34"/>
      <c r="K85" s="12"/>
      <c r="L85" s="12"/>
      <c r="M85" s="12"/>
      <c r="N85" s="12"/>
      <c r="O85" s="12"/>
      <c r="P85" s="12"/>
      <c r="Q85" s="12"/>
      <c r="R85" s="12"/>
      <c r="S85" s="12"/>
      <c r="T85" s="12"/>
      <c r="U85" s="12"/>
    </row>
    <row r="86" spans="2:52" ht="20.45" customHeight="1" thickBot="1" x14ac:dyDescent="0.55000000000000004">
      <c r="B86" s="11"/>
      <c r="C86" s="82" t="s">
        <v>84</v>
      </c>
      <c r="D86" s="73">
        <f>+((F72*G85)+(F76*G86))/1.05</f>
        <v>2.1428571428571446</v>
      </c>
      <c r="E86" s="34"/>
      <c r="F86" s="34"/>
      <c r="G86" s="80">
        <f>1-G85</f>
        <v>0.66666666666666641</v>
      </c>
      <c r="H86" s="80"/>
      <c r="I86" s="34"/>
      <c r="J86" s="34"/>
      <c r="K86" s="12"/>
      <c r="L86" s="12"/>
      <c r="M86" s="12"/>
      <c r="N86" s="12"/>
      <c r="O86" s="12"/>
      <c r="P86" s="12"/>
      <c r="Q86" s="12"/>
      <c r="R86" s="12"/>
      <c r="S86" s="12"/>
      <c r="T86" s="12"/>
      <c r="U86" s="12"/>
    </row>
    <row r="87" spans="2:52" ht="22.5" customHeight="1" x14ac:dyDescent="0.5">
      <c r="B87" s="11"/>
      <c r="C87" s="34"/>
      <c r="D87" s="34"/>
      <c r="E87" s="34"/>
      <c r="F87" s="34"/>
      <c r="G87" s="80"/>
      <c r="H87" s="80"/>
      <c r="I87" s="34"/>
      <c r="J87" s="34"/>
      <c r="K87" s="12"/>
      <c r="L87" s="12"/>
      <c r="M87" s="12"/>
      <c r="N87" s="12"/>
      <c r="O87" s="12"/>
      <c r="P87" s="12"/>
      <c r="Q87" s="12"/>
      <c r="R87" s="12"/>
      <c r="S87" s="12"/>
      <c r="T87" s="12"/>
      <c r="U87" s="12"/>
    </row>
    <row r="88" spans="2:52" ht="22.5" customHeight="1" x14ac:dyDescent="0.5">
      <c r="B88" s="11" t="s">
        <v>77</v>
      </c>
      <c r="C88" s="34"/>
      <c r="D88" s="34"/>
      <c r="E88" s="34"/>
      <c r="F88" s="34"/>
      <c r="G88" s="80"/>
      <c r="H88" s="80"/>
      <c r="I88" s="34"/>
      <c r="J88" s="34"/>
      <c r="K88" s="12"/>
      <c r="L88" s="12"/>
      <c r="M88" s="12"/>
      <c r="N88" s="12"/>
      <c r="O88" s="12"/>
      <c r="P88" s="12"/>
      <c r="Q88" s="12"/>
      <c r="R88" s="12"/>
      <c r="S88" s="12"/>
      <c r="T88" s="12"/>
      <c r="U88" s="12"/>
    </row>
    <row r="89" spans="2:52" ht="56.25" customHeight="1" x14ac:dyDescent="0.55000000000000004">
      <c r="B89" s="214" t="s">
        <v>72</v>
      </c>
      <c r="C89" s="218"/>
      <c r="D89" s="218"/>
      <c r="E89" s="218"/>
      <c r="F89" s="218"/>
      <c r="G89" s="218"/>
      <c r="H89" s="218"/>
      <c r="I89" s="218"/>
      <c r="J89" s="218"/>
      <c r="K89" s="215"/>
      <c r="L89" s="10"/>
      <c r="M89" s="10"/>
      <c r="N89" s="12"/>
      <c r="O89" s="12"/>
      <c r="P89" s="12"/>
      <c r="Q89" s="12"/>
      <c r="R89" s="12"/>
      <c r="S89" s="10"/>
      <c r="T89" s="10"/>
      <c r="U89" s="10"/>
    </row>
    <row r="90" spans="2:52" ht="15.75" customHeight="1" x14ac:dyDescent="0.5">
      <c r="N90" s="12"/>
      <c r="O90" s="12"/>
      <c r="P90" s="12"/>
      <c r="Q90" s="12"/>
      <c r="R90" s="12"/>
    </row>
    <row r="91" spans="2:52" ht="21" customHeight="1" x14ac:dyDescent="0.5">
      <c r="B91" s="216" t="s">
        <v>30</v>
      </c>
      <c r="C91" s="217"/>
      <c r="D91" s="217"/>
      <c r="E91" s="217"/>
      <c r="F91" s="217"/>
      <c r="G91" s="217"/>
      <c r="H91" s="217"/>
      <c r="I91" s="217"/>
      <c r="J91" s="217"/>
      <c r="N91" s="12"/>
      <c r="O91" s="12"/>
      <c r="P91" s="12"/>
      <c r="Q91" s="12"/>
      <c r="R91" s="12"/>
    </row>
    <row r="92" spans="2:52" ht="19.850000000000001" customHeight="1" thickBot="1" x14ac:dyDescent="0.55000000000000004">
      <c r="B92" s="35"/>
      <c r="C92" s="35"/>
      <c r="D92" s="35"/>
      <c r="E92" s="70" t="s">
        <v>64</v>
      </c>
      <c r="F92" s="35"/>
      <c r="G92" s="69" t="s">
        <v>63</v>
      </c>
      <c r="H92" s="35"/>
      <c r="I92" s="35"/>
      <c r="J92" s="35"/>
      <c r="K92" s="35"/>
      <c r="L92" s="35"/>
      <c r="M92" s="35"/>
      <c r="N92" s="12"/>
      <c r="O92" s="12"/>
      <c r="P92" s="12"/>
      <c r="Q92" s="12"/>
      <c r="R92" s="1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ht="26" customHeight="1" thickBot="1" x14ac:dyDescent="0.55000000000000004">
      <c r="B93" s="35"/>
      <c r="C93" s="68"/>
      <c r="D93" s="68"/>
      <c r="E93" s="75">
        <f>+D95*1.2</f>
        <v>93.6</v>
      </c>
      <c r="F93" s="68"/>
      <c r="G93" s="76">
        <f>+E93-60</f>
        <v>33.599999999999994</v>
      </c>
      <c r="H93" s="35"/>
      <c r="I93" s="35"/>
      <c r="J93" s="35"/>
      <c r="K93" s="35"/>
      <c r="L93" s="35"/>
      <c r="M93" s="35"/>
      <c r="N93" s="12"/>
      <c r="O93" s="12"/>
      <c r="P93" s="12"/>
      <c r="Q93" s="12"/>
      <c r="R93" s="12"/>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ht="26" customHeight="1" thickBot="1" x14ac:dyDescent="0.55000000000000004">
      <c r="B94" s="35"/>
      <c r="C94" s="68"/>
      <c r="D94" s="70" t="s">
        <v>65</v>
      </c>
      <c r="E94" s="68"/>
      <c r="F94" s="68"/>
      <c r="G94" s="68"/>
      <c r="H94" s="35"/>
      <c r="I94" s="35"/>
      <c r="J94" s="35"/>
      <c r="K94" s="35"/>
      <c r="L94" s="35"/>
      <c r="M94" s="35"/>
      <c r="N94" s="12"/>
      <c r="O94" s="12"/>
      <c r="P94" s="12"/>
      <c r="Q94" s="12"/>
      <c r="R94" s="12"/>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ht="26" customHeight="1" thickBot="1" x14ac:dyDescent="0.55000000000000004">
      <c r="B95" s="35"/>
      <c r="C95" s="68"/>
      <c r="D95" s="75">
        <f>+C97*1.2</f>
        <v>78</v>
      </c>
      <c r="E95" s="68"/>
      <c r="F95" s="68"/>
      <c r="G95" s="68" t="s">
        <v>67</v>
      </c>
      <c r="H95" s="73">
        <f>+(G93*C101+G97*C102)/1.05</f>
        <v>20.857142857142858</v>
      </c>
      <c r="I95" s="35"/>
      <c r="J95" s="35"/>
      <c r="K95" s="35"/>
      <c r="L95" s="35"/>
      <c r="M95" s="35"/>
      <c r="N95" s="12"/>
      <c r="O95" s="12"/>
      <c r="P95" s="12"/>
      <c r="Q95" s="12"/>
      <c r="R95" s="12"/>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2:52" ht="26" customHeight="1" thickBot="1" x14ac:dyDescent="0.55000000000000004">
      <c r="B96" s="35"/>
      <c r="C96" s="70" t="s">
        <v>66</v>
      </c>
      <c r="D96" s="68"/>
      <c r="E96" s="68"/>
      <c r="F96" s="68"/>
      <c r="G96" s="68"/>
      <c r="H96" s="68"/>
      <c r="I96" s="35"/>
      <c r="J96" s="69" t="s">
        <v>69</v>
      </c>
      <c r="K96" s="35"/>
      <c r="L96" s="35"/>
      <c r="M96" s="35"/>
      <c r="N96" s="12"/>
      <c r="O96" s="12"/>
      <c r="P96" s="12"/>
      <c r="Q96" s="12"/>
      <c r="R96" s="12"/>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2:52" ht="26" customHeight="1" thickBot="1" x14ac:dyDescent="0.55000000000000004">
      <c r="B97" s="35"/>
      <c r="C97" s="75">
        <v>65</v>
      </c>
      <c r="D97" s="68"/>
      <c r="E97" s="75">
        <f>+D95*0.95</f>
        <v>74.099999999999994</v>
      </c>
      <c r="F97" s="68"/>
      <c r="G97" s="76">
        <f>+E97-60</f>
        <v>14.099999999999994</v>
      </c>
      <c r="H97" s="68"/>
      <c r="I97" s="68" t="s">
        <v>29</v>
      </c>
      <c r="J97" s="74">
        <f>+(H95*C101+H99*C102)/1.05</f>
        <v>11.014965986394564</v>
      </c>
      <c r="K97" s="35"/>
      <c r="L97" s="35"/>
      <c r="M97" s="35"/>
      <c r="N97" s="12"/>
      <c r="O97" s="12"/>
      <c r="P97" s="12"/>
      <c r="Q97" s="12"/>
      <c r="R97" s="12"/>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2:52" ht="26" customHeight="1" thickBot="1" x14ac:dyDescent="0.55000000000000004">
      <c r="B98" s="35"/>
      <c r="C98" s="68"/>
      <c r="D98" s="68"/>
      <c r="E98" s="68"/>
      <c r="F98" s="68"/>
      <c r="G98" s="68"/>
      <c r="H98" s="68"/>
      <c r="I98" s="35"/>
      <c r="J98" s="35"/>
      <c r="K98" s="35"/>
      <c r="L98" s="35"/>
      <c r="M98" s="35"/>
      <c r="N98" s="12"/>
      <c r="O98" s="12"/>
      <c r="P98" s="12"/>
      <c r="Q98" s="12"/>
      <c r="R98" s="12"/>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2:52" ht="26" customHeight="1" thickBot="1" x14ac:dyDescent="0.55000000000000004">
      <c r="B99" s="35"/>
      <c r="C99" s="68"/>
      <c r="D99" s="75">
        <f>+C97*0.95</f>
        <v>61.75</v>
      </c>
      <c r="E99" s="68"/>
      <c r="F99" s="68"/>
      <c r="G99" s="68" t="s">
        <v>68</v>
      </c>
      <c r="H99" s="74">
        <f>+((G97*C101)+(C102*G101))/1.05</f>
        <v>5.3714285714285737</v>
      </c>
      <c r="I99" s="35"/>
      <c r="J99" s="35"/>
      <c r="K99" s="35"/>
      <c r="L99" s="35"/>
      <c r="M99" s="35"/>
      <c r="N99" s="12"/>
      <c r="O99" s="12"/>
      <c r="P99" s="12"/>
      <c r="Q99" s="12"/>
      <c r="R99" s="12"/>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2:52" ht="26" customHeight="1" thickBot="1" x14ac:dyDescent="0.55000000000000004">
      <c r="B100" s="35"/>
      <c r="C100" s="68"/>
      <c r="D100" s="68"/>
      <c r="E100" s="68"/>
      <c r="F100" s="68"/>
      <c r="G100" s="68"/>
      <c r="H100" s="35"/>
      <c r="I100" s="35"/>
      <c r="J100" s="35"/>
      <c r="K100" s="35"/>
      <c r="L100" s="35"/>
      <c r="M100" s="35"/>
      <c r="N100" s="12"/>
      <c r="O100" s="12"/>
      <c r="P100" s="12"/>
      <c r="Q100" s="12"/>
      <c r="R100" s="12"/>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2:52" ht="26" customHeight="1" thickBot="1" x14ac:dyDescent="0.55000000000000004">
      <c r="B101" s="35" t="s">
        <v>70</v>
      </c>
      <c r="C101" s="77">
        <f>+((1+0.05)-0.95)/(1.2-0.95)</f>
        <v>0.40000000000000036</v>
      </c>
      <c r="D101" s="68"/>
      <c r="E101" s="75">
        <f>+D99*0.95</f>
        <v>58.662499999999994</v>
      </c>
      <c r="F101" s="68"/>
      <c r="G101" s="76">
        <v>0</v>
      </c>
      <c r="H101" s="35"/>
      <c r="I101" s="35"/>
      <c r="J101" s="35"/>
      <c r="K101" s="35"/>
      <c r="L101" s="35"/>
      <c r="M101" s="35"/>
      <c r="N101" s="12"/>
      <c r="O101" s="12"/>
      <c r="P101" s="12"/>
      <c r="Q101" s="12"/>
      <c r="R101" s="12"/>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2:52" ht="19.850000000000001" customHeight="1" x14ac:dyDescent="0.5">
      <c r="B102" s="71" t="s">
        <v>71</v>
      </c>
      <c r="C102" s="72">
        <f>1-C101</f>
        <v>0.59999999999999964</v>
      </c>
      <c r="D102" s="35"/>
      <c r="E102" s="35"/>
      <c r="F102" s="35"/>
      <c r="G102" s="35"/>
      <c r="H102" s="35"/>
      <c r="I102" s="35"/>
      <c r="J102" s="35"/>
      <c r="K102" s="35"/>
      <c r="L102" s="35"/>
      <c r="M102" s="35"/>
      <c r="N102" s="12"/>
      <c r="O102" s="12"/>
      <c r="P102" s="12"/>
      <c r="Q102" s="12"/>
      <c r="R102" s="1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2:52" ht="19.850000000000001" customHeight="1" x14ac:dyDescent="0.5">
      <c r="B103" s="35"/>
      <c r="C103" s="35"/>
      <c r="D103" s="35"/>
      <c r="E103" s="35"/>
      <c r="F103" s="35"/>
      <c r="G103" s="35"/>
      <c r="H103" s="35"/>
      <c r="I103" s="35"/>
      <c r="J103" s="35"/>
      <c r="K103" s="35"/>
      <c r="L103" s="35"/>
      <c r="M103" s="35"/>
      <c r="N103" s="12"/>
      <c r="O103" s="12"/>
      <c r="P103" s="12"/>
      <c r="Q103" s="12"/>
      <c r="R103" s="12"/>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2:52" ht="22.5" customHeight="1" x14ac:dyDescent="0.55000000000000004">
      <c r="B104" s="11" t="s">
        <v>17</v>
      </c>
      <c r="C104" s="28"/>
      <c r="D104" s="28"/>
      <c r="E104" s="28"/>
      <c r="F104" s="28"/>
      <c r="G104" s="29"/>
      <c r="H104" s="29"/>
      <c r="I104" s="28"/>
      <c r="J104" s="28"/>
      <c r="K104" s="12"/>
      <c r="L104" s="12"/>
      <c r="M104" s="12"/>
      <c r="N104" s="12"/>
      <c r="O104" s="12"/>
      <c r="P104" s="12"/>
      <c r="Q104" s="12"/>
      <c r="R104" s="12"/>
      <c r="S104" s="12"/>
      <c r="T104" s="12"/>
      <c r="U104" s="12"/>
    </row>
    <row r="105" spans="2:52" ht="63.35" customHeight="1" x14ac:dyDescent="0.55000000000000004">
      <c r="B105" s="214" t="s">
        <v>128</v>
      </c>
      <c r="C105" s="218"/>
      <c r="D105" s="218"/>
      <c r="E105" s="218"/>
      <c r="F105" s="218"/>
      <c r="G105" s="218"/>
      <c r="H105" s="218"/>
      <c r="I105" s="218"/>
      <c r="J105" s="218"/>
      <c r="K105" s="215"/>
      <c r="L105" s="10"/>
      <c r="M105" s="10"/>
      <c r="N105" s="12"/>
      <c r="O105" s="12"/>
      <c r="P105" s="12"/>
      <c r="Q105" s="12"/>
      <c r="R105" s="12"/>
      <c r="S105" s="10"/>
      <c r="T105" s="10"/>
      <c r="U105" s="10"/>
    </row>
    <row r="106" spans="2:52" ht="15.75" customHeight="1" x14ac:dyDescent="0.5">
      <c r="N106" s="12"/>
      <c r="O106" s="12"/>
      <c r="P106" s="12"/>
      <c r="Q106" s="12"/>
      <c r="R106" s="12"/>
    </row>
    <row r="107" spans="2:52" ht="21" customHeight="1" x14ac:dyDescent="0.5">
      <c r="B107" s="216" t="s">
        <v>30</v>
      </c>
      <c r="C107" s="217"/>
      <c r="D107" s="217"/>
      <c r="E107" s="217"/>
      <c r="F107" s="217"/>
      <c r="G107" s="217"/>
      <c r="H107" s="217"/>
      <c r="I107" s="217"/>
      <c r="J107" s="217"/>
      <c r="N107" s="12"/>
      <c r="O107" s="12"/>
      <c r="P107" s="12"/>
      <c r="Q107" s="12"/>
      <c r="R107" s="12"/>
    </row>
    <row r="108" spans="2:52" ht="19.850000000000001" customHeight="1" x14ac:dyDescent="0.5">
      <c r="B108" s="35"/>
      <c r="C108" s="35"/>
      <c r="D108" s="35"/>
      <c r="E108" s="35"/>
      <c r="G108"/>
      <c r="H108" s="35"/>
      <c r="I108" s="35"/>
      <c r="J108" s="35"/>
      <c r="K108" s="35"/>
      <c r="L108" s="35"/>
      <c r="M108" s="35"/>
      <c r="N108" s="12"/>
      <c r="O108" s="12"/>
      <c r="P108" s="12"/>
      <c r="Q108" s="12"/>
      <c r="R108" s="12"/>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2:52" ht="19.850000000000001" customHeight="1" thickBot="1" x14ac:dyDescent="0.55000000000000004">
      <c r="B109" s="35" t="s">
        <v>70</v>
      </c>
      <c r="C109" s="77">
        <f>+((1+0.05)-0.9)/(1.15-0.9)</f>
        <v>0.60000000000000031</v>
      </c>
      <c r="D109" s="68"/>
      <c r="G109" s="70" t="s">
        <v>64</v>
      </c>
      <c r="H109" s="68"/>
      <c r="I109" s="70" t="s">
        <v>63</v>
      </c>
      <c r="J109" s="68"/>
      <c r="K109" s="68"/>
      <c r="L109" s="68"/>
      <c r="M109" s="35"/>
      <c r="N109" s="12"/>
      <c r="O109" s="12"/>
      <c r="P109" s="12"/>
      <c r="Q109" s="12"/>
      <c r="R109" s="12"/>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2:52" ht="26" customHeight="1" thickBot="1" x14ac:dyDescent="0.55000000000000004">
      <c r="B110" s="71" t="s">
        <v>71</v>
      </c>
      <c r="C110" s="79">
        <f>1-C109</f>
        <v>0.39999999999999969</v>
      </c>
      <c r="D110" s="68"/>
      <c r="G110" s="75">
        <f>+F112*1.15</f>
        <v>122.99249999999996</v>
      </c>
      <c r="H110" s="68"/>
      <c r="I110" s="75">
        <v>0</v>
      </c>
      <c r="J110" s="68"/>
      <c r="K110" s="68"/>
      <c r="L110" s="68"/>
      <c r="M110" s="35"/>
      <c r="N110" s="12"/>
      <c r="O110" s="12"/>
      <c r="P110" s="12"/>
      <c r="Q110" s="12"/>
      <c r="R110" s="12"/>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2:52" ht="26" customHeight="1" thickBot="1" x14ac:dyDescent="0.55000000000000004">
      <c r="B111" s="35"/>
      <c r="C111" s="68"/>
      <c r="D111" s="70" t="s">
        <v>65</v>
      </c>
      <c r="F111" s="70" t="s">
        <v>65</v>
      </c>
      <c r="G111" s="68"/>
      <c r="H111" s="68"/>
      <c r="I111" s="68"/>
      <c r="J111" s="68"/>
      <c r="K111" s="68"/>
      <c r="L111" s="68"/>
      <c r="M111" s="35"/>
      <c r="N111" s="12"/>
      <c r="O111" s="12"/>
      <c r="P111" s="12"/>
      <c r="Q111" s="12"/>
      <c r="R111" s="12"/>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2:52" ht="26" customHeight="1" thickBot="1" x14ac:dyDescent="0.55000000000000004">
      <c r="B112" s="35"/>
      <c r="C112" s="68"/>
      <c r="D112" s="75">
        <f>+C114*1.15</f>
        <v>114.99999999999999</v>
      </c>
      <c r="F112" s="75">
        <f>+D112*(1-0.07)</f>
        <v>106.94999999999997</v>
      </c>
      <c r="G112" s="68"/>
      <c r="H112" s="68"/>
      <c r="I112" s="68" t="s">
        <v>73</v>
      </c>
      <c r="J112" s="73">
        <f>+(I110*C109+I114*C110)/1.05</f>
        <v>5.2361904761904787</v>
      </c>
      <c r="K112" s="68"/>
      <c r="L112" s="68"/>
      <c r="M112" s="35"/>
      <c r="N112" s="12"/>
      <c r="O112" s="12"/>
      <c r="P112" s="12"/>
      <c r="Q112" s="12"/>
      <c r="R112" s="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2:52" ht="26" customHeight="1" thickBot="1" x14ac:dyDescent="0.55000000000000004">
      <c r="B113" s="35"/>
      <c r="C113" s="70" t="s">
        <v>66</v>
      </c>
      <c r="D113" s="68"/>
      <c r="F113" s="68"/>
      <c r="G113" s="68"/>
      <c r="H113" s="68"/>
      <c r="I113" s="68"/>
      <c r="J113" s="68"/>
      <c r="M113" s="35"/>
      <c r="N113" s="12"/>
      <c r="O113" s="12"/>
      <c r="P113" s="12"/>
      <c r="Q113" s="12"/>
      <c r="R113" s="12"/>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2:52" ht="26" customHeight="1" thickBot="1" x14ac:dyDescent="0.55000000000000004">
      <c r="B114" s="35"/>
      <c r="C114" s="75">
        <v>100</v>
      </c>
      <c r="D114" s="68"/>
      <c r="F114" s="68"/>
      <c r="G114" s="75">
        <f>+F112*0.9</f>
        <v>96.254999999999981</v>
      </c>
      <c r="H114" s="68"/>
      <c r="I114" s="75">
        <f>110-G114</f>
        <v>13.745000000000019</v>
      </c>
      <c r="J114" s="68"/>
      <c r="N114" s="12"/>
      <c r="O114" s="12"/>
      <c r="P114" s="12"/>
      <c r="Q114" s="12"/>
      <c r="R114" s="12"/>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2:52" ht="26" customHeight="1" thickBot="1" x14ac:dyDescent="0.55000000000000004">
      <c r="B115" s="35"/>
      <c r="C115" s="68"/>
      <c r="D115" s="68"/>
      <c r="F115" s="68"/>
      <c r="G115" s="68"/>
      <c r="H115" s="68"/>
      <c r="I115" s="68"/>
      <c r="J115" s="68"/>
      <c r="K115" s="68"/>
      <c r="N115" s="12"/>
      <c r="O115" s="12"/>
      <c r="P115" s="12"/>
      <c r="Q115" s="12"/>
      <c r="R115" s="12"/>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2:52" ht="26" customHeight="1" thickBot="1" x14ac:dyDescent="0.55000000000000004">
      <c r="B116" s="35"/>
      <c r="C116" s="68"/>
      <c r="D116" s="75">
        <f>+C114*0.9</f>
        <v>90</v>
      </c>
      <c r="F116" s="75">
        <f>+D116*(1-0.07)</f>
        <v>83.699999999999989</v>
      </c>
      <c r="G116" s="68"/>
      <c r="H116" s="68"/>
      <c r="I116" s="68" t="s">
        <v>74</v>
      </c>
      <c r="J116" s="74">
        <f>+((I114*C109)+(C110*I118))/1.05</f>
        <v>21.061904761904767</v>
      </c>
      <c r="K116" s="68"/>
      <c r="L116" s="68"/>
      <c r="M116" s="35"/>
      <c r="N116" s="12"/>
      <c r="O116" s="12"/>
      <c r="P116" s="12"/>
      <c r="Q116" s="12"/>
      <c r="R116" s="12"/>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2:52" ht="26" customHeight="1" thickBot="1" x14ac:dyDescent="0.55000000000000004">
      <c r="B117" s="35"/>
      <c r="C117" s="68"/>
      <c r="D117" s="68"/>
      <c r="G117" s="68"/>
      <c r="H117" s="68"/>
      <c r="I117" s="68"/>
      <c r="J117" s="68"/>
      <c r="K117" s="68"/>
      <c r="L117" s="68"/>
      <c r="M117" s="35"/>
      <c r="N117" s="12"/>
      <c r="O117" s="12"/>
      <c r="P117" s="12"/>
      <c r="Q117" s="12"/>
      <c r="R117" s="12"/>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2:52" ht="26" customHeight="1" thickBot="1" x14ac:dyDescent="0.55000000000000004">
      <c r="B118" s="68"/>
      <c r="C118" s="70" t="s">
        <v>69</v>
      </c>
      <c r="D118" s="68"/>
      <c r="G118" s="75">
        <f>+F116*0.9</f>
        <v>75.33</v>
      </c>
      <c r="H118" s="68"/>
      <c r="I118" s="75">
        <f>110-G118</f>
        <v>34.67</v>
      </c>
      <c r="J118" s="68"/>
      <c r="K118" s="68"/>
      <c r="L118" s="68"/>
      <c r="M118" s="35"/>
      <c r="N118" s="12"/>
      <c r="O118" s="12"/>
      <c r="P118" s="12"/>
      <c r="Q118" s="12"/>
      <c r="R118" s="12"/>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2:52" ht="29.7" customHeight="1" thickBot="1" x14ac:dyDescent="0.55000000000000004">
      <c r="B119" s="68" t="s">
        <v>75</v>
      </c>
      <c r="C119" s="74">
        <f>+(J112*C109+J116*C110)/1.05</f>
        <v>11.015691609977324</v>
      </c>
      <c r="D119" s="68"/>
      <c r="E119" s="68"/>
      <c r="G119" s="78"/>
      <c r="H119" s="68"/>
      <c r="I119" s="68"/>
      <c r="J119" s="68"/>
      <c r="K119" s="68"/>
      <c r="L119" s="68"/>
      <c r="M119" s="35"/>
      <c r="N119" s="12"/>
      <c r="O119" s="12"/>
      <c r="P119" s="12"/>
      <c r="Q119" s="12"/>
      <c r="R119" s="12"/>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2:52" ht="19.850000000000001" customHeight="1" x14ac:dyDescent="0.5">
      <c r="B120" s="35"/>
      <c r="C120" s="35"/>
      <c r="D120" s="35"/>
      <c r="E120" s="35"/>
      <c r="F120" s="35"/>
      <c r="G120" s="35"/>
      <c r="H120" s="35"/>
      <c r="I120" s="35"/>
      <c r="J120" s="35"/>
      <c r="K120" s="35"/>
      <c r="L120" s="35"/>
      <c r="M120" s="35"/>
      <c r="N120" s="12"/>
      <c r="O120" s="12"/>
      <c r="P120" s="12"/>
      <c r="Q120" s="12"/>
      <c r="R120" s="12"/>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2" spans="2:52" ht="24.7" customHeight="1" x14ac:dyDescent="0.5"/>
  </sheetData>
  <mergeCells count="17">
    <mergeCell ref="B68:J68"/>
    <mergeCell ref="B66:K66"/>
    <mergeCell ref="B89:K89"/>
    <mergeCell ref="B83:K83"/>
    <mergeCell ref="B107:J107"/>
    <mergeCell ref="B91:J91"/>
    <mergeCell ref="B105:K105"/>
    <mergeCell ref="B64:L64"/>
    <mergeCell ref="C2:I2"/>
    <mergeCell ref="C6:E6"/>
    <mergeCell ref="F6:H6"/>
    <mergeCell ref="B52:D52"/>
    <mergeCell ref="B50:K50"/>
    <mergeCell ref="B54:K54"/>
    <mergeCell ref="B59:K59"/>
    <mergeCell ref="B4:L4"/>
    <mergeCell ref="B40:L40"/>
  </mergeCells>
  <pageMargins left="0.7" right="0.7" top="0.75" bottom="0.75" header="0.3" footer="0.3"/>
  <pageSetup scale="82" fitToHeight="0" orientation="landscape" r:id="rId1"/>
  <rowBreaks count="7" manualBreakCount="7">
    <brk id="15" max="16383" man="1"/>
    <brk id="29" max="16383" man="1"/>
    <brk id="39" max="16383" man="1"/>
    <brk id="48" max="16383" man="1"/>
    <brk id="63" max="16383" man="1"/>
    <brk id="86" max="16383" man="1"/>
    <brk id="103" min="1"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E2B7D-FB63-422B-BCBD-EC447005C5FD}">
  <dimension ref="A1:AZ122"/>
  <sheetViews>
    <sheetView topLeftCell="A110" workbookViewId="0">
      <selection activeCell="H110" sqref="H110"/>
    </sheetView>
  </sheetViews>
  <sheetFormatPr defaultRowHeight="14.35" x14ac:dyDescent="0.5"/>
  <cols>
    <col min="1" max="1" width="4.29296875" style="37" customWidth="1"/>
    <col min="2" max="2" width="10.87890625" customWidth="1"/>
    <col min="3" max="3" width="14.703125" customWidth="1"/>
    <col min="4" max="4" width="14.41015625" customWidth="1"/>
    <col min="5" max="6" width="12.41015625" customWidth="1"/>
    <col min="7" max="7" width="13.29296875" style="1" customWidth="1"/>
    <col min="8" max="8" width="12.41015625" style="1" customWidth="1"/>
    <col min="9" max="10" width="12.41015625" customWidth="1"/>
    <col min="11" max="11" width="10.703125" style="2" customWidth="1"/>
    <col min="12" max="12" width="9.29296875" style="2" customWidth="1"/>
    <col min="13" max="16" width="13.5859375" style="2" customWidth="1"/>
    <col min="17" max="18" width="24.1171875" style="2" customWidth="1"/>
    <col min="19" max="26" width="13.29296875" style="2" customWidth="1"/>
    <col min="27" max="27" width="8.9375" style="2"/>
    <col min="28" max="28" width="8.41015625" style="2" customWidth="1"/>
    <col min="29" max="52" width="8.9375" style="2"/>
    <col min="258" max="258" width="9.41015625" customWidth="1"/>
    <col min="259" max="259" width="11" customWidth="1"/>
    <col min="260" max="271" width="9.29296875" customWidth="1"/>
    <col min="284" max="284" width="10.5859375" customWidth="1"/>
    <col min="514" max="514" width="9.41015625" customWidth="1"/>
    <col min="515" max="515" width="11" customWidth="1"/>
    <col min="516" max="527" width="9.29296875" customWidth="1"/>
    <col min="540" max="540" width="10.5859375" customWidth="1"/>
    <col min="770" max="770" width="9.41015625" customWidth="1"/>
    <col min="771" max="771" width="11" customWidth="1"/>
    <col min="772" max="783" width="9.29296875" customWidth="1"/>
    <col min="796" max="796" width="10.5859375" customWidth="1"/>
    <col min="1026" max="1026" width="9.41015625" customWidth="1"/>
    <col min="1027" max="1027" width="11" customWidth="1"/>
    <col min="1028" max="1039" width="9.29296875" customWidth="1"/>
    <col min="1052" max="1052" width="10.5859375" customWidth="1"/>
    <col min="1282" max="1282" width="9.41015625" customWidth="1"/>
    <col min="1283" max="1283" width="11" customWidth="1"/>
    <col min="1284" max="1295" width="9.29296875" customWidth="1"/>
    <col min="1308" max="1308" width="10.5859375" customWidth="1"/>
    <col min="1538" max="1538" width="9.41015625" customWidth="1"/>
    <col min="1539" max="1539" width="11" customWidth="1"/>
    <col min="1540" max="1551" width="9.29296875" customWidth="1"/>
    <col min="1564" max="1564" width="10.5859375" customWidth="1"/>
    <col min="1794" max="1794" width="9.41015625" customWidth="1"/>
    <col min="1795" max="1795" width="11" customWidth="1"/>
    <col min="1796" max="1807" width="9.29296875" customWidth="1"/>
    <col min="1820" max="1820" width="10.5859375" customWidth="1"/>
    <col min="2050" max="2050" width="9.41015625" customWidth="1"/>
    <col min="2051" max="2051" width="11" customWidth="1"/>
    <col min="2052" max="2063" width="9.29296875" customWidth="1"/>
    <col min="2076" max="2076" width="10.5859375" customWidth="1"/>
    <col min="2306" max="2306" width="9.41015625" customWidth="1"/>
    <col min="2307" max="2307" width="11" customWidth="1"/>
    <col min="2308" max="2319" width="9.29296875" customWidth="1"/>
    <col min="2332" max="2332" width="10.5859375" customWidth="1"/>
    <col min="2562" max="2562" width="9.41015625" customWidth="1"/>
    <col min="2563" max="2563" width="11" customWidth="1"/>
    <col min="2564" max="2575" width="9.29296875" customWidth="1"/>
    <col min="2588" max="2588" width="10.5859375" customWidth="1"/>
    <col min="2818" max="2818" width="9.41015625" customWidth="1"/>
    <col min="2819" max="2819" width="11" customWidth="1"/>
    <col min="2820" max="2831" width="9.29296875" customWidth="1"/>
    <col min="2844" max="2844" width="10.5859375" customWidth="1"/>
    <col min="3074" max="3074" width="9.41015625" customWidth="1"/>
    <col min="3075" max="3075" width="11" customWidth="1"/>
    <col min="3076" max="3087" width="9.29296875" customWidth="1"/>
    <col min="3100" max="3100" width="10.5859375" customWidth="1"/>
    <col min="3330" max="3330" width="9.41015625" customWidth="1"/>
    <col min="3331" max="3331" width="11" customWidth="1"/>
    <col min="3332" max="3343" width="9.29296875" customWidth="1"/>
    <col min="3356" max="3356" width="10.5859375" customWidth="1"/>
    <col min="3586" max="3586" width="9.41015625" customWidth="1"/>
    <col min="3587" max="3587" width="11" customWidth="1"/>
    <col min="3588" max="3599" width="9.29296875" customWidth="1"/>
    <col min="3612" max="3612" width="10.5859375" customWidth="1"/>
    <col min="3842" max="3842" width="9.41015625" customWidth="1"/>
    <col min="3843" max="3843" width="11" customWidth="1"/>
    <col min="3844" max="3855" width="9.29296875" customWidth="1"/>
    <col min="3868" max="3868" width="10.5859375" customWidth="1"/>
    <col min="4098" max="4098" width="9.41015625" customWidth="1"/>
    <col min="4099" max="4099" width="11" customWidth="1"/>
    <col min="4100" max="4111" width="9.29296875" customWidth="1"/>
    <col min="4124" max="4124" width="10.5859375" customWidth="1"/>
    <col min="4354" max="4354" width="9.41015625" customWidth="1"/>
    <col min="4355" max="4355" width="11" customWidth="1"/>
    <col min="4356" max="4367" width="9.29296875" customWidth="1"/>
    <col min="4380" max="4380" width="10.5859375" customWidth="1"/>
    <col min="4610" max="4610" width="9.41015625" customWidth="1"/>
    <col min="4611" max="4611" width="11" customWidth="1"/>
    <col min="4612" max="4623" width="9.29296875" customWidth="1"/>
    <col min="4636" max="4636" width="10.5859375" customWidth="1"/>
    <col min="4866" max="4866" width="9.41015625" customWidth="1"/>
    <col min="4867" max="4867" width="11" customWidth="1"/>
    <col min="4868" max="4879" width="9.29296875" customWidth="1"/>
    <col min="4892" max="4892" width="10.5859375" customWidth="1"/>
    <col min="5122" max="5122" width="9.41015625" customWidth="1"/>
    <col min="5123" max="5123" width="11" customWidth="1"/>
    <col min="5124" max="5135" width="9.29296875" customWidth="1"/>
    <col min="5148" max="5148" width="10.5859375" customWidth="1"/>
    <col min="5378" max="5378" width="9.41015625" customWidth="1"/>
    <col min="5379" max="5379" width="11" customWidth="1"/>
    <col min="5380" max="5391" width="9.29296875" customWidth="1"/>
    <col min="5404" max="5404" width="10.5859375" customWidth="1"/>
    <col min="5634" max="5634" width="9.41015625" customWidth="1"/>
    <col min="5635" max="5635" width="11" customWidth="1"/>
    <col min="5636" max="5647" width="9.29296875" customWidth="1"/>
    <col min="5660" max="5660" width="10.5859375" customWidth="1"/>
    <col min="5890" max="5890" width="9.41015625" customWidth="1"/>
    <col min="5891" max="5891" width="11" customWidth="1"/>
    <col min="5892" max="5903" width="9.29296875" customWidth="1"/>
    <col min="5916" max="5916" width="10.5859375" customWidth="1"/>
    <col min="6146" max="6146" width="9.41015625" customWidth="1"/>
    <col min="6147" max="6147" width="11" customWidth="1"/>
    <col min="6148" max="6159" width="9.29296875" customWidth="1"/>
    <col min="6172" max="6172" width="10.5859375" customWidth="1"/>
    <col min="6402" max="6402" width="9.41015625" customWidth="1"/>
    <col min="6403" max="6403" width="11" customWidth="1"/>
    <col min="6404" max="6415" width="9.29296875" customWidth="1"/>
    <col min="6428" max="6428" width="10.5859375" customWidth="1"/>
    <col min="6658" max="6658" width="9.41015625" customWidth="1"/>
    <col min="6659" max="6659" width="11" customWidth="1"/>
    <col min="6660" max="6671" width="9.29296875" customWidth="1"/>
    <col min="6684" max="6684" width="10.5859375" customWidth="1"/>
    <col min="6914" max="6914" width="9.41015625" customWidth="1"/>
    <col min="6915" max="6915" width="11" customWidth="1"/>
    <col min="6916" max="6927" width="9.29296875" customWidth="1"/>
    <col min="6940" max="6940" width="10.5859375" customWidth="1"/>
    <col min="7170" max="7170" width="9.41015625" customWidth="1"/>
    <col min="7171" max="7171" width="11" customWidth="1"/>
    <col min="7172" max="7183" width="9.29296875" customWidth="1"/>
    <col min="7196" max="7196" width="10.5859375" customWidth="1"/>
    <col min="7426" max="7426" width="9.41015625" customWidth="1"/>
    <col min="7427" max="7427" width="11" customWidth="1"/>
    <col min="7428" max="7439" width="9.29296875" customWidth="1"/>
    <col min="7452" max="7452" width="10.5859375" customWidth="1"/>
    <col min="7682" max="7682" width="9.41015625" customWidth="1"/>
    <col min="7683" max="7683" width="11" customWidth="1"/>
    <col min="7684" max="7695" width="9.29296875" customWidth="1"/>
    <col min="7708" max="7708" width="10.5859375" customWidth="1"/>
    <col min="7938" max="7938" width="9.41015625" customWidth="1"/>
    <col min="7939" max="7939" width="11" customWidth="1"/>
    <col min="7940" max="7951" width="9.29296875" customWidth="1"/>
    <col min="7964" max="7964" width="10.5859375" customWidth="1"/>
    <col min="8194" max="8194" width="9.41015625" customWidth="1"/>
    <col min="8195" max="8195" width="11" customWidth="1"/>
    <col min="8196" max="8207" width="9.29296875" customWidth="1"/>
    <col min="8220" max="8220" width="10.5859375" customWidth="1"/>
    <col min="8450" max="8450" width="9.41015625" customWidth="1"/>
    <col min="8451" max="8451" width="11" customWidth="1"/>
    <col min="8452" max="8463" width="9.29296875" customWidth="1"/>
    <col min="8476" max="8476" width="10.5859375" customWidth="1"/>
    <col min="8706" max="8706" width="9.41015625" customWidth="1"/>
    <col min="8707" max="8707" width="11" customWidth="1"/>
    <col min="8708" max="8719" width="9.29296875" customWidth="1"/>
    <col min="8732" max="8732" width="10.5859375" customWidth="1"/>
    <col min="8962" max="8962" width="9.41015625" customWidth="1"/>
    <col min="8963" max="8963" width="11" customWidth="1"/>
    <col min="8964" max="8975" width="9.29296875" customWidth="1"/>
    <col min="8988" max="8988" width="10.5859375" customWidth="1"/>
    <col min="9218" max="9218" width="9.41015625" customWidth="1"/>
    <col min="9219" max="9219" width="11" customWidth="1"/>
    <col min="9220" max="9231" width="9.29296875" customWidth="1"/>
    <col min="9244" max="9244" width="10.5859375" customWidth="1"/>
    <col min="9474" max="9474" width="9.41015625" customWidth="1"/>
    <col min="9475" max="9475" width="11" customWidth="1"/>
    <col min="9476" max="9487" width="9.29296875" customWidth="1"/>
    <col min="9500" max="9500" width="10.5859375" customWidth="1"/>
    <col min="9730" max="9730" width="9.41015625" customWidth="1"/>
    <col min="9731" max="9731" width="11" customWidth="1"/>
    <col min="9732" max="9743" width="9.29296875" customWidth="1"/>
    <col min="9756" max="9756" width="10.5859375" customWidth="1"/>
    <col min="9986" max="9986" width="9.41015625" customWidth="1"/>
    <col min="9987" max="9987" width="11" customWidth="1"/>
    <col min="9988" max="9999" width="9.29296875" customWidth="1"/>
    <col min="10012" max="10012" width="10.5859375" customWidth="1"/>
    <col min="10242" max="10242" width="9.41015625" customWidth="1"/>
    <col min="10243" max="10243" width="11" customWidth="1"/>
    <col min="10244" max="10255" width="9.29296875" customWidth="1"/>
    <col min="10268" max="10268" width="10.5859375" customWidth="1"/>
    <col min="10498" max="10498" width="9.41015625" customWidth="1"/>
    <col min="10499" max="10499" width="11" customWidth="1"/>
    <col min="10500" max="10511" width="9.29296875" customWidth="1"/>
    <col min="10524" max="10524" width="10.5859375" customWidth="1"/>
    <col min="10754" max="10754" width="9.41015625" customWidth="1"/>
    <col min="10755" max="10755" width="11" customWidth="1"/>
    <col min="10756" max="10767" width="9.29296875" customWidth="1"/>
    <col min="10780" max="10780" width="10.5859375" customWidth="1"/>
    <col min="11010" max="11010" width="9.41015625" customWidth="1"/>
    <col min="11011" max="11011" width="11" customWidth="1"/>
    <col min="11012" max="11023" width="9.29296875" customWidth="1"/>
    <col min="11036" max="11036" width="10.5859375" customWidth="1"/>
    <col min="11266" max="11266" width="9.41015625" customWidth="1"/>
    <col min="11267" max="11267" width="11" customWidth="1"/>
    <col min="11268" max="11279" width="9.29296875" customWidth="1"/>
    <col min="11292" max="11292" width="10.5859375" customWidth="1"/>
    <col min="11522" max="11522" width="9.41015625" customWidth="1"/>
    <col min="11523" max="11523" width="11" customWidth="1"/>
    <col min="11524" max="11535" width="9.29296875" customWidth="1"/>
    <col min="11548" max="11548" width="10.5859375" customWidth="1"/>
    <col min="11778" max="11778" width="9.41015625" customWidth="1"/>
    <col min="11779" max="11779" width="11" customWidth="1"/>
    <col min="11780" max="11791" width="9.29296875" customWidth="1"/>
    <col min="11804" max="11804" width="10.5859375" customWidth="1"/>
    <col min="12034" max="12034" width="9.41015625" customWidth="1"/>
    <col min="12035" max="12035" width="11" customWidth="1"/>
    <col min="12036" max="12047" width="9.29296875" customWidth="1"/>
    <col min="12060" max="12060" width="10.5859375" customWidth="1"/>
    <col min="12290" max="12290" width="9.41015625" customWidth="1"/>
    <col min="12291" max="12291" width="11" customWidth="1"/>
    <col min="12292" max="12303" width="9.29296875" customWidth="1"/>
    <col min="12316" max="12316" width="10.5859375" customWidth="1"/>
    <col min="12546" max="12546" width="9.41015625" customWidth="1"/>
    <col min="12547" max="12547" width="11" customWidth="1"/>
    <col min="12548" max="12559" width="9.29296875" customWidth="1"/>
    <col min="12572" max="12572" width="10.5859375" customWidth="1"/>
    <col min="12802" max="12802" width="9.41015625" customWidth="1"/>
    <col min="12803" max="12803" width="11" customWidth="1"/>
    <col min="12804" max="12815" width="9.29296875" customWidth="1"/>
    <col min="12828" max="12828" width="10.5859375" customWidth="1"/>
    <col min="13058" max="13058" width="9.41015625" customWidth="1"/>
    <col min="13059" max="13059" width="11" customWidth="1"/>
    <col min="13060" max="13071" width="9.29296875" customWidth="1"/>
    <col min="13084" max="13084" width="10.5859375" customWidth="1"/>
    <col min="13314" max="13314" width="9.41015625" customWidth="1"/>
    <col min="13315" max="13315" width="11" customWidth="1"/>
    <col min="13316" max="13327" width="9.29296875" customWidth="1"/>
    <col min="13340" max="13340" width="10.5859375" customWidth="1"/>
    <col min="13570" max="13570" width="9.41015625" customWidth="1"/>
    <col min="13571" max="13571" width="11" customWidth="1"/>
    <col min="13572" max="13583" width="9.29296875" customWidth="1"/>
    <col min="13596" max="13596" width="10.5859375" customWidth="1"/>
    <col min="13826" max="13826" width="9.41015625" customWidth="1"/>
    <col min="13827" max="13827" width="11" customWidth="1"/>
    <col min="13828" max="13839" width="9.29296875" customWidth="1"/>
    <col min="13852" max="13852" width="10.5859375" customWidth="1"/>
    <col min="14082" max="14082" width="9.41015625" customWidth="1"/>
    <col min="14083" max="14083" width="11" customWidth="1"/>
    <col min="14084" max="14095" width="9.29296875" customWidth="1"/>
    <col min="14108" max="14108" width="10.5859375" customWidth="1"/>
    <col min="14338" max="14338" width="9.41015625" customWidth="1"/>
    <col min="14339" max="14339" width="11" customWidth="1"/>
    <col min="14340" max="14351" width="9.29296875" customWidth="1"/>
    <col min="14364" max="14364" width="10.5859375" customWidth="1"/>
    <col min="14594" max="14594" width="9.41015625" customWidth="1"/>
    <col min="14595" max="14595" width="11" customWidth="1"/>
    <col min="14596" max="14607" width="9.29296875" customWidth="1"/>
    <col min="14620" max="14620" width="10.5859375" customWidth="1"/>
    <col min="14850" max="14850" width="9.41015625" customWidth="1"/>
    <col min="14851" max="14851" width="11" customWidth="1"/>
    <col min="14852" max="14863" width="9.29296875" customWidth="1"/>
    <col min="14876" max="14876" width="10.5859375" customWidth="1"/>
    <col min="15106" max="15106" width="9.41015625" customWidth="1"/>
    <col min="15107" max="15107" width="11" customWidth="1"/>
    <col min="15108" max="15119" width="9.29296875" customWidth="1"/>
    <col min="15132" max="15132" width="10.5859375" customWidth="1"/>
    <col min="15362" max="15362" width="9.41015625" customWidth="1"/>
    <col min="15363" max="15363" width="11" customWidth="1"/>
    <col min="15364" max="15375" width="9.29296875" customWidth="1"/>
    <col min="15388" max="15388" width="10.5859375" customWidth="1"/>
    <col min="15618" max="15618" width="9.41015625" customWidth="1"/>
    <col min="15619" max="15619" width="11" customWidth="1"/>
    <col min="15620" max="15631" width="9.29296875" customWidth="1"/>
    <col min="15644" max="15644" width="10.5859375" customWidth="1"/>
    <col min="15874" max="15874" width="9.41015625" customWidth="1"/>
    <col min="15875" max="15875" width="11" customWidth="1"/>
    <col min="15876" max="15887" width="9.29296875" customWidth="1"/>
    <col min="15900" max="15900" width="10.5859375" customWidth="1"/>
    <col min="16130" max="16130" width="9.41015625" customWidth="1"/>
    <col min="16131" max="16131" width="11" customWidth="1"/>
    <col min="16132" max="16143" width="9.29296875" customWidth="1"/>
    <col min="16156" max="16156" width="10.5859375" customWidth="1"/>
  </cols>
  <sheetData>
    <row r="1" spans="1:21" ht="33.75" customHeight="1" thickBot="1" x14ac:dyDescent="0.55000000000000004">
      <c r="B1" s="30" t="s">
        <v>87</v>
      </c>
    </row>
    <row r="2" spans="1:21" ht="33.75" customHeight="1" thickBot="1" x14ac:dyDescent="0.8">
      <c r="B2" s="92" t="s">
        <v>88</v>
      </c>
      <c r="C2" s="219" t="s">
        <v>111</v>
      </c>
      <c r="D2" s="220"/>
      <c r="E2" s="220"/>
      <c r="F2" s="220"/>
      <c r="G2" s="220"/>
      <c r="H2" s="220"/>
      <c r="I2" s="221"/>
      <c r="L2" s="3" t="s">
        <v>19</v>
      </c>
    </row>
    <row r="3" spans="1:21" ht="18.75" customHeight="1" x14ac:dyDescent="0.5"/>
    <row r="4" spans="1:21" ht="33.75" customHeight="1" x14ac:dyDescent="0.5">
      <c r="B4" s="202" t="s">
        <v>76</v>
      </c>
      <c r="C4" s="203"/>
      <c r="D4" s="203"/>
      <c r="E4" s="203"/>
      <c r="F4" s="203"/>
      <c r="G4" s="203"/>
      <c r="H4" s="203"/>
      <c r="I4" s="203"/>
      <c r="J4" s="203"/>
      <c r="K4" s="204"/>
      <c r="L4" s="204"/>
      <c r="M4" s="4"/>
      <c r="N4" s="4"/>
      <c r="O4" s="4"/>
      <c r="P4" s="4"/>
      <c r="Q4" s="4"/>
      <c r="R4" s="4"/>
      <c r="S4" s="4"/>
      <c r="T4" s="4"/>
      <c r="U4" s="4"/>
    </row>
    <row r="5" spans="1:21" ht="14.1" customHeight="1" thickBot="1" x14ac:dyDescent="0.55000000000000004">
      <c r="B5" s="37"/>
      <c r="C5" s="37"/>
      <c r="D5" s="37"/>
      <c r="E5" s="37"/>
      <c r="F5" s="37"/>
      <c r="G5" s="37"/>
      <c r="H5" s="37"/>
      <c r="I5" s="37"/>
      <c r="J5" s="37"/>
      <c r="K5" s="37"/>
      <c r="L5" s="37"/>
      <c r="M5" s="37"/>
      <c r="N5" s="4"/>
      <c r="O5" s="4"/>
      <c r="P5" s="4"/>
      <c r="Q5" s="4"/>
      <c r="R5" s="4"/>
      <c r="S5" s="4"/>
      <c r="T5" s="4"/>
      <c r="U5" s="4"/>
    </row>
    <row r="6" spans="1:21" ht="22.7" customHeight="1" x14ac:dyDescent="0.5">
      <c r="C6" s="208" t="s">
        <v>36</v>
      </c>
      <c r="D6" s="209"/>
      <c r="E6" s="210"/>
      <c r="F6" s="208" t="s">
        <v>37</v>
      </c>
      <c r="G6" s="209"/>
      <c r="H6" s="210"/>
    </row>
    <row r="7" spans="1:21" ht="49.7" customHeight="1" x14ac:dyDescent="0.5">
      <c r="B7" s="43" t="s">
        <v>32</v>
      </c>
      <c r="C7" s="40" t="s">
        <v>33</v>
      </c>
      <c r="D7" s="41" t="s">
        <v>34</v>
      </c>
      <c r="E7" s="42" t="s">
        <v>35</v>
      </c>
      <c r="F7" s="40" t="s">
        <v>33</v>
      </c>
      <c r="G7" s="41" t="s">
        <v>34</v>
      </c>
      <c r="H7" s="42" t="s">
        <v>35</v>
      </c>
    </row>
    <row r="8" spans="1:21" ht="27.95" customHeight="1" x14ac:dyDescent="0.5">
      <c r="B8" s="39">
        <v>150</v>
      </c>
      <c r="C8" s="49">
        <v>20</v>
      </c>
      <c r="D8" s="50">
        <v>21.5</v>
      </c>
      <c r="E8" s="51">
        <v>23</v>
      </c>
      <c r="F8" s="52">
        <v>3</v>
      </c>
      <c r="G8" s="53">
        <v>3.5</v>
      </c>
      <c r="H8" s="54">
        <v>4.45</v>
      </c>
    </row>
    <row r="9" spans="1:21" ht="27.95" customHeight="1" x14ac:dyDescent="0.5">
      <c r="B9" s="39">
        <f>+B8+5</f>
        <v>155</v>
      </c>
      <c r="C9" s="49">
        <v>15.5</v>
      </c>
      <c r="D9" s="50">
        <v>16.25</v>
      </c>
      <c r="E9" s="51">
        <v>17.75</v>
      </c>
      <c r="F9" s="52">
        <v>4.0999999999999996</v>
      </c>
      <c r="G9" s="53">
        <v>4.9000000000000004</v>
      </c>
      <c r="H9" s="54">
        <v>5.9</v>
      </c>
    </row>
    <row r="10" spans="1:21" ht="27.95" customHeight="1" x14ac:dyDescent="0.5">
      <c r="B10" s="39">
        <f t="shared" ref="B10:B14" si="0">+B9+5</f>
        <v>160</v>
      </c>
      <c r="C10" s="49">
        <v>12.5</v>
      </c>
      <c r="D10" s="50">
        <v>12.85</v>
      </c>
      <c r="E10" s="51">
        <v>13.5</v>
      </c>
      <c r="F10" s="52">
        <v>5.3</v>
      </c>
      <c r="G10" s="53">
        <v>6</v>
      </c>
      <c r="H10" s="54">
        <v>6.8</v>
      </c>
    </row>
    <row r="11" spans="1:21" ht="27.95" customHeight="1" x14ac:dyDescent="0.5">
      <c r="B11" s="39">
        <f t="shared" si="0"/>
        <v>165</v>
      </c>
      <c r="C11" s="49">
        <v>8.1</v>
      </c>
      <c r="D11" s="50">
        <v>9</v>
      </c>
      <c r="E11" s="51">
        <v>10.65</v>
      </c>
      <c r="F11" s="52">
        <v>7</v>
      </c>
      <c r="G11" s="53">
        <v>8</v>
      </c>
      <c r="H11" s="54">
        <v>9.1999999999999993</v>
      </c>
    </row>
    <row r="12" spans="1:21" ht="27.95" customHeight="1" x14ac:dyDescent="0.5">
      <c r="B12" s="39">
        <f t="shared" si="0"/>
        <v>170</v>
      </c>
      <c r="C12" s="49">
        <v>5.2</v>
      </c>
      <c r="D12" s="50">
        <v>6.3</v>
      </c>
      <c r="E12" s="51">
        <v>8.5</v>
      </c>
      <c r="F12" s="52">
        <v>9.4</v>
      </c>
      <c r="G12" s="53">
        <v>10.75</v>
      </c>
      <c r="H12" s="54">
        <v>12.45</v>
      </c>
    </row>
    <row r="13" spans="1:21" ht="27.95" customHeight="1" x14ac:dyDescent="0.5">
      <c r="B13" s="39">
        <f t="shared" si="0"/>
        <v>175</v>
      </c>
      <c r="C13" s="49">
        <v>3.25</v>
      </c>
      <c r="D13" s="50">
        <v>4.25</v>
      </c>
      <c r="E13" s="51">
        <v>5.75</v>
      </c>
      <c r="F13" s="52">
        <v>13</v>
      </c>
      <c r="G13" s="53">
        <v>14.3</v>
      </c>
      <c r="H13" s="54">
        <v>14.2</v>
      </c>
    </row>
    <row r="14" spans="1:21" ht="27.95" customHeight="1" thickBot="1" x14ac:dyDescent="0.55000000000000004">
      <c r="B14" s="39">
        <f t="shared" si="0"/>
        <v>180</v>
      </c>
      <c r="C14" s="55">
        <v>2.5</v>
      </c>
      <c r="D14" s="56">
        <v>3.4</v>
      </c>
      <c r="E14" s="57">
        <v>4.45</v>
      </c>
      <c r="F14" s="58">
        <v>15</v>
      </c>
      <c r="G14" s="59">
        <v>16.100000000000001</v>
      </c>
      <c r="H14" s="60">
        <v>17.75</v>
      </c>
    </row>
    <row r="15" spans="1:21" ht="9" customHeight="1" x14ac:dyDescent="0.5"/>
    <row r="16" spans="1:21" s="2" customFormat="1" ht="22.7" customHeight="1" x14ac:dyDescent="0.5">
      <c r="A16" s="38"/>
      <c r="B16" s="11" t="s">
        <v>50</v>
      </c>
      <c r="C16" s="12"/>
      <c r="D16" s="12"/>
      <c r="E16" s="12"/>
      <c r="F16" s="12"/>
      <c r="G16" s="13"/>
      <c r="H16" s="13"/>
      <c r="I16" s="12"/>
      <c r="P16" s="4"/>
      <c r="Q16" s="4"/>
      <c r="R16" s="4"/>
      <c r="S16" s="4"/>
      <c r="T16" s="4"/>
      <c r="U16" s="4"/>
    </row>
    <row r="17" spans="1:21" s="2" customFormat="1" ht="33.75" customHeight="1" x14ac:dyDescent="0.45">
      <c r="A17" s="38"/>
      <c r="B17" s="12" t="s">
        <v>47</v>
      </c>
      <c r="C17" s="12"/>
      <c r="D17" s="12"/>
      <c r="E17" s="12"/>
      <c r="F17" s="12"/>
      <c r="G17" s="13"/>
      <c r="H17" s="13"/>
      <c r="I17" s="12"/>
    </row>
    <row r="18" spans="1:21" s="2" customFormat="1" ht="51" customHeight="1" x14ac:dyDescent="0.4">
      <c r="A18" s="38"/>
      <c r="B18" s="14" t="s">
        <v>0</v>
      </c>
      <c r="C18" s="14" t="s">
        <v>38</v>
      </c>
      <c r="D18" s="14" t="s">
        <v>1</v>
      </c>
      <c r="E18" s="14" t="s">
        <v>2</v>
      </c>
      <c r="F18" s="14" t="s">
        <v>85</v>
      </c>
      <c r="G18" s="14" t="s">
        <v>42</v>
      </c>
      <c r="H18" s="15" t="s">
        <v>51</v>
      </c>
      <c r="I18" s="15" t="s">
        <v>52</v>
      </c>
      <c r="J18" s="15" t="s">
        <v>53</v>
      </c>
      <c r="K18" s="15" t="s">
        <v>31</v>
      </c>
      <c r="L18" s="15" t="s">
        <v>54</v>
      </c>
      <c r="P18" s="4"/>
      <c r="Q18" s="4"/>
      <c r="R18" s="4"/>
      <c r="S18" s="4"/>
      <c r="T18" s="4"/>
      <c r="U18" s="4"/>
    </row>
    <row r="19" spans="1:21" s="2" customFormat="1" ht="33.75" customHeight="1" x14ac:dyDescent="0.4">
      <c r="A19" s="38"/>
      <c r="B19" s="46" t="s">
        <v>3</v>
      </c>
      <c r="C19" s="46" t="s">
        <v>39</v>
      </c>
      <c r="D19" s="46" t="s">
        <v>4</v>
      </c>
      <c r="E19" s="47">
        <f>+B8</f>
        <v>150</v>
      </c>
      <c r="F19" s="44">
        <v>-20</v>
      </c>
      <c r="G19" s="47">
        <v>175</v>
      </c>
      <c r="H19" s="45">
        <v>25</v>
      </c>
      <c r="I19" s="45">
        <v>5</v>
      </c>
      <c r="J19" s="45">
        <v>170</v>
      </c>
      <c r="K19" s="36"/>
      <c r="L19" s="48">
        <v>0.25</v>
      </c>
    </row>
    <row r="20" spans="1:21" s="2" customFormat="1" ht="33.75" customHeight="1" x14ac:dyDescent="0.4">
      <c r="A20" s="38"/>
      <c r="B20" s="46" t="s">
        <v>3</v>
      </c>
      <c r="C20" s="46" t="s">
        <v>40</v>
      </c>
      <c r="D20" s="46" t="s">
        <v>4</v>
      </c>
      <c r="E20" s="47">
        <f>+B11</f>
        <v>165</v>
      </c>
      <c r="F20" s="44">
        <v>-9</v>
      </c>
      <c r="G20" s="47">
        <v>165</v>
      </c>
      <c r="H20" s="45">
        <v>0</v>
      </c>
      <c r="I20" s="45">
        <v>-9</v>
      </c>
      <c r="J20" s="45">
        <v>174</v>
      </c>
      <c r="K20" s="36"/>
      <c r="L20" s="48">
        <v>0</v>
      </c>
      <c r="P20" s="4"/>
      <c r="Q20" s="4"/>
      <c r="R20" s="4"/>
      <c r="S20" s="4"/>
      <c r="T20" s="4"/>
      <c r="U20" s="4"/>
    </row>
    <row r="21" spans="1:21" s="2" customFormat="1" ht="33.75" customHeight="1" x14ac:dyDescent="0.4">
      <c r="A21" s="38"/>
      <c r="B21" s="46" t="s">
        <v>3</v>
      </c>
      <c r="C21" s="46" t="s">
        <v>41</v>
      </c>
      <c r="D21" s="46" t="s">
        <v>5</v>
      </c>
      <c r="E21" s="47">
        <f>+B12</f>
        <v>170</v>
      </c>
      <c r="F21" s="44">
        <v>-12.45</v>
      </c>
      <c r="G21" s="47">
        <v>160</v>
      </c>
      <c r="H21" s="45">
        <v>10</v>
      </c>
      <c r="I21" s="45">
        <v>-2.4500000000000002</v>
      </c>
      <c r="J21" s="45">
        <v>157.55000000000001</v>
      </c>
      <c r="K21" s="36"/>
      <c r="L21" s="48">
        <v>0</v>
      </c>
    </row>
    <row r="22" spans="1:21" s="2" customFormat="1" ht="33.75" customHeight="1" x14ac:dyDescent="0.4">
      <c r="A22" s="38"/>
      <c r="B22" s="46" t="s">
        <v>6</v>
      </c>
      <c r="C22" s="46" t="s">
        <v>39</v>
      </c>
      <c r="D22" s="46" t="s">
        <v>5</v>
      </c>
      <c r="E22" s="47">
        <f>+B14</f>
        <v>180</v>
      </c>
      <c r="F22" s="44">
        <v>-15</v>
      </c>
      <c r="G22" s="47">
        <v>162</v>
      </c>
      <c r="H22" s="45">
        <v>18</v>
      </c>
      <c r="I22" s="45">
        <v>3</v>
      </c>
      <c r="J22" s="45">
        <v>165</v>
      </c>
      <c r="K22" s="36"/>
      <c r="L22" s="48">
        <v>0.2</v>
      </c>
      <c r="P22" s="4"/>
      <c r="Q22" s="4"/>
      <c r="R22" s="4"/>
      <c r="S22" s="4"/>
      <c r="T22" s="4"/>
      <c r="U22" s="4"/>
    </row>
    <row r="23" spans="1:21" s="2" customFormat="1" ht="33.75" customHeight="1" x14ac:dyDescent="0.4">
      <c r="A23" s="38"/>
      <c r="B23" s="46" t="s">
        <v>7</v>
      </c>
      <c r="C23" s="46" t="s">
        <v>41</v>
      </c>
      <c r="D23" s="46" t="s">
        <v>5</v>
      </c>
      <c r="E23" s="47">
        <f>+B11</f>
        <v>165</v>
      </c>
      <c r="F23" s="44">
        <v>9.1999999999999993</v>
      </c>
      <c r="G23" s="47">
        <v>125</v>
      </c>
      <c r="H23" s="45">
        <v>40</v>
      </c>
      <c r="I23" s="45">
        <v>49.2</v>
      </c>
      <c r="J23" s="45">
        <v>155.80000000000001</v>
      </c>
      <c r="K23" s="36"/>
      <c r="L23" s="36"/>
    </row>
    <row r="24" spans="1:21" s="2" customFormat="1" ht="33.75" customHeight="1" x14ac:dyDescent="0.4">
      <c r="A24" s="38"/>
      <c r="B24" s="46" t="s">
        <v>7</v>
      </c>
      <c r="C24" s="46" t="s">
        <v>40</v>
      </c>
      <c r="D24" s="46" t="s">
        <v>5</v>
      </c>
      <c r="E24" s="47">
        <f>+B13</f>
        <v>175</v>
      </c>
      <c r="F24" s="44">
        <v>14.3</v>
      </c>
      <c r="G24" s="47">
        <v>165</v>
      </c>
      <c r="H24" s="45">
        <v>10</v>
      </c>
      <c r="I24" s="45">
        <v>24.3</v>
      </c>
      <c r="J24" s="45">
        <v>160.69999999999999</v>
      </c>
      <c r="K24" s="36"/>
      <c r="L24" s="36"/>
      <c r="P24" s="4"/>
      <c r="Q24" s="4"/>
      <c r="R24" s="4"/>
      <c r="S24" s="4"/>
      <c r="T24" s="4"/>
      <c r="U24" s="4"/>
    </row>
    <row r="25" spans="1:21" s="2" customFormat="1" ht="33.75" customHeight="1" x14ac:dyDescent="0.4">
      <c r="A25" s="38"/>
      <c r="B25" s="46" t="s">
        <v>7</v>
      </c>
      <c r="C25" s="46" t="s">
        <v>41</v>
      </c>
      <c r="D25" s="46" t="s">
        <v>4</v>
      </c>
      <c r="E25" s="47">
        <f>+B9</f>
        <v>155</v>
      </c>
      <c r="F25" s="44">
        <v>17.75</v>
      </c>
      <c r="G25" s="47">
        <v>180</v>
      </c>
      <c r="H25" s="45">
        <v>-25</v>
      </c>
      <c r="I25" s="45">
        <v>-7.25</v>
      </c>
      <c r="J25" s="45">
        <v>172</v>
      </c>
      <c r="K25" s="36"/>
      <c r="L25" s="36"/>
    </row>
    <row r="26" spans="1:21" s="2" customFormat="1" ht="33.75" customHeight="1" x14ac:dyDescent="0.4">
      <c r="A26" s="38"/>
      <c r="B26" s="46" t="s">
        <v>7</v>
      </c>
      <c r="C26" s="46" t="s">
        <v>40</v>
      </c>
      <c r="D26" s="46" t="s">
        <v>4</v>
      </c>
      <c r="E26" s="47">
        <f>+B8</f>
        <v>150</v>
      </c>
      <c r="F26" s="44">
        <v>21.5</v>
      </c>
      <c r="G26" s="47">
        <v>165</v>
      </c>
      <c r="H26" s="45">
        <v>-15</v>
      </c>
      <c r="I26" s="45">
        <v>6.5</v>
      </c>
      <c r="J26" s="45">
        <v>171.5</v>
      </c>
      <c r="K26" s="36"/>
      <c r="L26" s="36"/>
      <c r="P26" s="4"/>
      <c r="Q26" s="4"/>
      <c r="R26" s="4"/>
      <c r="S26" s="4"/>
      <c r="T26" s="4"/>
      <c r="U26" s="4"/>
    </row>
    <row r="27" spans="1:21" s="2" customFormat="1" ht="33.75" customHeight="1" x14ac:dyDescent="0.4">
      <c r="A27" s="38"/>
      <c r="B27" s="46" t="s">
        <v>7</v>
      </c>
      <c r="C27" s="46" t="s">
        <v>41</v>
      </c>
      <c r="D27" s="46" t="s">
        <v>8</v>
      </c>
      <c r="E27" s="47">
        <f>+B13</f>
        <v>175</v>
      </c>
      <c r="F27" s="44">
        <v>19.95</v>
      </c>
      <c r="G27" s="47">
        <v>200</v>
      </c>
      <c r="H27" s="45">
        <v>-25</v>
      </c>
      <c r="I27" s="45">
        <v>-5.05</v>
      </c>
      <c r="J27" s="45">
        <v>217</v>
      </c>
      <c r="K27" s="32">
        <v>155.05000000000001</v>
      </c>
      <c r="L27" s="36"/>
    </row>
    <row r="28" spans="1:21" s="2" customFormat="1" ht="33.75" customHeight="1" x14ac:dyDescent="0.4">
      <c r="A28" s="38"/>
      <c r="B28" s="46" t="s">
        <v>3</v>
      </c>
      <c r="C28" s="46" t="s">
        <v>39</v>
      </c>
      <c r="D28" s="46" t="s">
        <v>8</v>
      </c>
      <c r="E28" s="47">
        <f>+B14</f>
        <v>180</v>
      </c>
      <c r="F28" s="44">
        <v>-17.5</v>
      </c>
      <c r="G28" s="47">
        <v>185</v>
      </c>
      <c r="H28" s="45">
        <v>5</v>
      </c>
      <c r="I28" s="45">
        <v>-12.5</v>
      </c>
      <c r="J28" s="45">
        <v>197.5</v>
      </c>
      <c r="K28" s="32">
        <v>162.5</v>
      </c>
      <c r="L28" s="48"/>
      <c r="P28" s="4"/>
      <c r="Q28" s="4"/>
      <c r="R28" s="4"/>
      <c r="S28" s="4"/>
      <c r="T28" s="4"/>
      <c r="U28" s="4"/>
    </row>
    <row r="29" spans="1:21" s="2" customFormat="1" ht="24" customHeight="1" x14ac:dyDescent="0.45">
      <c r="A29" s="38"/>
      <c r="B29" s="6"/>
      <c r="C29" s="6"/>
      <c r="D29" s="7"/>
      <c r="E29" s="7"/>
      <c r="F29" s="7"/>
      <c r="G29" s="7"/>
      <c r="H29" s="7"/>
      <c r="I29" s="12"/>
    </row>
    <row r="30" spans="1:21" s="2" customFormat="1" ht="21" customHeight="1" x14ac:dyDescent="0.5">
      <c r="A30" s="38"/>
      <c r="B30" s="11" t="s">
        <v>45</v>
      </c>
      <c r="C30" s="12"/>
      <c r="D30" s="12"/>
      <c r="E30" s="12"/>
      <c r="F30" s="12"/>
      <c r="G30" s="13"/>
      <c r="H30" s="13"/>
      <c r="I30" s="12"/>
      <c r="J30" s="12"/>
      <c r="K30" s="12"/>
      <c r="P30" s="4"/>
      <c r="Q30" s="4"/>
      <c r="R30" s="4"/>
      <c r="S30" s="4"/>
      <c r="T30" s="4"/>
      <c r="U30" s="4"/>
    </row>
    <row r="31" spans="1:21" s="2" customFormat="1" ht="33.75" customHeight="1" x14ac:dyDescent="0.5">
      <c r="A31" s="38"/>
      <c r="B31" s="16" t="s">
        <v>46</v>
      </c>
      <c r="C31" s="12"/>
      <c r="D31" s="12"/>
      <c r="E31" s="12"/>
      <c r="F31" s="12"/>
      <c r="G31" s="13"/>
      <c r="H31" s="13"/>
      <c r="I31" s="12"/>
      <c r="J31" s="12"/>
      <c r="K31" s="12"/>
      <c r="L31" s="12"/>
      <c r="M31" s="12"/>
      <c r="N31" s="12"/>
      <c r="O31" s="12"/>
    </row>
    <row r="32" spans="1:21" s="2" customFormat="1" ht="134.1" customHeight="1" x14ac:dyDescent="0.45">
      <c r="A32" s="38"/>
      <c r="B32" s="14" t="s">
        <v>0</v>
      </c>
      <c r="C32" s="14" t="s">
        <v>38</v>
      </c>
      <c r="D32" s="14" t="s">
        <v>1</v>
      </c>
      <c r="E32" s="14" t="s">
        <v>9</v>
      </c>
      <c r="F32" s="14" t="s">
        <v>10</v>
      </c>
      <c r="G32" s="14" t="s">
        <v>90</v>
      </c>
      <c r="H32" s="14" t="s">
        <v>20</v>
      </c>
      <c r="I32" s="15" t="s">
        <v>48</v>
      </c>
      <c r="J32" s="15" t="s">
        <v>49</v>
      </c>
      <c r="K32" s="12"/>
      <c r="L32" s="12"/>
      <c r="M32" s="12"/>
      <c r="N32" s="12"/>
      <c r="O32" s="12"/>
      <c r="P32" s="4"/>
      <c r="Q32" s="4"/>
      <c r="R32" s="4"/>
      <c r="S32" s="4"/>
      <c r="T32" s="4"/>
      <c r="U32" s="4"/>
    </row>
    <row r="33" spans="1:23" s="2" customFormat="1" ht="33.75" customHeight="1" x14ac:dyDescent="0.45">
      <c r="A33" s="38"/>
      <c r="B33" s="46" t="s">
        <v>3</v>
      </c>
      <c r="C33" s="46" t="s">
        <v>39</v>
      </c>
      <c r="D33" s="61" t="s">
        <v>11</v>
      </c>
      <c r="E33" s="62">
        <v>150</v>
      </c>
      <c r="F33" s="62">
        <v>160</v>
      </c>
      <c r="G33" s="44">
        <v>-7.5</v>
      </c>
      <c r="H33" s="46">
        <v>170</v>
      </c>
      <c r="I33" s="33">
        <v>-10</v>
      </c>
      <c r="J33" s="33">
        <v>-17.5</v>
      </c>
      <c r="K33" s="12"/>
      <c r="L33" s="12"/>
      <c r="M33" s="12"/>
      <c r="N33" s="12"/>
      <c r="O33" s="12"/>
      <c r="P33" s="12"/>
      <c r="Q33" s="12"/>
      <c r="R33" s="12"/>
      <c r="S33" s="12"/>
      <c r="T33" s="12"/>
      <c r="U33" s="12"/>
      <c r="V33" s="12"/>
      <c r="W33" s="12"/>
    </row>
    <row r="34" spans="1:23" s="2" customFormat="1" ht="33.75" customHeight="1" x14ac:dyDescent="0.45">
      <c r="A34" s="38"/>
      <c r="B34" s="46" t="s">
        <v>3</v>
      </c>
      <c r="C34" s="46" t="s">
        <v>40</v>
      </c>
      <c r="D34" s="61" t="s">
        <v>12</v>
      </c>
      <c r="E34" s="62">
        <v>160</v>
      </c>
      <c r="F34" s="62">
        <v>165</v>
      </c>
      <c r="G34" s="44">
        <v>2</v>
      </c>
      <c r="H34" s="46">
        <v>162</v>
      </c>
      <c r="I34" s="33">
        <v>3</v>
      </c>
      <c r="J34" s="33">
        <v>5</v>
      </c>
      <c r="K34" s="12"/>
      <c r="L34" s="12"/>
      <c r="M34" s="12"/>
      <c r="N34" s="12"/>
      <c r="O34" s="12"/>
      <c r="P34" s="12"/>
      <c r="Q34" s="12"/>
      <c r="R34" s="12"/>
      <c r="S34" s="12"/>
      <c r="T34" s="12"/>
      <c r="U34" s="12"/>
      <c r="V34" s="12"/>
      <c r="W34" s="12"/>
    </row>
    <row r="35" spans="1:23" s="2" customFormat="1" ht="33.75" customHeight="1" x14ac:dyDescent="0.45">
      <c r="A35" s="38"/>
      <c r="B35" s="46" t="s">
        <v>3</v>
      </c>
      <c r="C35" s="46" t="s">
        <v>41</v>
      </c>
      <c r="D35" s="61" t="s">
        <v>43</v>
      </c>
      <c r="E35" s="62">
        <v>170</v>
      </c>
      <c r="F35" s="62">
        <v>180</v>
      </c>
      <c r="G35" s="44">
        <v>-5.3</v>
      </c>
      <c r="H35" s="46">
        <v>150</v>
      </c>
      <c r="I35" s="33">
        <v>20</v>
      </c>
      <c r="J35" s="33">
        <v>14.7</v>
      </c>
      <c r="K35" s="12"/>
      <c r="L35" s="12"/>
      <c r="M35" s="12"/>
      <c r="N35" s="12"/>
      <c r="O35" s="12"/>
      <c r="P35" s="12"/>
      <c r="Q35" s="12"/>
      <c r="R35" s="12"/>
      <c r="S35" s="12"/>
      <c r="T35" s="12"/>
      <c r="U35" s="12"/>
      <c r="V35" s="12"/>
      <c r="W35" s="12"/>
    </row>
    <row r="36" spans="1:23" s="2" customFormat="1" ht="33.75" customHeight="1" x14ac:dyDescent="0.45">
      <c r="A36" s="38"/>
      <c r="B36" s="46" t="s">
        <v>3</v>
      </c>
      <c r="C36" s="46" t="s">
        <v>40</v>
      </c>
      <c r="D36" s="61" t="s">
        <v>22</v>
      </c>
      <c r="E36" s="62">
        <v>160</v>
      </c>
      <c r="F36" s="62">
        <v>180</v>
      </c>
      <c r="G36" s="44">
        <v>9.4499999999999993</v>
      </c>
      <c r="H36" s="46">
        <v>170</v>
      </c>
      <c r="I36" s="33"/>
      <c r="J36" s="33"/>
      <c r="K36" s="12"/>
      <c r="L36" s="12"/>
      <c r="M36" s="12"/>
      <c r="N36" s="12"/>
      <c r="O36" s="12"/>
      <c r="P36" s="12"/>
      <c r="Q36" s="12"/>
      <c r="R36" s="12"/>
      <c r="S36" s="12"/>
      <c r="T36" s="12"/>
      <c r="U36" s="12"/>
      <c r="V36" s="12"/>
      <c r="W36" s="12"/>
    </row>
    <row r="37" spans="1:23" s="2" customFormat="1" ht="33.75" customHeight="1" x14ac:dyDescent="0.45">
      <c r="A37" s="38"/>
      <c r="B37" s="46" t="s">
        <v>3</v>
      </c>
      <c r="C37" s="46" t="s">
        <v>39</v>
      </c>
      <c r="D37" s="63" t="s">
        <v>44</v>
      </c>
      <c r="E37" s="62">
        <v>150</v>
      </c>
      <c r="F37" s="62">
        <v>180</v>
      </c>
      <c r="G37" s="44">
        <v>-6.3</v>
      </c>
      <c r="H37" s="46">
        <v>165</v>
      </c>
      <c r="I37" s="33">
        <v>15</v>
      </c>
      <c r="J37" s="33">
        <v>8.6999999999999993</v>
      </c>
      <c r="K37" s="12"/>
      <c r="L37" s="12"/>
      <c r="M37" s="12"/>
      <c r="N37" s="12"/>
      <c r="O37" s="12"/>
      <c r="P37" s="12"/>
      <c r="Q37" s="12"/>
      <c r="R37" s="12"/>
      <c r="S37" s="12"/>
      <c r="T37" s="12"/>
      <c r="U37" s="12"/>
      <c r="V37" s="12"/>
      <c r="W37" s="12"/>
    </row>
    <row r="38" spans="1:23" s="2" customFormat="1" ht="33.6" customHeight="1" x14ac:dyDescent="0.45">
      <c r="A38" s="38"/>
      <c r="B38" s="46" t="s">
        <v>7</v>
      </c>
      <c r="C38" s="46" t="s">
        <v>41</v>
      </c>
      <c r="D38" s="63" t="s">
        <v>44</v>
      </c>
      <c r="E38" s="62">
        <v>170</v>
      </c>
      <c r="F38" s="62">
        <v>180</v>
      </c>
      <c r="G38" s="44">
        <v>1.45</v>
      </c>
      <c r="H38" s="46">
        <v>200</v>
      </c>
      <c r="I38" s="33">
        <v>0</v>
      </c>
      <c r="J38" s="33">
        <v>1.45</v>
      </c>
      <c r="K38" s="12"/>
      <c r="L38" s="12"/>
      <c r="M38" s="12"/>
      <c r="N38" s="12"/>
      <c r="O38" s="12"/>
      <c r="P38" s="12"/>
      <c r="Q38" s="12"/>
      <c r="R38" s="12"/>
      <c r="S38" s="12"/>
      <c r="T38" s="12"/>
      <c r="U38" s="12"/>
      <c r="V38" s="12"/>
      <c r="W38" s="12"/>
    </row>
    <row r="39" spans="1:23" s="2" customFormat="1" ht="15.6" customHeight="1" x14ac:dyDescent="0.45">
      <c r="A39" s="38"/>
      <c r="D39" s="8"/>
      <c r="E39" s="8"/>
      <c r="F39" s="8"/>
      <c r="G39" s="9"/>
      <c r="H39" s="9"/>
      <c r="J39" s="12"/>
      <c r="K39" s="12"/>
      <c r="L39" s="12"/>
      <c r="M39" s="12"/>
      <c r="N39" s="12"/>
      <c r="O39" s="12"/>
      <c r="P39" s="12"/>
      <c r="Q39" s="12"/>
      <c r="R39" s="12"/>
      <c r="S39" s="12"/>
      <c r="T39" s="12"/>
      <c r="U39" s="12"/>
      <c r="V39" s="12"/>
      <c r="W39" s="12"/>
    </row>
    <row r="40" spans="1:23" ht="33.75" customHeight="1" x14ac:dyDescent="0.5">
      <c r="B40" s="202" t="s">
        <v>55</v>
      </c>
      <c r="C40" s="203"/>
      <c r="D40" s="203"/>
      <c r="E40" s="203"/>
      <c r="F40" s="203"/>
      <c r="G40" s="203"/>
      <c r="H40" s="203"/>
      <c r="I40" s="203"/>
      <c r="J40" s="203"/>
      <c r="K40" s="204"/>
      <c r="L40" s="204"/>
      <c r="M40" s="4"/>
      <c r="N40" s="4"/>
      <c r="O40" s="4"/>
      <c r="P40" s="4"/>
      <c r="Q40" s="4"/>
      <c r="R40" s="4"/>
      <c r="S40" s="4"/>
      <c r="T40" s="4"/>
      <c r="U40" s="4"/>
    </row>
    <row r="41" spans="1:23" s="2" customFormat="1" ht="17.7" customHeight="1" thickBot="1" x14ac:dyDescent="0.45">
      <c r="A41" s="38"/>
      <c r="G41" s="5"/>
      <c r="H41" s="5"/>
    </row>
    <row r="42" spans="1:23" s="2" customFormat="1" ht="33.75" customHeight="1" x14ac:dyDescent="0.5">
      <c r="A42" s="38"/>
      <c r="B42" s="17" t="s">
        <v>21</v>
      </c>
      <c r="C42" s="22" t="s">
        <v>13</v>
      </c>
      <c r="D42" s="23"/>
      <c r="E42" s="24"/>
      <c r="F42" s="22" t="s">
        <v>14</v>
      </c>
      <c r="G42" s="23"/>
      <c r="H42" s="24"/>
    </row>
    <row r="43" spans="1:23" s="2" customFormat="1" ht="33.75" customHeight="1" x14ac:dyDescent="0.5">
      <c r="A43" s="38"/>
      <c r="B43" s="18" t="s">
        <v>15</v>
      </c>
      <c r="C43" s="19">
        <v>43556</v>
      </c>
      <c r="D43" s="20">
        <v>43586</v>
      </c>
      <c r="E43" s="21">
        <v>43617</v>
      </c>
      <c r="F43" s="19">
        <f>+C43</f>
        <v>43556</v>
      </c>
      <c r="G43" s="20">
        <f>+D43</f>
        <v>43586</v>
      </c>
      <c r="H43" s="21">
        <f>+E43</f>
        <v>43617</v>
      </c>
    </row>
    <row r="44" spans="1:23" s="2" customFormat="1" ht="33.75" customHeight="1" x14ac:dyDescent="0.45">
      <c r="A44" s="38"/>
      <c r="B44" s="85">
        <v>125</v>
      </c>
      <c r="C44" s="86">
        <v>12.65</v>
      </c>
      <c r="D44" s="87">
        <v>12.8</v>
      </c>
      <c r="E44" s="88">
        <v>13.4</v>
      </c>
      <c r="F44" s="86">
        <v>5.3</v>
      </c>
      <c r="G44" s="87">
        <v>6</v>
      </c>
      <c r="H44" s="88">
        <v>6.8</v>
      </c>
    </row>
    <row r="45" spans="1:23" s="2" customFormat="1" ht="33.75" customHeight="1" x14ac:dyDescent="0.45">
      <c r="A45" s="38"/>
      <c r="B45" s="85">
        <v>130</v>
      </c>
      <c r="C45" s="86">
        <v>8.1</v>
      </c>
      <c r="D45" s="87">
        <v>9</v>
      </c>
      <c r="E45" s="88">
        <v>10.65</v>
      </c>
      <c r="F45" s="86">
        <v>7</v>
      </c>
      <c r="G45" s="87">
        <v>8</v>
      </c>
      <c r="H45" s="88">
        <v>9</v>
      </c>
    </row>
    <row r="46" spans="1:23" s="2" customFormat="1" ht="33.75" customHeight="1" x14ac:dyDescent="0.45">
      <c r="A46" s="38"/>
      <c r="B46" s="85">
        <v>135</v>
      </c>
      <c r="C46" s="86">
        <v>5.2</v>
      </c>
      <c r="D46" s="87">
        <v>6.3</v>
      </c>
      <c r="E46" s="88">
        <v>8.5</v>
      </c>
      <c r="F46" s="86">
        <v>9.4</v>
      </c>
      <c r="G46" s="87">
        <v>10.75</v>
      </c>
      <c r="H46" s="88">
        <v>12.45</v>
      </c>
    </row>
    <row r="47" spans="1:23" s="2" customFormat="1" ht="33.75" customHeight="1" thickBot="1" x14ac:dyDescent="0.5">
      <c r="A47" s="38"/>
      <c r="B47" s="85">
        <v>140</v>
      </c>
      <c r="C47" s="89">
        <v>3.25</v>
      </c>
      <c r="D47" s="90">
        <v>4.25</v>
      </c>
      <c r="E47" s="91">
        <v>5.75</v>
      </c>
      <c r="F47" s="89">
        <v>13</v>
      </c>
      <c r="G47" s="90">
        <v>14.3</v>
      </c>
      <c r="H47" s="91">
        <v>16.2</v>
      </c>
    </row>
    <row r="48" spans="1:23" s="2" customFormat="1" ht="33.75" customHeight="1" x14ac:dyDescent="0.45">
      <c r="A48" s="38"/>
      <c r="B48" s="31" t="s">
        <v>89</v>
      </c>
      <c r="C48" s="12"/>
      <c r="D48" s="12"/>
      <c r="E48" s="12"/>
      <c r="F48" s="12"/>
      <c r="G48" s="13"/>
      <c r="H48" s="13"/>
      <c r="I48" s="12"/>
      <c r="J48" s="12"/>
      <c r="K48" s="12"/>
      <c r="L48" s="12"/>
      <c r="M48" s="12"/>
    </row>
    <row r="49" spans="1:21" s="2" customFormat="1" ht="33.75" customHeight="1" x14ac:dyDescent="0.5">
      <c r="A49" s="38"/>
      <c r="B49" s="11" t="s">
        <v>56</v>
      </c>
      <c r="C49" s="12"/>
      <c r="D49" s="12"/>
      <c r="E49" s="12"/>
      <c r="F49" s="12"/>
      <c r="G49" s="13"/>
      <c r="H49" s="12"/>
      <c r="I49" s="12"/>
      <c r="J49" s="12"/>
      <c r="K49" s="12"/>
      <c r="L49" s="12"/>
      <c r="M49" s="12"/>
      <c r="N49" s="12"/>
      <c r="O49" s="12"/>
      <c r="P49" s="12"/>
      <c r="Q49" s="12"/>
      <c r="R49" s="12"/>
      <c r="S49" s="12"/>
    </row>
    <row r="50" spans="1:21" s="2" customFormat="1" ht="75.75" customHeight="1" x14ac:dyDescent="0.55000000000000004">
      <c r="A50" s="38"/>
      <c r="B50" s="214" t="s">
        <v>62</v>
      </c>
      <c r="C50" s="215"/>
      <c r="D50" s="215"/>
      <c r="E50" s="215"/>
      <c r="F50" s="215"/>
      <c r="G50" s="215"/>
      <c r="H50" s="215"/>
      <c r="I50" s="215"/>
      <c r="J50" s="215"/>
      <c r="K50" s="215"/>
      <c r="L50" s="10"/>
      <c r="M50" s="10"/>
      <c r="N50" s="10"/>
      <c r="O50" s="10"/>
      <c r="P50" s="10"/>
      <c r="Q50" s="10"/>
      <c r="R50" s="10"/>
      <c r="S50" s="10"/>
    </row>
    <row r="51" spans="1:21" s="2" customFormat="1" ht="19.7" customHeight="1" thickBot="1" x14ac:dyDescent="0.55000000000000004">
      <c r="A51" s="38"/>
      <c r="B51" s="12" t="s">
        <v>18</v>
      </c>
      <c r="C51" s="12"/>
      <c r="D51" s="12"/>
      <c r="E51" s="12"/>
      <c r="F51" s="12"/>
      <c r="G51" s="13"/>
      <c r="H51" s="11"/>
      <c r="I51" s="25"/>
      <c r="J51" s="26"/>
      <c r="K51" s="26"/>
      <c r="L51" s="27"/>
      <c r="M51" s="12"/>
      <c r="N51" s="12"/>
      <c r="O51" s="12"/>
      <c r="P51" s="12"/>
      <c r="Q51" s="12"/>
      <c r="R51" s="12"/>
      <c r="S51" s="12"/>
      <c r="T51" s="12"/>
      <c r="U51" s="12"/>
    </row>
    <row r="52" spans="1:21" s="2" customFormat="1" ht="24.95" customHeight="1" thickBot="1" x14ac:dyDescent="0.55000000000000004">
      <c r="A52" s="38"/>
      <c r="B52" s="211" t="s">
        <v>112</v>
      </c>
      <c r="C52" s="212"/>
      <c r="D52" s="213"/>
      <c r="E52" s="12" t="s">
        <v>113</v>
      </c>
      <c r="F52" s="12"/>
      <c r="G52" s="13">
        <v>20.95</v>
      </c>
      <c r="H52" s="11"/>
      <c r="I52" s="25"/>
      <c r="J52" s="26"/>
      <c r="K52" s="26"/>
      <c r="L52" s="27"/>
      <c r="M52" s="12"/>
      <c r="N52" s="12"/>
      <c r="O52" s="12"/>
      <c r="P52" s="12"/>
      <c r="Q52" s="12"/>
      <c r="R52" s="12"/>
      <c r="S52" s="12"/>
      <c r="T52" s="12"/>
      <c r="U52" s="12"/>
    </row>
    <row r="53" spans="1:21" s="2" customFormat="1" ht="7.7" customHeight="1" x14ac:dyDescent="0.5">
      <c r="A53" s="38"/>
      <c r="B53" s="12"/>
      <c r="C53" s="12"/>
      <c r="D53" s="12"/>
      <c r="E53" s="12"/>
      <c r="F53" s="12"/>
      <c r="G53" s="13"/>
      <c r="H53" s="11"/>
      <c r="I53" s="25"/>
      <c r="J53" s="26"/>
      <c r="K53" s="26"/>
      <c r="L53" s="27"/>
      <c r="M53" s="12"/>
      <c r="N53" s="12"/>
      <c r="O53" s="12"/>
      <c r="P53" s="12"/>
      <c r="Q53" s="12"/>
      <c r="R53" s="12"/>
      <c r="S53" s="12"/>
      <c r="T53" s="12"/>
      <c r="U53" s="12"/>
    </row>
    <row r="54" spans="1:21" s="2" customFormat="1" ht="41.1" customHeight="1" x14ac:dyDescent="0.55000000000000004">
      <c r="A54" s="38"/>
      <c r="B54" s="214" t="s">
        <v>61</v>
      </c>
      <c r="C54" s="215"/>
      <c r="D54" s="215"/>
      <c r="E54" s="215"/>
      <c r="F54" s="215"/>
      <c r="G54" s="215"/>
      <c r="H54" s="215"/>
      <c r="I54" s="215"/>
      <c r="J54" s="215"/>
      <c r="K54" s="215"/>
      <c r="L54" s="10"/>
      <c r="M54" s="10"/>
      <c r="N54" s="12"/>
      <c r="O54" s="12"/>
      <c r="P54" s="12"/>
      <c r="Q54" s="12"/>
      <c r="R54" s="12"/>
      <c r="S54" s="12"/>
      <c r="T54" s="12"/>
      <c r="U54" s="12"/>
    </row>
    <row r="55" spans="1:21" s="2" customFormat="1" ht="19.7" customHeight="1" thickBot="1" x14ac:dyDescent="0.55000000000000004">
      <c r="A55" s="38"/>
      <c r="B55" s="12" t="s">
        <v>114</v>
      </c>
      <c r="C55" s="12">
        <f>165-135</f>
        <v>30</v>
      </c>
      <c r="D55" s="12"/>
      <c r="E55" s="12"/>
      <c r="F55" s="12"/>
      <c r="G55" s="13"/>
      <c r="H55" s="11"/>
      <c r="I55" s="25"/>
      <c r="J55" s="26"/>
      <c r="K55" s="26"/>
      <c r="L55" s="27"/>
      <c r="M55" s="12"/>
      <c r="N55" s="12"/>
      <c r="O55" s="12"/>
      <c r="P55" s="12"/>
      <c r="Q55" s="12"/>
      <c r="R55" s="12"/>
      <c r="S55" s="12"/>
      <c r="T55" s="12"/>
      <c r="U55" s="12"/>
    </row>
    <row r="56" spans="1:21" s="2" customFormat="1" ht="19.7" customHeight="1" x14ac:dyDescent="0.5">
      <c r="A56" s="38"/>
      <c r="B56" s="65" t="s">
        <v>58</v>
      </c>
      <c r="C56" s="67">
        <f>165-135-20.95</f>
        <v>9.0500000000000007</v>
      </c>
      <c r="D56" s="12"/>
      <c r="E56" s="12"/>
      <c r="F56" s="12"/>
      <c r="G56" s="13"/>
      <c r="H56" s="11"/>
      <c r="I56" s="25"/>
      <c r="J56" s="26"/>
      <c r="K56" s="26"/>
      <c r="L56" s="27"/>
      <c r="M56" s="12"/>
      <c r="N56" s="12"/>
      <c r="O56" s="12"/>
      <c r="P56" s="12"/>
      <c r="Q56" s="12"/>
      <c r="R56" s="12"/>
      <c r="S56" s="12"/>
      <c r="T56" s="12"/>
      <c r="U56" s="12"/>
    </row>
    <row r="57" spans="1:21" s="2" customFormat="1" ht="19.7" customHeight="1" thickBot="1" x14ac:dyDescent="0.5">
      <c r="A57" s="38"/>
      <c r="B57" s="66" t="s">
        <v>59</v>
      </c>
      <c r="C57" s="200">
        <f>C56/G52</f>
        <v>0.43198090692124108</v>
      </c>
      <c r="D57" s="12"/>
      <c r="E57" s="12"/>
      <c r="F57" s="12"/>
      <c r="G57" s="12"/>
      <c r="H57" s="12"/>
      <c r="I57" s="12"/>
      <c r="J57" s="12"/>
      <c r="K57" s="12"/>
      <c r="L57" s="27"/>
      <c r="M57" s="12"/>
      <c r="N57" s="12"/>
      <c r="O57" s="12"/>
      <c r="P57" s="12"/>
      <c r="Q57" s="12"/>
      <c r="R57" s="12"/>
      <c r="S57" s="12"/>
      <c r="T57" s="12"/>
      <c r="U57" s="12"/>
    </row>
    <row r="58" spans="1:21" s="2" customFormat="1" ht="19.7" customHeight="1" x14ac:dyDescent="0.45">
      <c r="A58" s="38"/>
      <c r="B58" s="12"/>
      <c r="C58" s="12"/>
      <c r="D58" s="12"/>
      <c r="E58" s="12"/>
      <c r="F58" s="12"/>
      <c r="G58" s="12"/>
      <c r="H58" s="12"/>
      <c r="I58" s="12"/>
      <c r="J58" s="12"/>
      <c r="K58" s="12"/>
      <c r="L58" s="27"/>
      <c r="M58" s="12"/>
      <c r="N58" s="12"/>
      <c r="O58" s="12"/>
      <c r="P58" s="12"/>
      <c r="Q58" s="12"/>
      <c r="R58" s="12"/>
      <c r="S58" s="12"/>
      <c r="T58" s="12"/>
      <c r="U58" s="12"/>
    </row>
    <row r="59" spans="1:21" s="2" customFormat="1" ht="37.5" customHeight="1" x14ac:dyDescent="0.55000000000000004">
      <c r="A59" s="38"/>
      <c r="B59" s="214" t="s">
        <v>60</v>
      </c>
      <c r="C59" s="215"/>
      <c r="D59" s="215"/>
      <c r="E59" s="215"/>
      <c r="F59" s="215"/>
      <c r="G59" s="215"/>
      <c r="H59" s="215"/>
      <c r="I59" s="215"/>
      <c r="J59" s="215"/>
      <c r="K59" s="215"/>
      <c r="L59" s="10"/>
      <c r="M59" s="10"/>
      <c r="N59" s="12"/>
      <c r="O59" s="12"/>
      <c r="P59" s="12"/>
      <c r="Q59" s="12"/>
      <c r="R59" s="12"/>
      <c r="S59" s="12"/>
      <c r="T59" s="12"/>
      <c r="U59" s="12"/>
    </row>
    <row r="60" spans="1:21" s="2" customFormat="1" ht="19.7" customHeight="1" thickBot="1" x14ac:dyDescent="0.5">
      <c r="A60" s="38"/>
      <c r="B60" s="2" t="s">
        <v>115</v>
      </c>
      <c r="C60" s="2">
        <f>135-125</f>
        <v>10</v>
      </c>
      <c r="D60" s="12"/>
      <c r="E60" s="12"/>
      <c r="F60" s="12"/>
      <c r="G60" s="12"/>
      <c r="H60" s="12"/>
      <c r="I60" s="12"/>
      <c r="J60" s="12"/>
      <c r="K60" s="12"/>
      <c r="L60" s="27"/>
      <c r="M60" s="12"/>
      <c r="N60" s="12"/>
      <c r="O60" s="12"/>
      <c r="P60" s="12"/>
      <c r="Q60" s="12"/>
      <c r="R60" s="12"/>
      <c r="S60" s="12"/>
      <c r="T60" s="12"/>
      <c r="U60" s="12"/>
    </row>
    <row r="61" spans="1:21" s="2" customFormat="1" ht="19.7" customHeight="1" x14ac:dyDescent="0.45">
      <c r="A61" s="38"/>
      <c r="B61" s="65" t="s">
        <v>58</v>
      </c>
      <c r="C61" s="67">
        <f>C60-G52</f>
        <v>-10.95</v>
      </c>
      <c r="D61" s="12"/>
      <c r="E61" s="12"/>
      <c r="F61" s="12"/>
      <c r="G61" s="12"/>
      <c r="H61" s="12"/>
      <c r="I61" s="12"/>
      <c r="J61" s="12"/>
      <c r="K61" s="12"/>
      <c r="L61" s="27"/>
      <c r="M61" s="12"/>
      <c r="N61" s="12"/>
      <c r="O61" s="12"/>
      <c r="P61" s="12"/>
      <c r="Q61" s="12"/>
      <c r="R61" s="12"/>
      <c r="S61" s="12"/>
      <c r="T61" s="12"/>
      <c r="U61" s="12"/>
    </row>
    <row r="62" spans="1:21" s="2" customFormat="1" ht="19.7" customHeight="1" thickBot="1" x14ac:dyDescent="0.5">
      <c r="A62" s="38"/>
      <c r="B62" s="66" t="s">
        <v>59</v>
      </c>
      <c r="C62" s="64">
        <f>0</f>
        <v>0</v>
      </c>
      <c r="D62" s="12"/>
      <c r="E62" s="12"/>
      <c r="F62" s="12"/>
      <c r="G62" s="12"/>
      <c r="H62" s="12"/>
      <c r="I62" s="12"/>
      <c r="J62" s="12"/>
      <c r="K62" s="12"/>
      <c r="L62" s="27"/>
      <c r="M62" s="12"/>
      <c r="N62" s="12"/>
      <c r="O62" s="12"/>
      <c r="P62" s="12"/>
      <c r="Q62" s="12"/>
      <c r="R62" s="12"/>
      <c r="S62" s="12"/>
      <c r="T62" s="12"/>
      <c r="U62" s="12"/>
    </row>
    <row r="63" spans="1:21" s="2" customFormat="1" ht="26.45" customHeight="1" x14ac:dyDescent="0.45">
      <c r="A63" s="38"/>
      <c r="B63" s="12"/>
      <c r="C63" s="12"/>
      <c r="D63" s="12"/>
      <c r="E63" s="12"/>
      <c r="F63" s="12"/>
      <c r="G63" s="12"/>
      <c r="H63" s="12"/>
      <c r="I63" s="12"/>
      <c r="J63" s="12"/>
      <c r="K63" s="12"/>
      <c r="L63" s="27"/>
      <c r="M63" s="12"/>
      <c r="N63" s="12"/>
      <c r="O63" s="12"/>
      <c r="P63" s="12"/>
      <c r="Q63" s="12"/>
      <c r="R63" s="12"/>
      <c r="S63" s="12"/>
      <c r="T63" s="12"/>
      <c r="U63" s="12"/>
    </row>
    <row r="64" spans="1:21" ht="33.75" customHeight="1" x14ac:dyDescent="0.5">
      <c r="B64" s="202" t="s">
        <v>78</v>
      </c>
      <c r="C64" s="203"/>
      <c r="D64" s="203"/>
      <c r="E64" s="203"/>
      <c r="F64" s="203"/>
      <c r="G64" s="203"/>
      <c r="H64" s="203"/>
      <c r="I64" s="203"/>
      <c r="J64" s="203"/>
      <c r="K64" s="204"/>
      <c r="L64" s="204"/>
      <c r="M64" s="4"/>
      <c r="N64" s="4"/>
      <c r="O64" s="4"/>
      <c r="P64" s="4"/>
      <c r="Q64" s="4"/>
      <c r="R64" s="4"/>
      <c r="S64" s="4"/>
      <c r="T64" s="4"/>
      <c r="U64" s="4"/>
    </row>
    <row r="65" spans="2:21" ht="22.5" customHeight="1" x14ac:dyDescent="0.55000000000000004">
      <c r="B65" s="11" t="s">
        <v>16</v>
      </c>
      <c r="C65" s="28"/>
      <c r="D65" s="28"/>
      <c r="E65" s="28"/>
      <c r="F65" s="28"/>
      <c r="G65" s="29"/>
      <c r="H65" s="29"/>
      <c r="I65" s="28"/>
      <c r="J65" s="28"/>
      <c r="K65" s="12"/>
      <c r="L65" s="12"/>
      <c r="M65" s="12"/>
      <c r="N65" s="12"/>
      <c r="O65" s="12"/>
      <c r="P65" s="12"/>
      <c r="Q65" s="12"/>
      <c r="R65" s="12"/>
      <c r="S65" s="12"/>
      <c r="T65" s="12"/>
      <c r="U65" s="12"/>
    </row>
    <row r="66" spans="2:21" ht="54" customHeight="1" x14ac:dyDescent="0.55000000000000004">
      <c r="B66" s="214" t="s">
        <v>83</v>
      </c>
      <c r="C66" s="218"/>
      <c r="D66" s="218"/>
      <c r="E66" s="218"/>
      <c r="F66" s="218"/>
      <c r="G66" s="218"/>
      <c r="H66" s="218"/>
      <c r="I66" s="218"/>
      <c r="J66" s="218"/>
      <c r="K66" s="215"/>
      <c r="L66" s="10"/>
      <c r="M66" s="10"/>
      <c r="N66" s="12"/>
      <c r="O66" s="12"/>
      <c r="P66" s="12"/>
      <c r="Q66" s="12"/>
      <c r="R66" s="12"/>
      <c r="S66" s="10"/>
      <c r="T66" s="10"/>
      <c r="U66" s="10"/>
    </row>
    <row r="67" spans="2:21" ht="22.5" customHeight="1" x14ac:dyDescent="0.55000000000000004">
      <c r="B67" s="11"/>
      <c r="C67" s="28"/>
      <c r="D67" s="28"/>
      <c r="E67" s="28"/>
      <c r="F67" s="28"/>
      <c r="G67" s="29"/>
      <c r="H67" s="29"/>
      <c r="I67" s="28"/>
      <c r="J67" s="28"/>
      <c r="K67" s="12"/>
      <c r="L67" s="12"/>
      <c r="M67" s="12"/>
      <c r="N67" s="12"/>
      <c r="O67" s="12"/>
      <c r="P67" s="12"/>
      <c r="Q67" s="12"/>
      <c r="R67" s="12"/>
      <c r="S67" s="12"/>
      <c r="T67" s="12"/>
      <c r="U67" s="12"/>
    </row>
    <row r="68" spans="2:21" ht="22.5" customHeight="1" x14ac:dyDescent="0.5">
      <c r="B68" s="216" t="s">
        <v>79</v>
      </c>
      <c r="C68" s="217"/>
      <c r="D68" s="217"/>
      <c r="E68" s="217"/>
      <c r="F68" s="217"/>
      <c r="G68" s="217"/>
      <c r="H68" s="217"/>
      <c r="I68" s="217"/>
      <c r="J68" s="217"/>
      <c r="K68" s="12"/>
      <c r="L68" s="12"/>
      <c r="M68" s="12"/>
      <c r="N68" s="12"/>
      <c r="O68" s="12"/>
      <c r="P68" s="12"/>
      <c r="Q68" s="12"/>
      <c r="R68" s="12"/>
      <c r="S68" s="12"/>
      <c r="T68" s="12"/>
      <c r="U68" s="12"/>
    </row>
    <row r="69" spans="2:21" ht="22.5" customHeight="1" x14ac:dyDescent="0.5">
      <c r="B69" s="35"/>
      <c r="C69" s="35"/>
      <c r="D69" s="35"/>
      <c r="E69" s="34"/>
      <c r="F69" s="34"/>
      <c r="G69" s="80"/>
      <c r="H69" s="80"/>
      <c r="I69" s="34"/>
      <c r="J69" s="34"/>
      <c r="K69" s="12"/>
      <c r="L69" s="12"/>
      <c r="M69" s="12"/>
      <c r="N69" s="12"/>
      <c r="O69" s="12"/>
      <c r="P69" s="12"/>
      <c r="Q69" s="12"/>
      <c r="R69" s="12"/>
      <c r="S69" s="12"/>
      <c r="T69" s="12"/>
      <c r="U69" s="12"/>
    </row>
    <row r="70" spans="2:21" ht="20.45" customHeight="1" x14ac:dyDescent="0.5">
      <c r="B70" s="35"/>
      <c r="C70" s="68"/>
      <c r="D70" s="68"/>
      <c r="E70" s="70" t="s">
        <v>23</v>
      </c>
      <c r="F70" s="34"/>
      <c r="G70" s="70" t="s">
        <v>24</v>
      </c>
      <c r="H70" s="70"/>
      <c r="I70" s="70" t="s">
        <v>25</v>
      </c>
      <c r="J70" s="34"/>
      <c r="K70" s="12"/>
      <c r="L70" s="12"/>
      <c r="M70" s="12"/>
      <c r="N70" s="12"/>
      <c r="O70" s="12"/>
      <c r="P70" s="12"/>
      <c r="Q70" s="12"/>
      <c r="R70" s="12"/>
      <c r="S70" s="12"/>
      <c r="T70" s="12"/>
      <c r="U70" s="12"/>
    </row>
    <row r="71" spans="2:21" ht="20.45" customHeight="1" thickBot="1" x14ac:dyDescent="0.55000000000000004">
      <c r="B71" s="35"/>
      <c r="C71" s="68"/>
      <c r="D71" s="70" t="s">
        <v>65</v>
      </c>
      <c r="E71" s="34"/>
      <c r="F71" s="34"/>
      <c r="G71" s="80"/>
      <c r="H71" s="80"/>
      <c r="I71" s="34"/>
      <c r="J71" s="34"/>
      <c r="K71" s="12"/>
      <c r="L71" s="12"/>
      <c r="M71" s="12"/>
      <c r="N71" s="12"/>
      <c r="O71" s="12"/>
      <c r="P71" s="12"/>
      <c r="Q71" s="12"/>
      <c r="R71" s="12"/>
      <c r="S71" s="12"/>
      <c r="T71" s="12"/>
      <c r="U71" s="12"/>
    </row>
    <row r="72" spans="2:21" ht="20.45" customHeight="1" thickBot="1" x14ac:dyDescent="0.55000000000000004">
      <c r="B72" s="35"/>
      <c r="C72" s="68"/>
      <c r="D72" s="75">
        <f>C74*1.25</f>
        <v>56.25</v>
      </c>
      <c r="E72" s="34"/>
      <c r="F72" s="75">
        <f>D72-49.5</f>
        <v>6.75</v>
      </c>
      <c r="G72" s="80"/>
      <c r="H72" s="80"/>
      <c r="I72" s="34"/>
      <c r="J72" s="34"/>
      <c r="K72" s="12"/>
      <c r="L72" s="12"/>
      <c r="M72" s="12"/>
      <c r="N72" s="12"/>
      <c r="O72" s="12"/>
      <c r="P72" s="12"/>
      <c r="Q72" s="12"/>
      <c r="R72" s="12"/>
      <c r="S72" s="12"/>
      <c r="T72" s="12"/>
      <c r="U72" s="12"/>
    </row>
    <row r="73" spans="2:21" ht="20.45" customHeight="1" thickBot="1" x14ac:dyDescent="0.55000000000000004">
      <c r="B73" s="35"/>
      <c r="C73" s="70" t="s">
        <v>66</v>
      </c>
      <c r="D73" s="68"/>
      <c r="E73" s="34"/>
      <c r="F73" s="34"/>
      <c r="G73" s="80"/>
      <c r="H73" s="80"/>
      <c r="I73" s="34"/>
      <c r="J73" s="34"/>
      <c r="K73" s="12"/>
      <c r="L73" s="12"/>
      <c r="M73" s="12"/>
      <c r="N73" s="12"/>
      <c r="O73" s="12"/>
      <c r="P73" s="12"/>
      <c r="Q73" s="12"/>
      <c r="R73" s="12"/>
      <c r="S73" s="12"/>
      <c r="T73" s="12"/>
      <c r="U73" s="12"/>
    </row>
    <row r="74" spans="2:21" ht="20.45" customHeight="1" thickBot="1" x14ac:dyDescent="0.55000000000000004">
      <c r="B74" s="35"/>
      <c r="C74" s="75">
        <v>45</v>
      </c>
      <c r="D74" s="68"/>
      <c r="E74" s="73">
        <f>D72-D76</f>
        <v>13.5</v>
      </c>
      <c r="F74" s="34"/>
      <c r="G74" s="73">
        <f>F72-F76</f>
        <v>6.75</v>
      </c>
      <c r="H74" s="81" t="s">
        <v>80</v>
      </c>
      <c r="I74" s="83">
        <f>G74/E74</f>
        <v>0.5</v>
      </c>
      <c r="J74" s="34"/>
      <c r="K74" s="12"/>
      <c r="L74" s="12"/>
      <c r="M74" s="12"/>
      <c r="N74" s="12"/>
      <c r="O74" s="12"/>
      <c r="P74" s="12"/>
      <c r="Q74" s="12"/>
      <c r="R74" s="12"/>
      <c r="S74" s="12"/>
      <c r="T74" s="12"/>
      <c r="U74" s="12"/>
    </row>
    <row r="75" spans="2:21" ht="20.45" customHeight="1" thickBot="1" x14ac:dyDescent="0.55000000000000004">
      <c r="B75" s="35"/>
      <c r="C75" s="68"/>
      <c r="D75" s="68"/>
      <c r="E75" s="34"/>
      <c r="F75" s="34"/>
      <c r="G75" s="80"/>
      <c r="H75" s="80"/>
      <c r="I75" s="34"/>
      <c r="J75" s="34"/>
      <c r="K75" s="12"/>
      <c r="L75" s="12"/>
      <c r="M75" s="12"/>
      <c r="N75" s="12"/>
      <c r="O75" s="12"/>
      <c r="P75" s="12"/>
      <c r="Q75" s="12"/>
      <c r="R75" s="12"/>
      <c r="S75" s="12"/>
      <c r="T75" s="12"/>
      <c r="U75" s="12"/>
    </row>
    <row r="76" spans="2:21" ht="20.45" customHeight="1" thickBot="1" x14ac:dyDescent="0.55000000000000004">
      <c r="B76" s="35"/>
      <c r="C76" s="68"/>
      <c r="D76" s="75">
        <f>C74*0.95</f>
        <v>42.75</v>
      </c>
      <c r="E76" s="34"/>
      <c r="F76" s="75">
        <v>0</v>
      </c>
      <c r="G76" s="80"/>
      <c r="H76" s="80"/>
      <c r="I76" s="34"/>
      <c r="J76" s="34"/>
      <c r="K76" s="12"/>
      <c r="L76" s="12"/>
      <c r="M76" s="12"/>
      <c r="N76" s="12"/>
      <c r="O76" s="12"/>
      <c r="P76" s="12"/>
      <c r="Q76" s="12"/>
      <c r="R76" s="12"/>
      <c r="S76" s="12"/>
      <c r="T76" s="12"/>
      <c r="U76" s="12"/>
    </row>
    <row r="77" spans="2:21" ht="20.45" customHeight="1" x14ac:dyDescent="0.5">
      <c r="B77" s="35"/>
      <c r="C77" s="68"/>
      <c r="D77" s="68"/>
      <c r="E77" s="34"/>
      <c r="F77" s="34"/>
      <c r="G77" s="80"/>
      <c r="H77" s="80"/>
      <c r="I77" s="34"/>
      <c r="J77" s="34"/>
      <c r="K77" s="12"/>
      <c r="L77" s="12"/>
      <c r="M77" s="12"/>
      <c r="N77" s="12"/>
      <c r="O77" s="12"/>
      <c r="P77" s="12"/>
      <c r="Q77" s="12"/>
      <c r="R77" s="12"/>
      <c r="S77" s="12"/>
      <c r="T77" s="12"/>
      <c r="U77" s="12"/>
    </row>
    <row r="78" spans="2:21" ht="20.45" customHeight="1" thickBot="1" x14ac:dyDescent="0.55000000000000004">
      <c r="B78" s="11"/>
      <c r="C78" s="34"/>
      <c r="D78" s="34"/>
      <c r="E78" s="34"/>
      <c r="F78" s="34"/>
      <c r="G78" s="80"/>
      <c r="H78" s="80"/>
      <c r="I78" s="34"/>
      <c r="J78" s="34"/>
      <c r="K78" s="12"/>
      <c r="L78" s="12"/>
      <c r="M78" s="12"/>
      <c r="N78" s="12"/>
      <c r="O78" s="12"/>
      <c r="P78" s="12"/>
      <c r="Q78" s="12"/>
      <c r="R78" s="12"/>
      <c r="S78" s="12"/>
      <c r="T78" s="12"/>
      <c r="U78" s="12"/>
    </row>
    <row r="79" spans="2:21" ht="20.45" customHeight="1" thickBot="1" x14ac:dyDescent="0.55000000000000004">
      <c r="B79" s="11"/>
      <c r="C79" s="70" t="s">
        <v>26</v>
      </c>
      <c r="D79" s="73">
        <f>D76/1.05</f>
        <v>40.714285714285715</v>
      </c>
      <c r="E79" s="34"/>
      <c r="F79" s="34"/>
      <c r="G79" s="80"/>
      <c r="H79" s="80"/>
      <c r="I79" s="34"/>
      <c r="J79" s="34"/>
      <c r="K79" s="12"/>
      <c r="L79" s="12"/>
      <c r="M79" s="12"/>
      <c r="N79" s="12"/>
      <c r="O79" s="12"/>
      <c r="P79" s="12"/>
      <c r="Q79" s="12"/>
      <c r="R79" s="12"/>
      <c r="S79" s="12"/>
      <c r="T79" s="12"/>
      <c r="U79" s="12"/>
    </row>
    <row r="80" spans="2:21" ht="20.45" customHeight="1" thickBot="1" x14ac:dyDescent="0.55000000000000004">
      <c r="B80" s="11"/>
      <c r="C80" s="70" t="s">
        <v>27</v>
      </c>
      <c r="D80" s="73">
        <f>C74-D79</f>
        <v>4.2857142857142847</v>
      </c>
      <c r="E80" s="34"/>
      <c r="F80" s="34" t="s">
        <v>116</v>
      </c>
      <c r="G80" s="201">
        <f>49.5+D81</f>
        <v>51.642857142857139</v>
      </c>
      <c r="H80" s="80"/>
      <c r="I80" s="34"/>
      <c r="J80" s="34"/>
      <c r="K80" s="12"/>
      <c r="L80" s="12"/>
      <c r="M80" s="12"/>
      <c r="N80" s="12"/>
      <c r="O80" s="12"/>
      <c r="P80" s="12"/>
      <c r="Q80" s="12"/>
      <c r="R80" s="12"/>
      <c r="S80" s="12"/>
      <c r="T80" s="12"/>
      <c r="U80" s="12"/>
    </row>
    <row r="81" spans="2:52" ht="20.45" customHeight="1" thickBot="1" x14ac:dyDescent="0.55000000000000004">
      <c r="B81" s="11"/>
      <c r="C81" s="70" t="s">
        <v>28</v>
      </c>
      <c r="D81" s="73">
        <f>D80*I74</f>
        <v>2.1428571428571423</v>
      </c>
      <c r="E81" s="34"/>
      <c r="F81" s="34"/>
      <c r="G81" s="80"/>
      <c r="H81" s="80"/>
      <c r="I81" s="34"/>
      <c r="J81" s="34"/>
      <c r="K81" s="12"/>
      <c r="L81" s="12"/>
      <c r="M81" s="12"/>
      <c r="N81" s="12"/>
      <c r="O81" s="12"/>
      <c r="P81" s="12"/>
      <c r="Q81" s="12"/>
      <c r="R81" s="12"/>
      <c r="S81" s="12"/>
      <c r="T81" s="12"/>
      <c r="U81" s="12"/>
    </row>
    <row r="82" spans="2:52" ht="20.45" customHeight="1" x14ac:dyDescent="0.5">
      <c r="B82" s="11"/>
      <c r="C82" s="34"/>
      <c r="D82" s="34"/>
      <c r="E82" s="34"/>
      <c r="F82" s="34"/>
      <c r="G82" s="80"/>
      <c r="H82" s="80"/>
      <c r="I82" s="34"/>
      <c r="J82" s="34"/>
      <c r="K82" s="12"/>
      <c r="L82" s="12"/>
      <c r="M82" s="12"/>
      <c r="N82" s="12"/>
      <c r="O82" s="12"/>
      <c r="P82" s="12"/>
      <c r="Q82" s="12"/>
      <c r="R82" s="12"/>
      <c r="S82" s="12"/>
      <c r="T82" s="12"/>
      <c r="U82" s="12"/>
    </row>
    <row r="83" spans="2:52" ht="20.45" customHeight="1" x14ac:dyDescent="0.5">
      <c r="B83" s="214" t="s">
        <v>81</v>
      </c>
      <c r="C83" s="215"/>
      <c r="D83" s="215"/>
      <c r="E83" s="215"/>
      <c r="F83" s="215"/>
      <c r="G83" s="215"/>
      <c r="H83" s="215"/>
      <c r="I83" s="215"/>
      <c r="J83" s="215"/>
      <c r="K83" s="217"/>
      <c r="L83" s="12"/>
      <c r="M83" s="12"/>
      <c r="N83" s="12"/>
      <c r="O83" s="12"/>
      <c r="P83" s="12"/>
      <c r="Q83" s="12"/>
      <c r="R83" s="12"/>
      <c r="S83" s="12"/>
      <c r="T83" s="12"/>
      <c r="U83" s="12"/>
    </row>
    <row r="84" spans="2:52" ht="12" customHeight="1" x14ac:dyDescent="0.5">
      <c r="B84" s="11"/>
      <c r="C84" s="34"/>
      <c r="D84" s="34"/>
      <c r="E84" s="34"/>
      <c r="F84" s="34"/>
      <c r="G84" s="80"/>
      <c r="H84" s="80"/>
      <c r="I84" s="34"/>
      <c r="J84" s="34"/>
      <c r="K84" s="12"/>
      <c r="L84" s="12"/>
      <c r="M84" s="12"/>
      <c r="N84" s="12"/>
      <c r="O84" s="12"/>
      <c r="P84" s="12"/>
      <c r="Q84" s="12"/>
      <c r="R84" s="12"/>
      <c r="S84" s="12"/>
      <c r="T84" s="12"/>
      <c r="U84" s="12"/>
    </row>
    <row r="85" spans="2:52" ht="20.45" customHeight="1" thickBot="1" x14ac:dyDescent="0.55000000000000004">
      <c r="B85" s="11"/>
      <c r="C85" s="34"/>
      <c r="D85" s="34"/>
      <c r="E85" s="34"/>
      <c r="F85" s="34"/>
      <c r="G85" s="80"/>
      <c r="H85" s="80"/>
      <c r="I85" s="34"/>
      <c r="J85" s="34"/>
      <c r="K85" s="12"/>
      <c r="L85" s="12"/>
      <c r="M85" s="12"/>
      <c r="N85" s="12"/>
      <c r="O85" s="12"/>
      <c r="P85" s="12"/>
      <c r="Q85" s="12"/>
      <c r="R85" s="12"/>
      <c r="S85" s="12"/>
      <c r="T85" s="12"/>
      <c r="U85" s="12"/>
    </row>
    <row r="86" spans="2:52" ht="20.45" customHeight="1" thickBot="1" x14ac:dyDescent="0.55000000000000004">
      <c r="B86" s="11"/>
      <c r="C86" s="82" t="s">
        <v>84</v>
      </c>
      <c r="D86" s="73">
        <v>2.14</v>
      </c>
      <c r="E86" s="34" t="s">
        <v>117</v>
      </c>
      <c r="F86" s="34"/>
      <c r="G86" s="80"/>
      <c r="H86" s="80" t="s">
        <v>118</v>
      </c>
      <c r="I86" s="34" t="s">
        <v>119</v>
      </c>
      <c r="J86" s="80" t="s">
        <v>120</v>
      </c>
      <c r="K86" s="12"/>
      <c r="L86" s="12" t="s">
        <v>121</v>
      </c>
      <c r="M86" s="12"/>
      <c r="N86" s="12"/>
      <c r="O86" s="12"/>
      <c r="P86" s="12"/>
      <c r="Q86" s="12"/>
      <c r="R86" s="12"/>
      <c r="S86" s="12"/>
      <c r="T86" s="12"/>
      <c r="U86" s="12"/>
    </row>
    <row r="87" spans="2:52" ht="22.5" customHeight="1" x14ac:dyDescent="0.5">
      <c r="B87" s="11"/>
      <c r="C87" s="34"/>
      <c r="D87" s="34"/>
      <c r="E87" s="34"/>
      <c r="F87" s="34"/>
      <c r="G87" s="80"/>
      <c r="H87" s="80"/>
      <c r="I87" s="34"/>
      <c r="J87" s="34"/>
      <c r="K87" s="12"/>
      <c r="L87" s="12"/>
      <c r="M87" s="12"/>
      <c r="N87" s="12"/>
      <c r="O87" s="12"/>
      <c r="P87" s="12"/>
      <c r="Q87" s="12"/>
      <c r="R87" s="12"/>
      <c r="S87" s="12"/>
      <c r="T87" s="12"/>
      <c r="U87" s="12"/>
    </row>
    <row r="88" spans="2:52" ht="22.5" customHeight="1" x14ac:dyDescent="0.5">
      <c r="B88" s="11" t="s">
        <v>77</v>
      </c>
      <c r="C88" s="34"/>
      <c r="D88" s="34"/>
      <c r="E88" s="34"/>
      <c r="F88" s="34"/>
      <c r="G88" s="80"/>
      <c r="H88" s="80"/>
      <c r="I88" s="34"/>
      <c r="J88" s="34"/>
      <c r="K88" s="12"/>
      <c r="L88" s="12"/>
      <c r="M88" s="12"/>
      <c r="N88" s="12"/>
      <c r="O88" s="12"/>
      <c r="P88" s="12"/>
      <c r="Q88" s="12"/>
      <c r="R88" s="12"/>
      <c r="S88" s="12"/>
      <c r="T88" s="12"/>
      <c r="U88" s="12"/>
    </row>
    <row r="89" spans="2:52" ht="56.25" customHeight="1" x14ac:dyDescent="0.55000000000000004">
      <c r="B89" s="214" t="s">
        <v>72</v>
      </c>
      <c r="C89" s="218"/>
      <c r="D89" s="218"/>
      <c r="E89" s="218"/>
      <c r="F89" s="218"/>
      <c r="G89" s="218"/>
      <c r="H89" s="218"/>
      <c r="I89" s="218"/>
      <c r="J89" s="218"/>
      <c r="K89" s="215"/>
      <c r="L89" s="10"/>
      <c r="M89" s="10"/>
      <c r="N89" s="12"/>
      <c r="O89" s="12"/>
      <c r="P89" s="12"/>
      <c r="Q89" s="12"/>
      <c r="R89" s="12"/>
      <c r="S89" s="10"/>
      <c r="T89" s="10"/>
      <c r="U89" s="10"/>
    </row>
    <row r="90" spans="2:52" ht="15.75" customHeight="1" x14ac:dyDescent="0.5">
      <c r="N90" s="12"/>
      <c r="O90" s="12"/>
      <c r="P90" s="12"/>
      <c r="Q90" s="12"/>
      <c r="R90" s="12"/>
    </row>
    <row r="91" spans="2:52" ht="21" customHeight="1" x14ac:dyDescent="0.5">
      <c r="B91" s="216" t="s">
        <v>30</v>
      </c>
      <c r="C91" s="217"/>
      <c r="D91" s="217"/>
      <c r="E91" s="217"/>
      <c r="F91" s="217"/>
      <c r="G91" s="217"/>
      <c r="H91" s="217"/>
      <c r="I91" s="217"/>
      <c r="J91" s="217"/>
      <c r="N91" s="12"/>
      <c r="O91" s="12"/>
      <c r="P91" s="12"/>
      <c r="Q91" s="12"/>
      <c r="R91" s="12"/>
    </row>
    <row r="92" spans="2:52" ht="19.95" customHeight="1" thickBot="1" x14ac:dyDescent="0.55000000000000004">
      <c r="B92" s="35"/>
      <c r="C92" s="35"/>
      <c r="D92" s="35"/>
      <c r="E92" s="70" t="s">
        <v>64</v>
      </c>
      <c r="F92" s="35"/>
      <c r="G92" s="69" t="s">
        <v>63</v>
      </c>
      <c r="H92" s="35"/>
      <c r="I92" s="35"/>
      <c r="J92" s="35"/>
      <c r="K92" s="35"/>
      <c r="L92" s="35"/>
      <c r="M92" s="35"/>
      <c r="N92" s="12"/>
      <c r="O92" s="12"/>
      <c r="P92" s="12"/>
      <c r="Q92" s="12"/>
      <c r="R92" s="1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2:52" ht="26.1" customHeight="1" thickBot="1" x14ac:dyDescent="0.55000000000000004">
      <c r="B93" s="35"/>
      <c r="C93" s="68"/>
      <c r="D93" s="68"/>
      <c r="E93" s="75">
        <f>D95*1.2</f>
        <v>93.6</v>
      </c>
      <c r="F93" s="68"/>
      <c r="G93" s="76">
        <f>93.6-60</f>
        <v>33.599999999999994</v>
      </c>
      <c r="H93" s="35"/>
      <c r="I93" s="35"/>
      <c r="J93" s="35"/>
      <c r="K93" s="35"/>
      <c r="L93" s="35"/>
      <c r="M93" s="35"/>
      <c r="N93" s="12"/>
      <c r="O93" s="12"/>
      <c r="P93" s="12"/>
      <c r="Q93" s="12"/>
      <c r="R93" s="12"/>
      <c r="S93"/>
      <c r="T93"/>
      <c r="U93"/>
      <c r="V93"/>
      <c r="W93"/>
      <c r="X93"/>
      <c r="Y93"/>
      <c r="Z93"/>
      <c r="AA93"/>
      <c r="AB93"/>
      <c r="AC93"/>
      <c r="AD93"/>
      <c r="AE93"/>
      <c r="AF93"/>
      <c r="AG93"/>
      <c r="AH93"/>
      <c r="AI93"/>
      <c r="AJ93"/>
      <c r="AK93"/>
      <c r="AL93"/>
      <c r="AM93"/>
      <c r="AN93"/>
      <c r="AO93"/>
      <c r="AP93"/>
      <c r="AQ93"/>
      <c r="AR93"/>
      <c r="AS93"/>
      <c r="AT93"/>
      <c r="AU93"/>
      <c r="AV93"/>
      <c r="AW93"/>
      <c r="AX93"/>
      <c r="AY93"/>
      <c r="AZ93"/>
    </row>
    <row r="94" spans="2:52" ht="26.1" customHeight="1" thickBot="1" x14ac:dyDescent="0.55000000000000004">
      <c r="B94" s="35"/>
      <c r="C94" s="68"/>
      <c r="D94" s="70" t="s">
        <v>65</v>
      </c>
      <c r="E94" s="68"/>
      <c r="F94" s="68"/>
      <c r="G94" s="68"/>
      <c r="H94" s="35"/>
      <c r="I94" s="35"/>
      <c r="J94" s="35"/>
      <c r="K94" s="35"/>
      <c r="L94" s="35" t="s">
        <v>122</v>
      </c>
      <c r="M94" s="35"/>
      <c r="N94" s="12"/>
      <c r="O94" s="12"/>
      <c r="P94" s="12"/>
      <c r="Q94" s="12"/>
      <c r="R94" s="12"/>
      <c r="S94"/>
      <c r="T94"/>
      <c r="U94"/>
      <c r="V94"/>
      <c r="W94"/>
      <c r="X94"/>
      <c r="Y94"/>
      <c r="Z94"/>
      <c r="AA94"/>
      <c r="AB94"/>
      <c r="AC94"/>
      <c r="AD94"/>
      <c r="AE94"/>
      <c r="AF94"/>
      <c r="AG94"/>
      <c r="AH94"/>
      <c r="AI94"/>
      <c r="AJ94"/>
      <c r="AK94"/>
      <c r="AL94"/>
      <c r="AM94"/>
      <c r="AN94"/>
      <c r="AO94"/>
      <c r="AP94"/>
      <c r="AQ94"/>
      <c r="AR94"/>
      <c r="AS94"/>
      <c r="AT94"/>
      <c r="AU94"/>
      <c r="AV94"/>
      <c r="AW94"/>
      <c r="AX94"/>
      <c r="AY94"/>
      <c r="AZ94"/>
    </row>
    <row r="95" spans="2:52" ht="26.1" customHeight="1" thickBot="1" x14ac:dyDescent="0.55000000000000004">
      <c r="B95" s="35"/>
      <c r="C95" s="68"/>
      <c r="D95" s="75">
        <f>65*1.2</f>
        <v>78</v>
      </c>
      <c r="E95" s="68"/>
      <c r="F95" s="68"/>
      <c r="G95" s="68" t="s">
        <v>67</v>
      </c>
      <c r="H95" s="73">
        <v>18.63</v>
      </c>
      <c r="I95" s="35"/>
      <c r="J95" s="35"/>
      <c r="K95" s="35"/>
      <c r="L95" s="35" t="s">
        <v>123</v>
      </c>
      <c r="M95" s="35"/>
      <c r="N95" s="12"/>
      <c r="O95" s="12"/>
      <c r="P95" s="12"/>
      <c r="Q95" s="12"/>
      <c r="R95" s="12"/>
      <c r="S95"/>
      <c r="T95"/>
      <c r="U95"/>
      <c r="V95"/>
      <c r="W95"/>
      <c r="X95"/>
      <c r="Y95"/>
      <c r="Z95"/>
      <c r="AA95"/>
      <c r="AB95"/>
      <c r="AC95"/>
      <c r="AD95"/>
      <c r="AE95"/>
      <c r="AF95"/>
      <c r="AG95"/>
      <c r="AH95"/>
      <c r="AI95"/>
      <c r="AJ95"/>
      <c r="AK95"/>
      <c r="AL95"/>
      <c r="AM95"/>
      <c r="AN95"/>
      <c r="AO95"/>
      <c r="AP95"/>
      <c r="AQ95"/>
      <c r="AR95"/>
      <c r="AS95"/>
      <c r="AT95"/>
      <c r="AU95"/>
      <c r="AV95"/>
      <c r="AW95"/>
      <c r="AX95"/>
      <c r="AY95"/>
      <c r="AZ95"/>
    </row>
    <row r="96" spans="2:52" ht="26.1" customHeight="1" thickBot="1" x14ac:dyDescent="0.55000000000000004">
      <c r="B96" s="35"/>
      <c r="C96" s="70" t="s">
        <v>66</v>
      </c>
      <c r="D96" s="68"/>
      <c r="E96" s="68"/>
      <c r="F96" s="68"/>
      <c r="G96" s="68"/>
      <c r="H96" s="68"/>
      <c r="I96" s="35"/>
      <c r="J96" s="69" t="s">
        <v>69</v>
      </c>
      <c r="K96" s="35"/>
      <c r="L96" s="35"/>
      <c r="M96" s="35"/>
      <c r="N96" s="12"/>
      <c r="O96" s="12"/>
      <c r="P96" s="12"/>
      <c r="Q96" s="12"/>
      <c r="R96" s="12"/>
      <c r="S96"/>
      <c r="T96"/>
      <c r="U96"/>
      <c r="V96"/>
      <c r="W96"/>
      <c r="X96"/>
      <c r="Y96"/>
      <c r="Z96"/>
      <c r="AA96"/>
      <c r="AB96"/>
      <c r="AC96"/>
      <c r="AD96"/>
      <c r="AE96"/>
      <c r="AF96"/>
      <c r="AG96"/>
      <c r="AH96"/>
      <c r="AI96"/>
      <c r="AJ96"/>
      <c r="AK96"/>
      <c r="AL96"/>
      <c r="AM96"/>
      <c r="AN96"/>
      <c r="AO96"/>
      <c r="AP96"/>
      <c r="AQ96"/>
      <c r="AR96"/>
      <c r="AS96"/>
      <c r="AT96"/>
      <c r="AU96"/>
      <c r="AV96"/>
      <c r="AW96"/>
      <c r="AX96"/>
      <c r="AY96"/>
      <c r="AZ96"/>
    </row>
    <row r="97" spans="2:52" ht="26.1" customHeight="1" thickBot="1" x14ac:dyDescent="0.55000000000000004">
      <c r="B97" s="35"/>
      <c r="C97" s="75">
        <v>65</v>
      </c>
      <c r="D97" s="68"/>
      <c r="E97" s="75">
        <f>78*0.9</f>
        <v>70.2</v>
      </c>
      <c r="F97" s="68"/>
      <c r="G97" s="76">
        <f>E97-60</f>
        <v>10.200000000000003</v>
      </c>
      <c r="H97" s="68"/>
      <c r="I97" s="68" t="s">
        <v>29</v>
      </c>
      <c r="J97" s="74">
        <f>9.786/1.05</f>
        <v>9.3199999999999985</v>
      </c>
      <c r="K97" s="35"/>
      <c r="L97" s="35"/>
      <c r="M97" s="35"/>
      <c r="N97" s="12"/>
      <c r="O97" s="12"/>
      <c r="P97" s="12"/>
      <c r="Q97" s="12"/>
      <c r="R97" s="12"/>
      <c r="S97"/>
      <c r="T97"/>
      <c r="U97"/>
      <c r="V97"/>
      <c r="W97"/>
      <c r="X97"/>
      <c r="Y97"/>
      <c r="Z97"/>
      <c r="AA97"/>
      <c r="AB97"/>
      <c r="AC97"/>
      <c r="AD97"/>
      <c r="AE97"/>
      <c r="AF97"/>
      <c r="AG97"/>
      <c r="AH97"/>
      <c r="AI97"/>
      <c r="AJ97"/>
      <c r="AK97"/>
      <c r="AL97"/>
      <c r="AM97"/>
      <c r="AN97"/>
      <c r="AO97"/>
      <c r="AP97"/>
      <c r="AQ97"/>
      <c r="AR97"/>
      <c r="AS97"/>
      <c r="AT97"/>
      <c r="AU97"/>
      <c r="AV97"/>
      <c r="AW97"/>
      <c r="AX97"/>
      <c r="AY97"/>
      <c r="AZ97"/>
    </row>
    <row r="98" spans="2:52" ht="26.1" customHeight="1" thickBot="1" x14ac:dyDescent="0.55000000000000004">
      <c r="B98" s="35"/>
      <c r="C98" s="68"/>
      <c r="D98" s="68"/>
      <c r="E98" s="68"/>
      <c r="F98" s="68"/>
      <c r="G98" s="68"/>
      <c r="H98" s="68"/>
      <c r="I98" s="35"/>
      <c r="J98" s="35"/>
      <c r="K98" s="35"/>
      <c r="L98" s="35" t="s">
        <v>124</v>
      </c>
      <c r="M98" s="35"/>
      <c r="N98" s="12"/>
      <c r="O98" s="12"/>
      <c r="P98" s="12"/>
      <c r="Q98" s="12"/>
      <c r="R98" s="12"/>
      <c r="S98"/>
      <c r="T98"/>
      <c r="U98"/>
      <c r="V98"/>
      <c r="W98"/>
      <c r="X98"/>
      <c r="Y98"/>
      <c r="Z98"/>
      <c r="AA98"/>
      <c r="AB98"/>
      <c r="AC98"/>
      <c r="AD98"/>
      <c r="AE98"/>
      <c r="AF98"/>
      <c r="AG98"/>
      <c r="AH98"/>
      <c r="AI98"/>
      <c r="AJ98"/>
      <c r="AK98"/>
      <c r="AL98"/>
      <c r="AM98"/>
      <c r="AN98"/>
      <c r="AO98"/>
      <c r="AP98"/>
      <c r="AQ98"/>
      <c r="AR98"/>
      <c r="AS98"/>
      <c r="AT98"/>
      <c r="AU98"/>
      <c r="AV98"/>
      <c r="AW98"/>
      <c r="AX98"/>
      <c r="AY98"/>
      <c r="AZ98"/>
    </row>
    <row r="99" spans="2:52" ht="26.1" customHeight="1" thickBot="1" x14ac:dyDescent="0.55000000000000004">
      <c r="B99" s="35"/>
      <c r="C99" s="68"/>
      <c r="D99" s="75">
        <f>65*0.9</f>
        <v>58.5</v>
      </c>
      <c r="E99" s="68"/>
      <c r="F99" s="68"/>
      <c r="G99" s="68" t="s">
        <v>68</v>
      </c>
      <c r="H99" s="74">
        <v>3.89</v>
      </c>
      <c r="I99" s="35"/>
      <c r="J99" s="35"/>
      <c r="K99" s="35"/>
      <c r="L99" s="35"/>
      <c r="M99" s="35"/>
      <c r="N99" s="12"/>
      <c r="O99" s="12"/>
      <c r="P99" s="12"/>
      <c r="Q99" s="12"/>
      <c r="R99" s="12"/>
      <c r="S99"/>
      <c r="T99"/>
      <c r="U99"/>
      <c r="V99"/>
      <c r="W99"/>
      <c r="X99"/>
      <c r="Y99"/>
      <c r="Z99"/>
      <c r="AA99"/>
      <c r="AB99"/>
      <c r="AC99"/>
      <c r="AD99"/>
      <c r="AE99"/>
      <c r="AF99"/>
      <c r="AG99"/>
      <c r="AH99"/>
      <c r="AI99"/>
      <c r="AJ99"/>
      <c r="AK99"/>
      <c r="AL99"/>
      <c r="AM99"/>
      <c r="AN99"/>
      <c r="AO99"/>
      <c r="AP99"/>
      <c r="AQ99"/>
      <c r="AR99"/>
      <c r="AS99"/>
      <c r="AT99"/>
      <c r="AU99"/>
      <c r="AV99"/>
      <c r="AW99"/>
      <c r="AX99"/>
      <c r="AY99"/>
      <c r="AZ99"/>
    </row>
    <row r="100" spans="2:52" ht="26.1" customHeight="1" thickBot="1" x14ac:dyDescent="0.55000000000000004">
      <c r="B100" s="35"/>
      <c r="C100" s="68"/>
      <c r="D100" s="68"/>
      <c r="E100" s="68"/>
      <c r="F100" s="68"/>
      <c r="G100" s="68"/>
      <c r="H100" s="35"/>
      <c r="I100" s="35"/>
      <c r="J100" s="35"/>
      <c r="K100" s="35"/>
      <c r="L100" s="35"/>
      <c r="M100" s="35"/>
      <c r="N100" s="12"/>
      <c r="O100" s="12"/>
      <c r="P100" s="12"/>
      <c r="Q100" s="12"/>
      <c r="R100" s="12"/>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row>
    <row r="101" spans="2:52" ht="26.1" customHeight="1" thickBot="1" x14ac:dyDescent="0.55000000000000004">
      <c r="B101" s="35"/>
      <c r="C101" s="68"/>
      <c r="D101" s="68"/>
      <c r="E101" s="75">
        <f>58.5*0.9</f>
        <v>52.65</v>
      </c>
      <c r="F101" s="68"/>
      <c r="G101" s="76">
        <v>0</v>
      </c>
      <c r="H101" s="35"/>
      <c r="I101" s="35"/>
      <c r="J101" s="35"/>
      <c r="K101" s="35"/>
      <c r="L101" s="35"/>
      <c r="M101" s="35"/>
      <c r="N101" s="12"/>
      <c r="O101" s="12"/>
      <c r="P101" s="12"/>
      <c r="Q101" s="12"/>
      <c r="R101" s="12"/>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row>
    <row r="102" spans="2:52" ht="19.95" customHeight="1" x14ac:dyDescent="0.5">
      <c r="B102" s="35"/>
      <c r="C102" s="68"/>
      <c r="D102" s="35"/>
      <c r="E102" s="35"/>
      <c r="F102" s="35"/>
      <c r="G102" s="35"/>
      <c r="H102" s="35"/>
      <c r="I102" s="35"/>
      <c r="J102" s="35"/>
      <c r="K102" s="35"/>
      <c r="L102" s="35"/>
      <c r="M102" s="35"/>
      <c r="N102" s="12"/>
      <c r="O102" s="12"/>
      <c r="P102" s="12"/>
      <c r="Q102" s="12"/>
      <c r="R102" s="1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row>
    <row r="103" spans="2:52" ht="19.95" customHeight="1" x14ac:dyDescent="0.5">
      <c r="B103" s="35"/>
      <c r="C103" s="35"/>
      <c r="D103" s="35"/>
      <c r="E103" s="35"/>
      <c r="F103" s="35"/>
      <c r="G103" s="35"/>
      <c r="H103" s="35"/>
      <c r="I103" s="35"/>
      <c r="J103" s="35"/>
      <c r="K103" s="35"/>
      <c r="L103" s="35"/>
      <c r="M103" s="35"/>
      <c r="N103" s="12"/>
      <c r="O103" s="12"/>
      <c r="P103" s="12"/>
      <c r="Q103" s="12"/>
      <c r="R103" s="12"/>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row>
    <row r="104" spans="2:52" ht="22.5" customHeight="1" x14ac:dyDescent="0.55000000000000004">
      <c r="B104" s="11" t="s">
        <v>17</v>
      </c>
      <c r="C104" s="28"/>
      <c r="D104" s="28"/>
      <c r="E104" s="28"/>
      <c r="F104" s="28"/>
      <c r="G104" s="29"/>
      <c r="H104" s="29"/>
      <c r="I104" s="28"/>
      <c r="J104" s="28"/>
      <c r="K104" s="12"/>
      <c r="L104" s="12"/>
      <c r="M104" s="12"/>
      <c r="N104" s="12"/>
      <c r="O104" s="12"/>
      <c r="P104" s="12"/>
      <c r="Q104" s="12"/>
      <c r="R104" s="12"/>
      <c r="S104" s="12"/>
      <c r="T104" s="12"/>
      <c r="U104" s="12"/>
    </row>
    <row r="105" spans="2:52" ht="63.45" customHeight="1" x14ac:dyDescent="0.55000000000000004">
      <c r="B105" s="214" t="s">
        <v>125</v>
      </c>
      <c r="C105" s="218"/>
      <c r="D105" s="218"/>
      <c r="E105" s="218"/>
      <c r="F105" s="218"/>
      <c r="G105" s="218"/>
      <c r="H105" s="218"/>
      <c r="I105" s="218"/>
      <c r="J105" s="218"/>
      <c r="K105" s="215"/>
      <c r="L105" s="10"/>
      <c r="M105" s="10"/>
      <c r="N105" s="12"/>
      <c r="O105" s="12"/>
      <c r="P105" s="12"/>
      <c r="Q105" s="12"/>
      <c r="R105" s="12"/>
      <c r="S105" s="10"/>
      <c r="T105" s="10"/>
      <c r="U105" s="10"/>
    </row>
    <row r="106" spans="2:52" ht="15.75" customHeight="1" x14ac:dyDescent="0.5">
      <c r="N106" s="12"/>
      <c r="O106" s="12"/>
      <c r="P106" s="12"/>
      <c r="Q106" s="12"/>
      <c r="R106" s="12"/>
    </row>
    <row r="107" spans="2:52" ht="21" customHeight="1" x14ac:dyDescent="0.5">
      <c r="B107" s="216" t="s">
        <v>30</v>
      </c>
      <c r="C107" s="217"/>
      <c r="D107" s="217"/>
      <c r="E107" s="217"/>
      <c r="F107" s="217"/>
      <c r="G107" s="217"/>
      <c r="H107" s="217"/>
      <c r="I107" s="217"/>
      <c r="J107" s="217"/>
      <c r="N107" s="12"/>
      <c r="O107" s="12"/>
      <c r="P107" s="12"/>
      <c r="Q107" s="12"/>
      <c r="R107" s="12"/>
    </row>
    <row r="108" spans="2:52" ht="19.95" customHeight="1" x14ac:dyDescent="0.5">
      <c r="B108" s="35"/>
      <c r="C108" s="35"/>
      <c r="D108" s="35"/>
      <c r="E108" s="35"/>
      <c r="G108"/>
      <c r="H108" s="35"/>
      <c r="I108" s="35"/>
      <c r="J108" s="35"/>
      <c r="K108" s="35"/>
      <c r="L108" s="35"/>
      <c r="M108" s="35"/>
      <c r="N108" s="12"/>
      <c r="O108" s="12"/>
      <c r="P108" s="12"/>
      <c r="Q108" s="12"/>
      <c r="R108" s="12"/>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row>
    <row r="109" spans="2:52" ht="19.95" customHeight="1" thickBot="1" x14ac:dyDescent="0.55000000000000004">
      <c r="B109" s="35"/>
      <c r="C109" s="35"/>
      <c r="D109" s="68"/>
      <c r="G109" s="70" t="s">
        <v>64</v>
      </c>
      <c r="H109" s="68"/>
      <c r="I109" s="70" t="s">
        <v>63</v>
      </c>
      <c r="J109" s="68"/>
      <c r="K109" s="68"/>
      <c r="L109" s="68"/>
      <c r="M109" s="35"/>
      <c r="N109" s="12"/>
      <c r="O109" s="12"/>
      <c r="P109" s="12"/>
      <c r="Q109" s="12"/>
      <c r="R109" s="12"/>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row>
    <row r="110" spans="2:52" ht="26.1" customHeight="1" thickBot="1" x14ac:dyDescent="0.55000000000000004">
      <c r="B110" s="35"/>
      <c r="C110" s="35"/>
      <c r="D110" s="68"/>
      <c r="G110" s="75">
        <f>116.95*1.15</f>
        <v>134.49250000000001</v>
      </c>
      <c r="H110" s="68"/>
      <c r="I110" s="75">
        <v>0</v>
      </c>
      <c r="J110" s="68"/>
      <c r="K110" s="68"/>
      <c r="L110" s="68"/>
      <c r="M110" s="35"/>
      <c r="N110" s="12"/>
      <c r="O110" s="12"/>
      <c r="P110" s="12"/>
      <c r="Q110" s="12"/>
      <c r="R110" s="12"/>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row>
    <row r="111" spans="2:52" ht="26.1" customHeight="1" thickBot="1" x14ac:dyDescent="0.55000000000000004">
      <c r="B111" s="35"/>
      <c r="C111" s="68"/>
      <c r="D111" s="70" t="s">
        <v>65</v>
      </c>
      <c r="F111" s="70" t="s">
        <v>65</v>
      </c>
      <c r="G111" s="68"/>
      <c r="H111" s="68"/>
      <c r="I111" s="68"/>
      <c r="J111" s="68"/>
      <c r="K111" s="68"/>
      <c r="L111" s="68"/>
      <c r="M111" s="35"/>
      <c r="N111" s="12"/>
      <c r="O111" s="12"/>
      <c r="P111" s="12"/>
      <c r="Q111" s="12"/>
      <c r="R111" s="12"/>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row>
    <row r="112" spans="2:52" ht="26.1" customHeight="1" thickBot="1" x14ac:dyDescent="0.55000000000000004">
      <c r="B112" s="35"/>
      <c r="C112" s="68"/>
      <c r="D112" s="75">
        <f>100*1.15</f>
        <v>114.99999999999999</v>
      </c>
      <c r="F112" s="75">
        <f>115*0.93</f>
        <v>106.95</v>
      </c>
      <c r="G112" s="68"/>
      <c r="H112" s="68"/>
      <c r="I112" s="68" t="s">
        <v>73</v>
      </c>
      <c r="J112" s="73">
        <f>0.4*I114/1.05</f>
        <v>5.2342857142857131</v>
      </c>
      <c r="K112" s="68"/>
      <c r="L112" s="68"/>
      <c r="M112" s="35"/>
      <c r="N112" s="12"/>
      <c r="O112" s="12"/>
      <c r="P112" s="12"/>
      <c r="Q112" s="12"/>
      <c r="R112" s="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row>
    <row r="113" spans="2:52" ht="26.1" customHeight="1" thickBot="1" x14ac:dyDescent="0.55000000000000004">
      <c r="B113" s="35"/>
      <c r="C113" s="70" t="s">
        <v>66</v>
      </c>
      <c r="D113" s="68"/>
      <c r="F113" s="68"/>
      <c r="G113" s="68"/>
      <c r="H113" s="68"/>
      <c r="I113" s="68"/>
      <c r="J113" s="68"/>
      <c r="M113" s="35"/>
      <c r="N113" s="12"/>
      <c r="O113" s="12"/>
      <c r="P113" s="12"/>
      <c r="Q113" s="12"/>
      <c r="R113" s="12"/>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row>
    <row r="114" spans="2:52" ht="26.1" customHeight="1" thickBot="1" x14ac:dyDescent="0.55000000000000004">
      <c r="B114" s="35"/>
      <c r="C114" s="75">
        <v>100</v>
      </c>
      <c r="D114" s="68"/>
      <c r="F114" s="68"/>
      <c r="G114" s="75">
        <f>106.95*0.9</f>
        <v>96.25500000000001</v>
      </c>
      <c r="H114" s="68"/>
      <c r="I114" s="75">
        <f>110-96.26</f>
        <v>13.739999999999995</v>
      </c>
      <c r="J114" s="68"/>
      <c r="N114" s="12"/>
      <c r="O114" s="12"/>
      <c r="P114" s="12"/>
      <c r="Q114" s="12"/>
      <c r="R114" s="12"/>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row>
    <row r="115" spans="2:52" ht="26.1" customHeight="1" thickBot="1" x14ac:dyDescent="0.55000000000000004">
      <c r="B115" s="35"/>
      <c r="C115" s="68"/>
      <c r="D115" s="68"/>
      <c r="F115" s="68"/>
      <c r="G115" s="68"/>
      <c r="H115" s="68"/>
      <c r="I115" s="68"/>
      <c r="J115" s="68"/>
      <c r="K115" s="68"/>
      <c r="N115" s="12"/>
      <c r="O115" s="12"/>
      <c r="P115" s="12"/>
      <c r="Q115" s="12"/>
      <c r="R115" s="12"/>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row>
    <row r="116" spans="2:52" ht="26.1" customHeight="1" thickBot="1" x14ac:dyDescent="0.55000000000000004">
      <c r="B116" s="35"/>
      <c r="C116" s="68"/>
      <c r="D116" s="75">
        <f>100*0.9</f>
        <v>90</v>
      </c>
      <c r="F116" s="75">
        <f>90*0.93</f>
        <v>83.7</v>
      </c>
      <c r="G116" s="68"/>
      <c r="H116" s="68"/>
      <c r="I116" s="68" t="s">
        <v>74</v>
      </c>
      <c r="J116" s="74">
        <f>0.6*I114+0.4*I118/1.05</f>
        <v>21.451619047619047</v>
      </c>
      <c r="K116" s="68"/>
      <c r="L116" s="68"/>
      <c r="M116" s="35"/>
      <c r="N116" s="12"/>
      <c r="O116" s="12"/>
      <c r="P116" s="12"/>
      <c r="Q116" s="12"/>
      <c r="R116" s="12"/>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row>
    <row r="117" spans="2:52" ht="26.1" customHeight="1" thickBot="1" x14ac:dyDescent="0.55000000000000004">
      <c r="B117" s="35"/>
      <c r="C117" s="68"/>
      <c r="D117" s="68"/>
      <c r="G117" s="68"/>
      <c r="H117" s="68"/>
      <c r="I117" s="68"/>
      <c r="J117" s="68"/>
      <c r="K117" s="68"/>
      <c r="L117" s="68"/>
      <c r="M117" s="35"/>
      <c r="N117" s="12"/>
      <c r="O117" s="12"/>
      <c r="P117" s="12"/>
      <c r="Q117" s="12"/>
      <c r="R117" s="12"/>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row>
    <row r="118" spans="2:52" ht="26.1" customHeight="1" thickBot="1" x14ac:dyDescent="0.55000000000000004">
      <c r="B118" s="68"/>
      <c r="C118" s="70" t="s">
        <v>69</v>
      </c>
      <c r="D118" s="68"/>
      <c r="G118" s="75">
        <f>F116*0.9</f>
        <v>75.33</v>
      </c>
      <c r="H118" s="68"/>
      <c r="I118" s="75">
        <f>110-75.33</f>
        <v>34.67</v>
      </c>
      <c r="J118" s="68"/>
      <c r="K118" s="68"/>
      <c r="L118" s="68"/>
      <c r="M118" s="35"/>
      <c r="N118" s="12"/>
      <c r="O118" s="12"/>
      <c r="P118" s="12"/>
      <c r="Q118" s="12"/>
      <c r="R118" s="12"/>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row>
    <row r="119" spans="2:52" ht="29.7" customHeight="1" thickBot="1" x14ac:dyDescent="0.55000000000000004">
      <c r="B119" s="68" t="s">
        <v>75</v>
      </c>
      <c r="C119" s="74">
        <f>M120*J112+M119*J116/1.05</f>
        <v>11.312616780045349</v>
      </c>
      <c r="D119" s="68"/>
      <c r="E119" s="68"/>
      <c r="G119" s="78"/>
      <c r="H119" s="68"/>
      <c r="I119" s="68"/>
      <c r="J119" s="68"/>
      <c r="K119" s="68"/>
      <c r="L119" s="35" t="s">
        <v>71</v>
      </c>
      <c r="M119" s="35">
        <f>1-0.6</f>
        <v>0.4</v>
      </c>
      <c r="N119" s="12"/>
      <c r="O119" s="12"/>
      <c r="P119" s="12"/>
      <c r="Q119" s="12"/>
      <c r="R119" s="12"/>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row>
    <row r="120" spans="2:52" ht="19.95" customHeight="1" thickBot="1" x14ac:dyDescent="0.55000000000000004">
      <c r="B120" s="35"/>
      <c r="C120" s="35"/>
      <c r="D120" s="35"/>
      <c r="E120" s="35"/>
      <c r="F120" s="35"/>
      <c r="G120" s="35"/>
      <c r="H120" s="35"/>
      <c r="I120" s="35"/>
      <c r="J120" s="35"/>
      <c r="K120" s="35"/>
      <c r="L120" t="s">
        <v>70</v>
      </c>
      <c r="M120" s="74">
        <f>0.15/0.25</f>
        <v>0.6</v>
      </c>
      <c r="N120" s="12"/>
      <c r="O120" s="12"/>
      <c r="P120" s="12"/>
      <c r="Q120" s="12"/>
      <c r="R120" s="12"/>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row>
    <row r="121" spans="2:52" ht="14.7" thickBot="1" x14ac:dyDescent="0.55000000000000004">
      <c r="C121" s="74"/>
    </row>
    <row r="122" spans="2:52" ht="24.75" customHeight="1" x14ac:dyDescent="0.5">
      <c r="C122" t="s">
        <v>126</v>
      </c>
      <c r="D122">
        <f>1-0.07</f>
        <v>0.92999999999999994</v>
      </c>
    </row>
  </sheetData>
  <mergeCells count="17">
    <mergeCell ref="B83:K83"/>
    <mergeCell ref="B89:K89"/>
    <mergeCell ref="B91:J91"/>
    <mergeCell ref="B105:K105"/>
    <mergeCell ref="B107:J107"/>
    <mergeCell ref="B68:J68"/>
    <mergeCell ref="C2:I2"/>
    <mergeCell ref="B4:L4"/>
    <mergeCell ref="C6:E6"/>
    <mergeCell ref="F6:H6"/>
    <mergeCell ref="B40:L40"/>
    <mergeCell ref="B50:K50"/>
    <mergeCell ref="B52:D52"/>
    <mergeCell ref="B54:K54"/>
    <mergeCell ref="B59:K59"/>
    <mergeCell ref="B64:L64"/>
    <mergeCell ref="B66:K6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7F91-6D3E-4F70-917E-CF618B268ECF}">
  <dimension ref="A1:BE122"/>
  <sheetViews>
    <sheetView workbookViewId="0">
      <selection activeCell="W12" sqref="W12"/>
    </sheetView>
  </sheetViews>
  <sheetFormatPr defaultRowHeight="12.7" x14ac:dyDescent="0.4"/>
  <cols>
    <col min="1" max="1" width="6.17578125" style="93" customWidth="1"/>
    <col min="2" max="6" width="6.17578125" style="95" customWidth="1"/>
    <col min="7" max="8" width="6.17578125" style="96" customWidth="1"/>
    <col min="9" max="10" width="6.17578125" style="95" customWidth="1"/>
    <col min="11" max="12" width="6.17578125" style="97" customWidth="1"/>
    <col min="13" max="13" width="6" style="2" customWidth="1"/>
    <col min="14" max="19" width="6.234375" style="191" customWidth="1"/>
    <col min="20" max="20" width="8.5859375" style="191" customWidth="1"/>
    <col min="21" max="21" width="6.234375" style="191" customWidth="1"/>
    <col min="22" max="22" width="19.5859375" style="97" customWidth="1"/>
    <col min="23" max="23" width="6.703125" style="192" customWidth="1"/>
    <col min="24" max="31" width="13.234375" style="97" customWidth="1"/>
    <col min="32" max="32" width="8.9375" style="97"/>
    <col min="33" max="33" width="8.41015625" style="97" customWidth="1"/>
    <col min="34" max="57" width="8.9375" style="97"/>
    <col min="58" max="262" width="8.9375" style="95"/>
    <col min="263" max="263" width="9.41015625" style="95" customWidth="1"/>
    <col min="264" max="264" width="11" style="95" customWidth="1"/>
    <col min="265" max="276" width="9.234375" style="95" customWidth="1"/>
    <col min="277" max="288" width="8.9375" style="95"/>
    <col min="289" max="289" width="10.5859375" style="95" customWidth="1"/>
    <col min="290" max="518" width="8.9375" style="95"/>
    <col min="519" max="519" width="9.41015625" style="95" customWidth="1"/>
    <col min="520" max="520" width="11" style="95" customWidth="1"/>
    <col min="521" max="532" width="9.234375" style="95" customWidth="1"/>
    <col min="533" max="544" width="8.9375" style="95"/>
    <col min="545" max="545" width="10.5859375" style="95" customWidth="1"/>
    <col min="546" max="774" width="8.9375" style="95"/>
    <col min="775" max="775" width="9.41015625" style="95" customWidth="1"/>
    <col min="776" max="776" width="11" style="95" customWidth="1"/>
    <col min="777" max="788" width="9.234375" style="95" customWidth="1"/>
    <col min="789" max="800" width="8.9375" style="95"/>
    <col min="801" max="801" width="10.5859375" style="95" customWidth="1"/>
    <col min="802" max="1030" width="8.9375" style="95"/>
    <col min="1031" max="1031" width="9.41015625" style="95" customWidth="1"/>
    <col min="1032" max="1032" width="11" style="95" customWidth="1"/>
    <col min="1033" max="1044" width="9.234375" style="95" customWidth="1"/>
    <col min="1045" max="1056" width="8.9375" style="95"/>
    <col min="1057" max="1057" width="10.5859375" style="95" customWidth="1"/>
    <col min="1058" max="1286" width="8.9375" style="95"/>
    <col min="1287" max="1287" width="9.41015625" style="95" customWidth="1"/>
    <col min="1288" max="1288" width="11" style="95" customWidth="1"/>
    <col min="1289" max="1300" width="9.234375" style="95" customWidth="1"/>
    <col min="1301" max="1312" width="8.9375" style="95"/>
    <col min="1313" max="1313" width="10.5859375" style="95" customWidth="1"/>
    <col min="1314" max="1542" width="8.9375" style="95"/>
    <col min="1543" max="1543" width="9.41015625" style="95" customWidth="1"/>
    <col min="1544" max="1544" width="11" style="95" customWidth="1"/>
    <col min="1545" max="1556" width="9.234375" style="95" customWidth="1"/>
    <col min="1557" max="1568" width="8.9375" style="95"/>
    <col min="1569" max="1569" width="10.5859375" style="95" customWidth="1"/>
    <col min="1570" max="1798" width="8.9375" style="95"/>
    <col min="1799" max="1799" width="9.41015625" style="95" customWidth="1"/>
    <col min="1800" max="1800" width="11" style="95" customWidth="1"/>
    <col min="1801" max="1812" width="9.234375" style="95" customWidth="1"/>
    <col min="1813" max="1824" width="8.9375" style="95"/>
    <col min="1825" max="1825" width="10.5859375" style="95" customWidth="1"/>
    <col min="1826" max="2054" width="8.9375" style="95"/>
    <col min="2055" max="2055" width="9.41015625" style="95" customWidth="1"/>
    <col min="2056" max="2056" width="11" style="95" customWidth="1"/>
    <col min="2057" max="2068" width="9.234375" style="95" customWidth="1"/>
    <col min="2069" max="2080" width="8.9375" style="95"/>
    <col min="2081" max="2081" width="10.5859375" style="95" customWidth="1"/>
    <col min="2082" max="2310" width="8.9375" style="95"/>
    <col min="2311" max="2311" width="9.41015625" style="95" customWidth="1"/>
    <col min="2312" max="2312" width="11" style="95" customWidth="1"/>
    <col min="2313" max="2324" width="9.234375" style="95" customWidth="1"/>
    <col min="2325" max="2336" width="8.9375" style="95"/>
    <col min="2337" max="2337" width="10.5859375" style="95" customWidth="1"/>
    <col min="2338" max="2566" width="8.9375" style="95"/>
    <col min="2567" max="2567" width="9.41015625" style="95" customWidth="1"/>
    <col min="2568" max="2568" width="11" style="95" customWidth="1"/>
    <col min="2569" max="2580" width="9.234375" style="95" customWidth="1"/>
    <col min="2581" max="2592" width="8.9375" style="95"/>
    <col min="2593" max="2593" width="10.5859375" style="95" customWidth="1"/>
    <col min="2594" max="2822" width="8.9375" style="95"/>
    <col min="2823" max="2823" width="9.41015625" style="95" customWidth="1"/>
    <col min="2824" max="2824" width="11" style="95" customWidth="1"/>
    <col min="2825" max="2836" width="9.234375" style="95" customWidth="1"/>
    <col min="2837" max="2848" width="8.9375" style="95"/>
    <col min="2849" max="2849" width="10.5859375" style="95" customWidth="1"/>
    <col min="2850" max="3078" width="8.9375" style="95"/>
    <col min="3079" max="3079" width="9.41015625" style="95" customWidth="1"/>
    <col min="3080" max="3080" width="11" style="95" customWidth="1"/>
    <col min="3081" max="3092" width="9.234375" style="95" customWidth="1"/>
    <col min="3093" max="3104" width="8.9375" style="95"/>
    <col min="3105" max="3105" width="10.5859375" style="95" customWidth="1"/>
    <col min="3106" max="3334" width="8.9375" style="95"/>
    <col min="3335" max="3335" width="9.41015625" style="95" customWidth="1"/>
    <col min="3336" max="3336" width="11" style="95" customWidth="1"/>
    <col min="3337" max="3348" width="9.234375" style="95" customWidth="1"/>
    <col min="3349" max="3360" width="8.9375" style="95"/>
    <col min="3361" max="3361" width="10.5859375" style="95" customWidth="1"/>
    <col min="3362" max="3590" width="8.9375" style="95"/>
    <col min="3591" max="3591" width="9.41015625" style="95" customWidth="1"/>
    <col min="3592" max="3592" width="11" style="95" customWidth="1"/>
    <col min="3593" max="3604" width="9.234375" style="95" customWidth="1"/>
    <col min="3605" max="3616" width="8.9375" style="95"/>
    <col min="3617" max="3617" width="10.5859375" style="95" customWidth="1"/>
    <col min="3618" max="3846" width="8.9375" style="95"/>
    <col min="3847" max="3847" width="9.41015625" style="95" customWidth="1"/>
    <col min="3848" max="3848" width="11" style="95" customWidth="1"/>
    <col min="3849" max="3860" width="9.234375" style="95" customWidth="1"/>
    <col min="3861" max="3872" width="8.9375" style="95"/>
    <col min="3873" max="3873" width="10.5859375" style="95" customWidth="1"/>
    <col min="3874" max="4102" width="8.9375" style="95"/>
    <col min="4103" max="4103" width="9.41015625" style="95" customWidth="1"/>
    <col min="4104" max="4104" width="11" style="95" customWidth="1"/>
    <col min="4105" max="4116" width="9.234375" style="95" customWidth="1"/>
    <col min="4117" max="4128" width="8.9375" style="95"/>
    <col min="4129" max="4129" width="10.5859375" style="95" customWidth="1"/>
    <col min="4130" max="4358" width="8.9375" style="95"/>
    <col min="4359" max="4359" width="9.41015625" style="95" customWidth="1"/>
    <col min="4360" max="4360" width="11" style="95" customWidth="1"/>
    <col min="4361" max="4372" width="9.234375" style="95" customWidth="1"/>
    <col min="4373" max="4384" width="8.9375" style="95"/>
    <col min="4385" max="4385" width="10.5859375" style="95" customWidth="1"/>
    <col min="4386" max="4614" width="8.9375" style="95"/>
    <col min="4615" max="4615" width="9.41015625" style="95" customWidth="1"/>
    <col min="4616" max="4616" width="11" style="95" customWidth="1"/>
    <col min="4617" max="4628" width="9.234375" style="95" customWidth="1"/>
    <col min="4629" max="4640" width="8.9375" style="95"/>
    <col min="4641" max="4641" width="10.5859375" style="95" customWidth="1"/>
    <col min="4642" max="4870" width="8.9375" style="95"/>
    <col min="4871" max="4871" width="9.41015625" style="95" customWidth="1"/>
    <col min="4872" max="4872" width="11" style="95" customWidth="1"/>
    <col min="4873" max="4884" width="9.234375" style="95" customWidth="1"/>
    <col min="4885" max="4896" width="8.9375" style="95"/>
    <col min="4897" max="4897" width="10.5859375" style="95" customWidth="1"/>
    <col min="4898" max="5126" width="8.9375" style="95"/>
    <col min="5127" max="5127" width="9.41015625" style="95" customWidth="1"/>
    <col min="5128" max="5128" width="11" style="95" customWidth="1"/>
    <col min="5129" max="5140" width="9.234375" style="95" customWidth="1"/>
    <col min="5141" max="5152" width="8.9375" style="95"/>
    <col min="5153" max="5153" width="10.5859375" style="95" customWidth="1"/>
    <col min="5154" max="5382" width="8.9375" style="95"/>
    <col min="5383" max="5383" width="9.41015625" style="95" customWidth="1"/>
    <col min="5384" max="5384" width="11" style="95" customWidth="1"/>
    <col min="5385" max="5396" width="9.234375" style="95" customWidth="1"/>
    <col min="5397" max="5408" width="8.9375" style="95"/>
    <col min="5409" max="5409" width="10.5859375" style="95" customWidth="1"/>
    <col min="5410" max="5638" width="8.9375" style="95"/>
    <col min="5639" max="5639" width="9.41015625" style="95" customWidth="1"/>
    <col min="5640" max="5640" width="11" style="95" customWidth="1"/>
    <col min="5641" max="5652" width="9.234375" style="95" customWidth="1"/>
    <col min="5653" max="5664" width="8.9375" style="95"/>
    <col min="5665" max="5665" width="10.5859375" style="95" customWidth="1"/>
    <col min="5666" max="5894" width="8.9375" style="95"/>
    <col min="5895" max="5895" width="9.41015625" style="95" customWidth="1"/>
    <col min="5896" max="5896" width="11" style="95" customWidth="1"/>
    <col min="5897" max="5908" width="9.234375" style="95" customWidth="1"/>
    <col min="5909" max="5920" width="8.9375" style="95"/>
    <col min="5921" max="5921" width="10.5859375" style="95" customWidth="1"/>
    <col min="5922" max="6150" width="8.9375" style="95"/>
    <col min="6151" max="6151" width="9.41015625" style="95" customWidth="1"/>
    <col min="6152" max="6152" width="11" style="95" customWidth="1"/>
    <col min="6153" max="6164" width="9.234375" style="95" customWidth="1"/>
    <col min="6165" max="6176" width="8.9375" style="95"/>
    <col min="6177" max="6177" width="10.5859375" style="95" customWidth="1"/>
    <col min="6178" max="6406" width="8.9375" style="95"/>
    <col min="6407" max="6407" width="9.41015625" style="95" customWidth="1"/>
    <col min="6408" max="6408" width="11" style="95" customWidth="1"/>
    <col min="6409" max="6420" width="9.234375" style="95" customWidth="1"/>
    <col min="6421" max="6432" width="8.9375" style="95"/>
    <col min="6433" max="6433" width="10.5859375" style="95" customWidth="1"/>
    <col min="6434" max="6662" width="8.9375" style="95"/>
    <col min="6663" max="6663" width="9.41015625" style="95" customWidth="1"/>
    <col min="6664" max="6664" width="11" style="95" customWidth="1"/>
    <col min="6665" max="6676" width="9.234375" style="95" customWidth="1"/>
    <col min="6677" max="6688" width="8.9375" style="95"/>
    <col min="6689" max="6689" width="10.5859375" style="95" customWidth="1"/>
    <col min="6690" max="6918" width="8.9375" style="95"/>
    <col min="6919" max="6919" width="9.41015625" style="95" customWidth="1"/>
    <col min="6920" max="6920" width="11" style="95" customWidth="1"/>
    <col min="6921" max="6932" width="9.234375" style="95" customWidth="1"/>
    <col min="6933" max="6944" width="8.9375" style="95"/>
    <col min="6945" max="6945" width="10.5859375" style="95" customWidth="1"/>
    <col min="6946" max="7174" width="8.9375" style="95"/>
    <col min="7175" max="7175" width="9.41015625" style="95" customWidth="1"/>
    <col min="7176" max="7176" width="11" style="95" customWidth="1"/>
    <col min="7177" max="7188" width="9.234375" style="95" customWidth="1"/>
    <col min="7189" max="7200" width="8.9375" style="95"/>
    <col min="7201" max="7201" width="10.5859375" style="95" customWidth="1"/>
    <col min="7202" max="7430" width="8.9375" style="95"/>
    <col min="7431" max="7431" width="9.41015625" style="95" customWidth="1"/>
    <col min="7432" max="7432" width="11" style="95" customWidth="1"/>
    <col min="7433" max="7444" width="9.234375" style="95" customWidth="1"/>
    <col min="7445" max="7456" width="8.9375" style="95"/>
    <col min="7457" max="7457" width="10.5859375" style="95" customWidth="1"/>
    <col min="7458" max="7686" width="8.9375" style="95"/>
    <col min="7687" max="7687" width="9.41015625" style="95" customWidth="1"/>
    <col min="7688" max="7688" width="11" style="95" customWidth="1"/>
    <col min="7689" max="7700" width="9.234375" style="95" customWidth="1"/>
    <col min="7701" max="7712" width="8.9375" style="95"/>
    <col min="7713" max="7713" width="10.5859375" style="95" customWidth="1"/>
    <col min="7714" max="7942" width="8.9375" style="95"/>
    <col min="7943" max="7943" width="9.41015625" style="95" customWidth="1"/>
    <col min="7944" max="7944" width="11" style="95" customWidth="1"/>
    <col min="7945" max="7956" width="9.234375" style="95" customWidth="1"/>
    <col min="7957" max="7968" width="8.9375" style="95"/>
    <col min="7969" max="7969" width="10.5859375" style="95" customWidth="1"/>
    <col min="7970" max="8198" width="8.9375" style="95"/>
    <col min="8199" max="8199" width="9.41015625" style="95" customWidth="1"/>
    <col min="8200" max="8200" width="11" style="95" customWidth="1"/>
    <col min="8201" max="8212" width="9.234375" style="95" customWidth="1"/>
    <col min="8213" max="8224" width="8.9375" style="95"/>
    <col min="8225" max="8225" width="10.5859375" style="95" customWidth="1"/>
    <col min="8226" max="8454" width="8.9375" style="95"/>
    <col min="8455" max="8455" width="9.41015625" style="95" customWidth="1"/>
    <col min="8456" max="8456" width="11" style="95" customWidth="1"/>
    <col min="8457" max="8468" width="9.234375" style="95" customWidth="1"/>
    <col min="8469" max="8480" width="8.9375" style="95"/>
    <col min="8481" max="8481" width="10.5859375" style="95" customWidth="1"/>
    <col min="8482" max="8710" width="8.9375" style="95"/>
    <col min="8711" max="8711" width="9.41015625" style="95" customWidth="1"/>
    <col min="8712" max="8712" width="11" style="95" customWidth="1"/>
    <col min="8713" max="8724" width="9.234375" style="95" customWidth="1"/>
    <col min="8725" max="8736" width="8.9375" style="95"/>
    <col min="8737" max="8737" width="10.5859375" style="95" customWidth="1"/>
    <col min="8738" max="8966" width="8.9375" style="95"/>
    <col min="8967" max="8967" width="9.41015625" style="95" customWidth="1"/>
    <col min="8968" max="8968" width="11" style="95" customWidth="1"/>
    <col min="8969" max="8980" width="9.234375" style="95" customWidth="1"/>
    <col min="8981" max="8992" width="8.9375" style="95"/>
    <col min="8993" max="8993" width="10.5859375" style="95" customWidth="1"/>
    <col min="8994" max="9222" width="8.9375" style="95"/>
    <col min="9223" max="9223" width="9.41015625" style="95" customWidth="1"/>
    <col min="9224" max="9224" width="11" style="95" customWidth="1"/>
    <col min="9225" max="9236" width="9.234375" style="95" customWidth="1"/>
    <col min="9237" max="9248" width="8.9375" style="95"/>
    <col min="9249" max="9249" width="10.5859375" style="95" customWidth="1"/>
    <col min="9250" max="9478" width="8.9375" style="95"/>
    <col min="9479" max="9479" width="9.41015625" style="95" customWidth="1"/>
    <col min="9480" max="9480" width="11" style="95" customWidth="1"/>
    <col min="9481" max="9492" width="9.234375" style="95" customWidth="1"/>
    <col min="9493" max="9504" width="8.9375" style="95"/>
    <col min="9505" max="9505" width="10.5859375" style="95" customWidth="1"/>
    <col min="9506" max="9734" width="8.9375" style="95"/>
    <col min="9735" max="9735" width="9.41015625" style="95" customWidth="1"/>
    <col min="9736" max="9736" width="11" style="95" customWidth="1"/>
    <col min="9737" max="9748" width="9.234375" style="95" customWidth="1"/>
    <col min="9749" max="9760" width="8.9375" style="95"/>
    <col min="9761" max="9761" width="10.5859375" style="95" customWidth="1"/>
    <col min="9762" max="9990" width="8.9375" style="95"/>
    <col min="9991" max="9991" width="9.41015625" style="95" customWidth="1"/>
    <col min="9992" max="9992" width="11" style="95" customWidth="1"/>
    <col min="9993" max="10004" width="9.234375" style="95" customWidth="1"/>
    <col min="10005" max="10016" width="8.9375" style="95"/>
    <col min="10017" max="10017" width="10.5859375" style="95" customWidth="1"/>
    <col min="10018" max="10246" width="8.9375" style="95"/>
    <col min="10247" max="10247" width="9.41015625" style="95" customWidth="1"/>
    <col min="10248" max="10248" width="11" style="95" customWidth="1"/>
    <col min="10249" max="10260" width="9.234375" style="95" customWidth="1"/>
    <col min="10261" max="10272" width="8.9375" style="95"/>
    <col min="10273" max="10273" width="10.5859375" style="95" customWidth="1"/>
    <col min="10274" max="10502" width="8.9375" style="95"/>
    <col min="10503" max="10503" width="9.41015625" style="95" customWidth="1"/>
    <col min="10504" max="10504" width="11" style="95" customWidth="1"/>
    <col min="10505" max="10516" width="9.234375" style="95" customWidth="1"/>
    <col min="10517" max="10528" width="8.9375" style="95"/>
    <col min="10529" max="10529" width="10.5859375" style="95" customWidth="1"/>
    <col min="10530" max="10758" width="8.9375" style="95"/>
    <col min="10759" max="10759" width="9.41015625" style="95" customWidth="1"/>
    <col min="10760" max="10760" width="11" style="95" customWidth="1"/>
    <col min="10761" max="10772" width="9.234375" style="95" customWidth="1"/>
    <col min="10773" max="10784" width="8.9375" style="95"/>
    <col min="10785" max="10785" width="10.5859375" style="95" customWidth="1"/>
    <col min="10786" max="11014" width="8.9375" style="95"/>
    <col min="11015" max="11015" width="9.41015625" style="95" customWidth="1"/>
    <col min="11016" max="11016" width="11" style="95" customWidth="1"/>
    <col min="11017" max="11028" width="9.234375" style="95" customWidth="1"/>
    <col min="11029" max="11040" width="8.9375" style="95"/>
    <col min="11041" max="11041" width="10.5859375" style="95" customWidth="1"/>
    <col min="11042" max="11270" width="8.9375" style="95"/>
    <col min="11271" max="11271" width="9.41015625" style="95" customWidth="1"/>
    <col min="11272" max="11272" width="11" style="95" customWidth="1"/>
    <col min="11273" max="11284" width="9.234375" style="95" customWidth="1"/>
    <col min="11285" max="11296" width="8.9375" style="95"/>
    <col min="11297" max="11297" width="10.5859375" style="95" customWidth="1"/>
    <col min="11298" max="11526" width="8.9375" style="95"/>
    <col min="11527" max="11527" width="9.41015625" style="95" customWidth="1"/>
    <col min="11528" max="11528" width="11" style="95" customWidth="1"/>
    <col min="11529" max="11540" width="9.234375" style="95" customWidth="1"/>
    <col min="11541" max="11552" width="8.9375" style="95"/>
    <col min="11553" max="11553" width="10.5859375" style="95" customWidth="1"/>
    <col min="11554" max="11782" width="8.9375" style="95"/>
    <col min="11783" max="11783" width="9.41015625" style="95" customWidth="1"/>
    <col min="11784" max="11784" width="11" style="95" customWidth="1"/>
    <col min="11785" max="11796" width="9.234375" style="95" customWidth="1"/>
    <col min="11797" max="11808" width="8.9375" style="95"/>
    <col min="11809" max="11809" width="10.5859375" style="95" customWidth="1"/>
    <col min="11810" max="12038" width="8.9375" style="95"/>
    <col min="12039" max="12039" width="9.41015625" style="95" customWidth="1"/>
    <col min="12040" max="12040" width="11" style="95" customWidth="1"/>
    <col min="12041" max="12052" width="9.234375" style="95" customWidth="1"/>
    <col min="12053" max="12064" width="8.9375" style="95"/>
    <col min="12065" max="12065" width="10.5859375" style="95" customWidth="1"/>
    <col min="12066" max="12294" width="8.9375" style="95"/>
    <col min="12295" max="12295" width="9.41015625" style="95" customWidth="1"/>
    <col min="12296" max="12296" width="11" style="95" customWidth="1"/>
    <col min="12297" max="12308" width="9.234375" style="95" customWidth="1"/>
    <col min="12309" max="12320" width="8.9375" style="95"/>
    <col min="12321" max="12321" width="10.5859375" style="95" customWidth="1"/>
    <col min="12322" max="12550" width="8.9375" style="95"/>
    <col min="12551" max="12551" width="9.41015625" style="95" customWidth="1"/>
    <col min="12552" max="12552" width="11" style="95" customWidth="1"/>
    <col min="12553" max="12564" width="9.234375" style="95" customWidth="1"/>
    <col min="12565" max="12576" width="8.9375" style="95"/>
    <col min="12577" max="12577" width="10.5859375" style="95" customWidth="1"/>
    <col min="12578" max="12806" width="8.9375" style="95"/>
    <col min="12807" max="12807" width="9.41015625" style="95" customWidth="1"/>
    <col min="12808" max="12808" width="11" style="95" customWidth="1"/>
    <col min="12809" max="12820" width="9.234375" style="95" customWidth="1"/>
    <col min="12821" max="12832" width="8.9375" style="95"/>
    <col min="12833" max="12833" width="10.5859375" style="95" customWidth="1"/>
    <col min="12834" max="13062" width="8.9375" style="95"/>
    <col min="13063" max="13063" width="9.41015625" style="95" customWidth="1"/>
    <col min="13064" max="13064" width="11" style="95" customWidth="1"/>
    <col min="13065" max="13076" width="9.234375" style="95" customWidth="1"/>
    <col min="13077" max="13088" width="8.9375" style="95"/>
    <col min="13089" max="13089" width="10.5859375" style="95" customWidth="1"/>
    <col min="13090" max="13318" width="8.9375" style="95"/>
    <col min="13319" max="13319" width="9.41015625" style="95" customWidth="1"/>
    <col min="13320" max="13320" width="11" style="95" customWidth="1"/>
    <col min="13321" max="13332" width="9.234375" style="95" customWidth="1"/>
    <col min="13333" max="13344" width="8.9375" style="95"/>
    <col min="13345" max="13345" width="10.5859375" style="95" customWidth="1"/>
    <col min="13346" max="13574" width="8.9375" style="95"/>
    <col min="13575" max="13575" width="9.41015625" style="95" customWidth="1"/>
    <col min="13576" max="13576" width="11" style="95" customWidth="1"/>
    <col min="13577" max="13588" width="9.234375" style="95" customWidth="1"/>
    <col min="13589" max="13600" width="8.9375" style="95"/>
    <col min="13601" max="13601" width="10.5859375" style="95" customWidth="1"/>
    <col min="13602" max="13830" width="8.9375" style="95"/>
    <col min="13831" max="13831" width="9.41015625" style="95" customWidth="1"/>
    <col min="13832" max="13832" width="11" style="95" customWidth="1"/>
    <col min="13833" max="13844" width="9.234375" style="95" customWidth="1"/>
    <col min="13845" max="13856" width="8.9375" style="95"/>
    <col min="13857" max="13857" width="10.5859375" style="95" customWidth="1"/>
    <col min="13858" max="14086" width="8.9375" style="95"/>
    <col min="14087" max="14087" width="9.41015625" style="95" customWidth="1"/>
    <col min="14088" max="14088" width="11" style="95" customWidth="1"/>
    <col min="14089" max="14100" width="9.234375" style="95" customWidth="1"/>
    <col min="14101" max="14112" width="8.9375" style="95"/>
    <col min="14113" max="14113" width="10.5859375" style="95" customWidth="1"/>
    <col min="14114" max="14342" width="8.9375" style="95"/>
    <col min="14343" max="14343" width="9.41015625" style="95" customWidth="1"/>
    <col min="14344" max="14344" width="11" style="95" customWidth="1"/>
    <col min="14345" max="14356" width="9.234375" style="95" customWidth="1"/>
    <col min="14357" max="14368" width="8.9375" style="95"/>
    <col min="14369" max="14369" width="10.5859375" style="95" customWidth="1"/>
    <col min="14370" max="14598" width="8.9375" style="95"/>
    <col min="14599" max="14599" width="9.41015625" style="95" customWidth="1"/>
    <col min="14600" max="14600" width="11" style="95" customWidth="1"/>
    <col min="14601" max="14612" width="9.234375" style="95" customWidth="1"/>
    <col min="14613" max="14624" width="8.9375" style="95"/>
    <col min="14625" max="14625" width="10.5859375" style="95" customWidth="1"/>
    <col min="14626" max="14854" width="8.9375" style="95"/>
    <col min="14855" max="14855" width="9.41015625" style="95" customWidth="1"/>
    <col min="14856" max="14856" width="11" style="95" customWidth="1"/>
    <col min="14857" max="14868" width="9.234375" style="95" customWidth="1"/>
    <col min="14869" max="14880" width="8.9375" style="95"/>
    <col min="14881" max="14881" width="10.5859375" style="95" customWidth="1"/>
    <col min="14882" max="15110" width="8.9375" style="95"/>
    <col min="15111" max="15111" width="9.41015625" style="95" customWidth="1"/>
    <col min="15112" max="15112" width="11" style="95" customWidth="1"/>
    <col min="15113" max="15124" width="9.234375" style="95" customWidth="1"/>
    <col min="15125" max="15136" width="8.9375" style="95"/>
    <col min="15137" max="15137" width="10.5859375" style="95" customWidth="1"/>
    <col min="15138" max="15366" width="8.9375" style="95"/>
    <col min="15367" max="15367" width="9.41015625" style="95" customWidth="1"/>
    <col min="15368" max="15368" width="11" style="95" customWidth="1"/>
    <col min="15369" max="15380" width="9.234375" style="95" customWidth="1"/>
    <col min="15381" max="15392" width="8.9375" style="95"/>
    <col min="15393" max="15393" width="10.5859375" style="95" customWidth="1"/>
    <col min="15394" max="15622" width="8.9375" style="95"/>
    <col min="15623" max="15623" width="9.41015625" style="95" customWidth="1"/>
    <col min="15624" max="15624" width="11" style="95" customWidth="1"/>
    <col min="15625" max="15636" width="9.234375" style="95" customWidth="1"/>
    <col min="15637" max="15648" width="8.9375" style="95"/>
    <col min="15649" max="15649" width="10.5859375" style="95" customWidth="1"/>
    <col min="15650" max="15878" width="8.9375" style="95"/>
    <col min="15879" max="15879" width="9.41015625" style="95" customWidth="1"/>
    <col min="15880" max="15880" width="11" style="95" customWidth="1"/>
    <col min="15881" max="15892" width="9.234375" style="95" customWidth="1"/>
    <col min="15893" max="15904" width="8.9375" style="95"/>
    <col min="15905" max="15905" width="10.5859375" style="95" customWidth="1"/>
    <col min="15906" max="16134" width="8.9375" style="95"/>
    <col min="16135" max="16135" width="9.41015625" style="95" customWidth="1"/>
    <col min="16136" max="16136" width="11" style="95" customWidth="1"/>
    <col min="16137" max="16148" width="9.234375" style="95" customWidth="1"/>
    <col min="16149" max="16160" width="8.9375" style="95"/>
    <col min="16161" max="16161" width="10.5859375" style="95" customWidth="1"/>
    <col min="16162" max="16384" width="8.9375" style="95"/>
  </cols>
  <sheetData>
    <row r="1" spans="1:26" ht="17.7" customHeight="1" thickBot="1" x14ac:dyDescent="0.45">
      <c r="B1" s="94" t="s">
        <v>87</v>
      </c>
      <c r="N1" s="186" t="s">
        <v>101</v>
      </c>
      <c r="O1" s="197"/>
      <c r="P1" s="197"/>
      <c r="Q1" s="197"/>
      <c r="R1" s="197"/>
      <c r="S1" s="197"/>
      <c r="T1" s="187">
        <f>100+SUM(T8:T120)</f>
        <v>56</v>
      </c>
      <c r="U1" s="197"/>
      <c r="V1" s="97" t="str">
        <f>+C2</f>
        <v>Muhammed Said Tanil</v>
      </c>
    </row>
    <row r="2" spans="1:26" ht="22" customHeight="1" thickBot="1" x14ac:dyDescent="0.45">
      <c r="B2" s="98" t="s">
        <v>88</v>
      </c>
      <c r="C2" s="224" t="str">
        <f>+INPUT!C2</f>
        <v>Muhammed Said Tanil</v>
      </c>
      <c r="D2" s="225"/>
      <c r="E2" s="225"/>
      <c r="F2" s="225"/>
      <c r="G2" s="225"/>
      <c r="H2" s="225"/>
      <c r="I2" s="226"/>
      <c r="L2" s="99" t="s">
        <v>19</v>
      </c>
      <c r="N2" s="186"/>
      <c r="O2" s="197"/>
      <c r="P2" s="197"/>
      <c r="Q2" s="197"/>
      <c r="R2" s="197"/>
      <c r="S2" s="197"/>
      <c r="T2" s="197">
        <f>SUM(T19:T120)</f>
        <v>-44</v>
      </c>
      <c r="U2" s="197"/>
    </row>
    <row r="3" spans="1:26" ht="17.7" customHeight="1" x14ac:dyDescent="0.4">
      <c r="N3" s="186"/>
      <c r="O3" s="197"/>
      <c r="P3" s="197"/>
      <c r="Q3" s="197"/>
      <c r="R3" s="197"/>
      <c r="S3" s="197"/>
      <c r="T3" s="197"/>
      <c r="U3" s="197"/>
    </row>
    <row r="4" spans="1:26" ht="17.7" customHeight="1" x14ac:dyDescent="0.35">
      <c r="B4" s="227" t="s">
        <v>76</v>
      </c>
      <c r="C4" s="228"/>
      <c r="D4" s="228"/>
      <c r="E4" s="228"/>
      <c r="F4" s="228"/>
      <c r="G4" s="228"/>
      <c r="H4" s="228"/>
      <c r="I4" s="228"/>
      <c r="J4" s="228"/>
      <c r="K4" s="229"/>
      <c r="L4" s="229"/>
      <c r="M4" s="181"/>
      <c r="N4" s="186"/>
      <c r="O4" s="185"/>
      <c r="P4" s="185"/>
      <c r="Q4" s="185"/>
      <c r="R4" s="185"/>
      <c r="S4" s="185"/>
      <c r="T4" s="185"/>
      <c r="U4" s="185"/>
      <c r="V4" s="100"/>
      <c r="W4" s="193"/>
      <c r="X4" s="100"/>
      <c r="Y4" s="100"/>
      <c r="Z4" s="100"/>
    </row>
    <row r="5" spans="1:26" ht="9.6999999999999993" customHeight="1" thickBot="1" x14ac:dyDescent="0.5">
      <c r="B5" s="93"/>
      <c r="C5" s="93"/>
      <c r="D5" s="93"/>
      <c r="E5" s="93"/>
      <c r="F5" s="93"/>
      <c r="G5" s="93"/>
      <c r="H5" s="93"/>
      <c r="I5" s="93"/>
      <c r="J5" s="93"/>
      <c r="K5" s="93"/>
      <c r="L5" s="93"/>
      <c r="M5" s="182"/>
      <c r="N5" s="186"/>
      <c r="O5" s="185"/>
      <c r="P5" s="185"/>
      <c r="Q5" s="185"/>
      <c r="R5" s="185"/>
      <c r="S5" s="185"/>
      <c r="T5" s="185"/>
      <c r="U5" s="185"/>
      <c r="V5" s="100"/>
      <c r="W5" s="193"/>
      <c r="X5" s="100"/>
      <c r="Y5" s="100"/>
      <c r="Z5" s="100"/>
    </row>
    <row r="6" spans="1:26" ht="9.6999999999999993" customHeight="1" x14ac:dyDescent="0.4">
      <c r="C6" s="230" t="s">
        <v>36</v>
      </c>
      <c r="D6" s="231"/>
      <c r="E6" s="232"/>
      <c r="F6" s="230" t="s">
        <v>37</v>
      </c>
      <c r="G6" s="231"/>
      <c r="H6" s="232"/>
      <c r="N6" s="188"/>
      <c r="O6" s="197"/>
      <c r="P6" s="197"/>
      <c r="Q6" s="197"/>
      <c r="R6" s="197"/>
      <c r="S6" s="197"/>
      <c r="T6" s="197"/>
      <c r="U6" s="197"/>
    </row>
    <row r="7" spans="1:26" ht="9.6999999999999993" customHeight="1" x14ac:dyDescent="0.4">
      <c r="B7" s="101" t="s">
        <v>32</v>
      </c>
      <c r="C7" s="102" t="s">
        <v>33</v>
      </c>
      <c r="D7" s="103" t="s">
        <v>34</v>
      </c>
      <c r="E7" s="104" t="s">
        <v>35</v>
      </c>
      <c r="F7" s="102" t="s">
        <v>33</v>
      </c>
      <c r="G7" s="103" t="s">
        <v>34</v>
      </c>
      <c r="H7" s="104" t="s">
        <v>35</v>
      </c>
      <c r="N7" s="188"/>
      <c r="O7" s="197"/>
      <c r="P7" s="197"/>
      <c r="Q7" s="197"/>
      <c r="R7" s="197"/>
      <c r="S7" s="197"/>
      <c r="T7" s="197"/>
      <c r="U7" s="197"/>
    </row>
    <row r="8" spans="1:26" ht="9.6999999999999993" customHeight="1" x14ac:dyDescent="0.4">
      <c r="B8" s="105">
        <v>150</v>
      </c>
      <c r="C8" s="106">
        <v>20</v>
      </c>
      <c r="D8" s="107">
        <v>21.5</v>
      </c>
      <c r="E8" s="108">
        <v>23</v>
      </c>
      <c r="F8" s="109">
        <v>3</v>
      </c>
      <c r="G8" s="110">
        <v>3.5</v>
      </c>
      <c r="H8" s="111">
        <v>4.45</v>
      </c>
      <c r="N8" s="188"/>
      <c r="O8" s="197"/>
      <c r="P8" s="197"/>
      <c r="Q8" s="197"/>
      <c r="R8" s="197"/>
      <c r="S8" s="197"/>
      <c r="T8" s="197"/>
      <c r="U8" s="197"/>
    </row>
    <row r="9" spans="1:26" ht="9.6999999999999993" customHeight="1" x14ac:dyDescent="0.4">
      <c r="B9" s="105">
        <f>+B8+5</f>
        <v>155</v>
      </c>
      <c r="C9" s="106">
        <v>15.5</v>
      </c>
      <c r="D9" s="107">
        <v>16.25</v>
      </c>
      <c r="E9" s="108">
        <v>17.75</v>
      </c>
      <c r="F9" s="109">
        <v>4.0999999999999996</v>
      </c>
      <c r="G9" s="110">
        <v>4.9000000000000004</v>
      </c>
      <c r="H9" s="111">
        <v>5.9</v>
      </c>
      <c r="N9" s="188"/>
      <c r="O9" s="197"/>
      <c r="P9" s="197"/>
      <c r="Q9" s="197"/>
      <c r="R9" s="197"/>
      <c r="S9" s="197"/>
      <c r="T9" s="197"/>
      <c r="U9" s="197"/>
    </row>
    <row r="10" spans="1:26" ht="9.6999999999999993" customHeight="1" x14ac:dyDescent="0.4">
      <c r="B10" s="105">
        <f t="shared" ref="B10:B14" si="0">+B9+5</f>
        <v>160</v>
      </c>
      <c r="C10" s="106">
        <v>12.5</v>
      </c>
      <c r="D10" s="107">
        <v>12.85</v>
      </c>
      <c r="E10" s="108">
        <v>13.5</v>
      </c>
      <c r="F10" s="109">
        <v>5.3</v>
      </c>
      <c r="G10" s="110">
        <v>6</v>
      </c>
      <c r="H10" s="111">
        <v>6.8</v>
      </c>
      <c r="N10" s="188"/>
      <c r="O10" s="197"/>
      <c r="P10" s="197"/>
      <c r="Q10" s="197"/>
      <c r="R10" s="197"/>
      <c r="S10" s="197"/>
      <c r="T10" s="197"/>
      <c r="U10" s="197"/>
    </row>
    <row r="11" spans="1:26" ht="9.6999999999999993" customHeight="1" x14ac:dyDescent="0.4">
      <c r="B11" s="105">
        <f t="shared" si="0"/>
        <v>165</v>
      </c>
      <c r="C11" s="106">
        <v>8.1</v>
      </c>
      <c r="D11" s="107">
        <v>9</v>
      </c>
      <c r="E11" s="108">
        <v>10.65</v>
      </c>
      <c r="F11" s="109">
        <v>7</v>
      </c>
      <c r="G11" s="110">
        <v>8</v>
      </c>
      <c r="H11" s="111">
        <v>9.1999999999999993</v>
      </c>
      <c r="N11" s="188"/>
      <c r="O11" s="197"/>
      <c r="P11" s="197"/>
      <c r="Q11" s="197"/>
      <c r="R11" s="197"/>
      <c r="S11" s="197"/>
      <c r="T11" s="197"/>
      <c r="U11" s="197"/>
    </row>
    <row r="12" spans="1:26" ht="9.6999999999999993" customHeight="1" x14ac:dyDescent="0.4">
      <c r="B12" s="105">
        <f t="shared" si="0"/>
        <v>170</v>
      </c>
      <c r="C12" s="106">
        <v>5.2</v>
      </c>
      <c r="D12" s="107">
        <v>6.3</v>
      </c>
      <c r="E12" s="108">
        <v>8.5</v>
      </c>
      <c r="F12" s="109">
        <v>9.4</v>
      </c>
      <c r="G12" s="110">
        <v>10.75</v>
      </c>
      <c r="H12" s="111">
        <v>12.45</v>
      </c>
      <c r="N12" s="188"/>
      <c r="O12" s="197"/>
      <c r="P12" s="197"/>
      <c r="Q12" s="197"/>
      <c r="R12" s="197"/>
      <c r="S12" s="197"/>
      <c r="T12" s="197"/>
      <c r="U12" s="197"/>
    </row>
    <row r="13" spans="1:26" ht="9.6999999999999993" customHeight="1" x14ac:dyDescent="0.4">
      <c r="B13" s="105">
        <f t="shared" si="0"/>
        <v>175</v>
      </c>
      <c r="C13" s="106">
        <v>3.25</v>
      </c>
      <c r="D13" s="107">
        <v>4.25</v>
      </c>
      <c r="E13" s="108">
        <v>5.75</v>
      </c>
      <c r="F13" s="109">
        <v>13</v>
      </c>
      <c r="G13" s="110">
        <v>14.3</v>
      </c>
      <c r="H13" s="111">
        <v>14.2</v>
      </c>
      <c r="N13" s="188"/>
      <c r="O13" s="197"/>
      <c r="P13" s="197"/>
      <c r="Q13" s="197"/>
      <c r="R13" s="197"/>
      <c r="S13" s="197"/>
      <c r="T13" s="197"/>
      <c r="U13" s="197"/>
    </row>
    <row r="14" spans="1:26" ht="9.6999999999999993" customHeight="1" thickBot="1" x14ac:dyDescent="0.45">
      <c r="B14" s="105">
        <f t="shared" si="0"/>
        <v>180</v>
      </c>
      <c r="C14" s="112">
        <v>2.5</v>
      </c>
      <c r="D14" s="113">
        <v>3.4</v>
      </c>
      <c r="E14" s="114">
        <v>4.45</v>
      </c>
      <c r="F14" s="115">
        <v>15</v>
      </c>
      <c r="G14" s="116">
        <v>16.100000000000001</v>
      </c>
      <c r="H14" s="117">
        <v>17.75</v>
      </c>
      <c r="N14" s="188"/>
      <c r="O14" s="197"/>
      <c r="P14" s="197"/>
      <c r="Q14" s="197"/>
      <c r="R14" s="197"/>
      <c r="S14" s="197"/>
      <c r="T14" s="197"/>
      <c r="U14" s="197"/>
    </row>
    <row r="15" spans="1:26" ht="9.6999999999999993" customHeight="1" x14ac:dyDescent="0.4">
      <c r="N15" s="188"/>
      <c r="O15" s="197"/>
      <c r="P15" s="197"/>
      <c r="Q15" s="197"/>
      <c r="R15" s="197"/>
      <c r="S15" s="197"/>
      <c r="T15" s="197"/>
      <c r="U15" s="197"/>
    </row>
    <row r="16" spans="1:26" s="97" customFormat="1" ht="17.7" customHeight="1" x14ac:dyDescent="0.4">
      <c r="A16" s="118"/>
      <c r="B16" s="119" t="s">
        <v>50</v>
      </c>
      <c r="G16" s="120"/>
      <c r="H16" s="120"/>
      <c r="M16" s="2"/>
      <c r="N16" s="188"/>
      <c r="O16" s="197"/>
      <c r="P16" s="197"/>
      <c r="Q16" s="197"/>
      <c r="R16" s="197"/>
      <c r="S16" s="197"/>
      <c r="T16" s="197"/>
      <c r="U16" s="197"/>
      <c r="V16" s="100"/>
      <c r="W16" s="193"/>
      <c r="X16" s="100"/>
      <c r="Y16" s="100"/>
      <c r="Z16" s="100"/>
    </row>
    <row r="17" spans="1:26" s="97" customFormat="1" ht="17.7" customHeight="1" x14ac:dyDescent="0.4">
      <c r="A17" s="118"/>
      <c r="B17" s="97" t="s">
        <v>47</v>
      </c>
      <c r="G17" s="120"/>
      <c r="H17" s="120"/>
      <c r="M17" s="2"/>
      <c r="N17" s="188"/>
      <c r="O17" s="197"/>
      <c r="P17" s="197"/>
      <c r="Q17" s="197"/>
      <c r="R17" s="197"/>
      <c r="S17" s="197"/>
      <c r="T17" s="197"/>
      <c r="U17" s="197"/>
      <c r="W17" s="192"/>
    </row>
    <row r="18" spans="1:26" s="97" customFormat="1" ht="17.7" customHeight="1" x14ac:dyDescent="0.4">
      <c r="A18" s="118"/>
      <c r="B18" s="121" t="s">
        <v>0</v>
      </c>
      <c r="C18" s="121" t="s">
        <v>38</v>
      </c>
      <c r="D18" s="121" t="s">
        <v>1</v>
      </c>
      <c r="E18" s="121" t="s">
        <v>2</v>
      </c>
      <c r="F18" s="121" t="s">
        <v>85</v>
      </c>
      <c r="G18" s="121" t="s">
        <v>42</v>
      </c>
      <c r="H18" s="122" t="s">
        <v>91</v>
      </c>
      <c r="I18" s="122" t="s">
        <v>92</v>
      </c>
      <c r="J18" s="122" t="s">
        <v>93</v>
      </c>
      <c r="K18" s="122" t="s">
        <v>31</v>
      </c>
      <c r="L18" s="122" t="s">
        <v>94</v>
      </c>
      <c r="M18" s="2"/>
      <c r="N18" s="188"/>
      <c r="O18" s="197"/>
      <c r="P18" s="197"/>
      <c r="Q18" s="197"/>
      <c r="R18" s="197"/>
      <c r="S18" s="197"/>
      <c r="T18" s="197"/>
      <c r="U18" s="197"/>
      <c r="V18" s="100"/>
      <c r="W18" s="193"/>
      <c r="X18" s="100"/>
      <c r="Y18" s="100"/>
      <c r="Z18" s="100"/>
    </row>
    <row r="19" spans="1:26" s="97" customFormat="1" ht="17.7" customHeight="1" x14ac:dyDescent="0.4">
      <c r="A19" s="118"/>
      <c r="B19" s="123" t="s">
        <v>3</v>
      </c>
      <c r="C19" s="123" t="s">
        <v>39</v>
      </c>
      <c r="D19" s="123" t="s">
        <v>4</v>
      </c>
      <c r="E19" s="124">
        <f>+B8</f>
        <v>150</v>
      </c>
      <c r="F19" s="125">
        <f>+C8</f>
        <v>20</v>
      </c>
      <c r="G19" s="124">
        <v>175</v>
      </c>
      <c r="H19" s="126">
        <f>+Answers!H19-INPUT!H19</f>
        <v>0</v>
      </c>
      <c r="I19" s="126">
        <f>+Answers!I19-INPUT!I19</f>
        <v>0</v>
      </c>
      <c r="J19" s="126">
        <f>+Answers!J19-INPUT!J19</f>
        <v>0</v>
      </c>
      <c r="K19" s="127">
        <f>+Answers!K19-INPUT!K19</f>
        <v>0</v>
      </c>
      <c r="L19" s="128">
        <f>+Answers!L19-INPUT!L19</f>
        <v>0</v>
      </c>
      <c r="M19" s="2"/>
      <c r="N19" s="189">
        <v>1</v>
      </c>
      <c r="O19" s="198">
        <f>IF(H19=0,0,-$N19)</f>
        <v>0</v>
      </c>
      <c r="P19" s="198">
        <f t="shared" ref="P19:Q28" si="1">IF(I19=0,0,-$N19)</f>
        <v>0</v>
      </c>
      <c r="Q19" s="198">
        <f t="shared" si="1"/>
        <v>0</v>
      </c>
      <c r="R19" s="198"/>
      <c r="S19" s="198">
        <f t="shared" ref="S19:S28" si="2">IF(L19=0,0,-$N19)</f>
        <v>0</v>
      </c>
      <c r="T19" s="198">
        <f>SUM(O19:S19)</f>
        <v>0</v>
      </c>
      <c r="U19" s="198"/>
      <c r="V19" s="195" t="s">
        <v>102</v>
      </c>
      <c r="W19" s="194">
        <v>34</v>
      </c>
    </row>
    <row r="20" spans="1:26" s="97" customFormat="1" ht="17.7" customHeight="1" x14ac:dyDescent="0.4">
      <c r="A20" s="118"/>
      <c r="B20" s="123" t="s">
        <v>3</v>
      </c>
      <c r="C20" s="123" t="s">
        <v>40</v>
      </c>
      <c r="D20" s="123" t="s">
        <v>4</v>
      </c>
      <c r="E20" s="124">
        <f>+B11</f>
        <v>165</v>
      </c>
      <c r="F20" s="125">
        <f>+D11</f>
        <v>9</v>
      </c>
      <c r="G20" s="124">
        <v>165</v>
      </c>
      <c r="H20" s="126">
        <f>+Answers!H20-INPUT!H20</f>
        <v>0</v>
      </c>
      <c r="I20" s="126">
        <f>+Answers!I20-INPUT!I20</f>
        <v>0</v>
      </c>
      <c r="J20" s="126">
        <f>+Answers!J20-INPUT!J20</f>
        <v>0</v>
      </c>
      <c r="K20" s="127">
        <f>+Answers!K20-INPUT!K20</f>
        <v>0</v>
      </c>
      <c r="L20" s="128">
        <f>+Answers!L20-INPUT!L20</f>
        <v>-1</v>
      </c>
      <c r="M20" s="2"/>
      <c r="N20" s="189">
        <v>1</v>
      </c>
      <c r="O20" s="198">
        <f t="shared" ref="O20:O28" si="3">IF(H20=0,0,-$N20)</f>
        <v>0</v>
      </c>
      <c r="P20" s="198">
        <f t="shared" si="1"/>
        <v>0</v>
      </c>
      <c r="Q20" s="198">
        <f t="shared" si="1"/>
        <v>0</v>
      </c>
      <c r="R20" s="198"/>
      <c r="S20" s="198">
        <f t="shared" si="2"/>
        <v>-1</v>
      </c>
      <c r="T20" s="198">
        <f t="shared" ref="T20:T81" si="4">SUM(O20:S20)</f>
        <v>-1</v>
      </c>
      <c r="U20" s="198"/>
      <c r="V20" s="196" t="s">
        <v>103</v>
      </c>
      <c r="W20" s="194">
        <f t="shared" ref="W20:W27" si="5">+$T$1</f>
        <v>56</v>
      </c>
      <c r="X20" s="100"/>
      <c r="Y20" s="100"/>
      <c r="Z20" s="100"/>
    </row>
    <row r="21" spans="1:26" s="97" customFormat="1" ht="17.7" customHeight="1" x14ac:dyDescent="0.4">
      <c r="A21" s="118"/>
      <c r="B21" s="123" t="s">
        <v>3</v>
      </c>
      <c r="C21" s="123" t="s">
        <v>41</v>
      </c>
      <c r="D21" s="123" t="s">
        <v>5</v>
      </c>
      <c r="E21" s="124">
        <f>+B12</f>
        <v>170</v>
      </c>
      <c r="F21" s="125">
        <f>+H12</f>
        <v>12.45</v>
      </c>
      <c r="G21" s="124">
        <v>160</v>
      </c>
      <c r="H21" s="126">
        <f>+Answers!H21-INPUT!H21</f>
        <v>0</v>
      </c>
      <c r="I21" s="126">
        <f>+Answers!I21-INPUT!I21</f>
        <v>0</v>
      </c>
      <c r="J21" s="126">
        <f>+Answers!J21-INPUT!J21</f>
        <v>0</v>
      </c>
      <c r="K21" s="127">
        <f>+Answers!K21-INPUT!K21</f>
        <v>0</v>
      </c>
      <c r="L21" s="128">
        <f>+Answers!L21-INPUT!L21</f>
        <v>-0.19678714859437746</v>
      </c>
      <c r="M21" s="2"/>
      <c r="N21" s="189">
        <v>1</v>
      </c>
      <c r="O21" s="198">
        <f t="shared" si="3"/>
        <v>0</v>
      </c>
      <c r="P21" s="198">
        <f t="shared" si="1"/>
        <v>0</v>
      </c>
      <c r="Q21" s="198">
        <f t="shared" si="1"/>
        <v>0</v>
      </c>
      <c r="R21" s="198"/>
      <c r="S21" s="198">
        <f t="shared" si="2"/>
        <v>-1</v>
      </c>
      <c r="T21" s="198">
        <f t="shared" si="4"/>
        <v>-1</v>
      </c>
      <c r="U21" s="198"/>
      <c r="V21" s="195" t="s">
        <v>104</v>
      </c>
      <c r="W21" s="194">
        <f t="shared" si="5"/>
        <v>56</v>
      </c>
    </row>
    <row r="22" spans="1:26" s="97" customFormat="1" ht="17.7" customHeight="1" x14ac:dyDescent="0.4">
      <c r="A22" s="118"/>
      <c r="B22" s="123" t="s">
        <v>6</v>
      </c>
      <c r="C22" s="123" t="s">
        <v>39</v>
      </c>
      <c r="D22" s="123" t="s">
        <v>5</v>
      </c>
      <c r="E22" s="124">
        <f>+B14</f>
        <v>180</v>
      </c>
      <c r="F22" s="125">
        <f>+F14</f>
        <v>15</v>
      </c>
      <c r="G22" s="124">
        <v>162</v>
      </c>
      <c r="H22" s="126">
        <f>+Answers!H22-INPUT!H22</f>
        <v>0</v>
      </c>
      <c r="I22" s="126">
        <f>+Answers!I22-INPUT!I22</f>
        <v>0</v>
      </c>
      <c r="J22" s="126">
        <f>+Answers!J22-INPUT!J22</f>
        <v>0</v>
      </c>
      <c r="K22" s="127">
        <f>+Answers!K22-INPUT!K22</f>
        <v>0</v>
      </c>
      <c r="L22" s="128">
        <f>+Answers!L22-INPUT!L22</f>
        <v>0</v>
      </c>
      <c r="M22" s="2"/>
      <c r="N22" s="189">
        <v>1</v>
      </c>
      <c r="O22" s="198">
        <f t="shared" si="3"/>
        <v>0</v>
      </c>
      <c r="P22" s="198">
        <f t="shared" si="1"/>
        <v>0</v>
      </c>
      <c r="Q22" s="198">
        <f t="shared" si="1"/>
        <v>0</v>
      </c>
      <c r="R22" s="198"/>
      <c r="S22" s="198">
        <f t="shared" si="2"/>
        <v>0</v>
      </c>
      <c r="T22" s="198">
        <f t="shared" si="4"/>
        <v>0</v>
      </c>
      <c r="U22" s="198"/>
      <c r="V22" s="196" t="s">
        <v>105</v>
      </c>
      <c r="W22" s="194">
        <f t="shared" si="5"/>
        <v>56</v>
      </c>
      <c r="X22" s="100"/>
      <c r="Y22" s="100"/>
      <c r="Z22" s="100"/>
    </row>
    <row r="23" spans="1:26" s="97" customFormat="1" ht="17.7" customHeight="1" x14ac:dyDescent="0.4">
      <c r="A23" s="118"/>
      <c r="B23" s="123" t="s">
        <v>7</v>
      </c>
      <c r="C23" s="123" t="s">
        <v>41</v>
      </c>
      <c r="D23" s="123" t="s">
        <v>5</v>
      </c>
      <c r="E23" s="124">
        <f>+B11</f>
        <v>165</v>
      </c>
      <c r="F23" s="125">
        <f>+H11</f>
        <v>9.1999999999999993</v>
      </c>
      <c r="G23" s="124">
        <v>125</v>
      </c>
      <c r="H23" s="126">
        <f>+Answers!H23-INPUT!H23</f>
        <v>-80</v>
      </c>
      <c r="I23" s="126">
        <f>+Answers!I23-INPUT!I23</f>
        <v>-80</v>
      </c>
      <c r="J23" s="126">
        <f>+Answers!J23-INPUT!J23</f>
        <v>0</v>
      </c>
      <c r="K23" s="127">
        <f>+Answers!K23-INPUT!K23</f>
        <v>0</v>
      </c>
      <c r="L23" s="127">
        <f>+Answers!L23-INPUT!L23</f>
        <v>0</v>
      </c>
      <c r="M23" s="2"/>
      <c r="N23" s="189">
        <v>1</v>
      </c>
      <c r="O23" s="198">
        <f t="shared" si="3"/>
        <v>-1</v>
      </c>
      <c r="P23" s="198">
        <f t="shared" si="1"/>
        <v>-1</v>
      </c>
      <c r="Q23" s="198">
        <f t="shared" si="1"/>
        <v>0</v>
      </c>
      <c r="R23" s="198"/>
      <c r="S23" s="198"/>
      <c r="T23" s="198">
        <f t="shared" si="4"/>
        <v>-2</v>
      </c>
      <c r="U23" s="198"/>
      <c r="V23" s="195" t="s">
        <v>106</v>
      </c>
      <c r="W23" s="194">
        <f t="shared" si="5"/>
        <v>56</v>
      </c>
    </row>
    <row r="24" spans="1:26" s="97" customFormat="1" ht="17.7" customHeight="1" x14ac:dyDescent="0.4">
      <c r="A24" s="118"/>
      <c r="B24" s="123" t="s">
        <v>7</v>
      </c>
      <c r="C24" s="123" t="s">
        <v>40</v>
      </c>
      <c r="D24" s="123" t="s">
        <v>5</v>
      </c>
      <c r="E24" s="124">
        <f>+B13</f>
        <v>175</v>
      </c>
      <c r="F24" s="125">
        <f>+G13</f>
        <v>14.3</v>
      </c>
      <c r="G24" s="124">
        <v>165</v>
      </c>
      <c r="H24" s="126">
        <f>+Answers!H24-INPUT!H24</f>
        <v>-20</v>
      </c>
      <c r="I24" s="126">
        <f>+Answers!I24-INPUT!I24</f>
        <v>-20</v>
      </c>
      <c r="J24" s="126">
        <f>+Answers!J24-INPUT!J24</f>
        <v>0</v>
      </c>
      <c r="K24" s="127">
        <f>+Answers!K24-INPUT!K24</f>
        <v>0</v>
      </c>
      <c r="L24" s="127">
        <f>+Answers!L24-INPUT!L24</f>
        <v>0</v>
      </c>
      <c r="M24" s="2"/>
      <c r="N24" s="189">
        <v>1</v>
      </c>
      <c r="O24" s="198">
        <f t="shared" si="3"/>
        <v>-1</v>
      </c>
      <c r="P24" s="198">
        <f t="shared" si="1"/>
        <v>-1</v>
      </c>
      <c r="Q24" s="198">
        <f t="shared" si="1"/>
        <v>0</v>
      </c>
      <c r="R24" s="198"/>
      <c r="S24" s="198"/>
      <c r="T24" s="198">
        <f t="shared" si="4"/>
        <v>-2</v>
      </c>
      <c r="U24" s="198"/>
      <c r="V24" s="196" t="s">
        <v>107</v>
      </c>
      <c r="W24" s="194">
        <f t="shared" si="5"/>
        <v>56</v>
      </c>
      <c r="X24" s="100"/>
      <c r="Y24" s="100"/>
      <c r="Z24" s="100"/>
    </row>
    <row r="25" spans="1:26" s="97" customFormat="1" ht="17.7" customHeight="1" x14ac:dyDescent="0.4">
      <c r="A25" s="118"/>
      <c r="B25" s="123" t="s">
        <v>7</v>
      </c>
      <c r="C25" s="123" t="s">
        <v>41</v>
      </c>
      <c r="D25" s="123" t="s">
        <v>4</v>
      </c>
      <c r="E25" s="124">
        <f>+B9</f>
        <v>155</v>
      </c>
      <c r="F25" s="125">
        <f>+E9</f>
        <v>17.75</v>
      </c>
      <c r="G25" s="124">
        <v>180</v>
      </c>
      <c r="H25" s="126">
        <f>+Answers!H25-INPUT!H25</f>
        <v>0</v>
      </c>
      <c r="I25" s="126">
        <f>+Answers!I25-INPUT!I25</f>
        <v>0</v>
      </c>
      <c r="J25" s="126">
        <f>+Answers!J25-INPUT!J25</f>
        <v>0.75</v>
      </c>
      <c r="K25" s="127">
        <f>+Answers!K25-INPUT!K25</f>
        <v>0</v>
      </c>
      <c r="L25" s="127">
        <f>+Answers!L25-INPUT!L25</f>
        <v>0</v>
      </c>
      <c r="M25" s="2"/>
      <c r="N25" s="189">
        <v>1</v>
      </c>
      <c r="O25" s="198">
        <f t="shared" si="3"/>
        <v>0</v>
      </c>
      <c r="P25" s="198">
        <f t="shared" si="1"/>
        <v>0</v>
      </c>
      <c r="Q25" s="198">
        <f t="shared" si="1"/>
        <v>-1</v>
      </c>
      <c r="R25" s="198"/>
      <c r="S25" s="198"/>
      <c r="T25" s="198">
        <f t="shared" si="4"/>
        <v>-1</v>
      </c>
      <c r="U25" s="198"/>
      <c r="V25" s="195" t="s">
        <v>108</v>
      </c>
      <c r="W25" s="194">
        <f t="shared" si="5"/>
        <v>56</v>
      </c>
    </row>
    <row r="26" spans="1:26" s="97" customFormat="1" ht="17.7" customHeight="1" x14ac:dyDescent="0.4">
      <c r="A26" s="118"/>
      <c r="B26" s="123" t="s">
        <v>7</v>
      </c>
      <c r="C26" s="123" t="s">
        <v>40</v>
      </c>
      <c r="D26" s="123" t="s">
        <v>4</v>
      </c>
      <c r="E26" s="124">
        <f>+B8</f>
        <v>150</v>
      </c>
      <c r="F26" s="125">
        <f>+D8</f>
        <v>21.5</v>
      </c>
      <c r="G26" s="124">
        <v>165</v>
      </c>
      <c r="H26" s="126">
        <f>+Answers!H26-INPUT!H26</f>
        <v>0</v>
      </c>
      <c r="I26" s="126">
        <f>+Answers!I26-INPUT!I26</f>
        <v>0</v>
      </c>
      <c r="J26" s="126">
        <f>+Answers!J26-INPUT!J26</f>
        <v>0</v>
      </c>
      <c r="K26" s="127">
        <f>+Answers!K26-INPUT!K26</f>
        <v>0</v>
      </c>
      <c r="L26" s="127">
        <f>+Answers!L26-INPUT!L26</f>
        <v>0</v>
      </c>
      <c r="M26" s="2"/>
      <c r="N26" s="189">
        <v>1</v>
      </c>
      <c r="O26" s="198">
        <f t="shared" si="3"/>
        <v>0</v>
      </c>
      <c r="P26" s="198">
        <f t="shared" si="1"/>
        <v>0</v>
      </c>
      <c r="Q26" s="198">
        <f t="shared" si="1"/>
        <v>0</v>
      </c>
      <c r="R26" s="198"/>
      <c r="S26" s="198"/>
      <c r="T26" s="198">
        <f t="shared" si="4"/>
        <v>0</v>
      </c>
      <c r="U26" s="198"/>
      <c r="V26" s="196" t="s">
        <v>109</v>
      </c>
      <c r="W26" s="194">
        <f t="shared" si="5"/>
        <v>56</v>
      </c>
      <c r="X26" s="100"/>
      <c r="Y26" s="100"/>
      <c r="Z26" s="100"/>
    </row>
    <row r="27" spans="1:26" s="97" customFormat="1" ht="17.7" customHeight="1" x14ac:dyDescent="0.4">
      <c r="A27" s="118"/>
      <c r="B27" s="123" t="s">
        <v>7</v>
      </c>
      <c r="C27" s="123" t="s">
        <v>41</v>
      </c>
      <c r="D27" s="123" t="s">
        <v>8</v>
      </c>
      <c r="E27" s="124">
        <f>+B13</f>
        <v>175</v>
      </c>
      <c r="F27" s="125">
        <f>+E13+H13</f>
        <v>19.95</v>
      </c>
      <c r="G27" s="124">
        <v>200</v>
      </c>
      <c r="H27" s="126">
        <f>+Answers!H27-INPUT!H27</f>
        <v>0</v>
      </c>
      <c r="I27" s="126">
        <f>+Answers!I27-INPUT!I27</f>
        <v>0</v>
      </c>
      <c r="J27" s="126">
        <f>+Answers!J27-INPUT!J27</f>
        <v>-61.949999999999989</v>
      </c>
      <c r="K27" s="129">
        <f>+Answers!K27-INPUT!K27</f>
        <v>39.899999999999977</v>
      </c>
      <c r="L27" s="127">
        <f>+Answers!L27-INPUT!L27</f>
        <v>0</v>
      </c>
      <c r="M27" s="2"/>
      <c r="N27" s="189">
        <v>1</v>
      </c>
      <c r="O27" s="198">
        <f t="shared" si="3"/>
        <v>0</v>
      </c>
      <c r="P27" s="198">
        <f t="shared" si="1"/>
        <v>0</v>
      </c>
      <c r="Q27" s="198">
        <f t="shared" si="1"/>
        <v>-1</v>
      </c>
      <c r="R27" s="198">
        <f t="shared" ref="R27:R28" si="6">IF(K27=0,0,-$N27)</f>
        <v>-1</v>
      </c>
      <c r="S27" s="198"/>
      <c r="T27" s="198">
        <f t="shared" si="4"/>
        <v>-2</v>
      </c>
      <c r="U27" s="198"/>
      <c r="V27" s="195" t="s">
        <v>110</v>
      </c>
      <c r="W27" s="194">
        <f t="shared" si="5"/>
        <v>56</v>
      </c>
    </row>
    <row r="28" spans="1:26" s="97" customFormat="1" ht="17.7" customHeight="1" x14ac:dyDescent="0.4">
      <c r="A28" s="118"/>
      <c r="B28" s="123" t="s">
        <v>3</v>
      </c>
      <c r="C28" s="123" t="s">
        <v>39</v>
      </c>
      <c r="D28" s="123" t="s">
        <v>8</v>
      </c>
      <c r="E28" s="124">
        <f>+B14</f>
        <v>180</v>
      </c>
      <c r="F28" s="125">
        <f>+C14+F14</f>
        <v>17.5</v>
      </c>
      <c r="G28" s="124">
        <v>185</v>
      </c>
      <c r="H28" s="126">
        <f>+Answers!H28-INPUT!H28</f>
        <v>0</v>
      </c>
      <c r="I28" s="126">
        <f>+Answers!I28-INPUT!I28</f>
        <v>0</v>
      </c>
      <c r="J28" s="126">
        <f>+Answers!J28-INPUT!J28</f>
        <v>-35</v>
      </c>
      <c r="K28" s="129">
        <f>+Answers!K28-INPUT!K28</f>
        <v>35</v>
      </c>
      <c r="L28" s="128">
        <f>+Answers!L28-INPUT!L28</f>
        <v>-0.7142857142857143</v>
      </c>
      <c r="M28" s="2"/>
      <c r="N28" s="189">
        <v>1</v>
      </c>
      <c r="O28" s="198">
        <f t="shared" si="3"/>
        <v>0</v>
      </c>
      <c r="P28" s="198">
        <f t="shared" si="1"/>
        <v>0</v>
      </c>
      <c r="Q28" s="198">
        <f t="shared" si="1"/>
        <v>-1</v>
      </c>
      <c r="R28" s="198">
        <f t="shared" si="6"/>
        <v>-1</v>
      </c>
      <c r="S28" s="198">
        <f t="shared" si="2"/>
        <v>-1</v>
      </c>
      <c r="T28" s="198">
        <f t="shared" si="4"/>
        <v>-3</v>
      </c>
      <c r="U28" s="198">
        <f>SUM(T19:T28)</f>
        <v>-12</v>
      </c>
      <c r="V28" s="100"/>
      <c r="W28" s="194"/>
      <c r="X28" s="100"/>
      <c r="Y28" s="100"/>
      <c r="Z28" s="100"/>
    </row>
    <row r="29" spans="1:26" s="97" customFormat="1" ht="17.7" customHeight="1" x14ac:dyDescent="0.4">
      <c r="A29" s="118"/>
      <c r="B29" s="130"/>
      <c r="C29" s="130"/>
      <c r="D29" s="131"/>
      <c r="E29" s="131"/>
      <c r="F29" s="131"/>
      <c r="G29" s="131"/>
      <c r="H29" s="131"/>
      <c r="M29" s="2"/>
      <c r="N29" s="188"/>
      <c r="O29" s="197"/>
      <c r="P29" s="197"/>
      <c r="Q29" s="197"/>
      <c r="R29" s="197"/>
      <c r="S29" s="197"/>
      <c r="T29" s="197"/>
      <c r="U29" s="197"/>
      <c r="W29" s="194"/>
    </row>
    <row r="30" spans="1:26" s="97" customFormat="1" ht="17.7" customHeight="1" x14ac:dyDescent="0.4">
      <c r="A30" s="118"/>
      <c r="B30" s="119" t="s">
        <v>45</v>
      </c>
      <c r="G30" s="120"/>
      <c r="H30" s="120"/>
      <c r="M30" s="2"/>
      <c r="N30" s="188"/>
      <c r="O30" s="197"/>
      <c r="P30" s="197"/>
      <c r="Q30" s="197"/>
      <c r="R30" s="197"/>
      <c r="S30" s="197"/>
      <c r="T30" s="197"/>
      <c r="U30" s="197"/>
      <c r="V30" s="100"/>
      <c r="W30" s="194"/>
      <c r="X30" s="100"/>
      <c r="Y30" s="100"/>
      <c r="Z30" s="100"/>
    </row>
    <row r="31" spans="1:26" s="97" customFormat="1" ht="17.7" customHeight="1" x14ac:dyDescent="0.4">
      <c r="A31" s="118"/>
      <c r="B31" s="132" t="s">
        <v>46</v>
      </c>
      <c r="G31" s="120"/>
      <c r="H31" s="120"/>
      <c r="M31" s="2"/>
      <c r="N31" s="188"/>
      <c r="O31" s="197"/>
      <c r="P31" s="197"/>
      <c r="Q31" s="197"/>
      <c r="R31" s="197"/>
      <c r="S31" s="197"/>
      <c r="T31" s="197"/>
      <c r="U31" s="197"/>
      <c r="W31" s="194"/>
    </row>
    <row r="32" spans="1:26" s="97" customFormat="1" ht="17.7" customHeight="1" x14ac:dyDescent="0.4">
      <c r="A32" s="118"/>
      <c r="B32" s="121" t="s">
        <v>0</v>
      </c>
      <c r="C32" s="121" t="s">
        <v>38</v>
      </c>
      <c r="D32" s="121" t="s">
        <v>1</v>
      </c>
      <c r="E32" s="121" t="s">
        <v>9</v>
      </c>
      <c r="F32" s="121" t="s">
        <v>10</v>
      </c>
      <c r="G32" s="121" t="s">
        <v>95</v>
      </c>
      <c r="H32" s="121" t="s">
        <v>20</v>
      </c>
      <c r="I32" s="122" t="s">
        <v>96</v>
      </c>
      <c r="J32" s="122" t="s">
        <v>97</v>
      </c>
      <c r="M32" s="2"/>
      <c r="N32" s="188"/>
      <c r="O32" s="197"/>
      <c r="P32" s="197"/>
      <c r="Q32" s="197"/>
      <c r="R32" s="197"/>
      <c r="S32" s="197"/>
      <c r="T32" s="197"/>
      <c r="U32" s="197"/>
      <c r="V32" s="100"/>
      <c r="W32" s="194"/>
      <c r="X32" s="100"/>
      <c r="Y32" s="100"/>
      <c r="Z32" s="100"/>
    </row>
    <row r="33" spans="1:26" s="97" customFormat="1" ht="17.7" customHeight="1" x14ac:dyDescent="0.4">
      <c r="A33" s="118"/>
      <c r="B33" s="123" t="s">
        <v>3</v>
      </c>
      <c r="C33" s="123" t="s">
        <v>39</v>
      </c>
      <c r="D33" s="133" t="s">
        <v>11</v>
      </c>
      <c r="E33" s="134">
        <v>150</v>
      </c>
      <c r="F33" s="134">
        <v>160</v>
      </c>
      <c r="G33" s="125">
        <f>+Answers!G33-INPUT!G33</f>
        <v>0</v>
      </c>
      <c r="H33" s="123">
        <v>170</v>
      </c>
      <c r="I33" s="135">
        <f>+Answers!I33-INPUT!I33</f>
        <v>20</v>
      </c>
      <c r="J33" s="135">
        <f>+Answers!J33-INPUT!J33</f>
        <v>20</v>
      </c>
      <c r="M33" s="2"/>
      <c r="N33" s="189">
        <v>1</v>
      </c>
      <c r="O33" s="198"/>
      <c r="P33" s="198"/>
      <c r="Q33" s="198">
        <f t="shared" ref="Q33:R38" si="7">IF(I33=0,0,-$N33)</f>
        <v>-1</v>
      </c>
      <c r="R33" s="198">
        <f t="shared" si="7"/>
        <v>-1</v>
      </c>
      <c r="S33" s="198"/>
      <c r="T33" s="198">
        <f t="shared" si="4"/>
        <v>-2</v>
      </c>
      <c r="U33" s="198"/>
      <c r="W33" s="194"/>
    </row>
    <row r="34" spans="1:26" s="97" customFormat="1" ht="17.7" customHeight="1" x14ac:dyDescent="0.4">
      <c r="A34" s="118"/>
      <c r="B34" s="123" t="s">
        <v>3</v>
      </c>
      <c r="C34" s="123" t="s">
        <v>40</v>
      </c>
      <c r="D34" s="133" t="s">
        <v>12</v>
      </c>
      <c r="E34" s="134">
        <v>160</v>
      </c>
      <c r="F34" s="134">
        <v>165</v>
      </c>
      <c r="G34" s="125">
        <f>+Answers!G34-INPUT!G34</f>
        <v>0</v>
      </c>
      <c r="H34" s="123">
        <v>162</v>
      </c>
      <c r="I34" s="135">
        <f>+Answers!I34-INPUT!I34</f>
        <v>-6</v>
      </c>
      <c r="J34" s="135">
        <f>+Answers!J34-INPUT!J34</f>
        <v>-6</v>
      </c>
      <c r="M34" s="2"/>
      <c r="N34" s="189">
        <v>1</v>
      </c>
      <c r="O34" s="198"/>
      <c r="P34" s="198"/>
      <c r="Q34" s="198">
        <f t="shared" si="7"/>
        <v>-1</v>
      </c>
      <c r="R34" s="198">
        <f t="shared" si="7"/>
        <v>-1</v>
      </c>
      <c r="S34" s="198"/>
      <c r="T34" s="198">
        <f t="shared" si="4"/>
        <v>-2</v>
      </c>
      <c r="U34" s="198"/>
      <c r="W34" s="194"/>
    </row>
    <row r="35" spans="1:26" s="97" customFormat="1" ht="17.7" customHeight="1" x14ac:dyDescent="0.4">
      <c r="A35" s="118"/>
      <c r="B35" s="123" t="s">
        <v>3</v>
      </c>
      <c r="C35" s="123" t="s">
        <v>41</v>
      </c>
      <c r="D35" s="133" t="s">
        <v>43</v>
      </c>
      <c r="E35" s="134">
        <v>170</v>
      </c>
      <c r="F35" s="134">
        <v>180</v>
      </c>
      <c r="G35" s="125">
        <f>+Answers!G35-INPUT!G35</f>
        <v>0</v>
      </c>
      <c r="H35" s="123">
        <v>150</v>
      </c>
      <c r="I35" s="135">
        <f>+Answers!I35-INPUT!I35</f>
        <v>-10</v>
      </c>
      <c r="J35" s="135">
        <f>+Answers!J35-INPUT!J35</f>
        <v>-10</v>
      </c>
      <c r="M35" s="2"/>
      <c r="N35" s="189">
        <v>1</v>
      </c>
      <c r="O35" s="198"/>
      <c r="P35" s="198"/>
      <c r="Q35" s="198">
        <f t="shared" si="7"/>
        <v>-1</v>
      </c>
      <c r="R35" s="198">
        <f t="shared" si="7"/>
        <v>-1</v>
      </c>
      <c r="S35" s="198"/>
      <c r="T35" s="198">
        <f t="shared" si="4"/>
        <v>-2</v>
      </c>
      <c r="U35" s="198"/>
      <c r="W35" s="194"/>
    </row>
    <row r="36" spans="1:26" s="97" customFormat="1" ht="17.7" customHeight="1" x14ac:dyDescent="0.4">
      <c r="A36" s="118"/>
      <c r="B36" s="123" t="s">
        <v>3</v>
      </c>
      <c r="C36" s="123" t="s">
        <v>40</v>
      </c>
      <c r="D36" s="133" t="s">
        <v>22</v>
      </c>
      <c r="E36" s="134">
        <v>160</v>
      </c>
      <c r="F36" s="134">
        <v>180</v>
      </c>
      <c r="G36" s="125">
        <f>+Answers!G36-INPUT!G36</f>
        <v>0</v>
      </c>
      <c r="H36" s="123">
        <v>170</v>
      </c>
      <c r="I36" s="135">
        <f>+Answers!I36-INPUT!I36</f>
        <v>-10</v>
      </c>
      <c r="J36" s="135">
        <f>+Answers!J36-INPUT!J36</f>
        <v>-0.55000000000000071</v>
      </c>
      <c r="M36" s="2"/>
      <c r="N36" s="189">
        <v>1</v>
      </c>
      <c r="O36" s="198"/>
      <c r="P36" s="198"/>
      <c r="Q36" s="198">
        <f t="shared" si="7"/>
        <v>-1</v>
      </c>
      <c r="R36" s="198">
        <f t="shared" si="7"/>
        <v>-1</v>
      </c>
      <c r="S36" s="198"/>
      <c r="T36" s="198">
        <f t="shared" si="4"/>
        <v>-2</v>
      </c>
      <c r="U36" s="198"/>
      <c r="W36" s="194"/>
    </row>
    <row r="37" spans="1:26" s="97" customFormat="1" ht="17.7" customHeight="1" x14ac:dyDescent="0.4">
      <c r="A37" s="118"/>
      <c r="B37" s="123" t="s">
        <v>3</v>
      </c>
      <c r="C37" s="123" t="s">
        <v>39</v>
      </c>
      <c r="D37" s="136" t="s">
        <v>44</v>
      </c>
      <c r="E37" s="134">
        <v>150</v>
      </c>
      <c r="F37" s="134">
        <v>180</v>
      </c>
      <c r="G37" s="125">
        <f>+Answers!G37-INPUT!G37</f>
        <v>0</v>
      </c>
      <c r="H37" s="123">
        <v>165</v>
      </c>
      <c r="I37" s="135">
        <f>+Answers!I37-INPUT!I37</f>
        <v>0</v>
      </c>
      <c r="J37" s="135">
        <f>+Answers!J37-INPUT!J37</f>
        <v>0</v>
      </c>
      <c r="M37" s="2"/>
      <c r="N37" s="189">
        <v>1</v>
      </c>
      <c r="O37" s="198"/>
      <c r="P37" s="198"/>
      <c r="Q37" s="198">
        <f t="shared" si="7"/>
        <v>0</v>
      </c>
      <c r="R37" s="198">
        <f t="shared" si="7"/>
        <v>0</v>
      </c>
      <c r="S37" s="198"/>
      <c r="T37" s="198">
        <f t="shared" si="4"/>
        <v>0</v>
      </c>
      <c r="U37" s="198"/>
      <c r="W37" s="194"/>
    </row>
    <row r="38" spans="1:26" s="97" customFormat="1" ht="17.7" customHeight="1" x14ac:dyDescent="0.4">
      <c r="A38" s="118"/>
      <c r="B38" s="123" t="s">
        <v>7</v>
      </c>
      <c r="C38" s="123" t="s">
        <v>41</v>
      </c>
      <c r="D38" s="136" t="s">
        <v>44</v>
      </c>
      <c r="E38" s="134">
        <v>170</v>
      </c>
      <c r="F38" s="134">
        <v>180</v>
      </c>
      <c r="G38" s="125">
        <f>+Answers!G38-INPUT!G38</f>
        <v>0</v>
      </c>
      <c r="H38" s="123">
        <v>200</v>
      </c>
      <c r="I38" s="135">
        <f>+Answers!I38-INPUT!I38</f>
        <v>0</v>
      </c>
      <c r="J38" s="135">
        <f>+Answers!J38-INPUT!J38</f>
        <v>0</v>
      </c>
      <c r="M38" s="2"/>
      <c r="N38" s="189">
        <v>1</v>
      </c>
      <c r="O38" s="198"/>
      <c r="P38" s="198"/>
      <c r="Q38" s="198">
        <f t="shared" si="7"/>
        <v>0</v>
      </c>
      <c r="R38" s="198">
        <f t="shared" si="7"/>
        <v>0</v>
      </c>
      <c r="S38" s="198"/>
      <c r="T38" s="198">
        <f t="shared" si="4"/>
        <v>0</v>
      </c>
      <c r="U38" s="198">
        <f>SUM(T33:T38)</f>
        <v>-8</v>
      </c>
      <c r="W38" s="194"/>
    </row>
    <row r="39" spans="1:26" s="97" customFormat="1" ht="17.7" customHeight="1" x14ac:dyDescent="0.4">
      <c r="A39" s="118"/>
      <c r="D39" s="137"/>
      <c r="E39" s="137"/>
      <c r="F39" s="137"/>
      <c r="G39" s="138"/>
      <c r="H39" s="138"/>
      <c r="M39" s="2"/>
      <c r="N39" s="188"/>
      <c r="O39" s="197"/>
      <c r="P39" s="197"/>
      <c r="Q39" s="197"/>
      <c r="R39" s="197"/>
      <c r="S39" s="197"/>
      <c r="T39" s="197"/>
      <c r="U39" s="197"/>
      <c r="W39" s="194"/>
    </row>
    <row r="40" spans="1:26" ht="17.7" customHeight="1" x14ac:dyDescent="0.4">
      <c r="B40" s="227" t="s">
        <v>55</v>
      </c>
      <c r="C40" s="228"/>
      <c r="D40" s="228"/>
      <c r="E40" s="228"/>
      <c r="F40" s="228"/>
      <c r="G40" s="228"/>
      <c r="H40" s="228"/>
      <c r="I40" s="228"/>
      <c r="J40" s="228"/>
      <c r="K40" s="229"/>
      <c r="L40" s="229"/>
      <c r="M40" s="181"/>
      <c r="N40" s="186"/>
      <c r="O40" s="185"/>
      <c r="P40" s="185"/>
      <c r="Q40" s="185"/>
      <c r="R40" s="185"/>
      <c r="S40" s="185"/>
      <c r="T40" s="185"/>
      <c r="U40" s="185"/>
      <c r="V40" s="100"/>
      <c r="W40" s="194"/>
      <c r="X40" s="100"/>
      <c r="Y40" s="100"/>
      <c r="Z40" s="100"/>
    </row>
    <row r="41" spans="1:26" s="97" customFormat="1" ht="17.7" customHeight="1" thickBot="1" x14ac:dyDescent="0.45">
      <c r="A41" s="118"/>
      <c r="G41" s="120"/>
      <c r="H41" s="120"/>
      <c r="M41" s="2"/>
      <c r="N41" s="188"/>
      <c r="O41" s="197"/>
      <c r="P41" s="197"/>
      <c r="Q41" s="197"/>
      <c r="R41" s="197"/>
      <c r="S41" s="197"/>
      <c r="T41" s="197"/>
      <c r="U41" s="197"/>
      <c r="W41" s="194"/>
    </row>
    <row r="42" spans="1:26" s="97" customFormat="1" ht="13.7" customHeight="1" x14ac:dyDescent="0.4">
      <c r="A42" s="118"/>
      <c r="B42" s="139" t="s">
        <v>21</v>
      </c>
      <c r="C42" s="140" t="s">
        <v>13</v>
      </c>
      <c r="D42" s="141"/>
      <c r="E42" s="142"/>
      <c r="F42" s="140" t="s">
        <v>14</v>
      </c>
      <c r="G42" s="141"/>
      <c r="H42" s="142"/>
      <c r="M42" s="2"/>
      <c r="N42" s="188"/>
      <c r="O42" s="197"/>
      <c r="P42" s="197"/>
      <c r="Q42" s="197"/>
      <c r="R42" s="197"/>
      <c r="S42" s="197"/>
      <c r="T42" s="197"/>
      <c r="U42" s="197"/>
      <c r="W42" s="194"/>
    </row>
    <row r="43" spans="1:26" s="97" customFormat="1" ht="13.7" customHeight="1" x14ac:dyDescent="0.4">
      <c r="A43" s="118"/>
      <c r="B43" s="143" t="s">
        <v>15</v>
      </c>
      <c r="C43" s="144">
        <v>43556</v>
      </c>
      <c r="D43" s="145">
        <v>43586</v>
      </c>
      <c r="E43" s="146">
        <v>43617</v>
      </c>
      <c r="F43" s="144">
        <f>+C43</f>
        <v>43556</v>
      </c>
      <c r="G43" s="145">
        <f>+D43</f>
        <v>43586</v>
      </c>
      <c r="H43" s="146">
        <f>+E43</f>
        <v>43617</v>
      </c>
      <c r="M43" s="2"/>
      <c r="N43" s="188"/>
      <c r="O43" s="197"/>
      <c r="P43" s="197"/>
      <c r="Q43" s="197"/>
      <c r="R43" s="197"/>
      <c r="S43" s="197"/>
      <c r="T43" s="197"/>
      <c r="U43" s="197"/>
      <c r="W43" s="194"/>
    </row>
    <row r="44" spans="1:26" s="97" customFormat="1" ht="13.7" customHeight="1" x14ac:dyDescent="0.4">
      <c r="A44" s="118"/>
      <c r="B44" s="147">
        <v>125</v>
      </c>
      <c r="C44" s="148">
        <v>12.65</v>
      </c>
      <c r="D44" s="149">
        <v>12.8</v>
      </c>
      <c r="E44" s="150">
        <v>13.4</v>
      </c>
      <c r="F44" s="148">
        <v>5.3</v>
      </c>
      <c r="G44" s="149">
        <v>6</v>
      </c>
      <c r="H44" s="150">
        <v>6.8</v>
      </c>
      <c r="M44" s="2"/>
      <c r="N44" s="188"/>
      <c r="O44" s="197"/>
      <c r="P44" s="197"/>
      <c r="Q44" s="197"/>
      <c r="R44" s="197"/>
      <c r="S44" s="197"/>
      <c r="T44" s="197"/>
      <c r="U44" s="197"/>
      <c r="W44" s="194"/>
    </row>
    <row r="45" spans="1:26" s="97" customFormat="1" ht="13.7" customHeight="1" x14ac:dyDescent="0.4">
      <c r="A45" s="118"/>
      <c r="B45" s="147">
        <v>130</v>
      </c>
      <c r="C45" s="148">
        <v>8.1</v>
      </c>
      <c r="D45" s="149">
        <v>9</v>
      </c>
      <c r="E45" s="150">
        <v>10.65</v>
      </c>
      <c r="F45" s="148">
        <v>7</v>
      </c>
      <c r="G45" s="149">
        <v>8</v>
      </c>
      <c r="H45" s="150">
        <v>9</v>
      </c>
      <c r="M45" s="2"/>
      <c r="N45" s="188"/>
      <c r="O45" s="197"/>
      <c r="P45" s="197"/>
      <c r="Q45" s="197"/>
      <c r="R45" s="197"/>
      <c r="S45" s="197"/>
      <c r="T45" s="197"/>
      <c r="U45" s="197"/>
      <c r="W45" s="194"/>
    </row>
    <row r="46" spans="1:26" s="97" customFormat="1" ht="13.7" customHeight="1" x14ac:dyDescent="0.4">
      <c r="A46" s="118"/>
      <c r="B46" s="147">
        <v>135</v>
      </c>
      <c r="C46" s="148">
        <v>5.2</v>
      </c>
      <c r="D46" s="149">
        <v>6.3</v>
      </c>
      <c r="E46" s="150">
        <v>8.5</v>
      </c>
      <c r="F46" s="148">
        <v>9.4</v>
      </c>
      <c r="G46" s="149">
        <v>10.75</v>
      </c>
      <c r="H46" s="150">
        <v>12.45</v>
      </c>
      <c r="M46" s="2"/>
      <c r="N46" s="188"/>
      <c r="O46" s="197"/>
      <c r="P46" s="197"/>
      <c r="Q46" s="197"/>
      <c r="R46" s="197"/>
      <c r="S46" s="197"/>
      <c r="T46" s="197"/>
      <c r="U46" s="197"/>
      <c r="W46" s="194"/>
    </row>
    <row r="47" spans="1:26" s="97" customFormat="1" ht="13.7" customHeight="1" thickBot="1" x14ac:dyDescent="0.45">
      <c r="A47" s="118"/>
      <c r="B47" s="147">
        <v>140</v>
      </c>
      <c r="C47" s="151">
        <v>3.25</v>
      </c>
      <c r="D47" s="152">
        <v>4.25</v>
      </c>
      <c r="E47" s="153">
        <v>5.75</v>
      </c>
      <c r="F47" s="151">
        <v>13</v>
      </c>
      <c r="G47" s="152">
        <v>14.3</v>
      </c>
      <c r="H47" s="153">
        <v>16.2</v>
      </c>
      <c r="M47" s="2"/>
      <c r="N47" s="188"/>
      <c r="O47" s="197"/>
      <c r="P47" s="197"/>
      <c r="Q47" s="197"/>
      <c r="R47" s="197"/>
      <c r="S47" s="197"/>
      <c r="T47" s="197"/>
      <c r="U47" s="197"/>
      <c r="W47" s="194"/>
    </row>
    <row r="48" spans="1:26" s="97" customFormat="1" ht="17.7" customHeight="1" x14ac:dyDescent="0.4">
      <c r="A48" s="118"/>
      <c r="B48" s="154" t="s">
        <v>89</v>
      </c>
      <c r="G48" s="120"/>
      <c r="H48" s="120"/>
      <c r="M48" s="2"/>
      <c r="N48" s="188"/>
      <c r="O48" s="197"/>
      <c r="P48" s="197"/>
      <c r="Q48" s="197"/>
      <c r="R48" s="197"/>
      <c r="S48" s="197"/>
      <c r="T48" s="197"/>
      <c r="U48" s="197"/>
      <c r="W48" s="194"/>
    </row>
    <row r="49" spans="1:26" s="97" customFormat="1" ht="17.7" customHeight="1" x14ac:dyDescent="0.4">
      <c r="A49" s="118"/>
      <c r="B49" s="119" t="s">
        <v>56</v>
      </c>
      <c r="G49" s="120"/>
      <c r="M49" s="2"/>
      <c r="N49" s="188"/>
      <c r="O49" s="197"/>
      <c r="P49" s="197"/>
      <c r="Q49" s="197"/>
      <c r="R49" s="197"/>
      <c r="S49" s="197"/>
      <c r="T49" s="197"/>
      <c r="U49" s="197"/>
      <c r="W49" s="194"/>
    </row>
    <row r="50" spans="1:26" s="97" customFormat="1" ht="17.7" customHeight="1" x14ac:dyDescent="0.45">
      <c r="A50" s="118"/>
      <c r="B50" s="233" t="s">
        <v>62</v>
      </c>
      <c r="C50" s="234"/>
      <c r="D50" s="234"/>
      <c r="E50" s="234"/>
      <c r="F50" s="234"/>
      <c r="G50" s="234"/>
      <c r="H50" s="234"/>
      <c r="I50" s="234"/>
      <c r="J50" s="234"/>
      <c r="K50" s="234"/>
      <c r="L50" s="155"/>
      <c r="M50" s="183"/>
      <c r="N50" s="190"/>
      <c r="O50" s="199"/>
      <c r="P50" s="199"/>
      <c r="Q50" s="199"/>
      <c r="R50" s="199"/>
      <c r="S50" s="199"/>
      <c r="T50" s="199"/>
      <c r="U50" s="199"/>
      <c r="V50" s="95"/>
      <c r="W50" s="194"/>
      <c r="X50" s="155"/>
    </row>
    <row r="51" spans="1:26" s="97" customFormat="1" ht="17.7" customHeight="1" thickBot="1" x14ac:dyDescent="0.45">
      <c r="A51" s="118"/>
      <c r="B51" s="97" t="s">
        <v>18</v>
      </c>
      <c r="G51" s="120"/>
      <c r="H51" s="119"/>
      <c r="I51" s="156"/>
      <c r="J51" s="157"/>
      <c r="K51" s="157"/>
      <c r="L51" s="158"/>
      <c r="M51" s="2"/>
      <c r="N51" s="188"/>
      <c r="O51" s="197"/>
      <c r="P51" s="197"/>
      <c r="Q51" s="197"/>
      <c r="R51" s="197"/>
      <c r="S51" s="197"/>
      <c r="T51" s="197"/>
      <c r="U51" s="197"/>
      <c r="W51" s="194"/>
    </row>
    <row r="52" spans="1:26" s="97" customFormat="1" ht="17.7" customHeight="1" thickBot="1" x14ac:dyDescent="0.45">
      <c r="A52" s="118"/>
      <c r="B52" s="235"/>
      <c r="C52" s="236"/>
      <c r="D52" s="237"/>
      <c r="G52" s="120"/>
      <c r="H52" s="119"/>
      <c r="I52" s="156"/>
      <c r="J52" s="157"/>
      <c r="K52" s="157"/>
      <c r="L52" s="158"/>
      <c r="M52" s="2"/>
      <c r="N52" s="188"/>
      <c r="O52" s="197"/>
      <c r="P52" s="197"/>
      <c r="Q52" s="197"/>
      <c r="R52" s="197"/>
      <c r="S52" s="197"/>
      <c r="T52" s="197"/>
      <c r="U52" s="197"/>
      <c r="W52" s="194"/>
    </row>
    <row r="53" spans="1:26" s="97" customFormat="1" ht="17.7" customHeight="1" x14ac:dyDescent="0.4">
      <c r="A53" s="118"/>
      <c r="G53" s="120"/>
      <c r="H53" s="119"/>
      <c r="I53" s="156"/>
      <c r="J53" s="157"/>
      <c r="K53" s="157"/>
      <c r="L53" s="158"/>
      <c r="M53" s="2"/>
      <c r="N53" s="188"/>
      <c r="O53" s="197"/>
      <c r="P53" s="197"/>
      <c r="Q53" s="197"/>
      <c r="R53" s="197"/>
      <c r="S53" s="197"/>
      <c r="T53" s="197"/>
      <c r="U53" s="197"/>
      <c r="W53" s="194"/>
    </row>
    <row r="54" spans="1:26" s="97" customFormat="1" ht="17.7" customHeight="1" x14ac:dyDescent="0.45">
      <c r="A54" s="118"/>
      <c r="B54" s="233" t="s">
        <v>61</v>
      </c>
      <c r="C54" s="234"/>
      <c r="D54" s="234"/>
      <c r="E54" s="234"/>
      <c r="F54" s="234"/>
      <c r="G54" s="234"/>
      <c r="H54" s="234"/>
      <c r="I54" s="234"/>
      <c r="J54" s="234"/>
      <c r="K54" s="234"/>
      <c r="L54" s="155"/>
      <c r="M54" s="183"/>
      <c r="N54" s="188"/>
      <c r="O54" s="197"/>
      <c r="P54" s="197"/>
      <c r="Q54" s="197"/>
      <c r="R54" s="197"/>
      <c r="S54" s="197"/>
      <c r="T54" s="197"/>
      <c r="U54" s="197"/>
      <c r="W54" s="194"/>
    </row>
    <row r="55" spans="1:26" s="97" customFormat="1" ht="17.7" customHeight="1" thickBot="1" x14ac:dyDescent="0.45">
      <c r="A55" s="118"/>
      <c r="G55" s="120"/>
      <c r="H55" s="119"/>
      <c r="I55" s="156"/>
      <c r="J55" s="157"/>
      <c r="K55" s="157"/>
      <c r="L55" s="158"/>
      <c r="M55" s="2"/>
      <c r="N55" s="188">
        <v>3</v>
      </c>
      <c r="O55" s="197">
        <f>IF(C56=0,0,-N55)</f>
        <v>-3</v>
      </c>
      <c r="P55" s="197"/>
      <c r="Q55" s="197"/>
      <c r="R55" s="197"/>
      <c r="S55" s="197"/>
      <c r="T55" s="198">
        <f t="shared" si="4"/>
        <v>-3</v>
      </c>
      <c r="U55" s="197"/>
      <c r="W55" s="194"/>
    </row>
    <row r="56" spans="1:26" s="97" customFormat="1" ht="17.7" customHeight="1" x14ac:dyDescent="0.4">
      <c r="A56" s="118"/>
      <c r="B56" s="159" t="s">
        <v>58</v>
      </c>
      <c r="C56" s="160">
        <f>+Answers!C56-INPUT!C56</f>
        <v>1745.95</v>
      </c>
      <c r="G56" s="120"/>
      <c r="H56" s="119"/>
      <c r="I56" s="156"/>
      <c r="J56" s="157"/>
      <c r="K56" s="157"/>
      <c r="L56" s="158"/>
      <c r="M56" s="2"/>
      <c r="N56" s="188">
        <v>1</v>
      </c>
      <c r="O56" s="197">
        <f>IF(C57=0,0,-N56)</f>
        <v>-1</v>
      </c>
      <c r="P56" s="197"/>
      <c r="Q56" s="197"/>
      <c r="R56" s="197"/>
      <c r="S56" s="197"/>
      <c r="T56" s="198">
        <f t="shared" si="4"/>
        <v>-1</v>
      </c>
      <c r="U56" s="197"/>
      <c r="W56" s="194"/>
    </row>
    <row r="57" spans="1:26" s="97" customFormat="1" ht="17.7" customHeight="1" thickBot="1" x14ac:dyDescent="0.45">
      <c r="A57" s="118"/>
      <c r="B57" s="161" t="s">
        <v>59</v>
      </c>
      <c r="C57" s="162">
        <f>+Answers!C57-INPUT!C57</f>
        <v>-0.31295750915928788</v>
      </c>
      <c r="L57" s="158"/>
      <c r="M57" s="2"/>
      <c r="N57" s="188"/>
      <c r="O57" s="197"/>
      <c r="P57" s="197"/>
      <c r="Q57" s="197"/>
      <c r="R57" s="197"/>
      <c r="S57" s="197"/>
      <c r="T57" s="197"/>
      <c r="U57" s="197"/>
      <c r="W57" s="194"/>
    </row>
    <row r="58" spans="1:26" s="97" customFormat="1" ht="17.7" customHeight="1" x14ac:dyDescent="0.4">
      <c r="A58" s="118"/>
      <c r="L58" s="158"/>
      <c r="M58" s="2"/>
      <c r="N58" s="188"/>
      <c r="O58" s="197"/>
      <c r="P58" s="197"/>
      <c r="Q58" s="197"/>
      <c r="R58" s="197"/>
      <c r="S58" s="197"/>
      <c r="T58" s="197"/>
      <c r="U58" s="197"/>
      <c r="W58" s="194"/>
    </row>
    <row r="59" spans="1:26" s="97" customFormat="1" ht="17.7" customHeight="1" x14ac:dyDescent="0.45">
      <c r="A59" s="118"/>
      <c r="B59" s="233" t="s">
        <v>60</v>
      </c>
      <c r="C59" s="234"/>
      <c r="D59" s="234"/>
      <c r="E59" s="234"/>
      <c r="F59" s="234"/>
      <c r="G59" s="234"/>
      <c r="H59" s="234"/>
      <c r="I59" s="234"/>
      <c r="J59" s="234"/>
      <c r="K59" s="234"/>
      <c r="L59" s="155"/>
      <c r="M59" s="183"/>
      <c r="N59" s="188"/>
      <c r="O59" s="197"/>
      <c r="P59" s="197"/>
      <c r="Q59" s="197"/>
      <c r="R59" s="197"/>
      <c r="S59" s="197"/>
      <c r="T59" s="197"/>
      <c r="U59" s="197"/>
      <c r="W59" s="194"/>
    </row>
    <row r="60" spans="1:26" s="97" customFormat="1" ht="17.7" customHeight="1" thickBot="1" x14ac:dyDescent="0.45">
      <c r="A60" s="118"/>
      <c r="L60" s="158"/>
      <c r="M60" s="2"/>
      <c r="N60" s="188"/>
      <c r="O60" s="197"/>
      <c r="P60" s="197"/>
      <c r="Q60" s="197"/>
      <c r="R60" s="197"/>
      <c r="S60" s="197"/>
      <c r="T60" s="197"/>
      <c r="U60" s="197"/>
      <c r="W60" s="194"/>
    </row>
    <row r="61" spans="1:26" s="97" customFormat="1" ht="17.7" customHeight="1" x14ac:dyDescent="0.4">
      <c r="A61" s="118"/>
      <c r="B61" s="159" t="s">
        <v>58</v>
      </c>
      <c r="C61" s="160">
        <f>+Answers!C61-INPUT!C61</f>
        <v>-1234.05</v>
      </c>
      <c r="L61" s="158"/>
      <c r="M61" s="2"/>
      <c r="N61" s="188">
        <v>3</v>
      </c>
      <c r="O61" s="197">
        <f>IF(C61=0,0,-N61)</f>
        <v>-3</v>
      </c>
      <c r="P61" s="197"/>
      <c r="Q61" s="197"/>
      <c r="R61" s="197"/>
      <c r="S61" s="197"/>
      <c r="T61" s="198">
        <f t="shared" si="4"/>
        <v>-3</v>
      </c>
      <c r="U61" s="197"/>
      <c r="W61" s="194"/>
    </row>
    <row r="62" spans="1:26" s="97" customFormat="1" ht="17.7" customHeight="1" thickBot="1" x14ac:dyDescent="0.45">
      <c r="A62" s="118"/>
      <c r="B62" s="161" t="s">
        <v>59</v>
      </c>
      <c r="C62" s="162">
        <f>+Answers!C62-INPUT!C62</f>
        <v>-0.10159118727050184</v>
      </c>
      <c r="L62" s="158"/>
      <c r="M62" s="2"/>
      <c r="N62" s="188">
        <v>1</v>
      </c>
      <c r="O62" s="197">
        <f>IF(C62=0,0,-N62)</f>
        <v>-1</v>
      </c>
      <c r="P62" s="197"/>
      <c r="Q62" s="197"/>
      <c r="R62" s="197"/>
      <c r="S62" s="197"/>
      <c r="T62" s="198">
        <f t="shared" si="4"/>
        <v>-1</v>
      </c>
      <c r="U62" s="197"/>
      <c r="W62" s="194"/>
    </row>
    <row r="63" spans="1:26" s="97" customFormat="1" ht="17.7" customHeight="1" x14ac:dyDescent="0.4">
      <c r="A63" s="118"/>
      <c r="L63" s="158"/>
      <c r="M63" s="2"/>
      <c r="N63" s="188"/>
      <c r="O63" s="197"/>
      <c r="P63" s="197"/>
      <c r="Q63" s="197"/>
      <c r="R63" s="197"/>
      <c r="S63" s="197"/>
      <c r="T63" s="197"/>
      <c r="U63" s="197"/>
      <c r="W63" s="194"/>
    </row>
    <row r="64" spans="1:26" ht="17.7" customHeight="1" x14ac:dyDescent="0.4">
      <c r="B64" s="227" t="s">
        <v>78</v>
      </c>
      <c r="C64" s="228"/>
      <c r="D64" s="228"/>
      <c r="E64" s="228"/>
      <c r="F64" s="228"/>
      <c r="G64" s="228"/>
      <c r="H64" s="228"/>
      <c r="I64" s="228"/>
      <c r="J64" s="228"/>
      <c r="K64" s="229"/>
      <c r="L64" s="229"/>
      <c r="M64" s="181"/>
      <c r="N64" s="186"/>
      <c r="O64" s="185"/>
      <c r="P64" s="185"/>
      <c r="Q64" s="185"/>
      <c r="R64" s="185"/>
      <c r="S64" s="185"/>
      <c r="T64" s="185"/>
      <c r="U64" s="185"/>
      <c r="V64" s="100"/>
      <c r="W64" s="194"/>
      <c r="X64" s="100"/>
      <c r="Y64" s="100"/>
      <c r="Z64" s="100"/>
    </row>
    <row r="65" spans="2:26" ht="17.7" customHeight="1" x14ac:dyDescent="0.4">
      <c r="B65" s="119" t="s">
        <v>16</v>
      </c>
      <c r="N65" s="188"/>
      <c r="O65" s="197"/>
      <c r="P65" s="197"/>
      <c r="Q65" s="197"/>
      <c r="R65" s="197"/>
      <c r="S65" s="197"/>
      <c r="T65" s="197"/>
      <c r="U65" s="197"/>
      <c r="W65" s="194"/>
    </row>
    <row r="66" spans="2:26" ht="17.7" customHeight="1" x14ac:dyDescent="0.45">
      <c r="B66" s="233" t="s">
        <v>98</v>
      </c>
      <c r="C66" s="234"/>
      <c r="D66" s="234"/>
      <c r="E66" s="234"/>
      <c r="F66" s="234"/>
      <c r="G66" s="234"/>
      <c r="H66" s="234"/>
      <c r="I66" s="234"/>
      <c r="J66" s="234"/>
      <c r="K66" s="234"/>
      <c r="L66" s="155"/>
      <c r="M66" s="183"/>
      <c r="N66" s="188"/>
      <c r="O66" s="197"/>
      <c r="P66" s="197"/>
      <c r="Q66" s="197"/>
      <c r="R66" s="197"/>
      <c r="S66" s="197"/>
      <c r="T66" s="197"/>
      <c r="U66" s="197"/>
      <c r="W66" s="194"/>
      <c r="X66" s="155"/>
      <c r="Y66" s="155"/>
      <c r="Z66" s="155"/>
    </row>
    <row r="67" spans="2:26" ht="17.7" customHeight="1" x14ac:dyDescent="0.4">
      <c r="B67" s="119"/>
      <c r="N67" s="188"/>
      <c r="O67" s="197"/>
      <c r="P67" s="197"/>
      <c r="Q67" s="197"/>
      <c r="R67" s="197"/>
      <c r="S67" s="197"/>
      <c r="T67" s="197"/>
      <c r="U67" s="197"/>
      <c r="W67" s="194"/>
    </row>
    <row r="68" spans="2:26" ht="17.7" customHeight="1" x14ac:dyDescent="0.4">
      <c r="B68" s="222" t="s">
        <v>79</v>
      </c>
      <c r="C68" s="223"/>
      <c r="D68" s="223"/>
      <c r="E68" s="223"/>
      <c r="F68" s="223"/>
      <c r="G68" s="223"/>
      <c r="H68" s="223"/>
      <c r="I68" s="223"/>
      <c r="J68" s="223"/>
      <c r="N68" s="188"/>
      <c r="O68" s="197"/>
      <c r="P68" s="197"/>
      <c r="Q68" s="197"/>
      <c r="R68" s="197"/>
      <c r="S68" s="197"/>
      <c r="T68" s="197"/>
      <c r="U68" s="197"/>
      <c r="W68" s="194"/>
    </row>
    <row r="69" spans="2:26" ht="17.7" customHeight="1" x14ac:dyDescent="0.4">
      <c r="B69" s="163"/>
      <c r="C69" s="163"/>
      <c r="D69" s="163"/>
      <c r="E69" s="164"/>
      <c r="F69" s="164"/>
      <c r="G69" s="165"/>
      <c r="H69" s="165"/>
      <c r="I69" s="164"/>
      <c r="J69" s="164"/>
      <c r="N69" s="188"/>
      <c r="O69" s="197"/>
      <c r="P69" s="197"/>
      <c r="Q69" s="197"/>
      <c r="R69" s="197"/>
      <c r="S69" s="197"/>
      <c r="T69" s="197"/>
      <c r="U69" s="197"/>
      <c r="W69" s="194"/>
    </row>
    <row r="70" spans="2:26" ht="17.7" customHeight="1" x14ac:dyDescent="0.4">
      <c r="B70" s="163"/>
      <c r="C70" s="166"/>
      <c r="D70" s="166"/>
      <c r="E70" s="167" t="s">
        <v>23</v>
      </c>
      <c r="F70" s="164"/>
      <c r="G70" s="167" t="s">
        <v>24</v>
      </c>
      <c r="H70" s="167"/>
      <c r="I70" s="167" t="s">
        <v>25</v>
      </c>
      <c r="J70" s="164"/>
      <c r="N70" s="188"/>
      <c r="O70" s="197"/>
      <c r="P70" s="197"/>
      <c r="Q70" s="197"/>
      <c r="R70" s="197"/>
      <c r="S70" s="197"/>
      <c r="T70" s="197"/>
      <c r="U70" s="197"/>
      <c r="W70" s="194"/>
    </row>
    <row r="71" spans="2:26" ht="17.7" customHeight="1" thickBot="1" x14ac:dyDescent="0.45">
      <c r="B71" s="163"/>
      <c r="C71" s="166"/>
      <c r="D71" s="167" t="s">
        <v>65</v>
      </c>
      <c r="E71" s="164"/>
      <c r="F71" s="164"/>
      <c r="G71" s="165"/>
      <c r="H71" s="165"/>
      <c r="I71" s="164"/>
      <c r="J71" s="164"/>
      <c r="N71" s="188"/>
      <c r="O71" s="197"/>
      <c r="P71" s="197"/>
      <c r="Q71" s="197"/>
      <c r="R71" s="197"/>
      <c r="S71" s="197"/>
      <c r="T71" s="197"/>
      <c r="U71" s="197"/>
      <c r="W71" s="194"/>
    </row>
    <row r="72" spans="2:26" ht="17.7" customHeight="1" thickBot="1" x14ac:dyDescent="0.45">
      <c r="B72" s="163"/>
      <c r="C72" s="166">
        <f>+Answers!C72-INPUT!C72</f>
        <v>0</v>
      </c>
      <c r="D72" s="168">
        <f>+Answers!D72-INPUT!D72</f>
        <v>0</v>
      </c>
      <c r="E72" s="164">
        <f>+Answers!E72-INPUT!E72</f>
        <v>0</v>
      </c>
      <c r="F72" s="168">
        <f>+Answers!F72-INPUT!F72</f>
        <v>0</v>
      </c>
      <c r="G72" s="165">
        <f>+Answers!G72-INPUT!G72</f>
        <v>0</v>
      </c>
      <c r="H72" s="165">
        <f>+Answers!H72-INPUT!H72</f>
        <v>0</v>
      </c>
      <c r="I72" s="164">
        <f>+Answers!I72-INPUT!I72</f>
        <v>0</v>
      </c>
      <c r="J72" s="164"/>
      <c r="N72" s="188">
        <v>3</v>
      </c>
      <c r="O72" s="197">
        <f>IF(I74=0,0,-N72)</f>
        <v>0</v>
      </c>
      <c r="P72" s="197"/>
      <c r="Q72" s="197"/>
      <c r="R72" s="197"/>
      <c r="S72" s="197"/>
      <c r="T72" s="198">
        <f t="shared" si="4"/>
        <v>0</v>
      </c>
      <c r="U72" s="197"/>
      <c r="W72" s="194"/>
    </row>
    <row r="73" spans="2:26" ht="17.7" customHeight="1" thickBot="1" x14ac:dyDescent="0.45">
      <c r="B73" s="163"/>
      <c r="C73" s="167" t="e">
        <f>+Answers!C73-INPUT!C73</f>
        <v>#VALUE!</v>
      </c>
      <c r="D73" s="166">
        <f>+Answers!D73-INPUT!D73</f>
        <v>0</v>
      </c>
      <c r="E73" s="164">
        <f>+Answers!E73-INPUT!E73</f>
        <v>0</v>
      </c>
      <c r="F73" s="164">
        <f>+Answers!F73-INPUT!F73</f>
        <v>0</v>
      </c>
      <c r="G73" s="165">
        <f>+Answers!G73-INPUT!G73</f>
        <v>0</v>
      </c>
      <c r="H73" s="165">
        <f>+Answers!H73-INPUT!H73</f>
        <v>0</v>
      </c>
      <c r="I73" s="164">
        <f>+Answers!I73-INPUT!I73</f>
        <v>0</v>
      </c>
      <c r="J73" s="164"/>
      <c r="N73" s="188"/>
      <c r="O73" s="197"/>
      <c r="P73" s="197"/>
      <c r="Q73" s="197"/>
      <c r="R73" s="197"/>
      <c r="S73" s="197"/>
      <c r="T73" s="197"/>
      <c r="U73" s="197"/>
      <c r="W73" s="194"/>
    </row>
    <row r="74" spans="2:26" ht="17.7" customHeight="1" thickBot="1" x14ac:dyDescent="0.45">
      <c r="B74" s="163"/>
      <c r="C74" s="168">
        <f>+Answers!C74-INPUT!C74</f>
        <v>0</v>
      </c>
      <c r="D74" s="166">
        <f>+Answers!D74-INPUT!D74</f>
        <v>0</v>
      </c>
      <c r="E74" s="169">
        <f>+Answers!E74-INPUT!E74</f>
        <v>0</v>
      </c>
      <c r="F74" s="164">
        <f>+Answers!F74-INPUT!F74</f>
        <v>0</v>
      </c>
      <c r="G74" s="169">
        <f>+Answers!G74-INPUT!G74</f>
        <v>0</v>
      </c>
      <c r="H74" s="170" t="e">
        <f>+Answers!H74-INPUT!H74</f>
        <v>#VALUE!</v>
      </c>
      <c r="I74" s="171">
        <f>+Answers!I74-INPUT!I74</f>
        <v>0</v>
      </c>
      <c r="J74" s="164"/>
      <c r="N74" s="188"/>
      <c r="O74" s="197"/>
      <c r="P74" s="197"/>
      <c r="Q74" s="197"/>
      <c r="R74" s="197"/>
      <c r="S74" s="197"/>
      <c r="T74" s="197"/>
      <c r="U74" s="197"/>
      <c r="W74" s="194"/>
    </row>
    <row r="75" spans="2:26" ht="17.7" customHeight="1" thickBot="1" x14ac:dyDescent="0.45">
      <c r="B75" s="163"/>
      <c r="C75" s="166">
        <f>+Answers!C75-INPUT!C75</f>
        <v>0</v>
      </c>
      <c r="D75" s="166">
        <f>+Answers!D75-INPUT!D75</f>
        <v>0</v>
      </c>
      <c r="E75" s="164">
        <f>+Answers!E75-INPUT!E75</f>
        <v>0</v>
      </c>
      <c r="F75" s="164">
        <f>+Answers!F75-INPUT!F75</f>
        <v>0</v>
      </c>
      <c r="G75" s="165">
        <f>+Answers!G75-INPUT!G75</f>
        <v>0</v>
      </c>
      <c r="H75" s="165">
        <f>+Answers!H75-INPUT!H75</f>
        <v>0</v>
      </c>
      <c r="I75" s="164">
        <f>+Answers!I75-INPUT!I75</f>
        <v>0</v>
      </c>
      <c r="J75" s="164"/>
      <c r="N75" s="188"/>
      <c r="O75" s="197"/>
      <c r="P75" s="197"/>
      <c r="Q75" s="197"/>
      <c r="R75" s="197"/>
      <c r="S75" s="197"/>
      <c r="T75" s="197"/>
      <c r="U75" s="197"/>
      <c r="W75" s="194"/>
    </row>
    <row r="76" spans="2:26" ht="17.7" customHeight="1" thickBot="1" x14ac:dyDescent="0.45">
      <c r="B76" s="163"/>
      <c r="C76" s="166">
        <f>+Answers!C76-INPUT!C76</f>
        <v>0</v>
      </c>
      <c r="D76" s="168">
        <f>+Answers!D76-INPUT!D76</f>
        <v>0</v>
      </c>
      <c r="E76" s="164">
        <f>+Answers!E76-INPUT!E76</f>
        <v>0</v>
      </c>
      <c r="F76" s="168">
        <f>+Answers!F76-INPUT!F76</f>
        <v>0</v>
      </c>
      <c r="G76" s="165">
        <f>+Answers!G76-INPUT!G76</f>
        <v>0</v>
      </c>
      <c r="H76" s="165">
        <f>+Answers!H76-INPUT!H76</f>
        <v>0</v>
      </c>
      <c r="I76" s="164">
        <f>+Answers!I76-INPUT!I76</f>
        <v>0</v>
      </c>
      <c r="J76" s="164"/>
      <c r="N76" s="188"/>
      <c r="O76" s="197"/>
      <c r="P76" s="197"/>
      <c r="Q76" s="197"/>
      <c r="R76" s="197"/>
      <c r="S76" s="197"/>
      <c r="T76" s="197"/>
      <c r="U76" s="197"/>
      <c r="W76" s="194"/>
    </row>
    <row r="77" spans="2:26" ht="17.7" customHeight="1" x14ac:dyDescent="0.4">
      <c r="B77" s="163"/>
      <c r="C77" s="166">
        <f>+Answers!C77-INPUT!C77</f>
        <v>0</v>
      </c>
      <c r="D77" s="166">
        <f>+Answers!D77-INPUT!D77</f>
        <v>0</v>
      </c>
      <c r="E77" s="164">
        <f>+Answers!E77-INPUT!E77</f>
        <v>0</v>
      </c>
      <c r="F77" s="164">
        <f>+Answers!F77-INPUT!F77</f>
        <v>0</v>
      </c>
      <c r="G77" s="165">
        <f>+Answers!G77-INPUT!G77</f>
        <v>0</v>
      </c>
      <c r="H77" s="165">
        <f>+Answers!H77-INPUT!H77</f>
        <v>0</v>
      </c>
      <c r="I77" s="164">
        <f>+Answers!I77-INPUT!I77</f>
        <v>0</v>
      </c>
      <c r="J77" s="164"/>
      <c r="N77" s="188"/>
      <c r="O77" s="197"/>
      <c r="P77" s="197"/>
      <c r="Q77" s="197"/>
      <c r="R77" s="197"/>
      <c r="S77" s="197"/>
      <c r="T77" s="197"/>
      <c r="U77" s="197"/>
      <c r="W77" s="194"/>
    </row>
    <row r="78" spans="2:26" ht="17.7" customHeight="1" thickBot="1" x14ac:dyDescent="0.45">
      <c r="B78" s="119"/>
      <c r="C78" s="164">
        <f>+Answers!C78-INPUT!C78</f>
        <v>0</v>
      </c>
      <c r="D78" s="164">
        <f>+Answers!D78-INPUT!D78</f>
        <v>0</v>
      </c>
      <c r="E78" s="164">
        <f>+Answers!E78-INPUT!E78</f>
        <v>0</v>
      </c>
      <c r="F78" s="164">
        <f>+Answers!F78-INPUT!F78</f>
        <v>0</v>
      </c>
      <c r="G78" s="165">
        <f>+Answers!G78-INPUT!G78</f>
        <v>0</v>
      </c>
      <c r="H78" s="165">
        <f>+Answers!H78-INPUT!H78</f>
        <v>0</v>
      </c>
      <c r="I78" s="164">
        <f>+Answers!I78-INPUT!I78</f>
        <v>0</v>
      </c>
      <c r="J78" s="164"/>
      <c r="N78" s="188"/>
      <c r="O78" s="197"/>
      <c r="P78" s="197"/>
      <c r="Q78" s="197"/>
      <c r="R78" s="197"/>
      <c r="S78" s="197"/>
      <c r="T78" s="197"/>
      <c r="U78" s="197"/>
      <c r="W78" s="194"/>
    </row>
    <row r="79" spans="2:26" ht="17.7" customHeight="1" thickBot="1" x14ac:dyDescent="0.45">
      <c r="B79" s="119"/>
      <c r="C79" s="167" t="e">
        <f>+Answers!C79-INPUT!C79</f>
        <v>#VALUE!</v>
      </c>
      <c r="D79" s="169">
        <f>+Answers!D79-INPUT!D79</f>
        <v>0</v>
      </c>
      <c r="E79" s="164">
        <f>+Answers!E79-INPUT!E79</f>
        <v>0</v>
      </c>
      <c r="F79" s="164">
        <f>+Answers!F79-INPUT!F79</f>
        <v>0</v>
      </c>
      <c r="G79" s="165">
        <f>+Answers!G79-INPUT!G79</f>
        <v>0</v>
      </c>
      <c r="H79" s="165">
        <f>+Answers!H79-INPUT!H79</f>
        <v>0</v>
      </c>
      <c r="I79" s="164">
        <f>+Answers!I79-INPUT!I79</f>
        <v>0</v>
      </c>
      <c r="J79" s="164"/>
      <c r="N79" s="188">
        <v>2</v>
      </c>
      <c r="O79" s="197">
        <f>IF(D79=0,0,-N79)</f>
        <v>0</v>
      </c>
      <c r="P79" s="197"/>
      <c r="Q79" s="197"/>
      <c r="R79" s="197"/>
      <c r="S79" s="197"/>
      <c r="T79" s="198">
        <f t="shared" si="4"/>
        <v>0</v>
      </c>
      <c r="U79" s="197"/>
      <c r="W79" s="194"/>
    </row>
    <row r="80" spans="2:26" ht="17.7" customHeight="1" thickBot="1" x14ac:dyDescent="0.45">
      <c r="B80" s="119"/>
      <c r="C80" s="167" t="e">
        <f>+Answers!C80-INPUT!C80</f>
        <v>#VALUE!</v>
      </c>
      <c r="D80" s="169">
        <f>+Answers!D80-INPUT!D80</f>
        <v>0</v>
      </c>
      <c r="E80" s="164">
        <f>+Answers!E80-INPUT!E80</f>
        <v>0</v>
      </c>
      <c r="F80" s="164" t="e">
        <f>+Answers!F80-INPUT!F80</f>
        <v>#VALUE!</v>
      </c>
      <c r="G80" s="165">
        <f>+Answers!G80-INPUT!G80</f>
        <v>-51.642857142857139</v>
      </c>
      <c r="H80" s="165">
        <f>+Answers!H80-INPUT!H80</f>
        <v>0</v>
      </c>
      <c r="I80" s="164">
        <f>+Answers!I80-INPUT!I80</f>
        <v>0</v>
      </c>
      <c r="J80" s="164"/>
      <c r="N80" s="188">
        <v>2</v>
      </c>
      <c r="O80" s="197">
        <f t="shared" ref="O80:O81" si="8">IF(D80=0,0,-N80)</f>
        <v>0</v>
      </c>
      <c r="P80" s="197"/>
      <c r="Q80" s="197"/>
      <c r="R80" s="197"/>
      <c r="S80" s="197"/>
      <c r="T80" s="198">
        <f t="shared" si="4"/>
        <v>0</v>
      </c>
      <c r="U80" s="197"/>
      <c r="W80" s="194"/>
    </row>
    <row r="81" spans="2:57" ht="17.7" customHeight="1" thickBot="1" x14ac:dyDescent="0.45">
      <c r="B81" s="119"/>
      <c r="C81" s="167" t="e">
        <f>+Answers!C81-INPUT!C81</f>
        <v>#VALUE!</v>
      </c>
      <c r="D81" s="169">
        <f>+Answers!D81-INPUT!D81</f>
        <v>0</v>
      </c>
      <c r="E81" s="164">
        <f>+Answers!E81-INPUT!E81</f>
        <v>0</v>
      </c>
      <c r="F81" s="164">
        <f>+Answers!F81-INPUT!F81</f>
        <v>0</v>
      </c>
      <c r="G81" s="165">
        <f>+Answers!G81-INPUT!G81</f>
        <v>0</v>
      </c>
      <c r="H81" s="165">
        <f>+Answers!H81-INPUT!H81</f>
        <v>0</v>
      </c>
      <c r="I81" s="164">
        <f>+Answers!I81-INPUT!I81</f>
        <v>0</v>
      </c>
      <c r="J81" s="164"/>
      <c r="N81" s="188">
        <v>2</v>
      </c>
      <c r="O81" s="197">
        <f t="shared" si="8"/>
        <v>0</v>
      </c>
      <c r="P81" s="197"/>
      <c r="Q81" s="197"/>
      <c r="R81" s="197"/>
      <c r="S81" s="197"/>
      <c r="T81" s="198">
        <f t="shared" si="4"/>
        <v>0</v>
      </c>
      <c r="U81" s="197"/>
      <c r="W81" s="194"/>
    </row>
    <row r="82" spans="2:57" ht="17.7" customHeight="1" x14ac:dyDescent="0.4">
      <c r="B82" s="119"/>
      <c r="C82" s="164"/>
      <c r="D82" s="164"/>
      <c r="E82" s="164"/>
      <c r="F82" s="164"/>
      <c r="G82" s="165"/>
      <c r="H82" s="165"/>
      <c r="I82" s="164"/>
      <c r="J82" s="164"/>
      <c r="N82" s="188"/>
      <c r="O82" s="197"/>
      <c r="P82" s="197"/>
      <c r="Q82" s="197"/>
      <c r="R82" s="197"/>
      <c r="S82" s="197"/>
      <c r="T82" s="197"/>
      <c r="U82" s="197"/>
      <c r="W82" s="194"/>
    </row>
    <row r="83" spans="2:57" ht="17.7" customHeight="1" x14ac:dyDescent="0.4">
      <c r="B83" s="233" t="s">
        <v>81</v>
      </c>
      <c r="C83" s="234"/>
      <c r="D83" s="234"/>
      <c r="E83" s="234"/>
      <c r="F83" s="234"/>
      <c r="G83" s="234"/>
      <c r="H83" s="234"/>
      <c r="I83" s="234"/>
      <c r="J83" s="234"/>
      <c r="K83" s="223"/>
      <c r="N83" s="188"/>
      <c r="O83" s="197"/>
      <c r="P83" s="197"/>
      <c r="Q83" s="197"/>
      <c r="R83" s="197"/>
      <c r="S83" s="197"/>
      <c r="T83" s="197"/>
      <c r="U83" s="197"/>
      <c r="W83" s="194"/>
    </row>
    <row r="84" spans="2:57" ht="17.7" customHeight="1" x14ac:dyDescent="0.4">
      <c r="B84" s="119"/>
      <c r="C84" s="164"/>
      <c r="D84" s="164"/>
      <c r="E84" s="164"/>
      <c r="F84" s="164"/>
      <c r="G84" s="165"/>
      <c r="H84" s="165"/>
      <c r="I84" s="164"/>
      <c r="J84" s="164"/>
      <c r="N84" s="188"/>
      <c r="O84" s="197"/>
      <c r="P84" s="197"/>
      <c r="Q84" s="197"/>
      <c r="R84" s="197"/>
      <c r="S84" s="197"/>
      <c r="T84" s="197"/>
      <c r="U84" s="197"/>
      <c r="W84" s="194"/>
    </row>
    <row r="85" spans="2:57" ht="17.7" customHeight="1" thickBot="1" x14ac:dyDescent="0.45">
      <c r="B85" s="119"/>
      <c r="C85" s="164"/>
      <c r="D85" s="164"/>
      <c r="E85" s="164"/>
      <c r="F85" s="172" t="s">
        <v>82</v>
      </c>
      <c r="G85" s="165">
        <f>+((1.05-0.95)/(1.25-0.95))</f>
        <v>0.33333333333333359</v>
      </c>
      <c r="H85" s="165"/>
      <c r="I85" s="164"/>
      <c r="J85" s="164"/>
      <c r="N85" s="188"/>
      <c r="O85" s="197"/>
      <c r="P85" s="197"/>
      <c r="Q85" s="197"/>
      <c r="R85" s="197"/>
      <c r="S85" s="197"/>
      <c r="T85" s="197"/>
      <c r="U85" s="197"/>
      <c r="W85" s="194"/>
    </row>
    <row r="86" spans="2:57" ht="17.7" customHeight="1" thickBot="1" x14ac:dyDescent="0.45">
      <c r="B86" s="119"/>
      <c r="C86" s="170" t="s">
        <v>84</v>
      </c>
      <c r="D86" s="169">
        <f>+Answers!D86-INPUT!D86</f>
        <v>2.8571428571444457E-3</v>
      </c>
      <c r="E86" s="164"/>
      <c r="F86" s="164"/>
      <c r="G86" s="165">
        <f>1-G85</f>
        <v>0.66666666666666641</v>
      </c>
      <c r="H86" s="165"/>
      <c r="I86" s="164"/>
      <c r="J86" s="164"/>
      <c r="N86" s="188">
        <v>3</v>
      </c>
      <c r="O86" s="197">
        <f t="shared" ref="O86" si="9">IF(D86=0,0,-N86)</f>
        <v>-3</v>
      </c>
      <c r="P86" s="197"/>
      <c r="Q86" s="197"/>
      <c r="R86" s="197"/>
      <c r="S86" s="197"/>
      <c r="T86" s="198">
        <f t="shared" ref="T86:T119" si="10">SUM(O86:S86)</f>
        <v>-3</v>
      </c>
      <c r="U86" s="197"/>
      <c r="W86" s="194"/>
    </row>
    <row r="87" spans="2:57" ht="17.7" customHeight="1" x14ac:dyDescent="0.4">
      <c r="B87" s="119"/>
      <c r="C87" s="164"/>
      <c r="D87" s="164"/>
      <c r="E87" s="164"/>
      <c r="F87" s="164"/>
      <c r="G87" s="165"/>
      <c r="H87" s="165"/>
      <c r="I87" s="164"/>
      <c r="J87" s="164"/>
      <c r="N87" s="188"/>
      <c r="O87" s="197"/>
      <c r="P87" s="197"/>
      <c r="Q87" s="197"/>
      <c r="R87" s="197"/>
      <c r="S87" s="197"/>
      <c r="T87" s="197"/>
      <c r="U87" s="197"/>
      <c r="W87" s="194"/>
    </row>
    <row r="88" spans="2:57" ht="17.7" customHeight="1" x14ac:dyDescent="0.4">
      <c r="B88" s="119" t="s">
        <v>77</v>
      </c>
      <c r="C88" s="164"/>
      <c r="D88" s="164"/>
      <c r="E88" s="164"/>
      <c r="F88" s="164"/>
      <c r="G88" s="165"/>
      <c r="H88" s="165"/>
      <c r="I88" s="164"/>
      <c r="J88" s="164"/>
      <c r="N88" s="188"/>
      <c r="O88" s="197"/>
      <c r="P88" s="197"/>
      <c r="Q88" s="197"/>
      <c r="R88" s="197"/>
      <c r="S88" s="197"/>
      <c r="T88" s="197"/>
      <c r="U88" s="197"/>
      <c r="W88" s="194"/>
    </row>
    <row r="89" spans="2:57" ht="17.7" customHeight="1" x14ac:dyDescent="0.45">
      <c r="B89" s="233" t="s">
        <v>99</v>
      </c>
      <c r="C89" s="234"/>
      <c r="D89" s="234"/>
      <c r="E89" s="234"/>
      <c r="F89" s="234"/>
      <c r="G89" s="234"/>
      <c r="H89" s="234"/>
      <c r="I89" s="234"/>
      <c r="J89" s="234"/>
      <c r="K89" s="234"/>
      <c r="L89" s="155"/>
      <c r="M89" s="183"/>
      <c r="N89" s="188"/>
      <c r="O89" s="197"/>
      <c r="P89" s="197"/>
      <c r="Q89" s="197"/>
      <c r="R89" s="197"/>
      <c r="S89" s="197"/>
      <c r="T89" s="197"/>
      <c r="U89" s="197"/>
      <c r="W89" s="194"/>
      <c r="X89" s="155"/>
      <c r="Y89" s="155"/>
      <c r="Z89" s="155"/>
    </row>
    <row r="90" spans="2:57" ht="17.7" customHeight="1" x14ac:dyDescent="0.4">
      <c r="N90" s="188"/>
      <c r="O90" s="197"/>
      <c r="P90" s="197"/>
      <c r="Q90" s="197"/>
      <c r="R90" s="197"/>
      <c r="S90" s="197"/>
      <c r="T90" s="197"/>
      <c r="U90" s="197"/>
      <c r="W90" s="194"/>
    </row>
    <row r="91" spans="2:57" ht="17.7" customHeight="1" x14ac:dyDescent="0.4">
      <c r="B91" s="222" t="s">
        <v>30</v>
      </c>
      <c r="C91" s="223"/>
      <c r="D91" s="223"/>
      <c r="E91" s="223"/>
      <c r="F91" s="223"/>
      <c r="G91" s="223"/>
      <c r="H91" s="223"/>
      <c r="I91" s="223"/>
      <c r="J91" s="223"/>
      <c r="N91" s="188"/>
      <c r="O91" s="197"/>
      <c r="P91" s="197"/>
      <c r="Q91" s="197"/>
      <c r="R91" s="197"/>
      <c r="S91" s="197"/>
      <c r="T91" s="197"/>
      <c r="U91" s="197"/>
      <c r="W91" s="194"/>
    </row>
    <row r="92" spans="2:57" ht="17.7" customHeight="1" thickBot="1" x14ac:dyDescent="0.5">
      <c r="B92" s="163"/>
      <c r="C92" s="163"/>
      <c r="D92" s="163"/>
      <c r="E92" s="167" t="s">
        <v>64</v>
      </c>
      <c r="F92" s="163"/>
      <c r="G92" s="173" t="s">
        <v>63</v>
      </c>
      <c r="H92" s="163"/>
      <c r="I92" s="163"/>
      <c r="J92" s="163"/>
      <c r="K92" s="163"/>
      <c r="L92" s="163"/>
      <c r="M92" s="184"/>
      <c r="N92" s="188"/>
      <c r="O92" s="197"/>
      <c r="P92" s="197"/>
      <c r="Q92" s="197"/>
      <c r="R92" s="197"/>
      <c r="S92" s="197"/>
      <c r="T92" s="197"/>
      <c r="U92" s="197"/>
      <c r="W92" s="194"/>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c r="BC92" s="95"/>
      <c r="BD92" s="95"/>
      <c r="BE92" s="95"/>
    </row>
    <row r="93" spans="2:57" ht="17.7" customHeight="1" thickBot="1" x14ac:dyDescent="0.5">
      <c r="B93" s="163"/>
      <c r="C93" s="166">
        <f>+Answers!C93-INPUT!C93</f>
        <v>0</v>
      </c>
      <c r="D93" s="166">
        <f>+Answers!D93-INPUT!D93</f>
        <v>0</v>
      </c>
      <c r="E93" s="168">
        <f>+Answers!E93-INPUT!E93</f>
        <v>0</v>
      </c>
      <c r="F93" s="166">
        <f>+Answers!F93-INPUT!F93</f>
        <v>0</v>
      </c>
      <c r="G93" s="174">
        <f>+Answers!G93-INPUT!G93</f>
        <v>0</v>
      </c>
      <c r="H93" s="163">
        <f>+Answers!H93-INPUT!H93</f>
        <v>0</v>
      </c>
      <c r="I93" s="163">
        <f>+Answers!I93-INPUT!I93</f>
        <v>0</v>
      </c>
      <c r="J93" s="163">
        <f>+Answers!J93-INPUT!J93</f>
        <v>0</v>
      </c>
      <c r="K93" s="163"/>
      <c r="L93" s="163"/>
      <c r="M93" s="184"/>
      <c r="N93" s="188">
        <v>2</v>
      </c>
      <c r="O93" s="197">
        <f>IF(G93=0,0,-$N93)</f>
        <v>0</v>
      </c>
      <c r="P93" s="197"/>
      <c r="Q93" s="197"/>
      <c r="R93" s="197"/>
      <c r="S93" s="197"/>
      <c r="T93" s="198">
        <f t="shared" si="10"/>
        <v>0</v>
      </c>
      <c r="U93" s="197"/>
      <c r="W93" s="194"/>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c r="BC93" s="95"/>
      <c r="BD93" s="95"/>
      <c r="BE93" s="95"/>
    </row>
    <row r="94" spans="2:57" ht="17.7" customHeight="1" thickBot="1" x14ac:dyDescent="0.5">
      <c r="B94" s="163"/>
      <c r="C94" s="166">
        <f>+Answers!C94-INPUT!C94</f>
        <v>0</v>
      </c>
      <c r="D94" s="167" t="e">
        <f>+Answers!D94-INPUT!D94</f>
        <v>#VALUE!</v>
      </c>
      <c r="E94" s="166">
        <f>+Answers!E94-INPUT!E94</f>
        <v>0</v>
      </c>
      <c r="F94" s="166">
        <f>+Answers!F94-INPUT!F94</f>
        <v>0</v>
      </c>
      <c r="G94" s="166">
        <f>+Answers!G94-INPUT!G94</f>
        <v>0</v>
      </c>
      <c r="H94" s="163">
        <f>+Answers!H94-INPUT!H94</f>
        <v>0</v>
      </c>
      <c r="I94" s="163">
        <f>+Answers!I94-INPUT!I94</f>
        <v>0</v>
      </c>
      <c r="J94" s="163">
        <f>+Answers!J94-INPUT!J94</f>
        <v>0</v>
      </c>
      <c r="K94" s="163"/>
      <c r="L94" s="163"/>
      <c r="M94" s="184"/>
      <c r="N94" s="188"/>
      <c r="O94" s="197"/>
      <c r="P94" s="197"/>
      <c r="Q94" s="197"/>
      <c r="R94" s="197"/>
      <c r="S94" s="197"/>
      <c r="T94" s="197"/>
      <c r="U94" s="197"/>
      <c r="W94" s="194"/>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c r="BC94" s="95"/>
      <c r="BD94" s="95"/>
      <c r="BE94" s="95"/>
    </row>
    <row r="95" spans="2:57" ht="17.7" customHeight="1" thickBot="1" x14ac:dyDescent="0.5">
      <c r="B95" s="163"/>
      <c r="C95" s="166">
        <f>+Answers!C95-INPUT!C95</f>
        <v>0</v>
      </c>
      <c r="D95" s="168">
        <f>+Answers!D95-INPUT!D95</f>
        <v>0</v>
      </c>
      <c r="E95" s="166">
        <f>+Answers!E95-INPUT!E95</f>
        <v>0</v>
      </c>
      <c r="F95" s="166">
        <f>+Answers!F95-INPUT!F95</f>
        <v>0</v>
      </c>
      <c r="G95" s="166" t="e">
        <f>+Answers!G95-INPUT!G95</f>
        <v>#VALUE!</v>
      </c>
      <c r="H95" s="169">
        <f>+Answers!H95-INPUT!H95</f>
        <v>2.2271428571428586</v>
      </c>
      <c r="I95" s="163">
        <f>+Answers!I95-INPUT!I95</f>
        <v>0</v>
      </c>
      <c r="J95" s="163">
        <f>+Answers!J95-INPUT!J95</f>
        <v>0</v>
      </c>
      <c r="K95" s="163"/>
      <c r="L95" s="163"/>
      <c r="M95" s="184"/>
      <c r="N95" s="188">
        <v>2</v>
      </c>
      <c r="O95" s="197"/>
      <c r="P95" s="197">
        <f>IF(H95=0,0,-$N95)</f>
        <v>-2</v>
      </c>
      <c r="Q95" s="197"/>
      <c r="R95" s="197"/>
      <c r="S95" s="197"/>
      <c r="T95" s="198">
        <f t="shared" si="10"/>
        <v>-2</v>
      </c>
      <c r="U95" s="197"/>
      <c r="W95" s="194"/>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c r="BC95" s="95"/>
      <c r="BD95" s="95"/>
      <c r="BE95" s="95"/>
    </row>
    <row r="96" spans="2:57" ht="17.7" customHeight="1" thickBot="1" x14ac:dyDescent="0.5">
      <c r="B96" s="163"/>
      <c r="C96" s="167" t="e">
        <f>+Answers!C96-INPUT!C96</f>
        <v>#VALUE!</v>
      </c>
      <c r="D96" s="166">
        <f>+Answers!D96-INPUT!D96</f>
        <v>0</v>
      </c>
      <c r="E96" s="166">
        <f>+Answers!E96-INPUT!E96</f>
        <v>0</v>
      </c>
      <c r="F96" s="166">
        <f>+Answers!F96-INPUT!F96</f>
        <v>0</v>
      </c>
      <c r="G96" s="166">
        <f>+Answers!G96-INPUT!G96</f>
        <v>0</v>
      </c>
      <c r="H96" s="166">
        <f>+Answers!H96-INPUT!H96</f>
        <v>0</v>
      </c>
      <c r="I96" s="163">
        <f>+Answers!I96-INPUT!I96</f>
        <v>0</v>
      </c>
      <c r="J96" s="173" t="e">
        <f>+Answers!J96-INPUT!J96</f>
        <v>#VALUE!</v>
      </c>
      <c r="K96" s="163"/>
      <c r="L96" s="163"/>
      <c r="M96" s="184"/>
      <c r="N96" s="188"/>
      <c r="O96" s="197"/>
      <c r="P96" s="197"/>
      <c r="Q96" s="197"/>
      <c r="R96" s="197"/>
      <c r="S96" s="197"/>
      <c r="T96" s="197"/>
      <c r="U96" s="197"/>
      <c r="W96" s="194"/>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c r="BC96" s="95"/>
      <c r="BD96" s="95"/>
      <c r="BE96" s="95"/>
    </row>
    <row r="97" spans="2:57" ht="17.7" customHeight="1" thickBot="1" x14ac:dyDescent="0.5">
      <c r="B97" s="163"/>
      <c r="C97" s="168">
        <f>+Answers!C97-INPUT!C97</f>
        <v>0</v>
      </c>
      <c r="D97" s="166">
        <f>+Answers!D97-INPUT!D97</f>
        <v>0</v>
      </c>
      <c r="E97" s="168">
        <f>+Answers!E97-INPUT!E97</f>
        <v>3.8999999999999915</v>
      </c>
      <c r="F97" s="166">
        <f>+Answers!F97-INPUT!F97</f>
        <v>0</v>
      </c>
      <c r="G97" s="174">
        <f>+Answers!G97-INPUT!G97</f>
        <v>3.8999999999999915</v>
      </c>
      <c r="H97" s="166">
        <f>+Answers!H97-INPUT!H97</f>
        <v>0</v>
      </c>
      <c r="I97" s="166" t="e">
        <f>+Answers!I97-INPUT!I97</f>
        <v>#VALUE!</v>
      </c>
      <c r="J97" s="175">
        <f>+Answers!J97-INPUT!J97</f>
        <v>1.6949659863945659</v>
      </c>
      <c r="K97" s="163"/>
      <c r="L97" s="163"/>
      <c r="M97" s="184"/>
      <c r="N97" s="188">
        <v>1</v>
      </c>
      <c r="O97" s="197">
        <f>IF(G97=0,0,-$N97)</f>
        <v>-1</v>
      </c>
      <c r="P97" s="197"/>
      <c r="Q97" s="197"/>
      <c r="R97" s="197">
        <f>IF(J97=0,0,-$N97)</f>
        <v>-1</v>
      </c>
      <c r="S97" s="197"/>
      <c r="T97" s="198">
        <f t="shared" si="10"/>
        <v>-2</v>
      </c>
      <c r="U97" s="197"/>
      <c r="W97" s="194"/>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c r="BC97" s="95"/>
      <c r="BD97" s="95"/>
      <c r="BE97" s="95"/>
    </row>
    <row r="98" spans="2:57" ht="17.7" customHeight="1" thickBot="1" x14ac:dyDescent="0.5">
      <c r="B98" s="163"/>
      <c r="C98" s="166">
        <f>+Answers!C98-INPUT!C98</f>
        <v>0</v>
      </c>
      <c r="D98" s="166">
        <f>+Answers!D98-INPUT!D98</f>
        <v>0</v>
      </c>
      <c r="E98" s="166">
        <f>+Answers!E98-INPUT!E98</f>
        <v>0</v>
      </c>
      <c r="F98" s="166">
        <f>+Answers!F98-INPUT!F98</f>
        <v>0</v>
      </c>
      <c r="G98" s="166">
        <f>+Answers!G98-INPUT!G98</f>
        <v>0</v>
      </c>
      <c r="H98" s="166">
        <f>+Answers!H98-INPUT!H98</f>
        <v>0</v>
      </c>
      <c r="I98" s="163">
        <f>+Answers!I98-INPUT!I98</f>
        <v>0</v>
      </c>
      <c r="J98" s="163">
        <f>+Answers!J98-INPUT!J98</f>
        <v>0</v>
      </c>
      <c r="K98" s="163"/>
      <c r="L98" s="163"/>
      <c r="M98" s="184"/>
      <c r="N98" s="188"/>
      <c r="O98" s="197"/>
      <c r="P98" s="197"/>
      <c r="Q98" s="197"/>
      <c r="R98" s="197"/>
      <c r="S98" s="197"/>
      <c r="T98" s="197"/>
      <c r="U98" s="197"/>
      <c r="W98" s="194"/>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c r="BC98" s="95"/>
      <c r="BD98" s="95"/>
      <c r="BE98" s="95"/>
    </row>
    <row r="99" spans="2:57" ht="17.7" customHeight="1" thickBot="1" x14ac:dyDescent="0.5">
      <c r="B99" s="163"/>
      <c r="C99" s="166">
        <f>+Answers!C99-INPUT!C99</f>
        <v>0</v>
      </c>
      <c r="D99" s="168">
        <f>+Answers!D99-INPUT!D99</f>
        <v>3.25</v>
      </c>
      <c r="E99" s="166">
        <f>+Answers!E99-INPUT!E99</f>
        <v>0</v>
      </c>
      <c r="F99" s="166">
        <f>+Answers!F99-INPUT!F99</f>
        <v>0</v>
      </c>
      <c r="G99" s="166" t="e">
        <f>+Answers!G99-INPUT!G99</f>
        <v>#VALUE!</v>
      </c>
      <c r="H99" s="175">
        <f>+Answers!H99-INPUT!H99</f>
        <v>1.4814285714285735</v>
      </c>
      <c r="I99" s="163">
        <f>+Answers!I99-INPUT!I99</f>
        <v>0</v>
      </c>
      <c r="J99" s="163">
        <f>+Answers!J99-INPUT!J99</f>
        <v>0</v>
      </c>
      <c r="K99" s="163"/>
      <c r="L99" s="163"/>
      <c r="M99" s="184"/>
      <c r="N99" s="188">
        <v>2</v>
      </c>
      <c r="O99" s="197"/>
      <c r="P99" s="197">
        <f>IF(H99=0,0,-$N99)</f>
        <v>-2</v>
      </c>
      <c r="Q99" s="197"/>
      <c r="R99" s="197"/>
      <c r="S99" s="197"/>
      <c r="T99" s="198">
        <f t="shared" si="10"/>
        <v>-2</v>
      </c>
      <c r="U99" s="197"/>
      <c r="W99" s="194"/>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c r="BC99" s="95"/>
      <c r="BD99" s="95"/>
      <c r="BE99" s="95"/>
    </row>
    <row r="100" spans="2:57" ht="17.7" customHeight="1" thickBot="1" x14ac:dyDescent="0.5">
      <c r="B100" s="163"/>
      <c r="C100" s="166">
        <f>+Answers!C100-INPUT!C100</f>
        <v>0</v>
      </c>
      <c r="D100" s="166">
        <f>+Answers!D100-INPUT!D100</f>
        <v>0</v>
      </c>
      <c r="E100" s="166">
        <f>+Answers!E100-INPUT!E100</f>
        <v>0</v>
      </c>
      <c r="F100" s="166">
        <f>+Answers!F100-INPUT!F100</f>
        <v>0</v>
      </c>
      <c r="G100" s="166">
        <f>+Answers!G100-INPUT!G100</f>
        <v>0</v>
      </c>
      <c r="H100" s="163">
        <f>+Answers!H100-INPUT!H100</f>
        <v>0</v>
      </c>
      <c r="I100" s="163">
        <f>+Answers!I100-INPUT!I100</f>
        <v>0</v>
      </c>
      <c r="J100" s="163">
        <f>+Answers!J100-INPUT!J100</f>
        <v>0</v>
      </c>
      <c r="K100" s="163"/>
      <c r="L100" s="163"/>
      <c r="M100" s="184"/>
      <c r="N100" s="188"/>
      <c r="O100" s="197"/>
      <c r="P100" s="197"/>
      <c r="Q100" s="197"/>
      <c r="R100" s="197"/>
      <c r="S100" s="197"/>
      <c r="T100" s="197"/>
      <c r="U100" s="197"/>
      <c r="W100" s="194"/>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c r="BC100" s="95"/>
      <c r="BD100" s="95"/>
      <c r="BE100" s="95"/>
    </row>
    <row r="101" spans="2:57" ht="17.7" customHeight="1" thickBot="1" x14ac:dyDescent="0.5">
      <c r="B101" s="163" t="s">
        <v>70</v>
      </c>
      <c r="C101" s="176">
        <f>+Answers!C101-INPUT!C101</f>
        <v>0.40000000000000036</v>
      </c>
      <c r="D101" s="166">
        <f>+Answers!D101-INPUT!D101</f>
        <v>0</v>
      </c>
      <c r="E101" s="168">
        <f>+Answers!E101-INPUT!E101</f>
        <v>6.0124999999999957</v>
      </c>
      <c r="F101" s="166">
        <f>+Answers!F101-INPUT!F101</f>
        <v>0</v>
      </c>
      <c r="G101" s="174">
        <f>+Answers!G101-INPUT!G101</f>
        <v>0</v>
      </c>
      <c r="H101" s="163">
        <f>+Answers!H101-INPUT!H101</f>
        <v>0</v>
      </c>
      <c r="I101" s="163">
        <f>+Answers!I101-INPUT!I101</f>
        <v>0</v>
      </c>
      <c r="J101" s="163">
        <f>+Answers!J101-INPUT!J101</f>
        <v>0</v>
      </c>
      <c r="K101" s="163"/>
      <c r="L101" s="163"/>
      <c r="M101" s="184"/>
      <c r="N101" s="188">
        <v>2</v>
      </c>
      <c r="O101" s="197">
        <f>IF(G101=0,0,-$N101)</f>
        <v>0</v>
      </c>
      <c r="P101" s="197"/>
      <c r="Q101" s="197"/>
      <c r="R101" s="197"/>
      <c r="S101" s="197"/>
      <c r="T101" s="198">
        <f t="shared" si="10"/>
        <v>0</v>
      </c>
      <c r="U101" s="197"/>
      <c r="W101" s="194"/>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row>
    <row r="102" spans="2:57" ht="17.7" customHeight="1" x14ac:dyDescent="0.45">
      <c r="B102" s="177" t="s">
        <v>71</v>
      </c>
      <c r="C102" s="178">
        <f>+Answers!C102-INPUT!C102</f>
        <v>0.59999999999999964</v>
      </c>
      <c r="D102" s="163">
        <f>+Answers!D102-INPUT!D102</f>
        <v>0</v>
      </c>
      <c r="E102" s="163">
        <f>+Answers!E102-INPUT!E102</f>
        <v>0</v>
      </c>
      <c r="F102" s="163">
        <f>+Answers!F102-INPUT!F102</f>
        <v>0</v>
      </c>
      <c r="G102" s="163">
        <f>+Answers!G102-INPUT!G102</f>
        <v>0</v>
      </c>
      <c r="H102" s="163">
        <f>+Answers!H102-INPUT!H102</f>
        <v>0</v>
      </c>
      <c r="I102" s="163">
        <f>+Answers!I102-INPUT!I102</f>
        <v>0</v>
      </c>
      <c r="J102" s="163">
        <f>+Answers!J102-INPUT!J102</f>
        <v>0</v>
      </c>
      <c r="K102" s="163"/>
      <c r="L102" s="163"/>
      <c r="M102" s="184"/>
      <c r="N102" s="188"/>
      <c r="O102" s="197"/>
      <c r="P102" s="197"/>
      <c r="Q102" s="197"/>
      <c r="R102" s="197"/>
      <c r="S102" s="197"/>
      <c r="T102" s="197"/>
      <c r="U102" s="197"/>
      <c r="W102" s="194"/>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c r="BC102" s="95"/>
      <c r="BD102" s="95"/>
      <c r="BE102" s="95"/>
    </row>
    <row r="103" spans="2:57" ht="17.7" customHeight="1" x14ac:dyDescent="0.45">
      <c r="B103" s="163"/>
      <c r="C103" s="163"/>
      <c r="D103" s="163"/>
      <c r="E103" s="163"/>
      <c r="F103" s="163"/>
      <c r="G103" s="163"/>
      <c r="H103" s="163"/>
      <c r="I103" s="163"/>
      <c r="J103" s="163"/>
      <c r="K103" s="163"/>
      <c r="L103" s="163"/>
      <c r="M103" s="184"/>
      <c r="N103" s="188"/>
      <c r="O103" s="197"/>
      <c r="P103" s="197"/>
      <c r="Q103" s="197"/>
      <c r="R103" s="197"/>
      <c r="S103" s="197"/>
      <c r="T103" s="197"/>
      <c r="U103" s="197"/>
      <c r="W103" s="194"/>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c r="BC103" s="95"/>
      <c r="BD103" s="95"/>
      <c r="BE103" s="95"/>
    </row>
    <row r="104" spans="2:57" ht="17.7" customHeight="1" x14ac:dyDescent="0.4">
      <c r="B104" s="119" t="s">
        <v>17</v>
      </c>
      <c r="N104" s="188"/>
      <c r="O104" s="197"/>
      <c r="P104" s="197"/>
      <c r="Q104" s="197"/>
      <c r="R104" s="197"/>
      <c r="S104" s="197"/>
      <c r="T104" s="197"/>
      <c r="U104" s="197"/>
      <c r="W104" s="194"/>
    </row>
    <row r="105" spans="2:57" ht="17.7" customHeight="1" x14ac:dyDescent="0.45">
      <c r="B105" s="233" t="s">
        <v>100</v>
      </c>
      <c r="C105" s="234"/>
      <c r="D105" s="234"/>
      <c r="E105" s="234"/>
      <c r="F105" s="234"/>
      <c r="G105" s="234"/>
      <c r="H105" s="234"/>
      <c r="I105" s="234"/>
      <c r="J105" s="234"/>
      <c r="K105" s="234"/>
      <c r="L105" s="155"/>
      <c r="M105" s="183"/>
      <c r="N105" s="188"/>
      <c r="O105" s="197"/>
      <c r="P105" s="197"/>
      <c r="Q105" s="197"/>
      <c r="R105" s="197"/>
      <c r="S105" s="197"/>
      <c r="T105" s="197"/>
      <c r="U105" s="197"/>
      <c r="W105" s="194"/>
      <c r="X105" s="155"/>
      <c r="Y105" s="155"/>
      <c r="Z105" s="155"/>
    </row>
    <row r="106" spans="2:57" ht="17.7" customHeight="1" x14ac:dyDescent="0.4">
      <c r="N106" s="188"/>
      <c r="O106" s="197"/>
      <c r="P106" s="197"/>
      <c r="Q106" s="197"/>
      <c r="R106" s="197"/>
      <c r="S106" s="197"/>
      <c r="T106" s="197"/>
      <c r="U106" s="197"/>
      <c r="W106" s="194"/>
    </row>
    <row r="107" spans="2:57" ht="17.7" customHeight="1" x14ac:dyDescent="0.4">
      <c r="B107" s="222" t="s">
        <v>30</v>
      </c>
      <c r="C107" s="223"/>
      <c r="D107" s="223"/>
      <c r="E107" s="223"/>
      <c r="F107" s="223"/>
      <c r="G107" s="223"/>
      <c r="H107" s="223"/>
      <c r="I107" s="223"/>
      <c r="J107" s="223"/>
      <c r="N107" s="188"/>
      <c r="O107" s="197"/>
      <c r="P107" s="197"/>
      <c r="Q107" s="197"/>
      <c r="R107" s="197"/>
      <c r="S107" s="197"/>
      <c r="T107" s="197"/>
      <c r="U107" s="197"/>
      <c r="W107" s="194"/>
    </row>
    <row r="108" spans="2:57" ht="17.7" customHeight="1" x14ac:dyDescent="0.45">
      <c r="B108" s="163"/>
      <c r="C108" s="163"/>
      <c r="D108" s="163"/>
      <c r="E108" s="163"/>
      <c r="G108" s="95"/>
      <c r="H108" s="163"/>
      <c r="I108" s="163"/>
      <c r="J108" s="163"/>
      <c r="K108" s="163"/>
      <c r="L108" s="163"/>
      <c r="M108" s="184"/>
      <c r="N108" s="188"/>
      <c r="O108" s="197"/>
      <c r="P108" s="197"/>
      <c r="Q108" s="197"/>
      <c r="R108" s="197"/>
      <c r="S108" s="197"/>
      <c r="T108" s="197"/>
      <c r="U108" s="197"/>
      <c r="W108" s="194"/>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c r="BC108" s="95"/>
      <c r="BD108" s="95"/>
      <c r="BE108" s="95"/>
    </row>
    <row r="109" spans="2:57" ht="17.7" customHeight="1" thickBot="1" x14ac:dyDescent="0.5">
      <c r="B109" s="163" t="s">
        <v>70</v>
      </c>
      <c r="C109" s="176">
        <f>+Answers!C109-INPUT!C109</f>
        <v>0.60000000000000031</v>
      </c>
      <c r="D109" s="166">
        <f>+Answers!D109-INPUT!D109</f>
        <v>0</v>
      </c>
      <c r="E109" s="95">
        <f>+Answers!E109-INPUT!E109</f>
        <v>0</v>
      </c>
      <c r="F109" s="95">
        <f>+Answers!F109-INPUT!F109</f>
        <v>0</v>
      </c>
      <c r="G109" s="167" t="e">
        <f>+Answers!G109-INPUT!G109</f>
        <v>#VALUE!</v>
      </c>
      <c r="H109" s="166">
        <f>+Answers!H109-INPUT!H109</f>
        <v>0</v>
      </c>
      <c r="I109" s="167" t="e">
        <f>+Answers!I109-INPUT!I109</f>
        <v>#VALUE!</v>
      </c>
      <c r="J109" s="166">
        <f>+Answers!J109-INPUT!J109</f>
        <v>0</v>
      </c>
      <c r="K109" s="166"/>
      <c r="L109" s="166"/>
      <c r="M109" s="184"/>
      <c r="N109" s="188"/>
      <c r="O109" s="197"/>
      <c r="P109" s="197"/>
      <c r="Q109" s="197"/>
      <c r="R109" s="197"/>
      <c r="S109" s="197"/>
      <c r="T109" s="197"/>
      <c r="U109" s="197"/>
      <c r="W109" s="194"/>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c r="BC109" s="95"/>
      <c r="BD109" s="95"/>
      <c r="BE109" s="95"/>
    </row>
    <row r="110" spans="2:57" ht="17.7" customHeight="1" thickBot="1" x14ac:dyDescent="0.5">
      <c r="B110" s="177" t="s">
        <v>71</v>
      </c>
      <c r="C110" s="179">
        <f>+Answers!C110-INPUT!C110</f>
        <v>0.39999999999999969</v>
      </c>
      <c r="D110" s="166">
        <f>+Answers!D110-INPUT!D110</f>
        <v>0</v>
      </c>
      <c r="E110" s="95">
        <f>+Answers!E110-INPUT!E110</f>
        <v>0</v>
      </c>
      <c r="F110" s="95">
        <f>+Answers!F110-INPUT!F110</f>
        <v>0</v>
      </c>
      <c r="G110" s="168">
        <f>+Answers!G110-INPUT!G110</f>
        <v>-11.500000000000043</v>
      </c>
      <c r="H110" s="166">
        <f>+Answers!H110-INPUT!H110</f>
        <v>0</v>
      </c>
      <c r="I110" s="168">
        <f>+Answers!I110-INPUT!I110</f>
        <v>0</v>
      </c>
      <c r="J110" s="166">
        <f>+Answers!J110-INPUT!J110</f>
        <v>0</v>
      </c>
      <c r="K110" s="166"/>
      <c r="L110" s="166"/>
      <c r="M110" s="184"/>
      <c r="N110" s="188">
        <v>1</v>
      </c>
      <c r="O110" s="197">
        <f>IF(I110=0,0,-$N110)</f>
        <v>0</v>
      </c>
      <c r="P110" s="197"/>
      <c r="Q110" s="197"/>
      <c r="R110" s="197"/>
      <c r="S110" s="197"/>
      <c r="T110" s="198">
        <f t="shared" si="10"/>
        <v>0</v>
      </c>
      <c r="U110" s="197"/>
      <c r="W110" s="194"/>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c r="BC110" s="95"/>
      <c r="BD110" s="95"/>
      <c r="BE110" s="95"/>
    </row>
    <row r="111" spans="2:57" ht="17.7" customHeight="1" thickBot="1" x14ac:dyDescent="0.5">
      <c r="B111" s="163"/>
      <c r="C111" s="166">
        <f>+Answers!C111-INPUT!C111</f>
        <v>0</v>
      </c>
      <c r="D111" s="167" t="e">
        <f>+Answers!D111-INPUT!D111</f>
        <v>#VALUE!</v>
      </c>
      <c r="E111" s="95">
        <f>+Answers!E111-INPUT!E111</f>
        <v>0</v>
      </c>
      <c r="F111" s="167" t="e">
        <f>+Answers!F111-INPUT!F111</f>
        <v>#VALUE!</v>
      </c>
      <c r="G111" s="166">
        <f>+Answers!G111-INPUT!G111</f>
        <v>0</v>
      </c>
      <c r="H111" s="166">
        <f>+Answers!H111-INPUT!H111</f>
        <v>0</v>
      </c>
      <c r="I111" s="166">
        <f>+Answers!I111-INPUT!I111</f>
        <v>0</v>
      </c>
      <c r="J111" s="166">
        <f>+Answers!J111-INPUT!J111</f>
        <v>0</v>
      </c>
      <c r="K111" s="166"/>
      <c r="L111" s="166"/>
      <c r="M111" s="184"/>
      <c r="N111" s="188"/>
      <c r="O111" s="197"/>
      <c r="P111" s="197"/>
      <c r="Q111" s="197"/>
      <c r="R111" s="197"/>
      <c r="S111" s="197"/>
      <c r="T111" s="197"/>
      <c r="U111" s="197"/>
      <c r="W111" s="194"/>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c r="BC111" s="95"/>
      <c r="BD111" s="95"/>
      <c r="BE111" s="95"/>
    </row>
    <row r="112" spans="2:57" ht="17.7" customHeight="1" thickBot="1" x14ac:dyDescent="0.5">
      <c r="B112" s="163"/>
      <c r="C112" s="166">
        <f>+Answers!C112-INPUT!C112</f>
        <v>0</v>
      </c>
      <c r="D112" s="168">
        <f>+Answers!D112-INPUT!D112</f>
        <v>0</v>
      </c>
      <c r="E112" s="95">
        <f>+Answers!E112-INPUT!E112</f>
        <v>0</v>
      </c>
      <c r="F112" s="168">
        <f>+Answers!F112-INPUT!F112</f>
        <v>0</v>
      </c>
      <c r="G112" s="166">
        <f>+Answers!G112-INPUT!G112</f>
        <v>0</v>
      </c>
      <c r="H112" s="166">
        <f>+Answers!H112-INPUT!H112</f>
        <v>0</v>
      </c>
      <c r="I112" s="166" t="e">
        <f>+Answers!I112-INPUT!I112</f>
        <v>#VALUE!</v>
      </c>
      <c r="J112" s="169">
        <f>+Answers!J112-INPUT!J112</f>
        <v>1.9047619047656283E-3</v>
      </c>
      <c r="K112" s="166"/>
      <c r="L112" s="166"/>
      <c r="M112" s="184"/>
      <c r="N112" s="188">
        <v>2</v>
      </c>
      <c r="O112" s="197"/>
      <c r="P112" s="197">
        <f>IF(J112=0,0,-$N112)</f>
        <v>-2</v>
      </c>
      <c r="Q112" s="197"/>
      <c r="R112" s="197"/>
      <c r="S112" s="197"/>
      <c r="T112" s="198">
        <f t="shared" si="10"/>
        <v>-2</v>
      </c>
      <c r="U112" s="197"/>
      <c r="W112" s="194"/>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c r="BC112" s="95"/>
      <c r="BD112" s="95"/>
      <c r="BE112" s="95"/>
    </row>
    <row r="113" spans="2:57" ht="17.7" customHeight="1" thickBot="1" x14ac:dyDescent="0.5">
      <c r="B113" s="163"/>
      <c r="C113" s="167" t="e">
        <f>+Answers!C113-INPUT!C113</f>
        <v>#VALUE!</v>
      </c>
      <c r="D113" s="166">
        <f>+Answers!D113-INPUT!D113</f>
        <v>0</v>
      </c>
      <c r="E113" s="95">
        <f>+Answers!E113-INPUT!E113</f>
        <v>0</v>
      </c>
      <c r="F113" s="166">
        <f>+Answers!F113-INPUT!F113</f>
        <v>0</v>
      </c>
      <c r="G113" s="166">
        <f>+Answers!G113-INPUT!G113</f>
        <v>0</v>
      </c>
      <c r="H113" s="166">
        <f>+Answers!H113-INPUT!H113</f>
        <v>0</v>
      </c>
      <c r="I113" s="166">
        <f>+Answers!I113-INPUT!I113</f>
        <v>0</v>
      </c>
      <c r="J113" s="166">
        <f>+Answers!J113-INPUT!J113</f>
        <v>0</v>
      </c>
      <c r="M113" s="184"/>
      <c r="N113" s="188"/>
      <c r="O113" s="197"/>
      <c r="P113" s="197"/>
      <c r="Q113" s="197"/>
      <c r="R113" s="197"/>
      <c r="S113" s="197"/>
      <c r="T113" s="197"/>
      <c r="U113" s="197"/>
      <c r="W113" s="194"/>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c r="BC113" s="95"/>
      <c r="BD113" s="95"/>
      <c r="BE113" s="95"/>
    </row>
    <row r="114" spans="2:57" ht="17.7" customHeight="1" thickBot="1" x14ac:dyDescent="0.45">
      <c r="B114" s="163"/>
      <c r="C114" s="168">
        <f>+Answers!C114-INPUT!C114</f>
        <v>0</v>
      </c>
      <c r="D114" s="166">
        <f>+Answers!D114-INPUT!D114</f>
        <v>0</v>
      </c>
      <c r="E114" s="95">
        <f>+Answers!E114-INPUT!E114</f>
        <v>0</v>
      </c>
      <c r="F114" s="166">
        <f>+Answers!F114-INPUT!F114</f>
        <v>0</v>
      </c>
      <c r="G114" s="168">
        <f>+Answers!G114-INPUT!G114</f>
        <v>0</v>
      </c>
      <c r="H114" s="166">
        <f>+Answers!H114-INPUT!H114</f>
        <v>0</v>
      </c>
      <c r="I114" s="168">
        <f>+Answers!I114-INPUT!I114</f>
        <v>5.0000000000238742E-3</v>
      </c>
      <c r="J114" s="166">
        <f>+Answers!J114-INPUT!J114</f>
        <v>0</v>
      </c>
      <c r="N114" s="188">
        <v>1</v>
      </c>
      <c r="O114" s="197">
        <f>IF(I114=0,0,-$N114)</f>
        <v>-1</v>
      </c>
      <c r="P114" s="197"/>
      <c r="Q114" s="197"/>
      <c r="R114" s="197"/>
      <c r="S114" s="197"/>
      <c r="T114" s="198">
        <f t="shared" si="10"/>
        <v>-1</v>
      </c>
      <c r="U114" s="197"/>
      <c r="W114" s="194"/>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c r="BC114" s="95"/>
      <c r="BD114" s="95"/>
      <c r="BE114" s="95"/>
    </row>
    <row r="115" spans="2:57" ht="17.7" customHeight="1" thickBot="1" x14ac:dyDescent="0.45">
      <c r="B115" s="163"/>
      <c r="C115" s="166">
        <f>+Answers!C115-INPUT!C115</f>
        <v>0</v>
      </c>
      <c r="D115" s="166">
        <f>+Answers!D115-INPUT!D115</f>
        <v>0</v>
      </c>
      <c r="E115" s="95">
        <f>+Answers!E115-INPUT!E115</f>
        <v>0</v>
      </c>
      <c r="F115" s="166">
        <f>+Answers!F115-INPUT!F115</f>
        <v>0</v>
      </c>
      <c r="G115" s="166">
        <f>+Answers!G115-INPUT!G115</f>
        <v>0</v>
      </c>
      <c r="H115" s="166">
        <f>+Answers!H115-INPUT!H115</f>
        <v>0</v>
      </c>
      <c r="I115" s="166">
        <f>+Answers!I115-INPUT!I115</f>
        <v>0</v>
      </c>
      <c r="J115" s="166">
        <f>+Answers!J115-INPUT!J115</f>
        <v>0</v>
      </c>
      <c r="K115" s="166"/>
      <c r="N115" s="188"/>
      <c r="O115" s="197"/>
      <c r="P115" s="197"/>
      <c r="Q115" s="197"/>
      <c r="R115" s="197"/>
      <c r="S115" s="197"/>
      <c r="T115" s="197"/>
      <c r="U115" s="197"/>
      <c r="W115" s="194"/>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c r="BC115" s="95"/>
      <c r="BD115" s="95"/>
      <c r="BE115" s="95"/>
    </row>
    <row r="116" spans="2:57" ht="17.7" customHeight="1" thickBot="1" x14ac:dyDescent="0.5">
      <c r="B116" s="163"/>
      <c r="C116" s="166">
        <f>+Answers!C116-INPUT!C116</f>
        <v>0</v>
      </c>
      <c r="D116" s="168">
        <f>+Answers!D116-INPUT!D116</f>
        <v>0</v>
      </c>
      <c r="E116" s="95">
        <f>+Answers!E116-INPUT!E116</f>
        <v>0</v>
      </c>
      <c r="F116" s="168">
        <f>+Answers!F116-INPUT!F116</f>
        <v>0</v>
      </c>
      <c r="G116" s="166">
        <f>+Answers!G116-INPUT!G116</f>
        <v>0</v>
      </c>
      <c r="H116" s="166">
        <f>+Answers!H116-INPUT!H116</f>
        <v>0</v>
      </c>
      <c r="I116" s="166" t="e">
        <f>+Answers!I116-INPUT!I116</f>
        <v>#VALUE!</v>
      </c>
      <c r="J116" s="175">
        <f>+Answers!J116-INPUT!J116</f>
        <v>-0.38971428571428035</v>
      </c>
      <c r="K116" s="166"/>
      <c r="L116" s="166"/>
      <c r="M116" s="184"/>
      <c r="N116" s="188">
        <v>2</v>
      </c>
      <c r="O116" s="197"/>
      <c r="P116" s="197">
        <f>IF(J116=0,0,-$N116)</f>
        <v>-2</v>
      </c>
      <c r="Q116" s="197"/>
      <c r="R116" s="197"/>
      <c r="S116" s="197"/>
      <c r="T116" s="198">
        <f t="shared" si="10"/>
        <v>-2</v>
      </c>
      <c r="U116" s="197"/>
      <c r="W116" s="194"/>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c r="BC116" s="95"/>
      <c r="BD116" s="95"/>
      <c r="BE116" s="95"/>
    </row>
    <row r="117" spans="2:57" ht="17.7" customHeight="1" thickBot="1" x14ac:dyDescent="0.5">
      <c r="B117" s="163"/>
      <c r="C117" s="166">
        <f>+Answers!C117-INPUT!C117</f>
        <v>0</v>
      </c>
      <c r="D117" s="166">
        <f>+Answers!D117-INPUT!D117</f>
        <v>0</v>
      </c>
      <c r="E117" s="95">
        <f>+Answers!E117-INPUT!E117</f>
        <v>0</v>
      </c>
      <c r="F117" s="95">
        <f>+Answers!F117-INPUT!F117</f>
        <v>0</v>
      </c>
      <c r="G117" s="166">
        <f>+Answers!G117-INPUT!G117</f>
        <v>0</v>
      </c>
      <c r="H117" s="166">
        <f>+Answers!H117-INPUT!H117</f>
        <v>0</v>
      </c>
      <c r="I117" s="166">
        <f>+Answers!I117-INPUT!I117</f>
        <v>0</v>
      </c>
      <c r="J117" s="166">
        <f>+Answers!J117-INPUT!J117</f>
        <v>0</v>
      </c>
      <c r="K117" s="166"/>
      <c r="L117" s="166"/>
      <c r="M117" s="184"/>
      <c r="N117" s="188"/>
      <c r="O117" s="197"/>
      <c r="P117" s="197"/>
      <c r="Q117" s="197"/>
      <c r="R117" s="197"/>
      <c r="S117" s="197"/>
      <c r="T117" s="197"/>
      <c r="U117" s="197"/>
      <c r="W117" s="194"/>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c r="BC117" s="95"/>
      <c r="BD117" s="95"/>
      <c r="BE117" s="95"/>
    </row>
    <row r="118" spans="2:57" ht="17.7" customHeight="1" thickBot="1" x14ac:dyDescent="0.5">
      <c r="B118" s="166"/>
      <c r="C118" s="167" t="e">
        <f>+Answers!C118-INPUT!C118</f>
        <v>#VALUE!</v>
      </c>
      <c r="D118" s="166">
        <f>+Answers!D118-INPUT!D118</f>
        <v>0</v>
      </c>
      <c r="E118" s="95">
        <f>+Answers!E118-INPUT!E118</f>
        <v>0</v>
      </c>
      <c r="F118" s="95">
        <f>+Answers!F118-INPUT!F118</f>
        <v>0</v>
      </c>
      <c r="G118" s="168">
        <f>+Answers!G118-INPUT!G118</f>
        <v>0</v>
      </c>
      <c r="H118" s="166">
        <f>+Answers!H118-INPUT!H118</f>
        <v>0</v>
      </c>
      <c r="I118" s="168">
        <f>+Answers!I118-INPUT!I118</f>
        <v>0</v>
      </c>
      <c r="J118" s="166">
        <f>+Answers!J118-INPUT!J118</f>
        <v>0</v>
      </c>
      <c r="K118" s="166"/>
      <c r="L118" s="166"/>
      <c r="M118" s="184"/>
      <c r="N118" s="188">
        <v>1</v>
      </c>
      <c r="O118" s="197">
        <f>IF(I118=0,0,-$N118)</f>
        <v>0</v>
      </c>
      <c r="P118" s="197"/>
      <c r="Q118" s="197"/>
      <c r="R118" s="197"/>
      <c r="S118" s="197"/>
      <c r="T118" s="198">
        <f t="shared" si="10"/>
        <v>0</v>
      </c>
      <c r="U118" s="197"/>
      <c r="W118" s="194"/>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row>
    <row r="119" spans="2:57" ht="17.7" customHeight="1" thickBot="1" x14ac:dyDescent="0.5">
      <c r="B119" s="166" t="s">
        <v>75</v>
      </c>
      <c r="C119" s="175">
        <f>+Answers!C119-INPUT!C119</f>
        <v>-0.29692517006802532</v>
      </c>
      <c r="D119" s="166">
        <f>+Answers!D119-INPUT!D119</f>
        <v>0</v>
      </c>
      <c r="E119" s="166">
        <f>+Answers!E119-INPUT!E119</f>
        <v>0</v>
      </c>
      <c r="F119" s="95">
        <f>+Answers!F119-INPUT!F119</f>
        <v>0</v>
      </c>
      <c r="G119" s="180">
        <f>+Answers!G119-INPUT!G119</f>
        <v>0</v>
      </c>
      <c r="H119" s="166">
        <f>+Answers!H119-INPUT!H119</f>
        <v>0</v>
      </c>
      <c r="I119" s="166">
        <f>+Answers!I119-INPUT!I119</f>
        <v>0</v>
      </c>
      <c r="J119" s="166">
        <f>+Answers!J119-INPUT!J119</f>
        <v>0</v>
      </c>
      <c r="K119" s="166"/>
      <c r="L119" s="166"/>
      <c r="M119" s="184"/>
      <c r="N119" s="188">
        <v>2</v>
      </c>
      <c r="O119" s="197">
        <f>IF(C119=0,0,-$N119)</f>
        <v>-2</v>
      </c>
      <c r="P119" s="197"/>
      <c r="Q119" s="197"/>
      <c r="R119" s="197"/>
      <c r="S119" s="197"/>
      <c r="T119" s="198">
        <f t="shared" si="10"/>
        <v>-2</v>
      </c>
      <c r="U119" s="197"/>
      <c r="W119" s="194"/>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row>
    <row r="120" spans="2:57" ht="17.7" customHeight="1" x14ac:dyDescent="0.45">
      <c r="B120" s="163"/>
      <c r="C120" s="163">
        <f>+Answers!C120-INPUT!C120</f>
        <v>0</v>
      </c>
      <c r="D120" s="163">
        <f>+Answers!D120-INPUT!D120</f>
        <v>0</v>
      </c>
      <c r="E120" s="163">
        <f>+Answers!E120-INPUT!E120</f>
        <v>0</v>
      </c>
      <c r="F120" s="163">
        <f>+Answers!F120-INPUT!F120</f>
        <v>0</v>
      </c>
      <c r="G120" s="163">
        <f>+Answers!G120-INPUT!G120</f>
        <v>0</v>
      </c>
      <c r="H120" s="163">
        <f>+Answers!H120-INPUT!H120</f>
        <v>0</v>
      </c>
      <c r="I120" s="163">
        <f>+Answers!I120-INPUT!I120</f>
        <v>0</v>
      </c>
      <c r="J120" s="163">
        <f>+Answers!J120-INPUT!J120</f>
        <v>0</v>
      </c>
      <c r="K120" s="163"/>
      <c r="L120" s="163"/>
      <c r="M120" s="184"/>
      <c r="N120" s="188"/>
      <c r="O120" s="197"/>
      <c r="P120" s="197"/>
      <c r="Q120" s="197"/>
      <c r="R120" s="197"/>
      <c r="S120" s="197"/>
      <c r="T120" s="197"/>
      <c r="U120" s="197"/>
      <c r="W120" s="194"/>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c r="BC120" s="95"/>
      <c r="BD120" s="95"/>
      <c r="BE120" s="95"/>
    </row>
    <row r="121" spans="2:57" ht="17.7" customHeight="1" x14ac:dyDescent="0.4"/>
    <row r="122" spans="2:57" ht="24.7" customHeight="1" x14ac:dyDescent="0.4"/>
  </sheetData>
  <mergeCells count="17">
    <mergeCell ref="B83:K83"/>
    <mergeCell ref="B89:K89"/>
    <mergeCell ref="B91:J91"/>
    <mergeCell ref="B105:K105"/>
    <mergeCell ref="B107:J107"/>
    <mergeCell ref="B68:J68"/>
    <mergeCell ref="C2:I2"/>
    <mergeCell ref="B4:L4"/>
    <mergeCell ref="C6:E6"/>
    <mergeCell ref="F6:H6"/>
    <mergeCell ref="B40:L40"/>
    <mergeCell ref="B50:K50"/>
    <mergeCell ref="B52:D52"/>
    <mergeCell ref="B54:K54"/>
    <mergeCell ref="B59:K59"/>
    <mergeCell ref="B64:L64"/>
    <mergeCell ref="B66:K66"/>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Answers</vt:lpstr>
      <vt:lpstr>INPUT</vt:lpstr>
      <vt:lpstr>Grades</vt:lpstr>
      <vt:lpstr>Answers!Print_Area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Droussiotis</dc:creator>
  <cp:lastModifiedBy>Chris Droussiotis</cp:lastModifiedBy>
  <cp:lastPrinted>2019-03-19T15:16:50Z</cp:lastPrinted>
  <dcterms:created xsi:type="dcterms:W3CDTF">2017-03-30T17:20:35Z</dcterms:created>
  <dcterms:modified xsi:type="dcterms:W3CDTF">2019-03-19T22:00:45Z</dcterms:modified>
</cp:coreProperties>
</file>