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Website templates\ACTIVE LEARNING\PART II - PRIMARY MARKETS\CHAPTER SPREADSHEETS\"/>
    </mc:Choice>
  </mc:AlternateContent>
  <xr:revisionPtr revIDLastSave="0" documentId="13_ncr:1_{D0B5081B-7F10-4B8E-A2A7-3E86CE4D3FB4}" xr6:coauthVersionLast="46" xr6:coauthVersionMax="46" xr10:uidLastSave="{00000000-0000-0000-0000-000000000000}"/>
  <bookViews>
    <workbookView xWindow="-50520" yWindow="-105" windowWidth="25440" windowHeight="14775" firstSheet="8" activeTab="17" xr2:uid="{C9B65557-6B9C-4AC8-A0C9-DA00E3B4A84B}"/>
  </bookViews>
  <sheets>
    <sheet name="INPUT" sheetId="2" r:id="rId1"/>
    <sheet name="Fig. 9.1" sheetId="16" r:id="rId2"/>
    <sheet name="Fig. 9.2" sheetId="12" r:id="rId3"/>
    <sheet name="Fig 9.3" sheetId="22" r:id="rId4"/>
    <sheet name="Fig. 9.4" sheetId="17" r:id="rId5"/>
    <sheet name="Fig. 9.5" sheetId="9" r:id="rId6"/>
    <sheet name="Fig. 9.6" sheetId="24" r:id="rId7"/>
    <sheet name="Fig. 9.7" sheetId="25" r:id="rId8"/>
    <sheet name="Fig. 9.8" sheetId="19" r:id="rId9"/>
    <sheet name="Fig. 9.9" sheetId="20" r:id="rId10"/>
    <sheet name="Fig. 9.10" sheetId="18" r:id="rId11"/>
    <sheet name="Fig. 9.11" sheetId="23" r:id="rId12"/>
    <sheet name="Fig. 9.12" sheetId="26" r:id="rId13"/>
    <sheet name="Fig. 9.13" sheetId="30" r:id="rId14"/>
    <sheet name="Fig. 9.14" sheetId="28" r:id="rId15"/>
    <sheet name="Fig. 9.15" sheetId="29" r:id="rId16"/>
    <sheet name="Fig. 9.16" sheetId="27" r:id="rId17"/>
    <sheet name="INSTRUCTION'S PAGE" sheetId="31" r:id="rId18"/>
    <sheet name="Fig. xxx" sheetId="21" r:id="rId19"/>
  </sheets>
  <externalReferences>
    <externalReference r:id="rId20"/>
    <externalReference r:id="rId2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31" l="1"/>
  <c r="H28" i="31" s="1"/>
  <c r="E34" i="31"/>
  <c r="H34" i="31" s="1"/>
  <c r="H60" i="31"/>
  <c r="H61" i="31"/>
  <c r="H62" i="31"/>
  <c r="H55" i="31"/>
  <c r="H54" i="31"/>
  <c r="H44" i="31"/>
  <c r="H45" i="31"/>
  <c r="H43" i="31"/>
  <c r="H38" i="31"/>
  <c r="H39" i="31"/>
  <c r="H36" i="31"/>
  <c r="H35" i="31"/>
  <c r="H29" i="31"/>
  <c r="H30" i="31"/>
  <c r="H31" i="31"/>
  <c r="E36" i="31"/>
  <c r="E60" i="31"/>
  <c r="E61" i="31"/>
  <c r="E62" i="31"/>
  <c r="E59" i="31"/>
  <c r="C32" i="31"/>
  <c r="C40" i="31"/>
  <c r="C46" i="31"/>
  <c r="C63" i="31"/>
  <c r="H46" i="31" l="1"/>
  <c r="H25" i="31"/>
  <c r="J18" i="31"/>
  <c r="J19" i="31" s="1"/>
  <c r="J17" i="31"/>
  <c r="G9" i="31"/>
  <c r="E48" i="31" s="1"/>
  <c r="E6" i="31"/>
  <c r="G6" i="31" s="1"/>
  <c r="C48" i="31" l="1"/>
  <c r="H48" i="31" s="1"/>
  <c r="H32" i="31"/>
  <c r="G10" i="31"/>
  <c r="E37" i="31" s="1"/>
  <c r="H37" i="31" s="1"/>
  <c r="E16" i="31"/>
  <c r="F51" i="31" s="1"/>
  <c r="H51" i="31" s="1"/>
  <c r="E14" i="31"/>
  <c r="F49" i="31" s="1"/>
  <c r="E15" i="31"/>
  <c r="F50" i="31" s="1"/>
  <c r="H50" i="31" s="1"/>
  <c r="H49" i="31" l="1"/>
  <c r="H40" i="31"/>
  <c r="E65" i="31"/>
  <c r="C52" i="31"/>
  <c r="C56" i="31" s="1"/>
  <c r="C65" i="31" s="1"/>
  <c r="H52" i="31"/>
  <c r="H56" i="31" s="1"/>
  <c r="E17" i="31"/>
  <c r="G11" i="31"/>
  <c r="H10" i="31" s="1"/>
  <c r="C24" i="28"/>
  <c r="E17" i="30"/>
  <c r="C19" i="30"/>
  <c r="C18" i="30"/>
  <c r="E7" i="30"/>
  <c r="E8" i="30" s="1"/>
  <c r="D36" i="27" s="1"/>
  <c r="G22" i="27"/>
  <c r="H22" i="27" s="1"/>
  <c r="I22" i="27" s="1"/>
  <c r="J22" i="27" s="1"/>
  <c r="K22" i="27" s="1"/>
  <c r="F22" i="27"/>
  <c r="F21" i="29"/>
  <c r="H21" i="29" s="1"/>
  <c r="J21" i="29" s="1"/>
  <c r="F20" i="29"/>
  <c r="H20" i="29" s="1"/>
  <c r="J20" i="29" s="1"/>
  <c r="F19" i="29"/>
  <c r="H19" i="29" s="1"/>
  <c r="J19" i="29" s="1"/>
  <c r="I18" i="29"/>
  <c r="J18" i="29" s="1"/>
  <c r="I17" i="29"/>
  <c r="J17" i="29" s="1"/>
  <c r="F16" i="29"/>
  <c r="H16" i="29" s="1"/>
  <c r="J16" i="29" s="1"/>
  <c r="F15" i="29"/>
  <c r="H15" i="29" s="1"/>
  <c r="J15" i="29" s="1"/>
  <c r="F14" i="29"/>
  <c r="H14" i="29" s="1"/>
  <c r="J14" i="29" s="1"/>
  <c r="I13" i="29"/>
  <c r="J13" i="29" s="1"/>
  <c r="H12" i="29"/>
  <c r="J12" i="29" s="1"/>
  <c r="F11" i="29"/>
  <c r="H11" i="29" s="1"/>
  <c r="J11" i="29" s="1"/>
  <c r="G10" i="29"/>
  <c r="F10" i="29"/>
  <c r="H10" i="29" s="1"/>
  <c r="F9" i="29"/>
  <c r="H9" i="29" s="1"/>
  <c r="J9" i="29" s="1"/>
  <c r="L18" i="28"/>
  <c r="J11" i="28"/>
  <c r="H11" i="28"/>
  <c r="G11" i="28"/>
  <c r="E11" i="28"/>
  <c r="D11" i="28"/>
  <c r="F16" i="28"/>
  <c r="I16" i="28" s="1"/>
  <c r="K16" i="28" s="1"/>
  <c r="F15" i="28"/>
  <c r="I15" i="28" s="1"/>
  <c r="K15" i="28" s="1"/>
  <c r="F14" i="28"/>
  <c r="I14" i="28" s="1"/>
  <c r="K14" i="28" s="1"/>
  <c r="F13" i="28"/>
  <c r="I13" i="28" s="1"/>
  <c r="K13" i="28" s="1"/>
  <c r="F12" i="28"/>
  <c r="I12" i="28" s="1"/>
  <c r="K12" i="28" s="1"/>
  <c r="F10" i="28"/>
  <c r="I10" i="28" s="1"/>
  <c r="K10" i="28" s="1"/>
  <c r="E9" i="28"/>
  <c r="F9" i="28" s="1"/>
  <c r="I9" i="28" s="1"/>
  <c r="K9" i="28" s="1"/>
  <c r="F14" i="27"/>
  <c r="G14" i="27" s="1"/>
  <c r="H14" i="27" s="1"/>
  <c r="I14" i="27" s="1"/>
  <c r="J14" i="27" s="1"/>
  <c r="D34" i="27"/>
  <c r="E19" i="27"/>
  <c r="E18" i="27"/>
  <c r="E11" i="27"/>
  <c r="E9" i="27"/>
  <c r="E8" i="27"/>
  <c r="F7" i="27"/>
  <c r="F19" i="27" s="1"/>
  <c r="E6" i="27"/>
  <c r="F6" i="27" s="1"/>
  <c r="G6" i="27" s="1"/>
  <c r="H6" i="27" s="1"/>
  <c r="E27" i="26"/>
  <c r="E33" i="26"/>
  <c r="F33" i="26"/>
  <c r="G33" i="26"/>
  <c r="H33" i="26"/>
  <c r="D33" i="26"/>
  <c r="D31" i="26"/>
  <c r="E26" i="26"/>
  <c r="E32" i="26" s="1"/>
  <c r="D7" i="26" s="1"/>
  <c r="D8" i="26" s="1"/>
  <c r="D32" i="26"/>
  <c r="E25" i="26"/>
  <c r="F25" i="26"/>
  <c r="G25" i="26"/>
  <c r="H25" i="26"/>
  <c r="D25" i="26"/>
  <c r="D27" i="26" s="1"/>
  <c r="E63" i="26"/>
  <c r="E62" i="26"/>
  <c r="C53" i="26"/>
  <c r="C52" i="26" s="1"/>
  <c r="F52" i="26"/>
  <c r="E46" i="26"/>
  <c r="I46" i="26" s="1"/>
  <c r="E45" i="26"/>
  <c r="I45" i="26" s="1"/>
  <c r="D17" i="26"/>
  <c r="M16" i="26"/>
  <c r="F50" i="25"/>
  <c r="F44" i="25"/>
  <c r="K30" i="25"/>
  <c r="J30" i="25"/>
  <c r="J44" i="25" s="1"/>
  <c r="I30" i="25"/>
  <c r="H30" i="25"/>
  <c r="G30" i="25"/>
  <c r="E30" i="25"/>
  <c r="E33" i="25" s="1"/>
  <c r="D30" i="25"/>
  <c r="D33" i="25" s="1"/>
  <c r="D21" i="25"/>
  <c r="D17" i="25"/>
  <c r="K7" i="25"/>
  <c r="E32" i="24"/>
  <c r="K15" i="24"/>
  <c r="J15" i="24"/>
  <c r="I15" i="24"/>
  <c r="H15" i="24"/>
  <c r="G15" i="24"/>
  <c r="J12" i="24"/>
  <c r="J14" i="24" s="1"/>
  <c r="J18" i="24" s="1"/>
  <c r="J20" i="24" s="1"/>
  <c r="I12" i="24"/>
  <c r="I14" i="24" s="1"/>
  <c r="I18" i="24" s="1"/>
  <c r="I20" i="24" s="1"/>
  <c r="I29" i="24" s="1"/>
  <c r="I31" i="24" s="1"/>
  <c r="E12" i="24"/>
  <c r="D12" i="24"/>
  <c r="K10" i="24"/>
  <c r="K12" i="24" s="1"/>
  <c r="K14" i="24" s="1"/>
  <c r="K18" i="24" s="1"/>
  <c r="J10" i="24"/>
  <c r="J23" i="24" s="1"/>
  <c r="I10" i="24"/>
  <c r="H10" i="24"/>
  <c r="H12" i="24" s="1"/>
  <c r="H14" i="24" s="1"/>
  <c r="G10" i="24"/>
  <c r="G12" i="24" s="1"/>
  <c r="G14" i="24" s="1"/>
  <c r="G18" i="24" s="1"/>
  <c r="G20" i="24" s="1"/>
  <c r="G29" i="24" s="1"/>
  <c r="G31" i="24" s="1"/>
  <c r="E10" i="24"/>
  <c r="D10" i="24"/>
  <c r="E19" i="31" l="1"/>
  <c r="I11" i="31"/>
  <c r="H11" i="31"/>
  <c r="H9" i="31"/>
  <c r="H6" i="31"/>
  <c r="F17" i="31"/>
  <c r="C17" i="31"/>
  <c r="H18" i="24"/>
  <c r="H20" i="24" s="1"/>
  <c r="H29" i="24" s="1"/>
  <c r="H31" i="24" s="1"/>
  <c r="H36" i="26"/>
  <c r="D29" i="29"/>
  <c r="F11" i="28"/>
  <c r="I11" i="28"/>
  <c r="K11" i="28" s="1"/>
  <c r="I10" i="29"/>
  <c r="J10" i="29" s="1"/>
  <c r="J22" i="29" s="1"/>
  <c r="E23" i="29" s="1"/>
  <c r="F8" i="27"/>
  <c r="F18" i="27"/>
  <c r="I6" i="27"/>
  <c r="G7" i="27"/>
  <c r="F9" i="27"/>
  <c r="F10" i="27" s="1"/>
  <c r="E10" i="27"/>
  <c r="C18" i="28" s="1"/>
  <c r="D23" i="29" s="1"/>
  <c r="D25" i="29" s="1"/>
  <c r="D28" i="29" s="1"/>
  <c r="F11" i="27"/>
  <c r="E28" i="26"/>
  <c r="E29" i="26" s="1"/>
  <c r="E31" i="26"/>
  <c r="D29" i="26"/>
  <c r="D34" i="26" s="1"/>
  <c r="D28" i="26"/>
  <c r="F26" i="26"/>
  <c r="F27" i="26" s="1"/>
  <c r="F28" i="26" s="1"/>
  <c r="F29" i="26" s="1"/>
  <c r="C55" i="26"/>
  <c r="E64" i="26" s="1"/>
  <c r="K11" i="25"/>
  <c r="D7" i="25"/>
  <c r="D8" i="25"/>
  <c r="K8" i="25"/>
  <c r="K20" i="24"/>
  <c r="J24" i="24"/>
  <c r="J25" i="24" s="1"/>
  <c r="J27" i="24" s="1"/>
  <c r="J29" i="24" s="1"/>
  <c r="J31" i="24" s="1"/>
  <c r="E31" i="24" s="1"/>
  <c r="E34" i="24" s="1"/>
  <c r="E35" i="24" s="1"/>
  <c r="D7" i="23"/>
  <c r="F19" i="31" l="1"/>
  <c r="E18" i="31"/>
  <c r="F59" i="31" s="1"/>
  <c r="C19" i="31"/>
  <c r="F16" i="31"/>
  <c r="F14" i="31"/>
  <c r="F15" i="31"/>
  <c r="D38" i="26"/>
  <c r="D39" i="26" s="1"/>
  <c r="D40" i="26" s="1"/>
  <c r="R23" i="26"/>
  <c r="K18" i="28"/>
  <c r="D18" i="28" s="1"/>
  <c r="C20" i="28" s="1"/>
  <c r="C23" i="28" s="1"/>
  <c r="C21" i="30"/>
  <c r="D7" i="30"/>
  <c r="F7" i="30" s="1"/>
  <c r="D30" i="29"/>
  <c r="J6" i="27"/>
  <c r="H34" i="27"/>
  <c r="F34" i="27"/>
  <c r="J34" i="27"/>
  <c r="E34" i="27"/>
  <c r="I34" i="27"/>
  <c r="G34" i="27"/>
  <c r="G18" i="27"/>
  <c r="G9" i="27"/>
  <c r="H7" i="27"/>
  <c r="G19" i="27"/>
  <c r="G8" i="27"/>
  <c r="G11" i="27"/>
  <c r="C10" i="27"/>
  <c r="E34" i="26"/>
  <c r="G26" i="26"/>
  <c r="G27" i="26" s="1"/>
  <c r="G28" i="26" s="1"/>
  <c r="G29" i="26" s="1"/>
  <c r="F31" i="26"/>
  <c r="F32" i="26"/>
  <c r="E21" i="25"/>
  <c r="D9" i="25"/>
  <c r="D10" i="25" s="1"/>
  <c r="E17" i="25"/>
  <c r="J32" i="25"/>
  <c r="I32" i="25"/>
  <c r="H32" i="25"/>
  <c r="K32" i="25"/>
  <c r="G32" i="25"/>
  <c r="J16" i="12"/>
  <c r="J15" i="12"/>
  <c r="G7" i="12"/>
  <c r="C28" i="22" s="1"/>
  <c r="C32" i="22" s="1"/>
  <c r="J43" i="21"/>
  <c r="C43" i="21"/>
  <c r="E42" i="21"/>
  <c r="H42" i="21" s="1"/>
  <c r="L42" i="21" s="1"/>
  <c r="E41" i="21"/>
  <c r="H41" i="21" s="1"/>
  <c r="L41" i="21" s="1"/>
  <c r="E40" i="21"/>
  <c r="H40" i="21" s="1"/>
  <c r="L40" i="21" s="1"/>
  <c r="E39" i="21"/>
  <c r="L35" i="21"/>
  <c r="H35" i="21"/>
  <c r="H34" i="21"/>
  <c r="L34" i="21" s="1"/>
  <c r="J32" i="21"/>
  <c r="C28" i="21"/>
  <c r="J26" i="21"/>
  <c r="C26" i="21"/>
  <c r="H25" i="21"/>
  <c r="L25" i="21" s="1"/>
  <c r="H24" i="21"/>
  <c r="H26" i="21" s="1"/>
  <c r="H23" i="21"/>
  <c r="L23" i="21" s="1"/>
  <c r="H19" i="21"/>
  <c r="L19" i="21" s="1"/>
  <c r="H18" i="21"/>
  <c r="L18" i="21" s="1"/>
  <c r="H15" i="21"/>
  <c r="L15" i="21" s="1"/>
  <c r="H14" i="21"/>
  <c r="L14" i="21" s="1"/>
  <c r="J12" i="21"/>
  <c r="J20" i="21" s="1"/>
  <c r="C12" i="21"/>
  <c r="C20" i="21" s="1"/>
  <c r="H11" i="21"/>
  <c r="L11" i="21" s="1"/>
  <c r="H10" i="21"/>
  <c r="L10" i="21" s="1"/>
  <c r="H9" i="21"/>
  <c r="L9" i="21" s="1"/>
  <c r="H8" i="21"/>
  <c r="H5" i="21"/>
  <c r="E41" i="22"/>
  <c r="E40" i="22"/>
  <c r="E39" i="22"/>
  <c r="C43" i="22"/>
  <c r="E16" i="21" s="1"/>
  <c r="H41" i="22"/>
  <c r="H40" i="22"/>
  <c r="H35" i="22"/>
  <c r="H34" i="22"/>
  <c r="C26" i="22"/>
  <c r="H25" i="22"/>
  <c r="H24" i="22"/>
  <c r="H23" i="22"/>
  <c r="H19" i="22"/>
  <c r="H18" i="22"/>
  <c r="H15" i="22"/>
  <c r="H14" i="22"/>
  <c r="C12" i="22"/>
  <c r="C20" i="22" s="1"/>
  <c r="H11" i="22"/>
  <c r="H10" i="22"/>
  <c r="H9" i="22"/>
  <c r="H8" i="22"/>
  <c r="H5" i="22"/>
  <c r="H59" i="31" l="1"/>
  <c r="F65" i="31"/>
  <c r="H63" i="31"/>
  <c r="H65" i="31" s="1"/>
  <c r="F18" i="31"/>
  <c r="C18" i="31"/>
  <c r="C25" i="28"/>
  <c r="D6" i="30"/>
  <c r="F6" i="30" s="1"/>
  <c r="E38" i="26"/>
  <c r="E39" i="26" s="1"/>
  <c r="E40" i="26" s="1"/>
  <c r="R24" i="26"/>
  <c r="H12" i="21"/>
  <c r="J36" i="21"/>
  <c r="J45" i="21" s="1"/>
  <c r="G10" i="27"/>
  <c r="H11" i="27"/>
  <c r="H8" i="27"/>
  <c r="I7" i="27"/>
  <c r="H19" i="27"/>
  <c r="H9" i="27"/>
  <c r="H18" i="27"/>
  <c r="K6" i="27"/>
  <c r="F34" i="26"/>
  <c r="H26" i="26"/>
  <c r="H27" i="26" s="1"/>
  <c r="H28" i="26" s="1"/>
  <c r="H29" i="26" s="1"/>
  <c r="G31" i="26"/>
  <c r="G32" i="26"/>
  <c r="G36" i="25"/>
  <c r="G33" i="25"/>
  <c r="J36" i="25"/>
  <c r="J33" i="25"/>
  <c r="K36" i="25"/>
  <c r="K33" i="25"/>
  <c r="I36" i="25"/>
  <c r="I33" i="25"/>
  <c r="E9" i="25"/>
  <c r="G9" i="25" s="1"/>
  <c r="E53" i="25"/>
  <c r="C9" i="25"/>
  <c r="D11" i="25"/>
  <c r="H36" i="25"/>
  <c r="H33" i="25"/>
  <c r="G18" i="25"/>
  <c r="G17" i="25" s="1"/>
  <c r="J18" i="25"/>
  <c r="G19" i="25"/>
  <c r="I18" i="25"/>
  <c r="H18" i="25"/>
  <c r="G21" i="25"/>
  <c r="G23" i="25"/>
  <c r="E28" i="22"/>
  <c r="H28" i="22" s="1"/>
  <c r="C36" i="22"/>
  <c r="L26" i="21"/>
  <c r="L24" i="21"/>
  <c r="E28" i="21"/>
  <c r="H28" i="21" s="1"/>
  <c r="C32" i="21"/>
  <c r="C36" i="21" s="1"/>
  <c r="C45" i="21" s="1"/>
  <c r="L8" i="21"/>
  <c r="L12" i="21" s="1"/>
  <c r="E42" i="22"/>
  <c r="H42" i="22" s="1"/>
  <c r="H12" i="22"/>
  <c r="C45" i="22"/>
  <c r="H26" i="22"/>
  <c r="H10" i="27" l="1"/>
  <c r="I18" i="27"/>
  <c r="I8" i="27"/>
  <c r="I11" i="27"/>
  <c r="I19" i="27"/>
  <c r="I9" i="27"/>
  <c r="J7" i="27"/>
  <c r="H17" i="27"/>
  <c r="H13" i="27"/>
  <c r="H15" i="27" s="1"/>
  <c r="F38" i="26"/>
  <c r="F39" i="26" s="1"/>
  <c r="F40" i="26" s="1"/>
  <c r="R25" i="26"/>
  <c r="G34" i="26"/>
  <c r="H31" i="26"/>
  <c r="H32" i="26"/>
  <c r="H17" i="25"/>
  <c r="H19" i="25"/>
  <c r="H34" i="25"/>
  <c r="H35" i="25" s="1"/>
  <c r="H39" i="25" s="1"/>
  <c r="H41" i="25" s="1"/>
  <c r="H50" i="25" s="1"/>
  <c r="H52" i="25" s="1"/>
  <c r="K34" i="25"/>
  <c r="K35" i="25" s="1"/>
  <c r="K39" i="25" s="1"/>
  <c r="G35" i="25"/>
  <c r="G39" i="25" s="1"/>
  <c r="G41" i="25" s="1"/>
  <c r="G50" i="25" s="1"/>
  <c r="G52" i="25" s="1"/>
  <c r="G34" i="25"/>
  <c r="H23" i="25"/>
  <c r="H21" i="25"/>
  <c r="E11" i="25"/>
  <c r="E8" i="25"/>
  <c r="G8" i="25" s="1"/>
  <c r="E7" i="25"/>
  <c r="G7" i="25" s="1"/>
  <c r="I34" i="25"/>
  <c r="I35" i="25" s="1"/>
  <c r="I39" i="25" s="1"/>
  <c r="I41" i="25" s="1"/>
  <c r="I50" i="25" s="1"/>
  <c r="I52" i="25" s="1"/>
  <c r="J34" i="25"/>
  <c r="J35" i="25" s="1"/>
  <c r="J39" i="25" s="1"/>
  <c r="J41" i="25" s="1"/>
  <c r="E10" i="25"/>
  <c r="G10" i="25" s="1"/>
  <c r="G11" i="25" s="1"/>
  <c r="F45" i="25" s="1"/>
  <c r="L28" i="21"/>
  <c r="H21" i="18"/>
  <c r="I21" i="18" s="1"/>
  <c r="J21" i="18" s="1"/>
  <c r="K21" i="18" s="1"/>
  <c r="F20" i="18"/>
  <c r="H20" i="18" s="1"/>
  <c r="I20" i="18" s="1"/>
  <c r="J20" i="18" s="1"/>
  <c r="K20" i="18" s="1"/>
  <c r="F19" i="18"/>
  <c r="B21" i="18"/>
  <c r="B20" i="18"/>
  <c r="B19" i="18"/>
  <c r="D12" i="18"/>
  <c r="D15" i="18" s="1"/>
  <c r="F14" i="20"/>
  <c r="H14" i="20" s="1"/>
  <c r="J14" i="20" s="1"/>
  <c r="H13" i="20"/>
  <c r="J13" i="20" s="1"/>
  <c r="F13" i="20"/>
  <c r="F12" i="20"/>
  <c r="H12" i="20" s="1"/>
  <c r="J12" i="20" s="1"/>
  <c r="F11" i="20"/>
  <c r="H11" i="20" s="1"/>
  <c r="J11" i="20" s="1"/>
  <c r="F10" i="20"/>
  <c r="H10" i="20" s="1"/>
  <c r="J10" i="20" s="1"/>
  <c r="F9" i="20"/>
  <c r="H9" i="20" s="1"/>
  <c r="J9" i="20" s="1"/>
  <c r="B1" i="20"/>
  <c r="C23" i="19"/>
  <c r="C17" i="19"/>
  <c r="C21" i="19"/>
  <c r="C20" i="19"/>
  <c r="L15" i="19"/>
  <c r="L17" i="19" s="1"/>
  <c r="F15" i="19"/>
  <c r="F13" i="19"/>
  <c r="I13" i="19" s="1"/>
  <c r="K13" i="19" s="1"/>
  <c r="F12" i="19"/>
  <c r="I12" i="19" s="1"/>
  <c r="K12" i="19" s="1"/>
  <c r="I11" i="19"/>
  <c r="K11" i="19" s="1"/>
  <c r="F11" i="19"/>
  <c r="F10" i="19"/>
  <c r="I10" i="19" s="1"/>
  <c r="K10" i="19" s="1"/>
  <c r="F9" i="19"/>
  <c r="I9" i="19" s="1"/>
  <c r="K9" i="19" s="1"/>
  <c r="D8" i="19"/>
  <c r="B1" i="19"/>
  <c r="B15" i="19" s="1"/>
  <c r="K34" i="18"/>
  <c r="J34" i="18"/>
  <c r="I34" i="18"/>
  <c r="H34" i="18"/>
  <c r="K33" i="18"/>
  <c r="K35" i="18" s="1"/>
  <c r="J33" i="18"/>
  <c r="J35" i="18" s="1"/>
  <c r="I33" i="18"/>
  <c r="I35" i="18" s="1"/>
  <c r="H33" i="18"/>
  <c r="H35" i="18" s="1"/>
  <c r="H25" i="18"/>
  <c r="I25" i="18" s="1"/>
  <c r="J25" i="18" s="1"/>
  <c r="K25" i="18" s="1"/>
  <c r="K24" i="18"/>
  <c r="J24" i="18"/>
  <c r="I24" i="18"/>
  <c r="H24" i="18"/>
  <c r="F24" i="18"/>
  <c r="K17" i="19" l="1"/>
  <c r="D17" i="19" s="1"/>
  <c r="F22" i="18"/>
  <c r="H19" i="18"/>
  <c r="I10" i="27"/>
  <c r="I13" i="27" s="1"/>
  <c r="I15" i="27" s="1"/>
  <c r="I17" i="27"/>
  <c r="H16" i="27"/>
  <c r="E17" i="27"/>
  <c r="E13" i="27"/>
  <c r="E15" i="27" s="1"/>
  <c r="F13" i="27"/>
  <c r="F15" i="27" s="1"/>
  <c r="F17" i="27"/>
  <c r="J19" i="27"/>
  <c r="J18" i="27"/>
  <c r="J8" i="27"/>
  <c r="J11" i="27"/>
  <c r="J17" i="27" s="1"/>
  <c r="J9" i="27"/>
  <c r="K7" i="27"/>
  <c r="G13" i="27"/>
  <c r="G15" i="27" s="1"/>
  <c r="G17" i="27"/>
  <c r="G38" i="26"/>
  <c r="G39" i="26" s="1"/>
  <c r="G40" i="26" s="1"/>
  <c r="R26" i="26"/>
  <c r="H34" i="26"/>
  <c r="J45" i="25"/>
  <c r="J46" i="25" s="1"/>
  <c r="J48" i="25" s="1"/>
  <c r="J50" i="25" s="1"/>
  <c r="J52" i="25" s="1"/>
  <c r="K41" i="25"/>
  <c r="I23" i="25"/>
  <c r="I21" i="25"/>
  <c r="E52" i="25"/>
  <c r="E55" i="25" s="1"/>
  <c r="E56" i="25" s="1"/>
  <c r="I17" i="25"/>
  <c r="I19" i="25"/>
  <c r="H26" i="18"/>
  <c r="I26" i="18"/>
  <c r="K26" i="18"/>
  <c r="J26" i="18"/>
  <c r="J15" i="20"/>
  <c r="G16" i="20" s="1"/>
  <c r="C16" i="20" s="1"/>
  <c r="C19" i="20" s="1"/>
  <c r="C21" i="20" s="1"/>
  <c r="C22" i="20" s="1"/>
  <c r="I15" i="19"/>
  <c r="K15" i="19" s="1"/>
  <c r="C19" i="19"/>
  <c r="C22" i="19" s="1"/>
  <c r="C24" i="19" s="1"/>
  <c r="C25" i="19" s="1"/>
  <c r="I19" i="18" l="1"/>
  <c r="H31" i="18"/>
  <c r="H38" i="18" s="1"/>
  <c r="H22" i="18"/>
  <c r="H27" i="18" s="1"/>
  <c r="H28" i="18" s="1"/>
  <c r="H29" i="18" s="1"/>
  <c r="H37" i="18" s="1"/>
  <c r="I16" i="27"/>
  <c r="I20" i="27" s="1"/>
  <c r="H20" i="27"/>
  <c r="J10" i="27"/>
  <c r="J13" i="27" s="1"/>
  <c r="J15" i="27" s="1"/>
  <c r="E16" i="27"/>
  <c r="F16" i="27"/>
  <c r="K18" i="27"/>
  <c r="K9" i="27"/>
  <c r="K11" i="27"/>
  <c r="K17" i="27" s="1"/>
  <c r="K19" i="27"/>
  <c r="K8" i="27"/>
  <c r="G16" i="27"/>
  <c r="H38" i="26"/>
  <c r="H39" i="26" s="1"/>
  <c r="R27" i="26"/>
  <c r="J23" i="25"/>
  <c r="J21" i="25"/>
  <c r="J19" i="25"/>
  <c r="J17" i="25"/>
  <c r="C39" i="26" l="1"/>
  <c r="H40" i="26"/>
  <c r="J19" i="18"/>
  <c r="I22" i="18"/>
  <c r="I27" i="18" s="1"/>
  <c r="I28" i="18" s="1"/>
  <c r="I29" i="18" s="1"/>
  <c r="I37" i="18" s="1"/>
  <c r="I41" i="18" s="1"/>
  <c r="I42" i="18" s="1"/>
  <c r="I31" i="18"/>
  <c r="I38" i="18" s="1"/>
  <c r="J26" i="27"/>
  <c r="E20" i="27"/>
  <c r="E23" i="27" s="1"/>
  <c r="E32" i="27" s="1"/>
  <c r="E35" i="27" s="1"/>
  <c r="K10" i="27"/>
  <c r="K13" i="27" s="1"/>
  <c r="G20" i="27"/>
  <c r="F20" i="27"/>
  <c r="F23" i="27" s="1"/>
  <c r="F32" i="27" s="1"/>
  <c r="F35" i="27" s="1"/>
  <c r="J16" i="27"/>
  <c r="C38" i="26"/>
  <c r="E61" i="26" s="1"/>
  <c r="C67" i="26" s="1"/>
  <c r="E67" i="26" s="1"/>
  <c r="K18" i="25"/>
  <c r="K17" i="25"/>
  <c r="K19" i="25"/>
  <c r="K21" i="25"/>
  <c r="K23" i="25"/>
  <c r="H41" i="18"/>
  <c r="H42" i="18" s="1"/>
  <c r="H40" i="18"/>
  <c r="H43" i="18" s="1"/>
  <c r="K19" i="18" l="1"/>
  <c r="J31" i="18"/>
  <c r="J38" i="18" s="1"/>
  <c r="J22" i="18"/>
  <c r="J27" i="18" s="1"/>
  <c r="J28" i="18" s="1"/>
  <c r="J29" i="18" s="1"/>
  <c r="J37" i="18" s="1"/>
  <c r="I40" i="18"/>
  <c r="I43" i="18" s="1"/>
  <c r="K16" i="27"/>
  <c r="K15" i="27"/>
  <c r="K20" i="27" s="1"/>
  <c r="G23" i="27"/>
  <c r="G32" i="27" s="1"/>
  <c r="G35" i="27" s="1"/>
  <c r="J20" i="27"/>
  <c r="C68" i="26"/>
  <c r="E68" i="26" s="1"/>
  <c r="C70" i="26" s="1"/>
  <c r="L7" i="26" s="1"/>
  <c r="J7" i="26" s="1"/>
  <c r="J41" i="18" l="1"/>
  <c r="J42" i="18" s="1"/>
  <c r="J40" i="18"/>
  <c r="J43" i="18" s="1"/>
  <c r="K31" i="18"/>
  <c r="K38" i="18" s="1"/>
  <c r="K22" i="18"/>
  <c r="K27" i="18" s="1"/>
  <c r="K28" i="18" s="1"/>
  <c r="K29" i="18" s="1"/>
  <c r="K37" i="18" s="1"/>
  <c r="H23" i="27"/>
  <c r="H32" i="27" s="1"/>
  <c r="L6" i="26"/>
  <c r="K40" i="18" l="1"/>
  <c r="K43" i="18" s="1"/>
  <c r="K41" i="18"/>
  <c r="K42" i="18" s="1"/>
  <c r="K6" i="26"/>
  <c r="C40" i="26"/>
  <c r="C41" i="26" s="1"/>
  <c r="H35" i="27"/>
  <c r="I23" i="27"/>
  <c r="I32" i="27" s="1"/>
  <c r="I35" i="27" s="1"/>
  <c r="L8" i="26"/>
  <c r="L10" i="26" s="1"/>
  <c r="D9" i="26" s="1"/>
  <c r="D10" i="26" s="1"/>
  <c r="E6" i="26" s="1"/>
  <c r="E7" i="26"/>
  <c r="D18" i="9"/>
  <c r="E18" i="9"/>
  <c r="F18" i="9"/>
  <c r="C18" i="9"/>
  <c r="E16" i="9"/>
  <c r="F16" i="9"/>
  <c r="D9" i="9"/>
  <c r="E9" i="9"/>
  <c r="F9" i="9"/>
  <c r="D11" i="9"/>
  <c r="E11" i="9"/>
  <c r="F11" i="9"/>
  <c r="C9" i="9"/>
  <c r="C11" i="9"/>
  <c r="D7" i="9"/>
  <c r="E7" i="9"/>
  <c r="F7" i="9"/>
  <c r="C7" i="9"/>
  <c r="I6" i="9"/>
  <c r="J6" i="9" s="1"/>
  <c r="K6" i="9" s="1"/>
  <c r="L6" i="9" s="1"/>
  <c r="M6" i="9" s="1"/>
  <c r="N6" i="9" s="1"/>
  <c r="G13" i="17"/>
  <c r="H13" i="17" s="1"/>
  <c r="F11" i="17"/>
  <c r="G11" i="17" s="1"/>
  <c r="H11" i="17" s="1"/>
  <c r="I11" i="17" s="1"/>
  <c r="J11" i="17" s="1"/>
  <c r="K11" i="17" s="1"/>
  <c r="L11" i="17" s="1"/>
  <c r="M11" i="17" s="1"/>
  <c r="F4" i="17"/>
  <c r="G4" i="17" s="1"/>
  <c r="H4" i="17" s="1"/>
  <c r="I4" i="17" s="1"/>
  <c r="J4" i="17" s="1"/>
  <c r="K4" i="17" s="1"/>
  <c r="J17" i="12"/>
  <c r="E6" i="12"/>
  <c r="G6" i="12" s="1"/>
  <c r="F23" i="17"/>
  <c r="I20" i="9" s="1"/>
  <c r="G13" i="16"/>
  <c r="G9" i="16"/>
  <c r="G10" i="16" s="1"/>
  <c r="G6" i="16"/>
  <c r="F21" i="16"/>
  <c r="E21" i="16"/>
  <c r="F17" i="16"/>
  <c r="E17" i="16"/>
  <c r="D16" i="9" s="1"/>
  <c r="D17" i="16"/>
  <c r="C16" i="9" s="1"/>
  <c r="E13" i="16"/>
  <c r="F13" i="16"/>
  <c r="D13" i="16"/>
  <c r="F10" i="16"/>
  <c r="E9" i="16"/>
  <c r="E10" i="16" s="1"/>
  <c r="F9" i="16"/>
  <c r="D9" i="16"/>
  <c r="D10" i="16" s="1"/>
  <c r="F6" i="16"/>
  <c r="E6" i="16"/>
  <c r="C10" i="9" l="1"/>
  <c r="J23" i="27"/>
  <c r="E10" i="26"/>
  <c r="E9" i="26"/>
  <c r="E8" i="26"/>
  <c r="E16" i="22"/>
  <c r="H16" i="22" s="1"/>
  <c r="H20" i="22" s="1"/>
  <c r="H16" i="21"/>
  <c r="E14" i="12"/>
  <c r="E12" i="12"/>
  <c r="E13" i="12"/>
  <c r="D10" i="9"/>
  <c r="G18" i="9"/>
  <c r="H18" i="9" s="1"/>
  <c r="E10" i="9"/>
  <c r="F10" i="9"/>
  <c r="G10" i="9" s="1"/>
  <c r="G9" i="9"/>
  <c r="E8" i="9"/>
  <c r="F8" i="9"/>
  <c r="D8" i="9"/>
  <c r="G16" i="9"/>
  <c r="F14" i="17"/>
  <c r="F8" i="17" s="1"/>
  <c r="F19" i="17"/>
  <c r="F20" i="17" s="1"/>
  <c r="I13" i="17"/>
  <c r="H14" i="17"/>
  <c r="G14" i="17"/>
  <c r="L4" i="17"/>
  <c r="M4" i="17" s="1"/>
  <c r="G8" i="12"/>
  <c r="F17" i="17"/>
  <c r="G19" i="17" s="1"/>
  <c r="G20" i="17" s="1"/>
  <c r="K23" i="27" l="1"/>
  <c r="L16" i="21"/>
  <c r="L20" i="21" s="1"/>
  <c r="H20" i="21"/>
  <c r="F30" i="21"/>
  <c r="H30" i="21" s="1"/>
  <c r="L30" i="21" s="1"/>
  <c r="F30" i="22"/>
  <c r="H30" i="22" s="1"/>
  <c r="F29" i="21"/>
  <c r="H29" i="21" s="1"/>
  <c r="F29" i="22"/>
  <c r="H29" i="22" s="1"/>
  <c r="E15" i="12"/>
  <c r="C15" i="12" s="1"/>
  <c r="F31" i="21"/>
  <c r="H31" i="21" s="1"/>
  <c r="L31" i="21" s="1"/>
  <c r="F31" i="22"/>
  <c r="H31" i="22" s="1"/>
  <c r="E17" i="22"/>
  <c r="E45" i="22" s="1"/>
  <c r="E17" i="21"/>
  <c r="E45" i="21" s="1"/>
  <c r="G9" i="12"/>
  <c r="J17" i="9"/>
  <c r="K17" i="9"/>
  <c r="I17" i="9"/>
  <c r="L17" i="9"/>
  <c r="M17" i="9"/>
  <c r="N17" i="9"/>
  <c r="G8" i="9"/>
  <c r="I14" i="17"/>
  <c r="J13" i="17"/>
  <c r="G17" i="17"/>
  <c r="H19" i="17" s="1"/>
  <c r="H20" i="17" s="1"/>
  <c r="G23" i="17"/>
  <c r="J20" i="9" s="1"/>
  <c r="F6" i="17"/>
  <c r="G8" i="17" s="1"/>
  <c r="F28" i="9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D15" i="2"/>
  <c r="D16" i="2"/>
  <c r="G16" i="2"/>
  <c r="E17" i="12" l="1"/>
  <c r="F13" i="12" s="1"/>
  <c r="D6" i="23"/>
  <c r="D8" i="23" s="1"/>
  <c r="D10" i="23" s="1"/>
  <c r="J7" i="23" s="1"/>
  <c r="C13" i="23" s="1"/>
  <c r="H32" i="22"/>
  <c r="H36" i="22" s="1"/>
  <c r="H8" i="12"/>
  <c r="H9" i="12"/>
  <c r="L29" i="21"/>
  <c r="L32" i="21" s="1"/>
  <c r="L36" i="21" s="1"/>
  <c r="H32" i="21"/>
  <c r="H36" i="21" s="1"/>
  <c r="F12" i="12"/>
  <c r="H7" i="12"/>
  <c r="H6" i="12"/>
  <c r="I9" i="12"/>
  <c r="G27" i="9" s="1"/>
  <c r="J14" i="17"/>
  <c r="K13" i="17"/>
  <c r="F14" i="12"/>
  <c r="H17" i="17"/>
  <c r="I19" i="17" s="1"/>
  <c r="I20" i="17" s="1"/>
  <c r="H23" i="17"/>
  <c r="K20" i="9" s="1"/>
  <c r="G6" i="17"/>
  <c r="H8" i="17" s="1"/>
  <c r="F25" i="17"/>
  <c r="I24" i="9" s="1"/>
  <c r="F9" i="17"/>
  <c r="F22" i="17"/>
  <c r="F15" i="12" l="1"/>
  <c r="F17" i="12"/>
  <c r="E16" i="12"/>
  <c r="F39" i="22" s="1"/>
  <c r="C17" i="12"/>
  <c r="C14" i="23"/>
  <c r="D13" i="23"/>
  <c r="F24" i="17"/>
  <c r="I12" i="9"/>
  <c r="H35" i="9"/>
  <c r="G39" i="9" s="1"/>
  <c r="C16" i="12"/>
  <c r="L13" i="17"/>
  <c r="K14" i="17"/>
  <c r="I17" i="17"/>
  <c r="J17" i="17" s="1"/>
  <c r="F16" i="12"/>
  <c r="H6" i="17"/>
  <c r="I8" i="17" s="1"/>
  <c r="I23" i="17"/>
  <c r="L20" i="9" s="1"/>
  <c r="G25" i="17"/>
  <c r="J24" i="9" s="1"/>
  <c r="G9" i="17"/>
  <c r="G22" i="17"/>
  <c r="F39" i="21" l="1"/>
  <c r="E13" i="23"/>
  <c r="D14" i="23"/>
  <c r="G24" i="17"/>
  <c r="J12" i="9"/>
  <c r="F45" i="21"/>
  <c r="H39" i="21"/>
  <c r="H39" i="22"/>
  <c r="H43" i="22" s="1"/>
  <c r="H45" i="22" s="1"/>
  <c r="F45" i="22"/>
  <c r="J19" i="17"/>
  <c r="J20" i="17" s="1"/>
  <c r="L14" i="17"/>
  <c r="M13" i="17"/>
  <c r="M14" i="17" s="1"/>
  <c r="J23" i="17"/>
  <c r="M20" i="9" s="1"/>
  <c r="I6" i="17"/>
  <c r="J8" i="17" s="1"/>
  <c r="H25" i="17"/>
  <c r="K24" i="9" s="1"/>
  <c r="H9" i="17"/>
  <c r="H22" i="17"/>
  <c r="K19" i="17"/>
  <c r="K20" i="17" s="1"/>
  <c r="K17" i="17"/>
  <c r="F13" i="23" l="1"/>
  <c r="E14" i="23"/>
  <c r="H24" i="17"/>
  <c r="K12" i="9"/>
  <c r="H43" i="21"/>
  <c r="H45" i="21" s="1"/>
  <c r="L39" i="21"/>
  <c r="L43" i="21" s="1"/>
  <c r="L45" i="21" s="1"/>
  <c r="I22" i="17"/>
  <c r="I9" i="17"/>
  <c r="L19" i="17"/>
  <c r="L20" i="17" s="1"/>
  <c r="L17" i="17"/>
  <c r="M18" i="17" s="1"/>
  <c r="K23" i="17"/>
  <c r="N20" i="9" s="1"/>
  <c r="J6" i="17"/>
  <c r="K8" i="17" s="1"/>
  <c r="I25" i="17"/>
  <c r="L24" i="9" s="1"/>
  <c r="G13" i="23" l="1"/>
  <c r="F14" i="23"/>
  <c r="J27" i="27"/>
  <c r="J28" i="27" s="1"/>
  <c r="I24" i="17"/>
  <c r="L12" i="9"/>
  <c r="K6" i="17"/>
  <c r="J25" i="17"/>
  <c r="M24" i="9" s="1"/>
  <c r="M19" i="17"/>
  <c r="M20" i="17" s="1"/>
  <c r="M17" i="17"/>
  <c r="J9" i="17"/>
  <c r="J22" i="17"/>
  <c r="H13" i="23" l="1"/>
  <c r="G14" i="23"/>
  <c r="J30" i="27"/>
  <c r="J32" i="27" s="1"/>
  <c r="J35" i="27" s="1"/>
  <c r="D35" i="27" s="1"/>
  <c r="J24" i="17"/>
  <c r="M12" i="9"/>
  <c r="L7" i="17"/>
  <c r="L23" i="17" s="1"/>
  <c r="L8" i="17"/>
  <c r="K25" i="17"/>
  <c r="N24" i="9" s="1"/>
  <c r="K9" i="17"/>
  <c r="K22" i="17"/>
  <c r="D8" i="30" l="1"/>
  <c r="D37" i="27"/>
  <c r="I13" i="23"/>
  <c r="H14" i="23"/>
  <c r="K24" i="17"/>
  <c r="N12" i="9"/>
  <c r="L6" i="17"/>
  <c r="M8" i="17" s="1"/>
  <c r="L9" i="17"/>
  <c r="L22" i="17"/>
  <c r="L24" i="17" s="1"/>
  <c r="J13" i="23" l="1"/>
  <c r="J14" i="23" s="1"/>
  <c r="C16" i="23" s="1"/>
  <c r="I14" i="23"/>
  <c r="F8" i="30"/>
  <c r="F10" i="30" s="1"/>
  <c r="F13" i="30" s="1"/>
  <c r="D10" i="30"/>
  <c r="L25" i="17"/>
  <c r="M7" i="17"/>
  <c r="M23" i="17" s="1"/>
  <c r="M22" i="17"/>
  <c r="C17" i="30" l="1"/>
  <c r="C20" i="30" s="1"/>
  <c r="C22" i="30" s="1"/>
  <c r="F17" i="30"/>
  <c r="M9" i="17"/>
  <c r="M24" i="17"/>
  <c r="M6" i="17"/>
  <c r="M25" i="17" s="1"/>
  <c r="F23" i="9" l="1"/>
  <c r="I7" i="9"/>
  <c r="F9" i="2"/>
  <c r="A14" i="2"/>
  <c r="A13" i="2"/>
  <c r="A12" i="2"/>
  <c r="D20" i="2"/>
  <c r="A11" i="2"/>
  <c r="A10" i="2"/>
  <c r="A9" i="2"/>
  <c r="A8" i="2"/>
  <c r="A6" i="2"/>
  <c r="A120" i="2"/>
  <c r="A101" i="2"/>
  <c r="J7" i="9" l="1"/>
  <c r="I10" i="9"/>
  <c r="H16" i="9"/>
  <c r="I16" i="9" s="1"/>
  <c r="I9" i="9"/>
  <c r="I18" i="9"/>
  <c r="D19" i="2"/>
  <c r="I11" i="9" l="1"/>
  <c r="J18" i="9"/>
  <c r="K7" i="9"/>
  <c r="J10" i="9"/>
  <c r="J9" i="9"/>
  <c r="J16" i="9"/>
  <c r="D10" i="2"/>
  <c r="D21" i="2"/>
  <c r="G17" i="2" s="1"/>
  <c r="D13" i="2"/>
  <c r="D14" i="2"/>
  <c r="G11" i="2"/>
  <c r="D11" i="2"/>
  <c r="D9" i="2"/>
  <c r="G12" i="2" l="1"/>
  <c r="J11" i="9"/>
  <c r="J23" i="9" s="1"/>
  <c r="I23" i="9"/>
  <c r="K18" i="9"/>
  <c r="L7" i="9"/>
  <c r="K16" i="9"/>
  <c r="K10" i="9"/>
  <c r="K9" i="9"/>
  <c r="N108" i="2"/>
  <c r="G20" i="2" l="1"/>
  <c r="G21" i="2"/>
  <c r="G19" i="2"/>
  <c r="G18" i="2"/>
  <c r="I13" i="9"/>
  <c r="I14" i="9" s="1"/>
  <c r="I15" i="9" s="1"/>
  <c r="I19" i="9" s="1"/>
  <c r="I21" i="9" s="1"/>
  <c r="I35" i="9" s="1"/>
  <c r="J13" i="9"/>
  <c r="K11" i="9"/>
  <c r="L16" i="9"/>
  <c r="L10" i="9"/>
  <c r="L9" i="9"/>
  <c r="L18" i="9"/>
  <c r="M7" i="9"/>
  <c r="N107" i="2"/>
  <c r="I36" i="9" l="1"/>
  <c r="J14" i="9"/>
  <c r="J15" i="9" s="1"/>
  <c r="J19" i="9" s="1"/>
  <c r="K23" i="9"/>
  <c r="L11" i="9"/>
  <c r="M10" i="9"/>
  <c r="M9" i="9"/>
  <c r="M18" i="9"/>
  <c r="N7" i="9"/>
  <c r="M16" i="9"/>
  <c r="N106" i="2"/>
  <c r="J21" i="9" l="1"/>
  <c r="J35" i="9" s="1"/>
  <c r="K13" i="9"/>
  <c r="K14" i="9" s="1"/>
  <c r="K15" i="9" s="1"/>
  <c r="K19" i="9" s="1"/>
  <c r="M11" i="9"/>
  <c r="L23" i="9"/>
  <c r="N18" i="9"/>
  <c r="N16" i="9"/>
  <c r="N10" i="9"/>
  <c r="N9" i="9"/>
  <c r="N110" i="2"/>
  <c r="J36" i="9" l="1"/>
  <c r="L13" i="9"/>
  <c r="L14" i="9" s="1"/>
  <c r="L15" i="9" s="1"/>
  <c r="L19" i="9" s="1"/>
  <c r="K21" i="9"/>
  <c r="K35" i="9" s="1"/>
  <c r="K36" i="9" s="1"/>
  <c r="N11" i="9"/>
  <c r="N23" i="9" s="1"/>
  <c r="M23" i="9"/>
  <c r="M27" i="9" s="1"/>
  <c r="N109" i="2"/>
  <c r="L21" i="9" l="1"/>
  <c r="L35" i="9" s="1"/>
  <c r="L36" i="9" s="1"/>
  <c r="M30" i="9"/>
  <c r="N13" i="9"/>
  <c r="N14" i="9" s="1"/>
  <c r="M13" i="9"/>
  <c r="M14" i="9" s="1"/>
  <c r="M15" i="9" s="1"/>
  <c r="M19" i="9" s="1"/>
  <c r="M21" i="9" l="1"/>
  <c r="N15" i="9"/>
  <c r="N19" i="9" s="1"/>
  <c r="M28" i="9" s="1"/>
  <c r="N21" i="9" l="1"/>
  <c r="M29" i="9"/>
  <c r="M32" i="9" s="1"/>
  <c r="M35" i="9" s="1"/>
  <c r="M36" i="9" l="1"/>
  <c r="G38" i="9" s="1"/>
  <c r="G40" i="9" s="1"/>
  <c r="G42" i="9"/>
  <c r="N111" i="2"/>
</calcChain>
</file>

<file path=xl/sharedStrings.xml><?xml version="1.0" encoding="utf-8"?>
<sst xmlns="http://schemas.openxmlformats.org/spreadsheetml/2006/main" count="878" uniqueCount="539">
  <si>
    <t>EXIT YEAR</t>
  </si>
  <si>
    <t>EBITDA</t>
  </si>
  <si>
    <t>EBIT</t>
  </si>
  <si>
    <t>Less Interest</t>
  </si>
  <si>
    <t>Plus Depreciation &amp; Amortization</t>
  </si>
  <si>
    <t>Equity Cash Flows</t>
  </si>
  <si>
    <t>CORPORATE VALUATIONS</t>
  </si>
  <si>
    <t>BOOK VALUE</t>
  </si>
  <si>
    <t>Per Share</t>
  </si>
  <si>
    <t>Profitability</t>
  </si>
  <si>
    <t>Revenues (LTM)</t>
  </si>
  <si>
    <t>ROE %</t>
  </si>
  <si>
    <t>EBITDA (LTM)</t>
  </si>
  <si>
    <t>ROA%</t>
  </si>
  <si>
    <t>Net Income (LTM)</t>
  </si>
  <si>
    <t>(EPS)</t>
  </si>
  <si>
    <t>Book Value of Equity / Shares</t>
  </si>
  <si>
    <t>Book Value of Assets</t>
  </si>
  <si>
    <t>Book Value of Equity</t>
  </si>
  <si>
    <t>Common Shares Outstanding (000's)</t>
  </si>
  <si>
    <t>Market Capitalization (Equity Value)</t>
  </si>
  <si>
    <t>Dividends/Share</t>
  </si>
  <si>
    <t>Market Value to Book Value Relationship</t>
  </si>
  <si>
    <t>Equity MV / BV</t>
  </si>
  <si>
    <t>Tobin's Q Ratio (EV/ Total Assets)</t>
  </si>
  <si>
    <t xml:space="preserve">Price / Earnings </t>
  </si>
  <si>
    <t>Price / Sales</t>
  </si>
  <si>
    <t>Price / EBITDA</t>
  </si>
  <si>
    <t>Average</t>
  </si>
  <si>
    <t xml:space="preserve">  year =</t>
  </si>
  <si>
    <t>Historical</t>
  </si>
  <si>
    <t>Assumptions</t>
  </si>
  <si>
    <t>Operating Expenses (Excl. Non-rec.)</t>
  </si>
  <si>
    <t xml:space="preserve"> EBIT</t>
  </si>
  <si>
    <t>Less Taxes (tax rate x of EBIT)</t>
  </si>
  <si>
    <t xml:space="preserve">Less Capex 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</si>
  <si>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</si>
  <si>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</si>
  <si>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</si>
  <si>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</si>
  <si>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</si>
  <si>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>Less Debt Outstanding (at Exit)</t>
  </si>
  <si>
    <t>Plus Cash (at Exit)</t>
  </si>
  <si>
    <t>Equity Value at Terminal</t>
  </si>
  <si>
    <t>Rate</t>
  </si>
  <si>
    <t>Current Market Price</t>
  </si>
  <si>
    <t>Intrinsic Value Price</t>
  </si>
  <si>
    <t>Dividend Discount Model</t>
  </si>
  <si>
    <t>Comparable Trading Multiples</t>
  </si>
  <si>
    <t>Comparable Acquisition Multiples</t>
  </si>
  <si>
    <t>DCF Analysis</t>
  </si>
  <si>
    <t>Transactions Uses</t>
  </si>
  <si>
    <t>Purchase of 100% Shares</t>
  </si>
  <si>
    <t>Shares Outstanding
(millions)</t>
  </si>
  <si>
    <t>Refinance Short-Term &amp; Long Term Debt</t>
  </si>
  <si>
    <t>Transactions Sources</t>
  </si>
  <si>
    <t xml:space="preserve"> %  Capital</t>
  </si>
  <si>
    <t>Interest Rate / Expected Return</t>
  </si>
  <si>
    <t>Total Amount
($ 000's)</t>
  </si>
  <si>
    <t>Corporate Bonds</t>
  </si>
  <si>
    <t>Equity</t>
  </si>
  <si>
    <t xml:space="preserve">    Total Cost of Transaction (Uses)</t>
  </si>
  <si>
    <t xml:space="preserve">   Total Sources </t>
  </si>
  <si>
    <t>EBITDA
Multiple
(Capacity)</t>
  </si>
  <si>
    <t xml:space="preserve"> %  Total
Uses</t>
  </si>
  <si>
    <t>EBT</t>
  </si>
  <si>
    <t>Net Income</t>
  </si>
  <si>
    <t>Cash Flow Before Principal Payment</t>
  </si>
  <si>
    <t>Debt Principal Payment</t>
  </si>
  <si>
    <t>Debt Schedule</t>
  </si>
  <si>
    <t xml:space="preserve">   Outstanding</t>
  </si>
  <si>
    <t xml:space="preserve">   Total Payments (P+I)</t>
  </si>
  <si>
    <t xml:space="preserve">   Scheduled Principal Payments (P)</t>
  </si>
  <si>
    <t xml:space="preserve">   Interest Payments (I)</t>
  </si>
  <si>
    <t>Years</t>
  </si>
  <si>
    <t>Total Debt Payments</t>
  </si>
  <si>
    <t>Total Debt Outstanding</t>
  </si>
  <si>
    <t>7 Years</t>
  </si>
  <si>
    <t xml:space="preserve">   Total Debt</t>
  </si>
  <si>
    <t>EBITDA
Multiple</t>
  </si>
  <si>
    <t xml:space="preserve">Debt </t>
  </si>
  <si>
    <t>Tax Rate =</t>
  </si>
  <si>
    <t>AK Steel Holding Corp. (AKS)</t>
  </si>
  <si>
    <t>AKS</t>
  </si>
  <si>
    <t>SYMBOL=</t>
  </si>
  <si>
    <t>Total Debt</t>
  </si>
  <si>
    <t>Total Cash</t>
  </si>
  <si>
    <t>General Market Information</t>
  </si>
  <si>
    <t>Enteprise Value =</t>
  </si>
  <si>
    <t>MARKET VALUE</t>
  </si>
  <si>
    <t>Last Reported Performance  (LTM)</t>
  </si>
  <si>
    <t>Financial Statements Date of Reporting:</t>
  </si>
  <si>
    <t>Beta=</t>
  </si>
  <si>
    <t>Transaction Fees &amp; Expenses</t>
  </si>
  <si>
    <t>Desired Equity Return =</t>
  </si>
  <si>
    <t>Interest Payments</t>
  </si>
  <si>
    <t>Principal Payments</t>
  </si>
  <si>
    <t>EBITDA =</t>
  </si>
  <si>
    <t>Net Sales</t>
  </si>
  <si>
    <t>($ millions)</t>
  </si>
  <si>
    <t xml:space="preserve">  Growth</t>
  </si>
  <si>
    <t>Cost of Goods Sold</t>
  </si>
  <si>
    <t xml:space="preserve"> Gross Profit</t>
  </si>
  <si>
    <t xml:space="preserve">  Groaa Margin</t>
  </si>
  <si>
    <t xml:space="preserve">  EBIT % of Net Sales</t>
  </si>
  <si>
    <t>AK Steel Holding Corporation</t>
  </si>
  <si>
    <t>Cash Flow Summary</t>
  </si>
  <si>
    <t>Income Statement Summary</t>
  </si>
  <si>
    <t>Depreciation &amp; Amortization</t>
  </si>
  <si>
    <t>Capital Expenditures</t>
  </si>
  <si>
    <t>Balance Sheet Summary</t>
  </si>
  <si>
    <t>Fig 9.1</t>
  </si>
  <si>
    <t>Total
Amount
($ millions)</t>
  </si>
  <si>
    <t>Plus Capitalized Fee Amortization</t>
  </si>
  <si>
    <t>Purchase Stock Price
Feb 28, 2019</t>
  </si>
  <si>
    <t>Desired 
Premium</t>
  </si>
  <si>
    <t>Current 
Stock 
Price</t>
  </si>
  <si>
    <t>Figure 9.2</t>
  </si>
  <si>
    <t>EBIT =</t>
  </si>
  <si>
    <t>Plus Deprec. &amp; Amort.=</t>
  </si>
  <si>
    <t>LIBOR</t>
  </si>
  <si>
    <t>LIBOR Increase</t>
  </si>
  <si>
    <t>L+4.0%</t>
  </si>
  <si>
    <t>Spread</t>
  </si>
  <si>
    <t>Interest Rate</t>
  </si>
  <si>
    <t>Transaction Sources &amp; Uses</t>
  </si>
  <si>
    <t>Debt Schedules</t>
  </si>
  <si>
    <t>Bank Loan - Term Loan B</t>
  </si>
  <si>
    <t>Equity Reurn Analysis</t>
  </si>
  <si>
    <t>Assumptions
Average</t>
  </si>
  <si>
    <t>PROJECTIONS</t>
  </si>
  <si>
    <t>HISTORICAL</t>
  </si>
  <si>
    <t>Projections</t>
  </si>
  <si>
    <t xml:space="preserve">Assumptions
</t>
  </si>
  <si>
    <t xml:space="preserve"> Next Year's CF adj for IE / (Disc. Rate - Growth)</t>
  </si>
  <si>
    <t>PV of CF =</t>
  </si>
  <si>
    <t>Initial Invest=</t>
  </si>
  <si>
    <t>NPV =</t>
  </si>
  <si>
    <t>IRR =</t>
  </si>
  <si>
    <t>(before Tax)</t>
  </si>
  <si>
    <t xml:space="preserve">  Net Sales Growth</t>
  </si>
  <si>
    <t xml:space="preserve"> ($ millions)</t>
  </si>
  <si>
    <t>Accretion and Dilution Analysis</t>
  </si>
  <si>
    <t>Acquirer:</t>
  </si>
  <si>
    <t>Target:</t>
  </si>
  <si>
    <t>Revenue</t>
  </si>
  <si>
    <t>million</t>
  </si>
  <si>
    <t>Interest</t>
  </si>
  <si>
    <t>Shares Outs</t>
  </si>
  <si>
    <t>Transaction Assumptions</t>
  </si>
  <si>
    <t>Purchase Price</t>
  </si>
  <si>
    <t xml:space="preserve"> ($ mm)</t>
  </si>
  <si>
    <t>Financing</t>
  </si>
  <si>
    <t>Shares Issued by Acquirer</t>
  </si>
  <si>
    <t xml:space="preserve"> % Stock Consideration</t>
  </si>
  <si>
    <t xml:space="preserve">Debt Financing </t>
  </si>
  <si>
    <t>% Cash Consideration</t>
  </si>
  <si>
    <t>Cost of Debt</t>
  </si>
  <si>
    <t>EBIT Multiple x</t>
  </si>
  <si>
    <t>Projection Period ($ mm)</t>
  </si>
  <si>
    <t>Year 0</t>
  </si>
  <si>
    <t>Year 1</t>
  </si>
  <si>
    <t>Year 2</t>
  </si>
  <si>
    <t>Year 3</t>
  </si>
  <si>
    <t>Year 4</t>
  </si>
  <si>
    <t xml:space="preserve">  Proforma Combined EBIT</t>
  </si>
  <si>
    <t>Standalone Net Interest Expense</t>
  </si>
  <si>
    <t>Incremental Net Interest Expense</t>
  </si>
  <si>
    <t xml:space="preserve">   Total Interest Expenses</t>
  </si>
  <si>
    <t xml:space="preserve">  EBT</t>
  </si>
  <si>
    <t xml:space="preserve">  Taxes</t>
  </si>
  <si>
    <t xml:space="preserve">   Proforma Combined NI</t>
  </si>
  <si>
    <t>Acquire's Standalone Net Income</t>
  </si>
  <si>
    <t>Standalone Fully Diluted Shares</t>
  </si>
  <si>
    <t>Net New Shares issued in the Transaction</t>
  </si>
  <si>
    <t xml:space="preserve">  Proforma Fully Dillluted Shares Outstanding</t>
  </si>
  <si>
    <t>Accretive / Dilutive</t>
  </si>
  <si>
    <t>Hypothetical Acquisition of AK Steel by Steel Dynamics</t>
  </si>
  <si>
    <t>Steel Dynamics</t>
  </si>
  <si>
    <t>Ak Steel (AKS)</t>
  </si>
  <si>
    <t>SP</t>
  </si>
  <si>
    <t>SO</t>
  </si>
  <si>
    <t>SP * SO = EQ</t>
  </si>
  <si>
    <t>D</t>
  </si>
  <si>
    <t>C</t>
  </si>
  <si>
    <t>EQ + D - C = EV</t>
  </si>
  <si>
    <t>E</t>
  </si>
  <si>
    <t>EV / E</t>
  </si>
  <si>
    <t>Company</t>
  </si>
  <si>
    <t>Symbol</t>
  </si>
  <si>
    <t>Stocks Outstanding ($000)</t>
  </si>
  <si>
    <t>Equity Value
 ($000)</t>
  </si>
  <si>
    <t>Debt (ST&amp;LT)
($000)</t>
  </si>
  <si>
    <t>Cash
 ($000)</t>
  </si>
  <si>
    <t>Enterprise Value 
($000)</t>
  </si>
  <si>
    <t>EBITDA 
($mm)</t>
  </si>
  <si>
    <t>EBITDA Multiple</t>
  </si>
  <si>
    <t>Beta</t>
  </si>
  <si>
    <t>United Steel</t>
  </si>
  <si>
    <t>X</t>
  </si>
  <si>
    <t>STLD</t>
  </si>
  <si>
    <t>Reliance Steel Industries</t>
  </si>
  <si>
    <t>RS</t>
  </si>
  <si>
    <t>Schtzer Steel Industries</t>
  </si>
  <si>
    <t>SCHN</t>
  </si>
  <si>
    <t>Olympic Steel</t>
  </si>
  <si>
    <t>ZEUS</t>
  </si>
  <si>
    <t>EBITDA * Average Multiple</t>
  </si>
  <si>
    <t>Enteprise Value</t>
  </si>
  <si>
    <t xml:space="preserve">Average  EBITDA  Industry Trading Multiples </t>
  </si>
  <si>
    <t>Less Debt</t>
  </si>
  <si>
    <t>Plus Cash</t>
  </si>
  <si>
    <t>Equity Values</t>
  </si>
  <si>
    <t>Shares Outstanding</t>
  </si>
  <si>
    <t>Stock Price (Equity Value / SO)</t>
  </si>
  <si>
    <t>Shares Outstanding (SO)</t>
  </si>
  <si>
    <t xml:space="preserve">  Premium %</t>
  </si>
  <si>
    <t>Calculations</t>
  </si>
  <si>
    <t>AP</t>
  </si>
  <si>
    <t>AP * SO = EQ</t>
  </si>
  <si>
    <t>ND</t>
  </si>
  <si>
    <t>EQ + ND = EV</t>
  </si>
  <si>
    <t xml:space="preserve">Target </t>
  </si>
  <si>
    <t>Acquirer</t>
  </si>
  <si>
    <t>Acquisition Price /Share</t>
  </si>
  <si>
    <t>Equity Value ($000)</t>
  </si>
  <si>
    <t>Total Net Debt ($ 000)</t>
  </si>
  <si>
    <t>Enterprise Value (EV)</t>
  </si>
  <si>
    <t>EBITDA  ($ 000)</t>
  </si>
  <si>
    <t>ZS Steel</t>
  </si>
  <si>
    <t>Archimedes PE</t>
  </si>
  <si>
    <t>Celerity Steel Manufacturing</t>
  </si>
  <si>
    <t>AZM Steel &amp; Aliminum</t>
  </si>
  <si>
    <t>Yes Steel &amp; Aluminum Co.</t>
  </si>
  <si>
    <t>Kingtom Steel</t>
  </si>
  <si>
    <t>HI Steel Manufacturing Inc.</t>
  </si>
  <si>
    <t>Excel Steel</t>
  </si>
  <si>
    <t>Precision Steel</t>
  </si>
  <si>
    <t>MW Inc.</t>
  </si>
  <si>
    <t>Ross West Steel</t>
  </si>
  <si>
    <t>Greenstone Capital</t>
  </si>
  <si>
    <t>Using Averge EBITDA Transaction Multiples (M&amp;A Comparable Method)</t>
  </si>
  <si>
    <t>Figure 9.6</t>
  </si>
  <si>
    <t>Combined Synergies</t>
  </si>
  <si>
    <t>Purchase Price @ $4 per share</t>
  </si>
  <si>
    <t>(Interest Rate)</t>
  </si>
  <si>
    <t>Assumption</t>
  </si>
  <si>
    <t>Accretion / (Dillution) - $ (Proforma Combined EPS - Acquirer's Standalone EPS)</t>
  </si>
  <si>
    <t>Proforma Combined Dilluted  EPS (Proforma NI / Proforma Fully Diluted Shares)</t>
  </si>
  <si>
    <t>Acquirer's Standalone Dilluted EPS (Standalone NI / Standalone Fully Diluted Shares)</t>
  </si>
  <si>
    <t>Accretion / (Dillution) - % (Proforma Combined EPS / Acquirer's Standalone EPS - 1)</t>
  </si>
  <si>
    <t>Breakeven Pre-Tax synergies / (Cushion) ( Accretion or Dillution per share x Proforma Shares) / (1 - tax rate)</t>
  </si>
  <si>
    <t>Cash and Cash Equivalents</t>
  </si>
  <si>
    <t>Accounts Receivable</t>
  </si>
  <si>
    <t>Inventory</t>
  </si>
  <si>
    <t>Oher Current Assets</t>
  </si>
  <si>
    <t xml:space="preserve">  Total Current Assets</t>
  </si>
  <si>
    <t>Property Plant &amp; Equipment</t>
  </si>
  <si>
    <t>Lont-Term Investments</t>
  </si>
  <si>
    <t>Goodwill</t>
  </si>
  <si>
    <t>Oher Long Term Assets</t>
  </si>
  <si>
    <t>Total Assets</t>
  </si>
  <si>
    <t>ASSETS</t>
  </si>
  <si>
    <t>BALANCE SHEET</t>
  </si>
  <si>
    <t>LIABILITIES</t>
  </si>
  <si>
    <t>Accounts Payable</t>
  </si>
  <si>
    <t>Other Curret Liabilities</t>
  </si>
  <si>
    <t>Current Portion of LTD</t>
  </si>
  <si>
    <t xml:space="preserve">   Total Current Liabilities</t>
  </si>
  <si>
    <t>Other Liabilities</t>
  </si>
  <si>
    <t>Minority Interest</t>
  </si>
  <si>
    <t>Total Liabilities</t>
  </si>
  <si>
    <t>SHAREHOLDER'S EQUITY</t>
  </si>
  <si>
    <t>Common Stock</t>
  </si>
  <si>
    <t>Treasury Stock</t>
  </si>
  <si>
    <t>Capital Surplus</t>
  </si>
  <si>
    <t>Retained Earnings</t>
  </si>
  <si>
    <t>Total Shareholder Equity</t>
  </si>
  <si>
    <t>Total Liabilities 7 Shareholder's Equity</t>
  </si>
  <si>
    <t>Debit</t>
  </si>
  <si>
    <t>Credit</t>
  </si>
  <si>
    <t>AKS
Pre-
Transaction</t>
  </si>
  <si>
    <t>AKS
Post-
Transaction</t>
  </si>
  <si>
    <t>Combined
STLD/AKS</t>
  </si>
  <si>
    <t>PROFORMA</t>
  </si>
  <si>
    <t>Asset Sale M&amp;A</t>
  </si>
  <si>
    <t>Intangibe Assets</t>
  </si>
  <si>
    <t>LBO Purchase 
Adjustments</t>
  </si>
  <si>
    <t>Existing Long  Term Debt</t>
  </si>
  <si>
    <t>Senior Unsecured Notes</t>
  </si>
  <si>
    <t xml:space="preserve">    Total Long Term Debt</t>
  </si>
  <si>
    <t>Term Loan B</t>
  </si>
  <si>
    <t>Revolver Loan</t>
  </si>
  <si>
    <t>Revolver Loan ($200 million)</t>
  </si>
  <si>
    <t>Capitalized Expanes</t>
  </si>
  <si>
    <t>Figure 9.3</t>
  </si>
  <si>
    <t>Figure 9.4</t>
  </si>
  <si>
    <t>Fig. 9.5</t>
  </si>
  <si>
    <t>Figure 9.8</t>
  </si>
  <si>
    <t>Capitalized Expenses</t>
  </si>
  <si>
    <t>PV @30%</t>
  </si>
  <si>
    <t>Annual Value of Annual Tax Savings for Step-up Assets due to acquisition</t>
  </si>
  <si>
    <t>Purchase Price of Assets</t>
  </si>
  <si>
    <t>Asset Basis</t>
  </si>
  <si>
    <t xml:space="preserve">  Asset Set-up</t>
  </si>
  <si>
    <t>Year</t>
  </si>
  <si>
    <t>Assumptions ($ millions)</t>
  </si>
  <si>
    <t>Amortization Years</t>
  </si>
  <si>
    <t>years</t>
  </si>
  <si>
    <t>Annual Depreciation (Asset Set-up / Years)</t>
  </si>
  <si>
    <t>Tax Rate</t>
  </si>
  <si>
    <t>Annual Tax Savings</t>
  </si>
  <si>
    <t>Discount Rate</t>
  </si>
  <si>
    <t>Annual Tax Savings (Tax Rate x Annual Depr.)</t>
  </si>
  <si>
    <t>Present Value of Annual Tax Savings</t>
  </si>
  <si>
    <t>Present Value - Savings</t>
  </si>
  <si>
    <t>Figure 9.9</t>
  </si>
  <si>
    <t>Celerity Technogy Inc. ("CTI")</t>
  </si>
  <si>
    <t>Discount Cash Flow Valuation Method (000's)</t>
  </si>
  <si>
    <t>PROJECTED</t>
  </si>
  <si>
    <t>Year -1</t>
  </si>
  <si>
    <t xml:space="preserve"> Year  1</t>
  </si>
  <si>
    <t xml:space="preserve"> Year  2</t>
  </si>
  <si>
    <t xml:space="preserve"> Year  3</t>
  </si>
  <si>
    <t xml:space="preserve"> Year  4</t>
  </si>
  <si>
    <t xml:space="preserve"> Year  5</t>
  </si>
  <si>
    <t>Revenues</t>
  </si>
  <si>
    <t>Cost of Revenues</t>
  </si>
  <si>
    <t>Operating Expenses</t>
  </si>
  <si>
    <t>Less Depreciation &amp; Amortization</t>
  </si>
  <si>
    <t>Less Taxes</t>
  </si>
  <si>
    <t>EAT</t>
  </si>
  <si>
    <t>Less Working Capital</t>
  </si>
  <si>
    <t>Less Capital Expenditures and Investments</t>
  </si>
  <si>
    <t>Cash Before Financing Payments</t>
  </si>
  <si>
    <t>Less Debt Service (Principal + Interest)</t>
  </si>
  <si>
    <t xml:space="preserve">  Free Cash Flow</t>
  </si>
  <si>
    <t>TERMINAL VALUE (TV)</t>
  </si>
  <si>
    <t>TV Assumptions</t>
  </si>
  <si>
    <t>Terminal Value using EBITDA Multiple Method</t>
  </si>
  <si>
    <t>EBITDA Multiple =</t>
  </si>
  <si>
    <t>Terminal Value using Perpetuity Method</t>
  </si>
  <si>
    <t>Discount Rate =</t>
  </si>
  <si>
    <t xml:space="preserve">   Average Terminal Value</t>
  </si>
  <si>
    <t>Growth =</t>
  </si>
  <si>
    <t>Equity Value at Exit Year</t>
  </si>
  <si>
    <t>Equity Expected Return =</t>
  </si>
  <si>
    <t>Present Value of Equity</t>
  </si>
  <si>
    <t>Plus Debt</t>
  </si>
  <si>
    <t>Less Cash</t>
  </si>
  <si>
    <t xml:space="preserve"> Firm Enterprise value</t>
  </si>
  <si>
    <t xml:space="preserve"> Enteprise Value / EBITDA</t>
  </si>
  <si>
    <t>LBO Method (000's)</t>
  </si>
  <si>
    <t>TRANSACTION SOURCES &amp; USES</t>
  </si>
  <si>
    <t>Sources</t>
  </si>
  <si>
    <t>Capacity EBITDA x</t>
  </si>
  <si>
    <t>Amount</t>
  </si>
  <si>
    <t xml:space="preserve"> % Capital</t>
  </si>
  <si>
    <t>Inter. / 
Exp. Ret.</t>
  </si>
  <si>
    <t>WACC</t>
  </si>
  <si>
    <t>Uses</t>
  </si>
  <si>
    <t>Purchase EBITDA Multiple</t>
  </si>
  <si>
    <t>Bank Loan</t>
  </si>
  <si>
    <t>Purchase Enteprise Value</t>
  </si>
  <si>
    <t>Fees (% EV)</t>
  </si>
  <si>
    <t xml:space="preserve">  Total Debt</t>
  </si>
  <si>
    <t xml:space="preserve">  Total Sources</t>
  </si>
  <si>
    <t xml:space="preserve"> Tax Rate =</t>
  </si>
  <si>
    <t>DEBT SCHEDULES</t>
  </si>
  <si>
    <t>Bank Loal - Outstanding</t>
  </si>
  <si>
    <t>Bank Loan  - Principal Incr./Decr.</t>
  </si>
  <si>
    <t>Bank Loan - Interst Payment</t>
  </si>
  <si>
    <t>Bonds - Outstanding</t>
  </si>
  <si>
    <t>Bonds  - Principal Incr./Decr.</t>
  </si>
  <si>
    <t>Bonds - Interst Payment</t>
  </si>
  <si>
    <t>CASH FLOW PROJECTIONS</t>
  </si>
  <si>
    <t>Less Depreciation</t>
  </si>
  <si>
    <t>Less Amortization</t>
  </si>
  <si>
    <t>Fig. 9.7</t>
  </si>
  <si>
    <t>Figure 9.10</t>
  </si>
  <si>
    <t>Figure 9.11</t>
  </si>
  <si>
    <t>WACC=</t>
  </si>
  <si>
    <t xml:space="preserve">  EBIT</t>
  </si>
  <si>
    <t xml:space="preserve">  Cash Flow</t>
  </si>
  <si>
    <t>Terminal Value assumption</t>
  </si>
  <si>
    <t>EV (PV) of the firm</t>
  </si>
  <si>
    <t>(annual)</t>
  </si>
  <si>
    <t xml:space="preserve"> St. Dev.=</t>
  </si>
  <si>
    <t>Step 2 - Find the annualized variance in firm value</t>
  </si>
  <si>
    <t xml:space="preserve">    (we^2  x σe^2) + (wb^2  x σb^2) + 2. (we x wd x ped x σe x σd). C</t>
  </si>
  <si>
    <t>We=</t>
  </si>
  <si>
    <t>C=</t>
  </si>
  <si>
    <t>Wd=</t>
  </si>
  <si>
    <t>Annualized Variance in firm value</t>
  </si>
  <si>
    <t>The five-year bond rate (corresponding to the weighted average duration of 5.1 years) is 6.0%</t>
  </si>
  <si>
    <t>Stet 3 - Find the value of call based upon the following parameters of equity as a call option</t>
  </si>
  <si>
    <t xml:space="preserve">Exercise Price  = X = Face Value of outstanding debt = </t>
  </si>
  <si>
    <t>Life of the option = t = Weighted average duration of debt=</t>
  </si>
  <si>
    <t xml:space="preserve">Variance in the value of the underlying asset = σ^2 = </t>
  </si>
  <si>
    <t>Riskless Rate = I = T-Bond for option life =</t>
  </si>
  <si>
    <t>d1=</t>
  </si>
  <si>
    <t>N (d1) =</t>
  </si>
  <si>
    <t>d2=</t>
  </si>
  <si>
    <t>N (d2) =</t>
  </si>
  <si>
    <t>Value of the call (Equity) =</t>
  </si>
  <si>
    <t>Southstar Apparel Manufacturing Inc.</t>
  </si>
  <si>
    <t>Buyout of Distress Company</t>
  </si>
  <si>
    <t>Year 5</t>
  </si>
  <si>
    <t>Asset Based Lending</t>
  </si>
  <si>
    <t>Mezzanine Debt</t>
  </si>
  <si>
    <t>Remaining Term</t>
  </si>
  <si>
    <t>Existing Debt Outstanding (at Bankruptcy)=</t>
  </si>
  <si>
    <t>Operatinhg Expenses</t>
  </si>
  <si>
    <t>Less Maintenance Capex (Depreciation Levels)</t>
  </si>
  <si>
    <t>Add Depreciation</t>
  </si>
  <si>
    <t xml:space="preserve">Less W/C </t>
  </si>
  <si>
    <t>Sales</t>
  </si>
  <si>
    <t>Purchase of Equity</t>
  </si>
  <si>
    <t>Refinance Existing Debt</t>
  </si>
  <si>
    <t>Debt
Discount</t>
  </si>
  <si>
    <t>Commited</t>
  </si>
  <si>
    <t>Volatility of Debt in the secondary market (Variance)</t>
  </si>
  <si>
    <t>Debt proportion (5 years)</t>
  </si>
  <si>
    <t>Volatility of Book Value of Equity measured by earnings (Variance)</t>
  </si>
  <si>
    <t>Correlation between Equity (Earnings) /Debt</t>
  </si>
  <si>
    <t>DEBT ASSUMPTIONS (At Bankruptcy)</t>
  </si>
  <si>
    <t>EV (PV) of the Equity</t>
  </si>
  <si>
    <t>VALUE ASSUMPTIONS (Pre-bankruptcy)</t>
  </si>
  <si>
    <t>DISCOUNT CASH FLOW ANALYSIS ($ millions)</t>
  </si>
  <si>
    <t>DISTRESS CASH FLOW ANALYSIS USING  BLACK-SCHOLES OPTION PRICING MODEL</t>
  </si>
  <si>
    <t>Year 7</t>
  </si>
  <si>
    <t>Annualized Variance in Retained Earnings σ^2 =</t>
  </si>
  <si>
    <t>Annualized Variance in Debt Price σ^2 =</t>
  </si>
  <si>
    <t>Step 1 - Find the annualized in Retained (Equity) and Debt prices:</t>
  </si>
  <si>
    <t>Purchase EBITDA Multiple
(year 3)</t>
  </si>
  <si>
    <t xml:space="preserve">Value of the underlying Enteprise Value = S = Value of the firm = </t>
  </si>
  <si>
    <t xml:space="preserve"> (Equity Return Heavy)</t>
  </si>
  <si>
    <t>Figure 9.12</t>
  </si>
  <si>
    <t>Return Analysis</t>
  </si>
  <si>
    <t>Operating</t>
  </si>
  <si>
    <t>Entry Year</t>
  </si>
  <si>
    <t>Exit Year</t>
  </si>
  <si>
    <t>Assump.</t>
  </si>
  <si>
    <t>growth</t>
  </si>
  <si>
    <t>% of Revenue</t>
  </si>
  <si>
    <t>Operating Costs</t>
  </si>
  <si>
    <t xml:space="preserve"> EBITDA</t>
  </si>
  <si>
    <t xml:space="preserve">  Less Taxes (adj out Interest Exp)</t>
  </si>
  <si>
    <t>% of EBT</t>
  </si>
  <si>
    <t xml:space="preserve">  Plus Depreciation &amp; Amortization</t>
  </si>
  <si>
    <t xml:space="preserve">  Less Working Capital</t>
  </si>
  <si>
    <t xml:space="preserve">  Less Capex</t>
  </si>
  <si>
    <t>Cash Flow Before Financing (CFBF)</t>
  </si>
  <si>
    <t xml:space="preserve">  Perpetuity Method  (using WACC + growth)</t>
  </si>
  <si>
    <t>Average Terminal Value</t>
  </si>
  <si>
    <t>Debt Outstanding</t>
  </si>
  <si>
    <t>Equity Value (TV - Debt)</t>
  </si>
  <si>
    <t>x</t>
  </si>
  <si>
    <t>$ 1 PV Table (Expected Equity Rate)</t>
  </si>
  <si>
    <t>PV Table (Expected Equity Rate)</t>
  </si>
  <si>
    <t>Less Amortization of Intagibles</t>
  </si>
  <si>
    <t xml:space="preserve">  Less Interest</t>
  </si>
  <si>
    <t xml:space="preserve">  EBITDA Multiple Method (Industry Average)</t>
  </si>
  <si>
    <t xml:space="preserve">Less Principal Financing </t>
  </si>
  <si>
    <t>Choice Hotels International</t>
  </si>
  <si>
    <t>CHH</t>
  </si>
  <si>
    <t>Hilton Worldwide Holdings Inc.</t>
  </si>
  <si>
    <t>HLT</t>
  </si>
  <si>
    <t>Intercontinental Hotel</t>
  </si>
  <si>
    <t>IHG</t>
  </si>
  <si>
    <t>Marcus Corporation</t>
  </si>
  <si>
    <t>MCS</t>
  </si>
  <si>
    <t>Marriott International</t>
  </si>
  <si>
    <t>MAR</t>
  </si>
  <si>
    <t>Park Hotels &amp; Resorts Inc.</t>
  </si>
  <si>
    <t>PK</t>
  </si>
  <si>
    <t>Wyndham Worldwide</t>
  </si>
  <si>
    <t>WYN</t>
  </si>
  <si>
    <t>Hyatt</t>
  </si>
  <si>
    <t>HOT</t>
  </si>
  <si>
    <t>Equity Value ($mm)</t>
  </si>
  <si>
    <t>Total Net Debt ($mm)</t>
  </si>
  <si>
    <t>EBITDA (last reported)</t>
  </si>
  <si>
    <t>Hilton Hotels</t>
  </si>
  <si>
    <t>Blackstone Group</t>
  </si>
  <si>
    <t>Four Seasons*</t>
  </si>
  <si>
    <t>Kingtom Hotels Int'l / 
Gates' Cascade</t>
  </si>
  <si>
    <t>Fairmont/Rafles</t>
  </si>
  <si>
    <t>Kingtom Hotels Int'l</t>
  </si>
  <si>
    <t>Hilton International</t>
  </si>
  <si>
    <t>Hilton Hotels Corp.</t>
  </si>
  <si>
    <t>Starwood Hotels</t>
  </si>
  <si>
    <t>Host Marriott</t>
  </si>
  <si>
    <t>La-Quinta Corp</t>
  </si>
  <si>
    <t>Wynham Int'l</t>
  </si>
  <si>
    <t>John Q. Hammons Hotels</t>
  </si>
  <si>
    <t>JQH Acquisition LLC</t>
  </si>
  <si>
    <t>Societe du Louvre</t>
  </si>
  <si>
    <t>Starwood Capital</t>
  </si>
  <si>
    <t>Intercontinental Hotels</t>
  </si>
  <si>
    <t>LRG</t>
  </si>
  <si>
    <t>Boca Resorts</t>
  </si>
  <si>
    <t>Prime Hospitality</t>
  </si>
  <si>
    <t>Extended Stay</t>
  </si>
  <si>
    <t>Droussia Beach Hotel Enteprise Value</t>
  </si>
  <si>
    <t>Figure 9.13</t>
  </si>
  <si>
    <t xml:space="preserve">Stock Price 
</t>
  </si>
  <si>
    <t xml:space="preserve">DISCOUNT CASH FLOW </t>
  </si>
  <si>
    <t>Company Projections ($ 000'S)</t>
  </si>
  <si>
    <t>Less Total Debt</t>
  </si>
  <si>
    <t xml:space="preserve">  Equity Value</t>
  </si>
  <si>
    <t>Figure 9.14</t>
  </si>
  <si>
    <t xml:space="preserve">  Average of other methods</t>
  </si>
  <si>
    <t>IPO - EQUITY VALUATION ANALYSIS</t>
  </si>
  <si>
    <t>Using Averge EBITDA Transaction Multiples</t>
  </si>
  <si>
    <t>Discount Cash Flow Valuation Analysis</t>
  </si>
  <si>
    <t>Equity
 Value</t>
  </si>
  <si>
    <t xml:space="preserve">IPO
Stock 
Price
Offered </t>
  </si>
  <si>
    <t xml:space="preserve"> % of Public
Offering
to Total
Value</t>
  </si>
  <si>
    <t>Figure 9.16</t>
  </si>
  <si>
    <t>Shares
Outstanding
( 000's)</t>
  </si>
  <si>
    <t>Discount to the value</t>
  </si>
  <si>
    <t>Price Offered (Rounded)</t>
  </si>
  <si>
    <t>Equity Value (IPO Price x Shares Issued)</t>
  </si>
  <si>
    <t>EV / EBITDA</t>
  </si>
  <si>
    <t>Methodology</t>
  </si>
  <si>
    <t>Funds
(000's)</t>
  </si>
  <si>
    <t>Shares
Offered
to Public
(000's)</t>
  </si>
  <si>
    <t>IPO
Stock 
Price
Offered 
(000's)</t>
  </si>
  <si>
    <t>DROUSSIA BEACH HOTEL COMPANY</t>
  </si>
  <si>
    <t>Stock Issued</t>
  </si>
  <si>
    <t>Suggested Stock IPO Price</t>
  </si>
  <si>
    <t>Figure 9.15</t>
  </si>
  <si>
    <t>c</t>
  </si>
  <si>
    <t>Hypothetical LBO of AK Steel</t>
  </si>
  <si>
    <t>(Pre Tra +D - C)</t>
  </si>
  <si>
    <t>(Pre Tra + C - D)</t>
  </si>
  <si>
    <t>Cash on Hand</t>
  </si>
  <si>
    <t xml:space="preserve"> Purchase new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</si>
</sst>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\x"/>
    <numFmt numFmtId="166" formatCode="&quot;$&quot;0.00"/>
    <numFmt numFmtId="167" formatCode="0.00\x"/>
    <numFmt numFmtId="168" formatCode="0.0%"/>
    <numFmt numFmtId="169" formatCode="_(* #,##0.0000000_);_(* \(#,##0.0000000\);_(* &quot;-&quot;??_);_(@_)"/>
    <numFmt numFmtId="170" formatCode="_(* #,##0.0_);_(* \(#,##0.0\);_(* &quot;-&quot;??_);_(@_)"/>
    <numFmt numFmtId="171" formatCode="_(&quot;$&quot;* #,##0_);_(&quot;$&quot;* \(#,##0\);_(&quot;$&quot;* &quot;-&quot;??_);_(@_)"/>
    <numFmt numFmtId="172" formatCode="_(&quot;$&quot;* #,##0.0_);_(&quot;$&quot;* \(#,##0.0\);_(&quot;$&quot;* &quot;-&quot;??_);_(@_)"/>
    <numFmt numFmtId="173" formatCode="0.000%"/>
    <numFmt numFmtId="174" formatCode="&quot;$&quot;#,##0.0_);[Red]\(&quot;$&quot;#,##0.0\)"/>
    <numFmt numFmtId="175" formatCode="0.0000"/>
    <numFmt numFmtId="176" formatCode="0.000"/>
    <numFmt numFmtId="177" formatCode="_(* #,##0.0000_);_(* \(#,##0.0000\);_(* &quot;-&quot;??_);_(@_)"/>
    <numFmt numFmtId="178" formatCode="&quot;$&quot;\ 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10"/>
      <name val="Arial"/>
      <family val="2"/>
    </font>
    <font>
      <b/>
      <sz val="1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2"/>
      <name val="Arial"/>
      <family val="2"/>
    </font>
    <font>
      <b/>
      <sz val="18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5">
    <xf numFmtId="0" fontId="0" fillId="0" borderId="0" xfId="0"/>
    <xf numFmtId="0" fontId="4" fillId="0" borderId="0" xfId="0" applyFont="1"/>
    <xf numFmtId="0" fontId="7" fillId="2" borderId="2" xfId="0" applyFont="1" applyFill="1" applyBorder="1" applyAlignment="1">
      <alignment horizontal="center"/>
    </xf>
    <xf numFmtId="0" fontId="7" fillId="0" borderId="0" xfId="0" applyFont="1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1" xfId="1" applyNumberFormat="1" applyFont="1" applyBorder="1"/>
    <xf numFmtId="164" fontId="0" fillId="0" borderId="3" xfId="1" applyNumberFormat="1" applyFont="1" applyBorder="1"/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right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6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8" xfId="0" applyFont="1" applyBorder="1" applyAlignment="1">
      <alignment horizontal="center"/>
    </xf>
    <xf numFmtId="164" fontId="9" fillId="0" borderId="0" xfId="0" applyNumberFormat="1" applyFont="1"/>
    <xf numFmtId="166" fontId="9" fillId="0" borderId="0" xfId="2" applyNumberFormat="1" applyFont="1" applyAlignment="1">
      <alignment horizontal="center"/>
    </xf>
    <xf numFmtId="10" fontId="9" fillId="0" borderId="0" xfId="0" applyNumberFormat="1" applyFont="1"/>
    <xf numFmtId="6" fontId="12" fillId="0" borderId="0" xfId="0" applyNumberFormat="1" applyFont="1"/>
    <xf numFmtId="0" fontId="0" fillId="0" borderId="0" xfId="0" quotePrefix="1"/>
    <xf numFmtId="44" fontId="9" fillId="0" borderId="0" xfId="2" applyFont="1"/>
    <xf numFmtId="0" fontId="0" fillId="0" borderId="1" xfId="0" applyBorder="1"/>
    <xf numFmtId="44" fontId="9" fillId="0" borderId="0" xfId="2" applyFont="1" applyAlignment="1">
      <alignment horizontal="right"/>
    </xf>
    <xf numFmtId="6" fontId="9" fillId="0" borderId="0" xfId="0" applyNumberFormat="1" applyFont="1"/>
    <xf numFmtId="8" fontId="12" fillId="0" borderId="0" xfId="0" applyNumberFormat="1" applyFont="1"/>
    <xf numFmtId="167" fontId="0" fillId="0" borderId="0" xfId="0" applyNumberFormat="1" applyAlignment="1">
      <alignment horizontal="center"/>
    </xf>
    <xf numFmtId="168" fontId="0" fillId="0" borderId="0" xfId="3" applyNumberFormat="1" applyFont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7" fillId="2" borderId="7" xfId="0" applyFont="1" applyFill="1" applyBorder="1" applyAlignment="1">
      <alignment horizontal="center"/>
    </xf>
    <xf numFmtId="164" fontId="7" fillId="0" borderId="8" xfId="0" applyNumberFormat="1" applyFont="1" applyBorder="1"/>
    <xf numFmtId="167" fontId="0" fillId="0" borderId="0" xfId="0" applyNumberFormat="1"/>
    <xf numFmtId="0" fontId="7" fillId="2" borderId="16" xfId="0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168" fontId="12" fillId="0" borderId="0" xfId="0" applyNumberFormat="1" applyFont="1" applyAlignment="1">
      <alignment horizontal="center"/>
    </xf>
    <xf numFmtId="168" fontId="17" fillId="0" borderId="0" xfId="3" applyNumberFormat="1" applyFont="1"/>
    <xf numFmtId="168" fontId="17" fillId="0" borderId="2" xfId="3" applyNumberFormat="1" applyFont="1" applyBorder="1"/>
    <xf numFmtId="0" fontId="21" fillId="0" borderId="0" xfId="0" applyFont="1"/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165" fontId="0" fillId="0" borderId="0" xfId="0" applyNumberFormat="1"/>
    <xf numFmtId="10" fontId="12" fillId="0" borderId="0" xfId="0" applyNumberFormat="1" applyFont="1"/>
    <xf numFmtId="10" fontId="0" fillId="0" borderId="0" xfId="0" applyNumberFormat="1"/>
    <xf numFmtId="0" fontId="15" fillId="0" borderId="0" xfId="0" quotePrefix="1" applyFont="1" applyAlignment="1">
      <alignment shrinkToFit="1"/>
    </xf>
    <xf numFmtId="0" fontId="0" fillId="0" borderId="8" xfId="0" applyBorder="1"/>
    <xf numFmtId="168" fontId="7" fillId="0" borderId="8" xfId="0" applyNumberFormat="1" applyFont="1" applyBorder="1"/>
    <xf numFmtId="6" fontId="7" fillId="0" borderId="0" xfId="0" applyNumberFormat="1" applyFont="1"/>
    <xf numFmtId="164" fontId="7" fillId="0" borderId="0" xfId="0" applyNumberFormat="1" applyFont="1"/>
    <xf numFmtId="4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9" fontId="9" fillId="0" borderId="0" xfId="0" applyNumberFormat="1" applyFont="1" applyAlignment="1">
      <alignment horizontal="center"/>
    </xf>
    <xf numFmtId="164" fontId="9" fillId="0" borderId="0" xfId="1" applyNumberFormat="1" applyFont="1"/>
    <xf numFmtId="10" fontId="9" fillId="0" borderId="0" xfId="3" applyNumberFormat="1" applyFont="1"/>
    <xf numFmtId="10" fontId="9" fillId="0" borderId="5" xfId="3" applyNumberFormat="1" applyFont="1" applyBorder="1"/>
    <xf numFmtId="168" fontId="9" fillId="0" borderId="0" xfId="3" applyNumberFormat="1" applyFont="1" applyAlignment="1">
      <alignment horizontal="center"/>
    </xf>
    <xf numFmtId="10" fontId="9" fillId="0" borderId="0" xfId="3" applyNumberFormat="1" applyFont="1" applyAlignment="1">
      <alignment horizontal="center"/>
    </xf>
    <xf numFmtId="164" fontId="7" fillId="0" borderId="0" xfId="1" applyNumberFormat="1" applyFont="1"/>
    <xf numFmtId="0" fontId="9" fillId="0" borderId="0" xfId="0" applyFont="1" applyAlignment="1">
      <alignment horizontal="center"/>
    </xf>
    <xf numFmtId="0" fontId="9" fillId="0" borderId="18" xfId="0" applyFont="1" applyBorder="1"/>
    <xf numFmtId="168" fontId="12" fillId="0" borderId="0" xfId="0" quotePrefix="1" applyNumberFormat="1" applyFont="1" applyAlignment="1">
      <alignment horizontal="center"/>
    </xf>
    <xf numFmtId="0" fontId="7" fillId="2" borderId="21" xfId="0" applyFont="1" applyFill="1" applyBorder="1" applyAlignment="1">
      <alignment horizontal="center" wrapText="1"/>
    </xf>
    <xf numFmtId="10" fontId="9" fillId="0" borderId="1" xfId="3" applyNumberFormat="1" applyFont="1" applyBorder="1"/>
    <xf numFmtId="167" fontId="12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5" xfId="0" applyNumberFormat="1" applyFont="1" applyBorder="1" applyAlignment="1">
      <alignment horizontal="center"/>
    </xf>
    <xf numFmtId="168" fontId="0" fillId="0" borderId="0" xfId="3" applyNumberFormat="1" applyFont="1"/>
    <xf numFmtId="170" fontId="0" fillId="0" borderId="0" xfId="1" applyNumberFormat="1" applyFont="1"/>
    <xf numFmtId="170" fontId="0" fillId="0" borderId="1" xfId="1" applyNumberFormat="1" applyFont="1" applyBorder="1"/>
    <xf numFmtId="170" fontId="7" fillId="0" borderId="0" xfId="1" applyNumberFormat="1" applyFont="1"/>
    <xf numFmtId="6" fontId="0" fillId="0" borderId="0" xfId="0" applyNumberFormat="1" applyAlignment="1">
      <alignment horizontal="right"/>
    </xf>
    <xf numFmtId="0" fontId="23" fillId="0" borderId="0" xfId="0" applyFont="1"/>
    <xf numFmtId="14" fontId="23" fillId="0" borderId="0" xfId="0" applyNumberFormat="1" applyFont="1"/>
    <xf numFmtId="9" fontId="2" fillId="4" borderId="9" xfId="0" applyNumberFormat="1" applyFont="1" applyFill="1" applyBorder="1"/>
    <xf numFmtId="0" fontId="7" fillId="2" borderId="7" xfId="0" applyFont="1" applyFill="1" applyBorder="1" applyAlignment="1">
      <alignment horizontal="center" wrapText="1"/>
    </xf>
    <xf numFmtId="0" fontId="24" fillId="0" borderId="0" xfId="0" applyFont="1"/>
    <xf numFmtId="168" fontId="24" fillId="0" borderId="0" xfId="3" applyNumberFormat="1" applyFont="1"/>
    <xf numFmtId="0" fontId="25" fillId="0" borderId="0" xfId="0" applyFont="1"/>
    <xf numFmtId="0" fontId="2" fillId="4" borderId="8" xfId="0" applyFont="1" applyFill="1" applyBorder="1" applyAlignment="1">
      <alignment vertical="center"/>
    </xf>
    <xf numFmtId="0" fontId="2" fillId="0" borderId="0" xfId="0" quotePrefix="1" applyFont="1" applyAlignment="1">
      <alignment wrapText="1"/>
    </xf>
    <xf numFmtId="0" fontId="2" fillId="4" borderId="8" xfId="0" quotePrefix="1" applyFont="1" applyFill="1" applyBorder="1" applyAlignment="1">
      <alignment vertical="center" wrapText="1"/>
    </xf>
    <xf numFmtId="0" fontId="0" fillId="4" borderId="8" xfId="0" applyFill="1" applyBorder="1"/>
    <xf numFmtId="0" fontId="2" fillId="0" borderId="22" xfId="0" applyFont="1" applyBorder="1"/>
    <xf numFmtId="0" fontId="2" fillId="0" borderId="23" xfId="0" applyFont="1" applyBorder="1"/>
    <xf numFmtId="0" fontId="7" fillId="2" borderId="7" xfId="0" applyFont="1" applyFill="1" applyBorder="1" applyAlignment="1">
      <alignment horizontal="center" wrapText="1" shrinkToFit="1"/>
    </xf>
    <xf numFmtId="44" fontId="9" fillId="0" borderId="0" xfId="0" applyNumberFormat="1" applyFont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0" fontId="14" fillId="3" borderId="0" xfId="0" applyFont="1" applyFill="1" applyAlignment="1">
      <alignment horizontal="center"/>
    </xf>
    <xf numFmtId="164" fontId="7" fillId="0" borderId="0" xfId="1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9" fillId="0" borderId="0" xfId="1" applyNumberFormat="1" applyFont="1" applyAlignment="1">
      <alignment horizontal="center"/>
    </xf>
    <xf numFmtId="43" fontId="9" fillId="0" borderId="0" xfId="1" applyFont="1"/>
    <xf numFmtId="167" fontId="9" fillId="0" borderId="8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0" fontId="9" fillId="0" borderId="8" xfId="3" applyNumberFormat="1" applyFont="1" applyBorder="1" applyAlignment="1">
      <alignment horizontal="center"/>
    </xf>
    <xf numFmtId="170" fontId="7" fillId="0" borderId="0" xfId="1" applyNumberFormat="1" applyFont="1" applyAlignment="1">
      <alignment horizontal="center"/>
    </xf>
    <xf numFmtId="170" fontId="9" fillId="0" borderId="0" xfId="1" applyNumberFormat="1" applyFont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right"/>
    </xf>
    <xf numFmtId="170" fontId="9" fillId="0" borderId="26" xfId="1" applyNumberFormat="1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170" fontId="9" fillId="0" borderId="27" xfId="1" applyNumberFormat="1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170" fontId="7" fillId="0" borderId="20" xfId="1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15" xfId="0" applyFont="1" applyBorder="1"/>
    <xf numFmtId="168" fontId="7" fillId="0" borderId="14" xfId="0" applyNumberFormat="1" applyFont="1" applyBorder="1" applyAlignment="1">
      <alignment horizontal="center"/>
    </xf>
    <xf numFmtId="0" fontId="9" fillId="0" borderId="29" xfId="0" applyFont="1" applyBorder="1"/>
    <xf numFmtId="170" fontId="9" fillId="0" borderId="0" xfId="1" applyNumberFormat="1" applyFont="1"/>
    <xf numFmtId="170" fontId="4" fillId="0" borderId="5" xfId="0" applyNumberFormat="1" applyFont="1" applyBorder="1"/>
    <xf numFmtId="170" fontId="4" fillId="0" borderId="5" xfId="0" applyNumberFormat="1" applyFont="1" applyBorder="1" applyAlignment="1">
      <alignment horizontal="center"/>
    </xf>
    <xf numFmtId="170" fontId="9" fillId="0" borderId="5" xfId="1" applyNumberFormat="1" applyFont="1" applyBorder="1"/>
    <xf numFmtId="170" fontId="9" fillId="0" borderId="5" xfId="1" applyNumberFormat="1" applyFont="1" applyBorder="1" applyAlignment="1">
      <alignment horizontal="center"/>
    </xf>
    <xf numFmtId="170" fontId="9" fillId="0" borderId="0" xfId="0" applyNumberFormat="1" applyFont="1"/>
    <xf numFmtId="170" fontId="9" fillId="0" borderId="0" xfId="0" applyNumberFormat="1" applyFont="1" applyAlignment="1">
      <alignment horizontal="center"/>
    </xf>
    <xf numFmtId="170" fontId="9" fillId="0" borderId="4" xfId="0" applyNumberFormat="1" applyFont="1" applyBorder="1"/>
    <xf numFmtId="170" fontId="9" fillId="0" borderId="4" xfId="0" applyNumberFormat="1" applyFont="1" applyBorder="1" applyAlignment="1">
      <alignment horizontal="center"/>
    </xf>
    <xf numFmtId="14" fontId="20" fillId="2" borderId="21" xfId="0" quotePrefix="1" applyNumberFormat="1" applyFont="1" applyFill="1" applyBorder="1" applyAlignment="1">
      <alignment horizontal="center"/>
    </xf>
    <xf numFmtId="0" fontId="4" fillId="0" borderId="29" xfId="0" applyFont="1" applyBorder="1"/>
    <xf numFmtId="170" fontId="9" fillId="0" borderId="29" xfId="0" applyNumberFormat="1" applyFont="1" applyBorder="1"/>
    <xf numFmtId="170" fontId="15" fillId="0" borderId="29" xfId="1" applyNumberFormat="1" applyFont="1" applyBorder="1" applyAlignment="1">
      <alignment horizontal="right" vertical="top"/>
    </xf>
    <xf numFmtId="10" fontId="9" fillId="0" borderId="29" xfId="0" applyNumberFormat="1" applyFont="1" applyBorder="1"/>
    <xf numFmtId="168" fontId="9" fillId="0" borderId="18" xfId="0" quotePrefix="1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68" fontId="9" fillId="0" borderId="1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69" fontId="7" fillId="0" borderId="0" xfId="1" applyNumberFormat="1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4" fontId="12" fillId="0" borderId="0" xfId="1" applyNumberFormat="1" applyFont="1"/>
    <xf numFmtId="164" fontId="15" fillId="0" borderId="0" xfId="1" applyNumberFormat="1" applyFont="1"/>
    <xf numFmtId="168" fontId="15" fillId="0" borderId="0" xfId="3" applyNumberFormat="1" applyFont="1"/>
    <xf numFmtId="0" fontId="7" fillId="2" borderId="29" xfId="0" applyFont="1" applyFill="1" applyBorder="1" applyAlignment="1">
      <alignment horizontal="center"/>
    </xf>
    <xf numFmtId="9" fontId="9" fillId="0" borderId="29" xfId="0" applyNumberFormat="1" applyFont="1" applyBorder="1" applyAlignment="1">
      <alignment horizontal="center"/>
    </xf>
    <xf numFmtId="168" fontId="9" fillId="0" borderId="29" xfId="0" applyNumberFormat="1" applyFont="1" applyBorder="1" applyAlignment="1">
      <alignment horizontal="center"/>
    </xf>
    <xf numFmtId="168" fontId="9" fillId="0" borderId="17" xfId="0" applyNumberFormat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9" fillId="0" borderId="29" xfId="0" applyNumberFormat="1" applyFont="1" applyBorder="1" applyAlignment="1">
      <alignment horizontal="center"/>
    </xf>
    <xf numFmtId="168" fontId="9" fillId="0" borderId="29" xfId="0" quotePrefix="1" applyNumberFormat="1" applyFont="1" applyBorder="1" applyAlignment="1">
      <alignment horizontal="center"/>
    </xf>
    <xf numFmtId="168" fontId="15" fillId="0" borderId="29" xfId="0" applyNumberFormat="1" applyFont="1" applyBorder="1" applyAlignment="1">
      <alignment horizontal="center"/>
    </xf>
    <xf numFmtId="168" fontId="9" fillId="0" borderId="29" xfId="3" applyNumberFormat="1" applyFont="1" applyBorder="1" applyAlignment="1">
      <alignment horizontal="center"/>
    </xf>
    <xf numFmtId="0" fontId="7" fillId="0" borderId="29" xfId="0" applyFont="1" applyBorder="1"/>
    <xf numFmtId="170" fontId="9" fillId="0" borderId="29" xfId="1" applyNumberFormat="1" applyFont="1" applyBorder="1"/>
    <xf numFmtId="168" fontId="15" fillId="0" borderId="29" xfId="3" applyNumberFormat="1" applyFont="1" applyBorder="1"/>
    <xf numFmtId="164" fontId="9" fillId="0" borderId="29" xfId="1" applyNumberFormat="1" applyFont="1" applyBorder="1"/>
    <xf numFmtId="164" fontId="12" fillId="0" borderId="29" xfId="1" applyNumberFormat="1" applyFont="1" applyBorder="1"/>
    <xf numFmtId="164" fontId="7" fillId="0" borderId="29" xfId="1" applyNumberFormat="1" applyFont="1" applyBorder="1"/>
    <xf numFmtId="164" fontId="0" fillId="0" borderId="29" xfId="1" applyNumberFormat="1" applyFont="1" applyBorder="1"/>
    <xf numFmtId="164" fontId="7" fillId="0" borderId="29" xfId="0" applyNumberFormat="1" applyFont="1" applyBorder="1"/>
    <xf numFmtId="164" fontId="7" fillId="0" borderId="2" xfId="1" applyNumberFormat="1" applyFont="1" applyBorder="1"/>
    <xf numFmtId="164" fontId="7" fillId="0" borderId="2" xfId="0" applyNumberFormat="1" applyFont="1" applyBorder="1"/>
    <xf numFmtId="164" fontId="0" fillId="0" borderId="6" xfId="1" applyNumberFormat="1" applyFont="1" applyBorder="1"/>
    <xf numFmtId="164" fontId="0" fillId="0" borderId="17" xfId="1" applyNumberFormat="1" applyFont="1" applyBorder="1"/>
    <xf numFmtId="14" fontId="26" fillId="2" borderId="7" xfId="0" quotePrefix="1" applyNumberFormat="1" applyFont="1" applyFill="1" applyBorder="1" applyAlignment="1">
      <alignment horizontal="center"/>
    </xf>
    <xf numFmtId="14" fontId="26" fillId="2" borderId="21" xfId="0" quotePrefix="1" applyNumberFormat="1" applyFont="1" applyFill="1" applyBorder="1" applyAlignment="1">
      <alignment horizontal="center"/>
    </xf>
    <xf numFmtId="0" fontId="19" fillId="0" borderId="30" xfId="0" applyFont="1" applyBorder="1" applyAlignment="1">
      <alignment horizontal="center"/>
    </xf>
    <xf numFmtId="164" fontId="7" fillId="0" borderId="11" xfId="0" applyNumberFormat="1" applyFont="1" applyBorder="1"/>
    <xf numFmtId="164" fontId="7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6" fontId="7" fillId="0" borderId="0" xfId="0" applyNumberFormat="1" applyFont="1" applyAlignment="1">
      <alignment horizontal="right"/>
    </xf>
    <xf numFmtId="164" fontId="0" fillId="0" borderId="0" xfId="0" quotePrefix="1" applyNumberFormat="1" applyAlignment="1">
      <alignment horizontal="right"/>
    </xf>
    <xf numFmtId="164" fontId="0" fillId="0" borderId="12" xfId="1" applyNumberFormat="1" applyFont="1" applyBorder="1"/>
    <xf numFmtId="164" fontId="0" fillId="0" borderId="33" xfId="1" applyNumberFormat="1" applyFont="1" applyBorder="1"/>
    <xf numFmtId="164" fontId="0" fillId="0" borderId="8" xfId="1" applyNumberFormat="1" applyFont="1" applyBorder="1"/>
    <xf numFmtId="164" fontId="0" fillId="0" borderId="19" xfId="1" applyNumberFormat="1" applyFont="1" applyBorder="1"/>
    <xf numFmtId="0" fontId="2" fillId="0" borderId="13" xfId="0" applyFont="1" applyBorder="1" applyAlignment="1">
      <alignment horizontal="right"/>
    </xf>
    <xf numFmtId="168" fontId="2" fillId="0" borderId="14" xfId="0" applyNumberFormat="1" applyFont="1" applyBorder="1"/>
    <xf numFmtId="0" fontId="14" fillId="3" borderId="2" xfId="0" applyFont="1" applyFill="1" applyBorder="1"/>
    <xf numFmtId="0" fontId="28" fillId="0" borderId="0" xfId="0" applyFont="1"/>
    <xf numFmtId="0" fontId="27" fillId="3" borderId="0" xfId="0" applyFont="1" applyFill="1"/>
    <xf numFmtId="0" fontId="22" fillId="3" borderId="0" xfId="0" applyFont="1" applyFill="1"/>
    <xf numFmtId="171" fontId="0" fillId="0" borderId="0" xfId="2" applyNumberFormat="1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9" fontId="0" fillId="0" borderId="0" xfId="0" applyNumberFormat="1"/>
    <xf numFmtId="0" fontId="27" fillId="3" borderId="0" xfId="0" applyFont="1" applyFill="1" applyAlignment="1">
      <alignment horizontal="centerContinuous"/>
    </xf>
    <xf numFmtId="0" fontId="2" fillId="4" borderId="1" xfId="0" applyFont="1" applyFill="1" applyBorder="1" applyAlignment="1">
      <alignment horizontal="center"/>
    </xf>
    <xf numFmtId="172" fontId="0" fillId="0" borderId="0" xfId="2" applyNumberFormat="1" applyFont="1"/>
    <xf numFmtId="170" fontId="0" fillId="0" borderId="4" xfId="1" applyNumberFormat="1" applyFont="1" applyBorder="1"/>
    <xf numFmtId="0" fontId="2" fillId="0" borderId="13" xfId="0" applyFont="1" applyBorder="1"/>
    <xf numFmtId="0" fontId="2" fillId="0" borderId="15" xfId="0" applyFont="1" applyBorder="1"/>
    <xf numFmtId="170" fontId="2" fillId="0" borderId="15" xfId="1" applyNumberFormat="1" applyFont="1" applyBorder="1"/>
    <xf numFmtId="170" fontId="2" fillId="0" borderId="14" xfId="1" applyNumberFormat="1" applyFont="1" applyBorder="1"/>
    <xf numFmtId="164" fontId="0" fillId="0" borderId="34" xfId="1" applyNumberFormat="1" applyFont="1" applyBorder="1"/>
    <xf numFmtId="0" fontId="2" fillId="0" borderId="35" xfId="0" applyFont="1" applyBorder="1"/>
    <xf numFmtId="0" fontId="2" fillId="0" borderId="36" xfId="0" applyFont="1" applyBorder="1"/>
    <xf numFmtId="44" fontId="2" fillId="0" borderId="36" xfId="2" applyFont="1" applyBorder="1"/>
    <xf numFmtId="44" fontId="2" fillId="0" borderId="37" xfId="2" applyFont="1" applyBorder="1"/>
    <xf numFmtId="0" fontId="2" fillId="0" borderId="38" xfId="0" applyFont="1" applyBorder="1"/>
    <xf numFmtId="0" fontId="2" fillId="0" borderId="7" xfId="0" applyFont="1" applyBorder="1"/>
    <xf numFmtId="44" fontId="2" fillId="0" borderId="7" xfId="2" applyFont="1" applyBorder="1"/>
    <xf numFmtId="44" fontId="2" fillId="0" borderId="39" xfId="2" applyFont="1" applyBorder="1"/>
    <xf numFmtId="0" fontId="2" fillId="4" borderId="35" xfId="0" applyFont="1" applyFill="1" applyBorder="1"/>
    <xf numFmtId="0" fontId="2" fillId="4" borderId="36" xfId="0" applyFont="1" applyFill="1" applyBorder="1"/>
    <xf numFmtId="44" fontId="2" fillId="4" borderId="36" xfId="0" applyNumberFormat="1" applyFont="1" applyFill="1" applyBorder="1"/>
    <xf numFmtId="44" fontId="2" fillId="4" borderId="36" xfId="2" applyFont="1" applyFill="1" applyBorder="1"/>
    <xf numFmtId="44" fontId="2" fillId="4" borderId="37" xfId="2" applyFont="1" applyFill="1" applyBorder="1"/>
    <xf numFmtId="0" fontId="2" fillId="4" borderId="40" xfId="0" applyFont="1" applyFill="1" applyBorder="1"/>
    <xf numFmtId="0" fontId="2" fillId="4" borderId="0" xfId="0" applyFont="1" applyFill="1"/>
    <xf numFmtId="168" fontId="2" fillId="4" borderId="0" xfId="3" applyNumberFormat="1" applyFont="1" applyFill="1"/>
    <xf numFmtId="168" fontId="2" fillId="4" borderId="41" xfId="3" applyNumberFormat="1" applyFont="1" applyFill="1" applyBorder="1"/>
    <xf numFmtId="0" fontId="2" fillId="4" borderId="0" xfId="0" applyFont="1" applyFill="1" applyAlignment="1">
      <alignment horizontal="right"/>
    </xf>
    <xf numFmtId="0" fontId="2" fillId="4" borderId="41" xfId="0" applyFont="1" applyFill="1" applyBorder="1" applyAlignment="1">
      <alignment horizontal="right"/>
    </xf>
    <xf numFmtId="0" fontId="2" fillId="4" borderId="38" xfId="0" applyFont="1" applyFill="1" applyBorder="1"/>
    <xf numFmtId="0" fontId="2" fillId="4" borderId="7" xfId="0" applyFont="1" applyFill="1" applyBorder="1"/>
    <xf numFmtId="170" fontId="2" fillId="4" borderId="7" xfId="1" applyNumberFormat="1" applyFont="1" applyFill="1" applyBorder="1"/>
    <xf numFmtId="170" fontId="2" fillId="4" borderId="39" xfId="1" applyNumberFormat="1" applyFont="1" applyFill="1" applyBorder="1"/>
    <xf numFmtId="0" fontId="29" fillId="0" borderId="0" xfId="0" applyFont="1"/>
    <xf numFmtId="0" fontId="1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0" fillId="0" borderId="42" xfId="0" applyFont="1" applyBorder="1" applyAlignment="1">
      <alignment horizontal="center" vertical="center"/>
    </xf>
    <xf numFmtId="0" fontId="30" fillId="0" borderId="42" xfId="0" quotePrefix="1" applyFont="1" applyBorder="1" applyAlignment="1">
      <alignment horizontal="center" vertical="center"/>
    </xf>
    <xf numFmtId="0" fontId="7" fillId="2" borderId="43" xfId="0" applyFont="1" applyFill="1" applyBorder="1"/>
    <xf numFmtId="0" fontId="7" fillId="2" borderId="44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 wrapText="1"/>
    </xf>
    <xf numFmtId="0" fontId="7" fillId="2" borderId="45" xfId="0" applyFont="1" applyFill="1" applyBorder="1" applyAlignment="1">
      <alignment horizontal="center" wrapText="1"/>
    </xf>
    <xf numFmtId="0" fontId="7" fillId="2" borderId="46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8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center"/>
    </xf>
    <xf numFmtId="164" fontId="15" fillId="0" borderId="48" xfId="1" applyNumberFormat="1" applyFont="1" applyBorder="1"/>
    <xf numFmtId="164" fontId="16" fillId="5" borderId="3" xfId="1" applyNumberFormat="1" applyFont="1" applyFill="1" applyBorder="1"/>
    <xf numFmtId="167" fontId="16" fillId="5" borderId="3" xfId="1" applyNumberFormat="1" applyFont="1" applyFill="1" applyBorder="1"/>
    <xf numFmtId="0" fontId="8" fillId="0" borderId="50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center"/>
    </xf>
    <xf numFmtId="44" fontId="15" fillId="0" borderId="42" xfId="2" applyFont="1" applyBorder="1" applyAlignment="1">
      <alignment horizontal="center"/>
    </xf>
    <xf numFmtId="0" fontId="8" fillId="0" borderId="43" xfId="0" applyFont="1" applyBorder="1" applyAlignment="1">
      <alignment horizontal="left" vertical="center" wrapText="1"/>
    </xf>
    <xf numFmtId="44" fontId="15" fillId="0" borderId="44" xfId="2" applyFont="1" applyBorder="1" applyAlignment="1">
      <alignment horizontal="center"/>
    </xf>
    <xf numFmtId="164" fontId="15" fillId="0" borderId="44" xfId="1" applyNumberFormat="1" applyFont="1" applyBorder="1"/>
    <xf numFmtId="164" fontId="15" fillId="0" borderId="45" xfId="1" applyNumberFormat="1" applyFont="1" applyBorder="1"/>
    <xf numFmtId="164" fontId="15" fillId="0" borderId="46" xfId="1" applyNumberFormat="1" applyFont="1" applyBorder="1"/>
    <xf numFmtId="164" fontId="16" fillId="5" borderId="9" xfId="1" applyNumberFormat="1" applyFont="1" applyFill="1" applyBorder="1"/>
    <xf numFmtId="167" fontId="16" fillId="5" borderId="9" xfId="1" applyNumberFormat="1" applyFont="1" applyFill="1" applyBorder="1"/>
    <xf numFmtId="167" fontId="15" fillId="0" borderId="0" xfId="0" applyNumberFormat="1" applyFont="1"/>
    <xf numFmtId="167" fontId="16" fillId="0" borderId="0" xfId="0" applyNumberFormat="1" applyFont="1"/>
    <xf numFmtId="0" fontId="15" fillId="0" borderId="0" xfId="0" applyFont="1"/>
    <xf numFmtId="0" fontId="31" fillId="2" borderId="0" xfId="0" applyFont="1" applyFill="1" applyAlignment="1">
      <alignment horizontal="left" vertical="center" wrapText="1"/>
    </xf>
    <xf numFmtId="164" fontId="15" fillId="0" borderId="12" xfId="1" applyNumberFormat="1" applyFont="1" applyBorder="1"/>
    <xf numFmtId="164" fontId="15" fillId="0" borderId="49" xfId="1" applyNumberFormat="1" applyFont="1" applyBorder="1"/>
    <xf numFmtId="167" fontId="16" fillId="5" borderId="3" xfId="1" applyNumberFormat="1" applyFont="1" applyFill="1" applyBorder="1" applyAlignment="1">
      <alignment horizontal="center"/>
    </xf>
    <xf numFmtId="164" fontId="15" fillId="0" borderId="42" xfId="1" applyNumberFormat="1" applyFont="1" applyBorder="1"/>
    <xf numFmtId="164" fontId="15" fillId="0" borderId="51" xfId="1" applyNumberFormat="1" applyFont="1" applyBorder="1"/>
    <xf numFmtId="164" fontId="15" fillId="0" borderId="52" xfId="1" applyNumberFormat="1" applyFont="1" applyBorder="1"/>
    <xf numFmtId="167" fontId="16" fillId="5" borderId="9" xfId="1" applyNumberFormat="1" applyFont="1" applyFill="1" applyBorder="1" applyAlignment="1">
      <alignment horizontal="center"/>
    </xf>
    <xf numFmtId="164" fontId="4" fillId="0" borderId="0" xfId="1" applyNumberFormat="1" applyFont="1"/>
    <xf numFmtId="164" fontId="4" fillId="0" borderId="0" xfId="0" applyNumberFormat="1" applyFont="1"/>
    <xf numFmtId="167" fontId="4" fillId="0" borderId="0" xfId="0" applyNumberFormat="1" applyFont="1"/>
    <xf numFmtId="0" fontId="4" fillId="0" borderId="0" xfId="0" applyFont="1" applyAlignment="1">
      <alignment horizontal="right"/>
    </xf>
    <xf numFmtId="44" fontId="16" fillId="6" borderId="48" xfId="2" applyFont="1" applyFill="1" applyBorder="1"/>
    <xf numFmtId="44" fontId="16" fillId="6" borderId="42" xfId="2" applyFont="1" applyFill="1" applyBorder="1"/>
    <xf numFmtId="0" fontId="6" fillId="0" borderId="0" xfId="0" applyFont="1"/>
    <xf numFmtId="44" fontId="16" fillId="0" borderId="44" xfId="2" applyFont="1" applyBorder="1" applyAlignment="1">
      <alignment horizontal="right"/>
    </xf>
    <xf numFmtId="44" fontId="7" fillId="2" borderId="8" xfId="2" applyFont="1" applyFill="1" applyBorder="1"/>
    <xf numFmtId="0" fontId="31" fillId="6" borderId="0" xfId="0" applyFont="1" applyFill="1" applyAlignment="1">
      <alignment horizontal="left" vertical="center" wrapText="1"/>
    </xf>
    <xf numFmtId="164" fontId="7" fillId="6" borderId="0" xfId="0" applyNumberFormat="1" applyFont="1" applyFill="1"/>
    <xf numFmtId="164" fontId="7" fillId="6" borderId="8" xfId="0" applyNumberFormat="1" applyFont="1" applyFill="1" applyBorder="1"/>
    <xf numFmtId="173" fontId="7" fillId="6" borderId="8" xfId="3" applyNumberFormat="1" applyFont="1" applyFill="1" applyBorder="1"/>
    <xf numFmtId="0" fontId="0" fillId="3" borderId="0" xfId="0" applyFill="1"/>
    <xf numFmtId="0" fontId="0" fillId="0" borderId="0" xfId="0" applyAlignment="1">
      <alignment horizontal="left"/>
    </xf>
    <xf numFmtId="0" fontId="7" fillId="5" borderId="46" xfId="0" applyFont="1" applyFill="1" applyBorder="1" applyAlignment="1">
      <alignment horizontal="center" wrapText="1"/>
    </xf>
    <xf numFmtId="0" fontId="15" fillId="0" borderId="48" xfId="0" applyFont="1" applyBorder="1" applyAlignment="1">
      <alignment horizontal="left" vertical="center" wrapText="1"/>
    </xf>
    <xf numFmtId="44" fontId="15" fillId="0" borderId="48" xfId="2" applyFont="1" applyBorder="1" applyAlignment="1">
      <alignment vertical="center"/>
    </xf>
    <xf numFmtId="164" fontId="15" fillId="0" borderId="48" xfId="1" applyNumberFormat="1" applyFont="1" applyBorder="1" applyAlignment="1">
      <alignment vertical="center"/>
    </xf>
    <xf numFmtId="171" fontId="15" fillId="0" borderId="48" xfId="0" applyNumberFormat="1" applyFont="1" applyBorder="1" applyAlignment="1">
      <alignment vertical="center"/>
    </xf>
    <xf numFmtId="171" fontId="15" fillId="0" borderId="48" xfId="2" applyNumberFormat="1" applyFont="1" applyBorder="1" applyAlignment="1">
      <alignment vertical="center"/>
    </xf>
    <xf numFmtId="167" fontId="15" fillId="0" borderId="49" xfId="0" applyNumberFormat="1" applyFont="1" applyBorder="1" applyAlignment="1">
      <alignment vertical="center"/>
    </xf>
    <xf numFmtId="0" fontId="15" fillId="0" borderId="48" xfId="0" applyFont="1" applyBorder="1"/>
    <xf numFmtId="14" fontId="15" fillId="0" borderId="17" xfId="0" applyNumberFormat="1" applyFont="1" applyBorder="1" applyAlignment="1">
      <alignment horizontal="left"/>
    </xf>
    <xf numFmtId="0" fontId="15" fillId="0" borderId="53" xfId="0" applyFont="1" applyBorder="1"/>
    <xf numFmtId="167" fontId="7" fillId="0" borderId="0" xfId="0" applyNumberFormat="1" applyFont="1"/>
    <xf numFmtId="0" fontId="7" fillId="0" borderId="0" xfId="0" applyFont="1" applyAlignment="1">
      <alignment horizontal="right"/>
    </xf>
    <xf numFmtId="168" fontId="7" fillId="6" borderId="8" xfId="3" applyNumberFormat="1" applyFont="1" applyFill="1" applyBorder="1"/>
    <xf numFmtId="172" fontId="0" fillId="0" borderId="0" xfId="1" applyNumberFormat="1" applyFont="1"/>
    <xf numFmtId="172" fontId="0" fillId="0" borderId="0" xfId="0" applyNumberFormat="1"/>
    <xf numFmtId="172" fontId="2" fillId="0" borderId="34" xfId="1" applyNumberFormat="1" applyFont="1" applyBorder="1"/>
    <xf numFmtId="164" fontId="2" fillId="0" borderId="0" xfId="1" applyNumberFormat="1" applyFont="1"/>
    <xf numFmtId="164" fontId="0" fillId="0" borderId="8" xfId="0" applyNumberFormat="1" applyBorder="1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left"/>
    </xf>
    <xf numFmtId="164" fontId="7" fillId="2" borderId="7" xfId="1" applyNumberFormat="1" applyFont="1" applyFill="1" applyBorder="1" applyAlignment="1">
      <alignment horizontal="left"/>
    </xf>
    <xf numFmtId="164" fontId="9" fillId="0" borderId="34" xfId="1" applyNumberFormat="1" applyFont="1" applyBorder="1"/>
    <xf numFmtId="9" fontId="9" fillId="0" borderId="0" xfId="3" applyFont="1" applyAlignment="1">
      <alignment horizontal="right"/>
    </xf>
    <xf numFmtId="9" fontId="9" fillId="0" borderId="0" xfId="0" applyNumberFormat="1" applyFont="1"/>
    <xf numFmtId="171" fontId="9" fillId="0" borderId="0" xfId="2" applyNumberFormat="1" applyFont="1" applyAlignment="1">
      <alignment horizontal="center"/>
    </xf>
    <xf numFmtId="44" fontId="4" fillId="0" borderId="0" xfId="2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6" fillId="4" borderId="51" xfId="0" applyFont="1" applyFill="1" applyBorder="1"/>
    <xf numFmtId="44" fontId="6" fillId="4" borderId="4" xfId="0" applyNumberFormat="1" applyFont="1" applyFill="1" applyBorder="1" applyAlignment="1">
      <alignment horizontal="center"/>
    </xf>
    <xf numFmtId="0" fontId="6" fillId="4" borderId="54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4" fontId="2" fillId="0" borderId="2" xfId="1" applyNumberFormat="1" applyFont="1" applyBorder="1"/>
    <xf numFmtId="164" fontId="2" fillId="0" borderId="4" xfId="1" applyNumberFormat="1" applyFont="1" applyBorder="1"/>
    <xf numFmtId="164" fontId="2" fillId="0" borderId="55" xfId="1" applyNumberFormat="1" applyFont="1" applyBorder="1"/>
    <xf numFmtId="0" fontId="32" fillId="0" borderId="0" xfId="0" applyFont="1"/>
    <xf numFmtId="165" fontId="2" fillId="0" borderId="0" xfId="0" applyNumberFormat="1" applyFont="1"/>
    <xf numFmtId="9" fontId="2" fillId="0" borderId="0" xfId="0" applyNumberFormat="1" applyFont="1"/>
    <xf numFmtId="164" fontId="0" fillId="0" borderId="1" xfId="0" applyNumberFormat="1" applyBorder="1"/>
    <xf numFmtId="41" fontId="0" fillId="0" borderId="0" xfId="0" applyNumberFormat="1"/>
    <xf numFmtId="164" fontId="2" fillId="0" borderId="5" xfId="0" applyNumberFormat="1" applyFont="1" applyBorder="1"/>
    <xf numFmtId="0" fontId="0" fillId="0" borderId="6" xfId="0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165" fontId="4" fillId="0" borderId="0" xfId="0" applyNumberFormat="1" applyFont="1"/>
    <xf numFmtId="168" fontId="4" fillId="0" borderId="0" xfId="3" applyNumberFormat="1" applyFont="1" applyAlignment="1">
      <alignment horizontal="center"/>
    </xf>
    <xf numFmtId="164" fontId="4" fillId="0" borderId="1" xfId="0" applyNumberFormat="1" applyFont="1" applyBorder="1"/>
    <xf numFmtId="168" fontId="0" fillId="0" borderId="1" xfId="3" applyNumberFormat="1" applyFont="1" applyBorder="1" applyAlignment="1">
      <alignment horizontal="center"/>
    </xf>
    <xf numFmtId="168" fontId="4" fillId="0" borderId="1" xfId="3" applyNumberFormat="1" applyFont="1" applyBorder="1" applyAlignment="1">
      <alignment horizontal="center"/>
    </xf>
    <xf numFmtId="168" fontId="33" fillId="0" borderId="0" xfId="3" applyNumberFormat="1" applyFont="1" applyAlignment="1">
      <alignment horizontal="center"/>
    </xf>
    <xf numFmtId="168" fontId="34" fillId="0" borderId="1" xfId="3" applyNumberFormat="1" applyFont="1" applyBorder="1" applyAlignment="1">
      <alignment horizontal="center"/>
    </xf>
    <xf numFmtId="164" fontId="4" fillId="0" borderId="8" xfId="0" applyNumberFormat="1" applyFont="1" applyBorder="1"/>
    <xf numFmtId="168" fontId="0" fillId="0" borderId="8" xfId="3" applyNumberFormat="1" applyFont="1" applyBorder="1" applyAlignment="1">
      <alignment horizontal="center"/>
    </xf>
    <xf numFmtId="168" fontId="4" fillId="0" borderId="0" xfId="3" applyNumberFormat="1" applyFont="1"/>
    <xf numFmtId="168" fontId="2" fillId="0" borderId="8" xfId="0" applyNumberFormat="1" applyFont="1" applyBorder="1" applyAlignment="1">
      <alignment horizontal="center"/>
    </xf>
    <xf numFmtId="9" fontId="0" fillId="0" borderId="0" xfId="0" applyNumberForma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left"/>
    </xf>
    <xf numFmtId="0" fontId="2" fillId="0" borderId="34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8" fontId="2" fillId="0" borderId="0" xfId="3" applyNumberFormat="1" applyFont="1"/>
    <xf numFmtId="168" fontId="2" fillId="0" borderId="0" xfId="0" applyNumberFormat="1" applyFont="1"/>
    <xf numFmtId="0" fontId="7" fillId="2" borderId="18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164" fontId="0" fillId="0" borderId="18" xfId="1" applyNumberFormat="1" applyFont="1" applyBorder="1"/>
    <xf numFmtId="164" fontId="0" fillId="0" borderId="48" xfId="1" applyNumberFormat="1" applyFont="1" applyBorder="1"/>
    <xf numFmtId="164" fontId="2" fillId="0" borderId="18" xfId="1" applyNumberFormat="1" applyFont="1" applyBorder="1"/>
    <xf numFmtId="164" fontId="2" fillId="0" borderId="42" xfId="1" applyNumberFormat="1" applyFont="1" applyBorder="1"/>
    <xf numFmtId="0" fontId="0" fillId="0" borderId="18" xfId="0" applyBorder="1"/>
    <xf numFmtId="164" fontId="0" fillId="0" borderId="18" xfId="0" applyNumberFormat="1" applyBorder="1"/>
    <xf numFmtId="164" fontId="0" fillId="0" borderId="48" xfId="0" applyNumberFormat="1" applyBorder="1"/>
    <xf numFmtId="0" fontId="0" fillId="0" borderId="16" xfId="0" applyBorder="1"/>
    <xf numFmtId="10" fontId="0" fillId="0" borderId="0" xfId="3" applyNumberFormat="1" applyFont="1"/>
    <xf numFmtId="0" fontId="22" fillId="0" borderId="0" xfId="0" applyFont="1"/>
    <xf numFmtId="10" fontId="7" fillId="0" borderId="0" xfId="0" applyNumberFormat="1" applyFont="1"/>
    <xf numFmtId="170" fontId="0" fillId="0" borderId="8" xfId="0" applyNumberFormat="1" applyBorder="1"/>
    <xf numFmtId="170" fontId="0" fillId="0" borderId="0" xfId="0" applyNumberFormat="1"/>
    <xf numFmtId="174" fontId="7" fillId="0" borderId="0" xfId="0" applyNumberFormat="1" applyFont="1"/>
    <xf numFmtId="0" fontId="35" fillId="0" borderId="0" xfId="0" applyFont="1"/>
    <xf numFmtId="174" fontId="0" fillId="0" borderId="0" xfId="0" applyNumberFormat="1"/>
    <xf numFmtId="10" fontId="33" fillId="0" borderId="0" xfId="0" applyNumberFormat="1" applyFont="1"/>
    <xf numFmtId="170" fontId="0" fillId="0" borderId="0" xfId="1" applyNumberFormat="1" applyFont="1" applyAlignment="1">
      <alignment horizontal="center"/>
    </xf>
    <xf numFmtId="170" fontId="0" fillId="0" borderId="1" xfId="1" applyNumberFormat="1" applyFont="1" applyBorder="1" applyAlignment="1">
      <alignment horizontal="center"/>
    </xf>
    <xf numFmtId="170" fontId="7" fillId="0" borderId="1" xfId="1" applyNumberFormat="1" applyFont="1" applyBorder="1" applyAlignment="1">
      <alignment horizontal="center"/>
    </xf>
    <xf numFmtId="170" fontId="0" fillId="0" borderId="8" xfId="0" applyNumberFormat="1" applyBorder="1" applyAlignment="1">
      <alignment horizontal="center"/>
    </xf>
    <xf numFmtId="170" fontId="0" fillId="0" borderId="0" xfId="0" applyNumberFormat="1" applyAlignment="1">
      <alignment horizontal="center"/>
    </xf>
    <xf numFmtId="170" fontId="7" fillId="0" borderId="8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70" fontId="4" fillId="0" borderId="8" xfId="0" applyNumberFormat="1" applyFont="1" applyBorder="1"/>
    <xf numFmtId="170" fontId="4" fillId="0" borderId="0" xfId="1" applyNumberFormat="1" applyFont="1"/>
    <xf numFmtId="170" fontId="4" fillId="0" borderId="0" xfId="0" applyNumberFormat="1" applyFont="1"/>
    <xf numFmtId="170" fontId="4" fillId="0" borderId="1" xfId="0" applyNumberFormat="1" applyFont="1" applyBorder="1"/>
    <xf numFmtId="0" fontId="18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8" fillId="3" borderId="0" xfId="0" applyFont="1" applyFill="1" applyAlignment="1">
      <alignment horizontal="left"/>
    </xf>
    <xf numFmtId="0" fontId="7" fillId="7" borderId="13" xfId="0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4" xfId="0" applyFont="1" applyFill="1" applyBorder="1" applyAlignment="1">
      <alignment vertical="center"/>
    </xf>
    <xf numFmtId="0" fontId="7" fillId="7" borderId="13" xfId="0" applyFont="1" applyFill="1" applyBorder="1" applyAlignment="1">
      <alignment horizontal="right" vertical="center"/>
    </xf>
    <xf numFmtId="176" fontId="7" fillId="7" borderId="14" xfId="0" applyNumberFormat="1" applyFont="1" applyFill="1" applyBorder="1" applyAlignment="1">
      <alignment vertical="center"/>
    </xf>
    <xf numFmtId="175" fontId="0" fillId="0" borderId="0" xfId="0" applyNumberFormat="1"/>
    <xf numFmtId="175" fontId="0" fillId="0" borderId="0" xfId="0" quotePrefix="1" applyNumberFormat="1"/>
    <xf numFmtId="175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168" fontId="6" fillId="4" borderId="9" xfId="0" applyNumberFormat="1" applyFont="1" applyFill="1" applyBorder="1" applyAlignment="1">
      <alignment horizontal="center"/>
    </xf>
    <xf numFmtId="0" fontId="36" fillId="0" borderId="0" xfId="0" applyFont="1"/>
    <xf numFmtId="0" fontId="37" fillId="0" borderId="0" xfId="0" applyFont="1"/>
    <xf numFmtId="10" fontId="7" fillId="0" borderId="38" xfId="0" applyNumberFormat="1" applyFont="1" applyBorder="1" applyAlignment="1">
      <alignment horizontal="center"/>
    </xf>
    <xf numFmtId="164" fontId="0" fillId="0" borderId="19" xfId="0" applyNumberFormat="1" applyBorder="1"/>
    <xf numFmtId="0" fontId="7" fillId="7" borderId="35" xfId="0" applyFont="1" applyFill="1" applyBorder="1"/>
    <xf numFmtId="0" fontId="7" fillId="7" borderId="59" xfId="0" applyFont="1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7" fillId="7" borderId="38" xfId="0" applyFont="1" applyFill="1" applyBorder="1"/>
    <xf numFmtId="0" fontId="7" fillId="7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164" fontId="7" fillId="2" borderId="34" xfId="0" applyNumberFormat="1" applyFont="1" applyFill="1" applyBorder="1"/>
    <xf numFmtId="164" fontId="7" fillId="0" borderId="34" xfId="0" applyNumberFormat="1" applyFont="1" applyBorder="1"/>
    <xf numFmtId="164" fontId="7" fillId="2" borderId="57" xfId="0" applyNumberFormat="1" applyFont="1" applyFill="1" applyBorder="1"/>
    <xf numFmtId="164" fontId="7" fillId="0" borderId="19" xfId="0" applyNumberFormat="1" applyFont="1" applyBorder="1"/>
    <xf numFmtId="0" fontId="7" fillId="2" borderId="24" xfId="0" applyFont="1" applyFill="1" applyBorder="1" applyAlignment="1">
      <alignment horizontal="center"/>
    </xf>
    <xf numFmtId="165" fontId="7" fillId="2" borderId="59" xfId="0" applyNumberFormat="1" applyFont="1" applyFill="1" applyBorder="1" applyAlignment="1">
      <alignment horizontal="center"/>
    </xf>
    <xf numFmtId="10" fontId="7" fillId="2" borderId="6" xfId="0" applyNumberFormat="1" applyFont="1" applyFill="1" applyBorder="1" applyAlignment="1">
      <alignment horizontal="center"/>
    </xf>
    <xf numFmtId="164" fontId="7" fillId="2" borderId="19" xfId="1" applyNumberFormat="1" applyFont="1" applyFill="1" applyBorder="1"/>
    <xf numFmtId="164" fontId="0" fillId="0" borderId="60" xfId="0" applyNumberFormat="1" applyBorder="1"/>
    <xf numFmtId="164" fontId="7" fillId="2" borderId="19" xfId="0" applyNumberFormat="1" applyFont="1" applyFill="1" applyBorder="1"/>
    <xf numFmtId="164" fontId="7" fillId="2" borderId="8" xfId="0" applyNumberFormat="1" applyFont="1" applyFill="1" applyBorder="1"/>
    <xf numFmtId="10" fontId="7" fillId="0" borderId="0" xfId="3" applyNumberFormat="1" applyFont="1"/>
    <xf numFmtId="177" fontId="38" fillId="0" borderId="4" xfId="1" applyNumberFormat="1" applyFont="1" applyBorder="1" applyAlignment="1">
      <alignment horizontal="center"/>
    </xf>
    <xf numFmtId="169" fontId="7" fillId="0" borderId="58" xfId="1" applyNumberFormat="1" applyFont="1" applyBorder="1" applyAlignment="1">
      <alignment horizontal="right" vertical="center"/>
    </xf>
    <xf numFmtId="169" fontId="7" fillId="0" borderId="1" xfId="1" applyNumberFormat="1" applyFont="1" applyBorder="1" applyAlignment="1">
      <alignment horizontal="right" vertical="center"/>
    </xf>
    <xf numFmtId="168" fontId="9" fillId="0" borderId="0" xfId="0" applyNumberFormat="1" applyFont="1"/>
    <xf numFmtId="0" fontId="4" fillId="0" borderId="2" xfId="0" applyFont="1" applyBorder="1"/>
    <xf numFmtId="0" fontId="4" fillId="0" borderId="2" xfId="0" quotePrefix="1" applyFont="1" applyBorder="1"/>
    <xf numFmtId="168" fontId="4" fillId="0" borderId="51" xfId="3" applyNumberFormat="1" applyFont="1" applyBorder="1"/>
    <xf numFmtId="164" fontId="4" fillId="0" borderId="56" xfId="0" applyNumberFormat="1" applyFont="1" applyBorder="1"/>
    <xf numFmtId="44" fontId="15" fillId="8" borderId="48" xfId="2" applyFont="1" applyFill="1" applyBorder="1"/>
    <xf numFmtId="164" fontId="17" fillId="0" borderId="48" xfId="1" applyNumberFormat="1" applyFont="1" applyBorder="1"/>
    <xf numFmtId="164" fontId="17" fillId="0" borderId="12" xfId="1" applyNumberFormat="1" applyFont="1" applyBorder="1"/>
    <xf numFmtId="164" fontId="17" fillId="0" borderId="49" xfId="1" applyNumberFormat="1" applyFont="1" applyBorder="1"/>
    <xf numFmtId="167" fontId="39" fillId="5" borderId="3" xfId="1" applyNumberFormat="1" applyFont="1" applyFill="1" applyBorder="1" applyAlignment="1">
      <alignment horizontal="center"/>
    </xf>
    <xf numFmtId="44" fontId="15" fillId="8" borderId="42" xfId="2" applyFont="1" applyFill="1" applyBorder="1"/>
    <xf numFmtId="164" fontId="17" fillId="0" borderId="42" xfId="1" applyNumberFormat="1" applyFont="1" applyBorder="1"/>
    <xf numFmtId="164" fontId="17" fillId="0" borderId="51" xfId="1" applyNumberFormat="1" applyFont="1" applyBorder="1"/>
    <xf numFmtId="164" fontId="17" fillId="0" borderId="52" xfId="1" applyNumberFormat="1" applyFont="1" applyBorder="1"/>
    <xf numFmtId="44" fontId="15" fillId="0" borderId="48" xfId="2" applyFont="1" applyBorder="1"/>
    <xf numFmtId="171" fontId="15" fillId="0" borderId="48" xfId="2" applyNumberFormat="1" applyFont="1" applyBorder="1"/>
    <xf numFmtId="171" fontId="15" fillId="0" borderId="48" xfId="0" applyNumberFormat="1" applyFont="1" applyBorder="1"/>
    <xf numFmtId="167" fontId="15" fillId="0" borderId="49" xfId="0" applyNumberFormat="1" applyFont="1" applyBorder="1"/>
    <xf numFmtId="0" fontId="15" fillId="0" borderId="42" xfId="0" applyFont="1" applyBorder="1"/>
    <xf numFmtId="44" fontId="15" fillId="0" borderId="42" xfId="2" applyFont="1" applyBorder="1"/>
    <xf numFmtId="171" fontId="15" fillId="0" borderId="42" xfId="0" applyNumberFormat="1" applyFont="1" applyBorder="1"/>
    <xf numFmtId="171" fontId="15" fillId="0" borderId="42" xfId="2" applyNumberFormat="1" applyFont="1" applyBorder="1"/>
    <xf numFmtId="167" fontId="15" fillId="0" borderId="52" xfId="0" applyNumberFormat="1" applyFont="1" applyBorder="1"/>
    <xf numFmtId="44" fontId="15" fillId="0" borderId="53" xfId="2" applyFont="1" applyBorder="1"/>
    <xf numFmtId="164" fontId="15" fillId="0" borderId="53" xfId="1" applyNumberFormat="1" applyFont="1" applyBorder="1"/>
    <xf numFmtId="171" fontId="15" fillId="0" borderId="53" xfId="0" applyNumberFormat="1" applyFont="1" applyBorder="1"/>
    <xf numFmtId="171" fontId="15" fillId="0" borderId="53" xfId="2" applyNumberFormat="1" applyFont="1" applyBorder="1"/>
    <xf numFmtId="167" fontId="15" fillId="0" borderId="61" xfId="0" applyNumberFormat="1" applyFont="1" applyBorder="1"/>
    <xf numFmtId="164" fontId="2" fillId="4" borderId="5" xfId="0" applyNumberFormat="1" applyFont="1" applyFill="1" applyBorder="1"/>
    <xf numFmtId="0" fontId="40" fillId="0" borderId="42" xfId="0" applyFont="1" applyBorder="1" applyAlignment="1">
      <alignment horizontal="center" vertical="center"/>
    </xf>
    <xf numFmtId="0" fontId="40" fillId="0" borderId="42" xfId="0" quotePrefix="1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47" xfId="0" applyFont="1" applyBorder="1"/>
    <xf numFmtId="14" fontId="15" fillId="0" borderId="47" xfId="0" applyNumberFormat="1" applyFont="1" applyBorder="1" applyAlignment="1">
      <alignment horizontal="left"/>
    </xf>
    <xf numFmtId="0" fontId="15" fillId="0" borderId="50" xfId="0" applyFont="1" applyBorder="1"/>
    <xf numFmtId="0" fontId="15" fillId="0" borderId="62" xfId="0" applyFont="1" applyBorder="1"/>
    <xf numFmtId="171" fontId="15" fillId="0" borderId="53" xfId="0" applyNumberFormat="1" applyFont="1" applyBorder="1" applyAlignment="1">
      <alignment vertical="center"/>
    </xf>
    <xf numFmtId="0" fontId="31" fillId="6" borderId="0" xfId="0" applyFont="1" applyFill="1" applyAlignment="1">
      <alignment vertical="center"/>
    </xf>
    <xf numFmtId="0" fontId="0" fillId="0" borderId="4" xfId="0" applyBorder="1"/>
    <xf numFmtId="178" fontId="0" fillId="0" borderId="1" xfId="0" applyNumberFormat="1" applyBorder="1"/>
    <xf numFmtId="178" fontId="0" fillId="0" borderId="0" xfId="0" applyNumberFormat="1"/>
    <xf numFmtId="178" fontId="7" fillId="0" borderId="8" xfId="0" applyNumberFormat="1" applyFont="1" applyBorder="1"/>
    <xf numFmtId="44" fontId="0" fillId="4" borderId="9" xfId="2" applyFont="1" applyFill="1" applyBorder="1"/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178" fontId="2" fillId="4" borderId="8" xfId="0" applyNumberFormat="1" applyFont="1" applyFill="1" applyBorder="1"/>
    <xf numFmtId="164" fontId="7" fillId="4" borderId="9" xfId="0" applyNumberFormat="1" applyFont="1" applyFill="1" applyBorder="1"/>
    <xf numFmtId="0" fontId="2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0" fillId="0" borderId="0" xfId="0" quotePrefix="1" applyAlignment="1">
      <alignment horizontal="left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Free</a:t>
            </a:r>
            <a:r>
              <a:rPr lang="en-US" b="1" baseline="0"/>
              <a:t> Cash Flow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'Fig. 9.12'!$Q$22:$Q$27</c:f>
              <c:strCache>
                <c:ptCount val="6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</c:strCache>
            </c:strRef>
          </c:cat>
          <c:val>
            <c:numRef>
              <c:f>'Fig. 9.12'!$R$22:$R$27</c:f>
              <c:numCache>
                <c:formatCode>_(* #,##0.0_);_(* \(#,##0.0\);_(* "-"??_);_(@_)</c:formatCode>
                <c:ptCount val="6"/>
                <c:pt idx="0" formatCode="General">
                  <c:v>0</c:v>
                </c:pt>
                <c:pt idx="1">
                  <c:v>-34.5</c:v>
                </c:pt>
                <c:pt idx="2">
                  <c:v>-13.315</c:v>
                </c:pt>
                <c:pt idx="3">
                  <c:v>7.9464000000000041</c:v>
                </c:pt>
                <c:pt idx="4">
                  <c:v>16.085599999999999</c:v>
                </c:pt>
                <c:pt idx="5">
                  <c:v>23.055999999999994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71-4C42-A93C-202A845E3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338944"/>
        <c:axId val="312332712"/>
      </c:lineChart>
      <c:catAx>
        <c:axId val="31233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332712"/>
        <c:crosses val="autoZero"/>
        <c:auto val="1"/>
        <c:lblAlgn val="ctr"/>
        <c:lblOffset val="100"/>
        <c:noMultiLvlLbl val="0"/>
      </c:catAx>
      <c:valAx>
        <c:axId val="31233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33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461010</xdr:colOff>
      <xdr:row>24</xdr:row>
      <xdr:rowOff>83820</xdr:rowOff>
    </xdr:from>
    <xdr:to>
      <xdr:col>13</xdr:col>
      <xdr:colOff>461010</xdr:colOff>
      <xdr:row>27</xdr:row>
      <xdr:rowOff>110490</xdr:rowOff>
    </xdr:to>
    <xdr:sp macro="" textlink="">
      <xdr:nvSpPr>
        <xdr:cNvPr id="24" name="Line 21">
          <a:extLst>
            <a:ext uri="{FF2B5EF4-FFF2-40B4-BE49-F238E27FC236}">
              <a16:creationId xmlns:a16="http://schemas.microsoft.com/office/drawing/2014/main" id="{1AF9A178-C0BB-4D3B-BBF7-10DCC2A3D16A}"/>
            </a:ext>
          </a:extLst>
        </xdr:cNvPr>
        <xdr:cNvSpPr>
          <a:spLocks noChangeShapeType="1"/>
        </xdr:cNvSpPr>
      </xdr:nvSpPr>
      <xdr:spPr bwMode="auto">
        <a:xfrm flipV="1">
          <a:off x="10668000" y="3627120"/>
          <a:ext cx="0" cy="4914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</xdr:colOff>
      <xdr:row>27</xdr:row>
      <xdr:rowOff>91440</xdr:rowOff>
    </xdr:from>
    <xdr:to>
      <xdr:col>13</xdr:col>
      <xdr:colOff>472440</xdr:colOff>
      <xdr:row>27</xdr:row>
      <xdr:rowOff>91440</xdr:rowOff>
    </xdr:to>
    <xdr:sp macro="" textlink="">
      <xdr:nvSpPr>
        <xdr:cNvPr id="25" name="Line 22">
          <a:extLst>
            <a:ext uri="{FF2B5EF4-FFF2-40B4-BE49-F238E27FC236}">
              <a16:creationId xmlns:a16="http://schemas.microsoft.com/office/drawing/2014/main" id="{5947905C-6391-4A28-AB70-96DA06E9BE7D}"/>
            </a:ext>
          </a:extLst>
        </xdr:cNvPr>
        <xdr:cNvSpPr>
          <a:spLocks noChangeShapeType="1"/>
        </xdr:cNvSpPr>
      </xdr:nvSpPr>
      <xdr:spPr bwMode="auto">
        <a:xfrm>
          <a:off x="10218420" y="409956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85722</xdr:colOff>
      <xdr:row>19</xdr:row>
      <xdr:rowOff>55033</xdr:rowOff>
    </xdr:from>
    <xdr:to>
      <xdr:col>11</xdr:col>
      <xdr:colOff>620183</xdr:colOff>
      <xdr:row>40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B9E092-3DC6-47FF-99A1-DD0D792B3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123824</xdr:colOff>
      <xdr:row>31</xdr:row>
      <xdr:rowOff>115357</xdr:rowOff>
    </xdr:from>
    <xdr:to>
      <xdr:col>9</xdr:col>
      <xdr:colOff>543983</xdr:colOff>
      <xdr:row>33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E62732-6A9B-425A-8468-18C5137BB0BF}"/>
            </a:ext>
          </a:extLst>
        </xdr:cNvPr>
        <xdr:cNvSpPr txBox="1"/>
      </xdr:nvSpPr>
      <xdr:spPr>
        <a:xfrm>
          <a:off x="8829674" y="6459007"/>
          <a:ext cx="420159" cy="3132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"Death</a:t>
          </a:r>
          <a:r>
            <a:rPr lang="en-US" sz="600" baseline="0"/>
            <a:t> Valley"</a:t>
          </a:r>
          <a:endParaRPr lang="en-US" sz="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rou/Onedrive/Documents/Spreadsheets/Valuation%20Analysis%20-%20AK%20Steel%20with%20LBO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921b89f68d3868/Documents/Text%20Book%20project/FIRST%20EDITION%20MANUSCRIPT/Figures%5eJ%20Case%20Studies%20and%20Problems/Chapter%2017%20-%20Valuation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ethod #1"/>
      <sheetName val="Method #2"/>
      <sheetName val="Method #3"/>
      <sheetName val="Method #4"/>
      <sheetName val="Method #5"/>
      <sheetName val="Method #6"/>
      <sheetName val="Method #7a"/>
      <sheetName val="Method#7b"/>
      <sheetName val="Summary Val"/>
      <sheetName val="Fig. 18.10"/>
      <sheetName val="Private"/>
      <sheetName val="Fig. 18.12"/>
    </sheetNames>
    <sheetDataSet>
      <sheetData sheetId="0">
        <row r="14">
          <cell r="G14">
            <v>2.91</v>
          </cell>
        </row>
      </sheetData>
      <sheetData sheetId="1">
        <row r="1">
          <cell r="B1" t="str">
            <v>AK Steel Holding Corp. (AKS)</v>
          </cell>
        </row>
        <row r="8">
          <cell r="D8" t="str">
            <v xml:space="preserve">Stock Price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17.1"/>
      <sheetName val="Fig.17.2"/>
      <sheetName val="Fig. 17.3"/>
      <sheetName val="Fig. 17.4"/>
      <sheetName val="Fig. 17.5"/>
      <sheetName val="Fig. 17.6"/>
      <sheetName val="Fig. 17.7"/>
      <sheetName val="Fig. 17.8"/>
      <sheetName val="Fig.17.9"/>
      <sheetName val="Fig. 17.10"/>
      <sheetName val="Fig. 17.11"/>
      <sheetName val="Fig. 17.12"/>
      <sheetName val="Sheet1"/>
    </sheetNames>
    <sheetDataSet>
      <sheetData sheetId="0">
        <row r="17">
          <cell r="D17">
            <v>77.930000000000007</v>
          </cell>
          <cell r="E17">
            <v>117448.32000000001</v>
          </cell>
          <cell r="G17">
            <v>1440000</v>
          </cell>
          <cell r="H17">
            <v>879000</v>
          </cell>
        </row>
      </sheetData>
      <sheetData sheetId="1"/>
      <sheetData sheetId="2"/>
      <sheetData sheetId="3"/>
      <sheetData sheetId="4"/>
      <sheetData sheetId="5">
        <row r="19">
          <cell r="E19">
            <v>657000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3A7BA-7795-4EA8-A9A5-3E7A89BBEA70}">
  <dimension ref="A1:N158"/>
  <sheetViews>
    <sheetView showGridLines="0" workbookViewId="0">
      <selection activeCell="D7" sqref="D7"/>
    </sheetView>
  </sheetViews>
  <sheetFormatPr defaultRowHeight="14.35" x14ac:dyDescent="0.5"/>
  <cols>
    <col min="1" max="1" width="4.46875" style="14" customWidth="1"/>
    <col min="2" max="2" width="41.05859375" customWidth="1"/>
    <col min="3" max="3" width="15.29296875" customWidth="1"/>
    <col min="4" max="4" width="10.46875" customWidth="1"/>
    <col min="5" max="5" width="8.29296875" customWidth="1"/>
    <col min="6" max="6" width="37.3515625" customWidth="1"/>
    <col min="7" max="7" width="15.64453125" customWidth="1"/>
    <col min="8" max="8" width="13.41015625" customWidth="1"/>
    <col min="9" max="9" width="11.52734375" customWidth="1"/>
    <col min="10" max="10" width="13.703125" customWidth="1"/>
    <col min="11" max="11" width="7.703125" customWidth="1"/>
    <col min="12" max="12" width="8.3515625" customWidth="1"/>
    <col min="13" max="13" width="22.46875" customWidth="1"/>
    <col min="14" max="14" width="9.46875" bestFit="1" customWidth="1"/>
    <col min="15" max="16" width="10.41015625" bestFit="1" customWidth="1"/>
    <col min="17" max="17" width="9.46875" bestFit="1" customWidth="1"/>
    <col min="18" max="18" width="11.76171875" customWidth="1"/>
    <col min="256" max="256" width="4.46875" customWidth="1"/>
    <col min="257" max="257" width="45.87890625" customWidth="1"/>
    <col min="258" max="258" width="15.29296875" customWidth="1"/>
    <col min="259" max="260" width="12.29296875" customWidth="1"/>
    <col min="261" max="261" width="11.76171875" customWidth="1"/>
    <col min="262" max="262" width="12.17578125" customWidth="1"/>
    <col min="263" max="263" width="10.9375" customWidth="1"/>
    <col min="264" max="264" width="13.41015625" customWidth="1"/>
    <col min="265" max="265" width="11.52734375" customWidth="1"/>
    <col min="266" max="266" width="13.703125" customWidth="1"/>
    <col min="267" max="267" width="7.703125" customWidth="1"/>
    <col min="268" max="268" width="8.3515625" customWidth="1"/>
    <col min="269" max="269" width="22.46875" customWidth="1"/>
    <col min="270" max="270" width="9.46875" bestFit="1" customWidth="1"/>
    <col min="271" max="272" width="10.41015625" bestFit="1" customWidth="1"/>
    <col min="273" max="273" width="9.46875" bestFit="1" customWidth="1"/>
    <col min="274" max="274" width="11.76171875" customWidth="1"/>
    <col min="512" max="512" width="4.46875" customWidth="1"/>
    <col min="513" max="513" width="45.87890625" customWidth="1"/>
    <col min="514" max="514" width="15.29296875" customWidth="1"/>
    <col min="515" max="516" width="12.29296875" customWidth="1"/>
    <col min="517" max="517" width="11.76171875" customWidth="1"/>
    <col min="518" max="518" width="12.17578125" customWidth="1"/>
    <col min="519" max="519" width="10.9375" customWidth="1"/>
    <col min="520" max="520" width="13.41015625" customWidth="1"/>
    <col min="521" max="521" width="11.52734375" customWidth="1"/>
    <col min="522" max="522" width="13.703125" customWidth="1"/>
    <col min="523" max="523" width="7.703125" customWidth="1"/>
    <col min="524" max="524" width="8.3515625" customWidth="1"/>
    <col min="525" max="525" width="22.46875" customWidth="1"/>
    <col min="526" max="526" width="9.46875" bestFit="1" customWidth="1"/>
    <col min="527" max="528" width="10.41015625" bestFit="1" customWidth="1"/>
    <col min="529" max="529" width="9.46875" bestFit="1" customWidth="1"/>
    <col min="530" max="530" width="11.76171875" customWidth="1"/>
    <col min="768" max="768" width="4.46875" customWidth="1"/>
    <col min="769" max="769" width="45.87890625" customWidth="1"/>
    <col min="770" max="770" width="15.29296875" customWidth="1"/>
    <col min="771" max="772" width="12.29296875" customWidth="1"/>
    <col min="773" max="773" width="11.76171875" customWidth="1"/>
    <col min="774" max="774" width="12.17578125" customWidth="1"/>
    <col min="775" max="775" width="10.9375" customWidth="1"/>
    <col min="776" max="776" width="13.41015625" customWidth="1"/>
    <col min="777" max="777" width="11.52734375" customWidth="1"/>
    <col min="778" max="778" width="13.703125" customWidth="1"/>
    <col min="779" max="779" width="7.703125" customWidth="1"/>
    <col min="780" max="780" width="8.3515625" customWidth="1"/>
    <col min="781" max="781" width="22.46875" customWidth="1"/>
    <col min="782" max="782" width="9.46875" bestFit="1" customWidth="1"/>
    <col min="783" max="784" width="10.41015625" bestFit="1" customWidth="1"/>
    <col min="785" max="785" width="9.46875" bestFit="1" customWidth="1"/>
    <col min="786" max="786" width="11.76171875" customWidth="1"/>
    <col min="1024" max="1024" width="4.46875" customWidth="1"/>
    <col min="1025" max="1025" width="45.87890625" customWidth="1"/>
    <col min="1026" max="1026" width="15.29296875" customWidth="1"/>
    <col min="1027" max="1028" width="12.29296875" customWidth="1"/>
    <col min="1029" max="1029" width="11.76171875" customWidth="1"/>
    <col min="1030" max="1030" width="12.17578125" customWidth="1"/>
    <col min="1031" max="1031" width="10.9375" customWidth="1"/>
    <col min="1032" max="1032" width="13.41015625" customWidth="1"/>
    <col min="1033" max="1033" width="11.52734375" customWidth="1"/>
    <col min="1034" max="1034" width="13.703125" customWidth="1"/>
    <col min="1035" max="1035" width="7.703125" customWidth="1"/>
    <col min="1036" max="1036" width="8.3515625" customWidth="1"/>
    <col min="1037" max="1037" width="22.46875" customWidth="1"/>
    <col min="1038" max="1038" width="9.46875" bestFit="1" customWidth="1"/>
    <col min="1039" max="1040" width="10.41015625" bestFit="1" customWidth="1"/>
    <col min="1041" max="1041" width="9.46875" bestFit="1" customWidth="1"/>
    <col min="1042" max="1042" width="11.76171875" customWidth="1"/>
    <col min="1280" max="1280" width="4.46875" customWidth="1"/>
    <col min="1281" max="1281" width="45.87890625" customWidth="1"/>
    <col min="1282" max="1282" width="15.29296875" customWidth="1"/>
    <col min="1283" max="1284" width="12.29296875" customWidth="1"/>
    <col min="1285" max="1285" width="11.76171875" customWidth="1"/>
    <col min="1286" max="1286" width="12.17578125" customWidth="1"/>
    <col min="1287" max="1287" width="10.9375" customWidth="1"/>
    <col min="1288" max="1288" width="13.41015625" customWidth="1"/>
    <col min="1289" max="1289" width="11.52734375" customWidth="1"/>
    <col min="1290" max="1290" width="13.703125" customWidth="1"/>
    <col min="1291" max="1291" width="7.703125" customWidth="1"/>
    <col min="1292" max="1292" width="8.3515625" customWidth="1"/>
    <col min="1293" max="1293" width="22.46875" customWidth="1"/>
    <col min="1294" max="1294" width="9.46875" bestFit="1" customWidth="1"/>
    <col min="1295" max="1296" width="10.41015625" bestFit="1" customWidth="1"/>
    <col min="1297" max="1297" width="9.46875" bestFit="1" customWidth="1"/>
    <col min="1298" max="1298" width="11.76171875" customWidth="1"/>
    <col min="1536" max="1536" width="4.46875" customWidth="1"/>
    <col min="1537" max="1537" width="45.87890625" customWidth="1"/>
    <col min="1538" max="1538" width="15.29296875" customWidth="1"/>
    <col min="1539" max="1540" width="12.29296875" customWidth="1"/>
    <col min="1541" max="1541" width="11.76171875" customWidth="1"/>
    <col min="1542" max="1542" width="12.17578125" customWidth="1"/>
    <col min="1543" max="1543" width="10.9375" customWidth="1"/>
    <col min="1544" max="1544" width="13.41015625" customWidth="1"/>
    <col min="1545" max="1545" width="11.52734375" customWidth="1"/>
    <col min="1546" max="1546" width="13.703125" customWidth="1"/>
    <col min="1547" max="1547" width="7.703125" customWidth="1"/>
    <col min="1548" max="1548" width="8.3515625" customWidth="1"/>
    <col min="1549" max="1549" width="22.46875" customWidth="1"/>
    <col min="1550" max="1550" width="9.46875" bestFit="1" customWidth="1"/>
    <col min="1551" max="1552" width="10.41015625" bestFit="1" customWidth="1"/>
    <col min="1553" max="1553" width="9.46875" bestFit="1" customWidth="1"/>
    <col min="1554" max="1554" width="11.76171875" customWidth="1"/>
    <col min="1792" max="1792" width="4.46875" customWidth="1"/>
    <col min="1793" max="1793" width="45.87890625" customWidth="1"/>
    <col min="1794" max="1794" width="15.29296875" customWidth="1"/>
    <col min="1795" max="1796" width="12.29296875" customWidth="1"/>
    <col min="1797" max="1797" width="11.76171875" customWidth="1"/>
    <col min="1798" max="1798" width="12.17578125" customWidth="1"/>
    <col min="1799" max="1799" width="10.9375" customWidth="1"/>
    <col min="1800" max="1800" width="13.41015625" customWidth="1"/>
    <col min="1801" max="1801" width="11.52734375" customWidth="1"/>
    <col min="1802" max="1802" width="13.703125" customWidth="1"/>
    <col min="1803" max="1803" width="7.703125" customWidth="1"/>
    <col min="1804" max="1804" width="8.3515625" customWidth="1"/>
    <col min="1805" max="1805" width="22.46875" customWidth="1"/>
    <col min="1806" max="1806" width="9.46875" bestFit="1" customWidth="1"/>
    <col min="1807" max="1808" width="10.41015625" bestFit="1" customWidth="1"/>
    <col min="1809" max="1809" width="9.46875" bestFit="1" customWidth="1"/>
    <col min="1810" max="1810" width="11.76171875" customWidth="1"/>
    <col min="2048" max="2048" width="4.46875" customWidth="1"/>
    <col min="2049" max="2049" width="45.87890625" customWidth="1"/>
    <col min="2050" max="2050" width="15.29296875" customWidth="1"/>
    <col min="2051" max="2052" width="12.29296875" customWidth="1"/>
    <col min="2053" max="2053" width="11.76171875" customWidth="1"/>
    <col min="2054" max="2054" width="12.17578125" customWidth="1"/>
    <col min="2055" max="2055" width="10.9375" customWidth="1"/>
    <col min="2056" max="2056" width="13.41015625" customWidth="1"/>
    <col min="2057" max="2057" width="11.52734375" customWidth="1"/>
    <col min="2058" max="2058" width="13.703125" customWidth="1"/>
    <col min="2059" max="2059" width="7.703125" customWidth="1"/>
    <col min="2060" max="2060" width="8.3515625" customWidth="1"/>
    <col min="2061" max="2061" width="22.46875" customWidth="1"/>
    <col min="2062" max="2062" width="9.46875" bestFit="1" customWidth="1"/>
    <col min="2063" max="2064" width="10.41015625" bestFit="1" customWidth="1"/>
    <col min="2065" max="2065" width="9.46875" bestFit="1" customWidth="1"/>
    <col min="2066" max="2066" width="11.76171875" customWidth="1"/>
    <col min="2304" max="2304" width="4.46875" customWidth="1"/>
    <col min="2305" max="2305" width="45.87890625" customWidth="1"/>
    <col min="2306" max="2306" width="15.29296875" customWidth="1"/>
    <col min="2307" max="2308" width="12.29296875" customWidth="1"/>
    <col min="2309" max="2309" width="11.76171875" customWidth="1"/>
    <col min="2310" max="2310" width="12.17578125" customWidth="1"/>
    <col min="2311" max="2311" width="10.9375" customWidth="1"/>
    <col min="2312" max="2312" width="13.41015625" customWidth="1"/>
    <col min="2313" max="2313" width="11.52734375" customWidth="1"/>
    <col min="2314" max="2314" width="13.703125" customWidth="1"/>
    <col min="2315" max="2315" width="7.703125" customWidth="1"/>
    <col min="2316" max="2316" width="8.3515625" customWidth="1"/>
    <col min="2317" max="2317" width="22.46875" customWidth="1"/>
    <col min="2318" max="2318" width="9.46875" bestFit="1" customWidth="1"/>
    <col min="2319" max="2320" width="10.41015625" bestFit="1" customWidth="1"/>
    <col min="2321" max="2321" width="9.46875" bestFit="1" customWidth="1"/>
    <col min="2322" max="2322" width="11.76171875" customWidth="1"/>
    <col min="2560" max="2560" width="4.46875" customWidth="1"/>
    <col min="2561" max="2561" width="45.87890625" customWidth="1"/>
    <col min="2562" max="2562" width="15.29296875" customWidth="1"/>
    <col min="2563" max="2564" width="12.29296875" customWidth="1"/>
    <col min="2565" max="2565" width="11.76171875" customWidth="1"/>
    <col min="2566" max="2566" width="12.17578125" customWidth="1"/>
    <col min="2567" max="2567" width="10.9375" customWidth="1"/>
    <col min="2568" max="2568" width="13.41015625" customWidth="1"/>
    <col min="2569" max="2569" width="11.52734375" customWidth="1"/>
    <col min="2570" max="2570" width="13.703125" customWidth="1"/>
    <col min="2571" max="2571" width="7.703125" customWidth="1"/>
    <col min="2572" max="2572" width="8.3515625" customWidth="1"/>
    <col min="2573" max="2573" width="22.46875" customWidth="1"/>
    <col min="2574" max="2574" width="9.46875" bestFit="1" customWidth="1"/>
    <col min="2575" max="2576" width="10.41015625" bestFit="1" customWidth="1"/>
    <col min="2577" max="2577" width="9.46875" bestFit="1" customWidth="1"/>
    <col min="2578" max="2578" width="11.76171875" customWidth="1"/>
    <col min="2816" max="2816" width="4.46875" customWidth="1"/>
    <col min="2817" max="2817" width="45.87890625" customWidth="1"/>
    <col min="2818" max="2818" width="15.29296875" customWidth="1"/>
    <col min="2819" max="2820" width="12.29296875" customWidth="1"/>
    <col min="2821" max="2821" width="11.76171875" customWidth="1"/>
    <col min="2822" max="2822" width="12.17578125" customWidth="1"/>
    <col min="2823" max="2823" width="10.9375" customWidth="1"/>
    <col min="2824" max="2824" width="13.41015625" customWidth="1"/>
    <col min="2825" max="2825" width="11.52734375" customWidth="1"/>
    <col min="2826" max="2826" width="13.703125" customWidth="1"/>
    <col min="2827" max="2827" width="7.703125" customWidth="1"/>
    <col min="2828" max="2828" width="8.3515625" customWidth="1"/>
    <col min="2829" max="2829" width="22.46875" customWidth="1"/>
    <col min="2830" max="2830" width="9.46875" bestFit="1" customWidth="1"/>
    <col min="2831" max="2832" width="10.41015625" bestFit="1" customWidth="1"/>
    <col min="2833" max="2833" width="9.46875" bestFit="1" customWidth="1"/>
    <col min="2834" max="2834" width="11.76171875" customWidth="1"/>
    <col min="3072" max="3072" width="4.46875" customWidth="1"/>
    <col min="3073" max="3073" width="45.87890625" customWidth="1"/>
    <col min="3074" max="3074" width="15.29296875" customWidth="1"/>
    <col min="3075" max="3076" width="12.29296875" customWidth="1"/>
    <col min="3077" max="3077" width="11.76171875" customWidth="1"/>
    <col min="3078" max="3078" width="12.17578125" customWidth="1"/>
    <col min="3079" max="3079" width="10.9375" customWidth="1"/>
    <col min="3080" max="3080" width="13.41015625" customWidth="1"/>
    <col min="3081" max="3081" width="11.52734375" customWidth="1"/>
    <col min="3082" max="3082" width="13.703125" customWidth="1"/>
    <col min="3083" max="3083" width="7.703125" customWidth="1"/>
    <col min="3084" max="3084" width="8.3515625" customWidth="1"/>
    <col min="3085" max="3085" width="22.46875" customWidth="1"/>
    <col min="3086" max="3086" width="9.46875" bestFit="1" customWidth="1"/>
    <col min="3087" max="3088" width="10.41015625" bestFit="1" customWidth="1"/>
    <col min="3089" max="3089" width="9.46875" bestFit="1" customWidth="1"/>
    <col min="3090" max="3090" width="11.76171875" customWidth="1"/>
    <col min="3328" max="3328" width="4.46875" customWidth="1"/>
    <col min="3329" max="3329" width="45.87890625" customWidth="1"/>
    <col min="3330" max="3330" width="15.29296875" customWidth="1"/>
    <col min="3331" max="3332" width="12.29296875" customWidth="1"/>
    <col min="3333" max="3333" width="11.76171875" customWidth="1"/>
    <col min="3334" max="3334" width="12.17578125" customWidth="1"/>
    <col min="3335" max="3335" width="10.9375" customWidth="1"/>
    <col min="3336" max="3336" width="13.41015625" customWidth="1"/>
    <col min="3337" max="3337" width="11.52734375" customWidth="1"/>
    <col min="3338" max="3338" width="13.703125" customWidth="1"/>
    <col min="3339" max="3339" width="7.703125" customWidth="1"/>
    <col min="3340" max="3340" width="8.3515625" customWidth="1"/>
    <col min="3341" max="3341" width="22.46875" customWidth="1"/>
    <col min="3342" max="3342" width="9.46875" bestFit="1" customWidth="1"/>
    <col min="3343" max="3344" width="10.41015625" bestFit="1" customWidth="1"/>
    <col min="3345" max="3345" width="9.46875" bestFit="1" customWidth="1"/>
    <col min="3346" max="3346" width="11.76171875" customWidth="1"/>
    <col min="3584" max="3584" width="4.46875" customWidth="1"/>
    <col min="3585" max="3585" width="45.87890625" customWidth="1"/>
    <col min="3586" max="3586" width="15.29296875" customWidth="1"/>
    <col min="3587" max="3588" width="12.29296875" customWidth="1"/>
    <col min="3589" max="3589" width="11.76171875" customWidth="1"/>
    <col min="3590" max="3590" width="12.17578125" customWidth="1"/>
    <col min="3591" max="3591" width="10.9375" customWidth="1"/>
    <col min="3592" max="3592" width="13.41015625" customWidth="1"/>
    <col min="3593" max="3593" width="11.52734375" customWidth="1"/>
    <col min="3594" max="3594" width="13.703125" customWidth="1"/>
    <col min="3595" max="3595" width="7.703125" customWidth="1"/>
    <col min="3596" max="3596" width="8.3515625" customWidth="1"/>
    <col min="3597" max="3597" width="22.46875" customWidth="1"/>
    <col min="3598" max="3598" width="9.46875" bestFit="1" customWidth="1"/>
    <col min="3599" max="3600" width="10.41015625" bestFit="1" customWidth="1"/>
    <col min="3601" max="3601" width="9.46875" bestFit="1" customWidth="1"/>
    <col min="3602" max="3602" width="11.76171875" customWidth="1"/>
    <col min="3840" max="3840" width="4.46875" customWidth="1"/>
    <col min="3841" max="3841" width="45.87890625" customWidth="1"/>
    <col min="3842" max="3842" width="15.29296875" customWidth="1"/>
    <col min="3843" max="3844" width="12.29296875" customWidth="1"/>
    <col min="3845" max="3845" width="11.76171875" customWidth="1"/>
    <col min="3846" max="3846" width="12.17578125" customWidth="1"/>
    <col min="3847" max="3847" width="10.9375" customWidth="1"/>
    <col min="3848" max="3848" width="13.41015625" customWidth="1"/>
    <col min="3849" max="3849" width="11.52734375" customWidth="1"/>
    <col min="3850" max="3850" width="13.703125" customWidth="1"/>
    <col min="3851" max="3851" width="7.703125" customWidth="1"/>
    <col min="3852" max="3852" width="8.3515625" customWidth="1"/>
    <col min="3853" max="3853" width="22.46875" customWidth="1"/>
    <col min="3854" max="3854" width="9.46875" bestFit="1" customWidth="1"/>
    <col min="3855" max="3856" width="10.41015625" bestFit="1" customWidth="1"/>
    <col min="3857" max="3857" width="9.46875" bestFit="1" customWidth="1"/>
    <col min="3858" max="3858" width="11.76171875" customWidth="1"/>
    <col min="4096" max="4096" width="4.46875" customWidth="1"/>
    <col min="4097" max="4097" width="45.87890625" customWidth="1"/>
    <col min="4098" max="4098" width="15.29296875" customWidth="1"/>
    <col min="4099" max="4100" width="12.29296875" customWidth="1"/>
    <col min="4101" max="4101" width="11.76171875" customWidth="1"/>
    <col min="4102" max="4102" width="12.17578125" customWidth="1"/>
    <col min="4103" max="4103" width="10.9375" customWidth="1"/>
    <col min="4104" max="4104" width="13.41015625" customWidth="1"/>
    <col min="4105" max="4105" width="11.52734375" customWidth="1"/>
    <col min="4106" max="4106" width="13.703125" customWidth="1"/>
    <col min="4107" max="4107" width="7.703125" customWidth="1"/>
    <col min="4108" max="4108" width="8.3515625" customWidth="1"/>
    <col min="4109" max="4109" width="22.46875" customWidth="1"/>
    <col min="4110" max="4110" width="9.46875" bestFit="1" customWidth="1"/>
    <col min="4111" max="4112" width="10.41015625" bestFit="1" customWidth="1"/>
    <col min="4113" max="4113" width="9.46875" bestFit="1" customWidth="1"/>
    <col min="4114" max="4114" width="11.76171875" customWidth="1"/>
    <col min="4352" max="4352" width="4.46875" customWidth="1"/>
    <col min="4353" max="4353" width="45.87890625" customWidth="1"/>
    <col min="4354" max="4354" width="15.29296875" customWidth="1"/>
    <col min="4355" max="4356" width="12.29296875" customWidth="1"/>
    <col min="4357" max="4357" width="11.76171875" customWidth="1"/>
    <col min="4358" max="4358" width="12.17578125" customWidth="1"/>
    <col min="4359" max="4359" width="10.9375" customWidth="1"/>
    <col min="4360" max="4360" width="13.41015625" customWidth="1"/>
    <col min="4361" max="4361" width="11.52734375" customWidth="1"/>
    <col min="4362" max="4362" width="13.703125" customWidth="1"/>
    <col min="4363" max="4363" width="7.703125" customWidth="1"/>
    <col min="4364" max="4364" width="8.3515625" customWidth="1"/>
    <col min="4365" max="4365" width="22.46875" customWidth="1"/>
    <col min="4366" max="4366" width="9.46875" bestFit="1" customWidth="1"/>
    <col min="4367" max="4368" width="10.41015625" bestFit="1" customWidth="1"/>
    <col min="4369" max="4369" width="9.46875" bestFit="1" customWidth="1"/>
    <col min="4370" max="4370" width="11.76171875" customWidth="1"/>
    <col min="4608" max="4608" width="4.46875" customWidth="1"/>
    <col min="4609" max="4609" width="45.87890625" customWidth="1"/>
    <col min="4610" max="4610" width="15.29296875" customWidth="1"/>
    <col min="4611" max="4612" width="12.29296875" customWidth="1"/>
    <col min="4613" max="4613" width="11.76171875" customWidth="1"/>
    <col min="4614" max="4614" width="12.17578125" customWidth="1"/>
    <col min="4615" max="4615" width="10.9375" customWidth="1"/>
    <col min="4616" max="4616" width="13.41015625" customWidth="1"/>
    <col min="4617" max="4617" width="11.52734375" customWidth="1"/>
    <col min="4618" max="4618" width="13.703125" customWidth="1"/>
    <col min="4619" max="4619" width="7.703125" customWidth="1"/>
    <col min="4620" max="4620" width="8.3515625" customWidth="1"/>
    <col min="4621" max="4621" width="22.46875" customWidth="1"/>
    <col min="4622" max="4622" width="9.46875" bestFit="1" customWidth="1"/>
    <col min="4623" max="4624" width="10.41015625" bestFit="1" customWidth="1"/>
    <col min="4625" max="4625" width="9.46875" bestFit="1" customWidth="1"/>
    <col min="4626" max="4626" width="11.76171875" customWidth="1"/>
    <col min="4864" max="4864" width="4.46875" customWidth="1"/>
    <col min="4865" max="4865" width="45.87890625" customWidth="1"/>
    <col min="4866" max="4866" width="15.29296875" customWidth="1"/>
    <col min="4867" max="4868" width="12.29296875" customWidth="1"/>
    <col min="4869" max="4869" width="11.76171875" customWidth="1"/>
    <col min="4870" max="4870" width="12.17578125" customWidth="1"/>
    <col min="4871" max="4871" width="10.9375" customWidth="1"/>
    <col min="4872" max="4872" width="13.41015625" customWidth="1"/>
    <col min="4873" max="4873" width="11.52734375" customWidth="1"/>
    <col min="4874" max="4874" width="13.703125" customWidth="1"/>
    <col min="4875" max="4875" width="7.703125" customWidth="1"/>
    <col min="4876" max="4876" width="8.3515625" customWidth="1"/>
    <col min="4877" max="4877" width="22.46875" customWidth="1"/>
    <col min="4878" max="4878" width="9.46875" bestFit="1" customWidth="1"/>
    <col min="4879" max="4880" width="10.41015625" bestFit="1" customWidth="1"/>
    <col min="4881" max="4881" width="9.46875" bestFit="1" customWidth="1"/>
    <col min="4882" max="4882" width="11.76171875" customWidth="1"/>
    <col min="5120" max="5120" width="4.46875" customWidth="1"/>
    <col min="5121" max="5121" width="45.87890625" customWidth="1"/>
    <col min="5122" max="5122" width="15.29296875" customWidth="1"/>
    <col min="5123" max="5124" width="12.29296875" customWidth="1"/>
    <col min="5125" max="5125" width="11.76171875" customWidth="1"/>
    <col min="5126" max="5126" width="12.17578125" customWidth="1"/>
    <col min="5127" max="5127" width="10.9375" customWidth="1"/>
    <col min="5128" max="5128" width="13.41015625" customWidth="1"/>
    <col min="5129" max="5129" width="11.52734375" customWidth="1"/>
    <col min="5130" max="5130" width="13.703125" customWidth="1"/>
    <col min="5131" max="5131" width="7.703125" customWidth="1"/>
    <col min="5132" max="5132" width="8.3515625" customWidth="1"/>
    <col min="5133" max="5133" width="22.46875" customWidth="1"/>
    <col min="5134" max="5134" width="9.46875" bestFit="1" customWidth="1"/>
    <col min="5135" max="5136" width="10.41015625" bestFit="1" customWidth="1"/>
    <col min="5137" max="5137" width="9.46875" bestFit="1" customWidth="1"/>
    <col min="5138" max="5138" width="11.76171875" customWidth="1"/>
    <col min="5376" max="5376" width="4.46875" customWidth="1"/>
    <col min="5377" max="5377" width="45.87890625" customWidth="1"/>
    <col min="5378" max="5378" width="15.29296875" customWidth="1"/>
    <col min="5379" max="5380" width="12.29296875" customWidth="1"/>
    <col min="5381" max="5381" width="11.76171875" customWidth="1"/>
    <col min="5382" max="5382" width="12.17578125" customWidth="1"/>
    <col min="5383" max="5383" width="10.9375" customWidth="1"/>
    <col min="5384" max="5384" width="13.41015625" customWidth="1"/>
    <col min="5385" max="5385" width="11.52734375" customWidth="1"/>
    <col min="5386" max="5386" width="13.703125" customWidth="1"/>
    <col min="5387" max="5387" width="7.703125" customWidth="1"/>
    <col min="5388" max="5388" width="8.3515625" customWidth="1"/>
    <col min="5389" max="5389" width="22.46875" customWidth="1"/>
    <col min="5390" max="5390" width="9.46875" bestFit="1" customWidth="1"/>
    <col min="5391" max="5392" width="10.41015625" bestFit="1" customWidth="1"/>
    <col min="5393" max="5393" width="9.46875" bestFit="1" customWidth="1"/>
    <col min="5394" max="5394" width="11.76171875" customWidth="1"/>
    <col min="5632" max="5632" width="4.46875" customWidth="1"/>
    <col min="5633" max="5633" width="45.87890625" customWidth="1"/>
    <col min="5634" max="5634" width="15.29296875" customWidth="1"/>
    <col min="5635" max="5636" width="12.29296875" customWidth="1"/>
    <col min="5637" max="5637" width="11.76171875" customWidth="1"/>
    <col min="5638" max="5638" width="12.17578125" customWidth="1"/>
    <col min="5639" max="5639" width="10.9375" customWidth="1"/>
    <col min="5640" max="5640" width="13.41015625" customWidth="1"/>
    <col min="5641" max="5641" width="11.52734375" customWidth="1"/>
    <col min="5642" max="5642" width="13.703125" customWidth="1"/>
    <col min="5643" max="5643" width="7.703125" customWidth="1"/>
    <col min="5644" max="5644" width="8.3515625" customWidth="1"/>
    <col min="5645" max="5645" width="22.46875" customWidth="1"/>
    <col min="5646" max="5646" width="9.46875" bestFit="1" customWidth="1"/>
    <col min="5647" max="5648" width="10.41015625" bestFit="1" customWidth="1"/>
    <col min="5649" max="5649" width="9.46875" bestFit="1" customWidth="1"/>
    <col min="5650" max="5650" width="11.76171875" customWidth="1"/>
    <col min="5888" max="5888" width="4.46875" customWidth="1"/>
    <col min="5889" max="5889" width="45.87890625" customWidth="1"/>
    <col min="5890" max="5890" width="15.29296875" customWidth="1"/>
    <col min="5891" max="5892" width="12.29296875" customWidth="1"/>
    <col min="5893" max="5893" width="11.76171875" customWidth="1"/>
    <col min="5894" max="5894" width="12.17578125" customWidth="1"/>
    <col min="5895" max="5895" width="10.9375" customWidth="1"/>
    <col min="5896" max="5896" width="13.41015625" customWidth="1"/>
    <col min="5897" max="5897" width="11.52734375" customWidth="1"/>
    <col min="5898" max="5898" width="13.703125" customWidth="1"/>
    <col min="5899" max="5899" width="7.703125" customWidth="1"/>
    <col min="5900" max="5900" width="8.3515625" customWidth="1"/>
    <col min="5901" max="5901" width="22.46875" customWidth="1"/>
    <col min="5902" max="5902" width="9.46875" bestFit="1" customWidth="1"/>
    <col min="5903" max="5904" width="10.41015625" bestFit="1" customWidth="1"/>
    <col min="5905" max="5905" width="9.46875" bestFit="1" customWidth="1"/>
    <col min="5906" max="5906" width="11.76171875" customWidth="1"/>
    <col min="6144" max="6144" width="4.46875" customWidth="1"/>
    <col min="6145" max="6145" width="45.87890625" customWidth="1"/>
    <col min="6146" max="6146" width="15.29296875" customWidth="1"/>
    <col min="6147" max="6148" width="12.29296875" customWidth="1"/>
    <col min="6149" max="6149" width="11.76171875" customWidth="1"/>
    <col min="6150" max="6150" width="12.17578125" customWidth="1"/>
    <col min="6151" max="6151" width="10.9375" customWidth="1"/>
    <col min="6152" max="6152" width="13.41015625" customWidth="1"/>
    <col min="6153" max="6153" width="11.52734375" customWidth="1"/>
    <col min="6154" max="6154" width="13.703125" customWidth="1"/>
    <col min="6155" max="6155" width="7.703125" customWidth="1"/>
    <col min="6156" max="6156" width="8.3515625" customWidth="1"/>
    <col min="6157" max="6157" width="22.46875" customWidth="1"/>
    <col min="6158" max="6158" width="9.46875" bestFit="1" customWidth="1"/>
    <col min="6159" max="6160" width="10.41015625" bestFit="1" customWidth="1"/>
    <col min="6161" max="6161" width="9.46875" bestFit="1" customWidth="1"/>
    <col min="6162" max="6162" width="11.76171875" customWidth="1"/>
    <col min="6400" max="6400" width="4.46875" customWidth="1"/>
    <col min="6401" max="6401" width="45.87890625" customWidth="1"/>
    <col min="6402" max="6402" width="15.29296875" customWidth="1"/>
    <col min="6403" max="6404" width="12.29296875" customWidth="1"/>
    <col min="6405" max="6405" width="11.76171875" customWidth="1"/>
    <col min="6406" max="6406" width="12.17578125" customWidth="1"/>
    <col min="6407" max="6407" width="10.9375" customWidth="1"/>
    <col min="6408" max="6408" width="13.41015625" customWidth="1"/>
    <col min="6409" max="6409" width="11.52734375" customWidth="1"/>
    <col min="6410" max="6410" width="13.703125" customWidth="1"/>
    <col min="6411" max="6411" width="7.703125" customWidth="1"/>
    <col min="6412" max="6412" width="8.3515625" customWidth="1"/>
    <col min="6413" max="6413" width="22.46875" customWidth="1"/>
    <col min="6414" max="6414" width="9.46875" bestFit="1" customWidth="1"/>
    <col min="6415" max="6416" width="10.41015625" bestFit="1" customWidth="1"/>
    <col min="6417" max="6417" width="9.46875" bestFit="1" customWidth="1"/>
    <col min="6418" max="6418" width="11.76171875" customWidth="1"/>
    <col min="6656" max="6656" width="4.46875" customWidth="1"/>
    <col min="6657" max="6657" width="45.87890625" customWidth="1"/>
    <col min="6658" max="6658" width="15.29296875" customWidth="1"/>
    <col min="6659" max="6660" width="12.29296875" customWidth="1"/>
    <col min="6661" max="6661" width="11.76171875" customWidth="1"/>
    <col min="6662" max="6662" width="12.17578125" customWidth="1"/>
    <col min="6663" max="6663" width="10.9375" customWidth="1"/>
    <col min="6664" max="6664" width="13.41015625" customWidth="1"/>
    <col min="6665" max="6665" width="11.52734375" customWidth="1"/>
    <col min="6666" max="6666" width="13.703125" customWidth="1"/>
    <col min="6667" max="6667" width="7.703125" customWidth="1"/>
    <col min="6668" max="6668" width="8.3515625" customWidth="1"/>
    <col min="6669" max="6669" width="22.46875" customWidth="1"/>
    <col min="6670" max="6670" width="9.46875" bestFit="1" customWidth="1"/>
    <col min="6671" max="6672" width="10.41015625" bestFit="1" customWidth="1"/>
    <col min="6673" max="6673" width="9.46875" bestFit="1" customWidth="1"/>
    <col min="6674" max="6674" width="11.76171875" customWidth="1"/>
    <col min="6912" max="6912" width="4.46875" customWidth="1"/>
    <col min="6913" max="6913" width="45.87890625" customWidth="1"/>
    <col min="6914" max="6914" width="15.29296875" customWidth="1"/>
    <col min="6915" max="6916" width="12.29296875" customWidth="1"/>
    <col min="6917" max="6917" width="11.76171875" customWidth="1"/>
    <col min="6918" max="6918" width="12.17578125" customWidth="1"/>
    <col min="6919" max="6919" width="10.9375" customWidth="1"/>
    <col min="6920" max="6920" width="13.41015625" customWidth="1"/>
    <col min="6921" max="6921" width="11.52734375" customWidth="1"/>
    <col min="6922" max="6922" width="13.703125" customWidth="1"/>
    <col min="6923" max="6923" width="7.703125" customWidth="1"/>
    <col min="6924" max="6924" width="8.3515625" customWidth="1"/>
    <col min="6925" max="6925" width="22.46875" customWidth="1"/>
    <col min="6926" max="6926" width="9.46875" bestFit="1" customWidth="1"/>
    <col min="6927" max="6928" width="10.41015625" bestFit="1" customWidth="1"/>
    <col min="6929" max="6929" width="9.46875" bestFit="1" customWidth="1"/>
    <col min="6930" max="6930" width="11.76171875" customWidth="1"/>
    <col min="7168" max="7168" width="4.46875" customWidth="1"/>
    <col min="7169" max="7169" width="45.87890625" customWidth="1"/>
    <col min="7170" max="7170" width="15.29296875" customWidth="1"/>
    <col min="7171" max="7172" width="12.29296875" customWidth="1"/>
    <col min="7173" max="7173" width="11.76171875" customWidth="1"/>
    <col min="7174" max="7174" width="12.17578125" customWidth="1"/>
    <col min="7175" max="7175" width="10.9375" customWidth="1"/>
    <col min="7176" max="7176" width="13.41015625" customWidth="1"/>
    <col min="7177" max="7177" width="11.52734375" customWidth="1"/>
    <col min="7178" max="7178" width="13.703125" customWidth="1"/>
    <col min="7179" max="7179" width="7.703125" customWidth="1"/>
    <col min="7180" max="7180" width="8.3515625" customWidth="1"/>
    <col min="7181" max="7181" width="22.46875" customWidth="1"/>
    <col min="7182" max="7182" width="9.46875" bestFit="1" customWidth="1"/>
    <col min="7183" max="7184" width="10.41015625" bestFit="1" customWidth="1"/>
    <col min="7185" max="7185" width="9.46875" bestFit="1" customWidth="1"/>
    <col min="7186" max="7186" width="11.76171875" customWidth="1"/>
    <col min="7424" max="7424" width="4.46875" customWidth="1"/>
    <col min="7425" max="7425" width="45.87890625" customWidth="1"/>
    <col min="7426" max="7426" width="15.29296875" customWidth="1"/>
    <col min="7427" max="7428" width="12.29296875" customWidth="1"/>
    <col min="7429" max="7429" width="11.76171875" customWidth="1"/>
    <col min="7430" max="7430" width="12.17578125" customWidth="1"/>
    <col min="7431" max="7431" width="10.9375" customWidth="1"/>
    <col min="7432" max="7432" width="13.41015625" customWidth="1"/>
    <col min="7433" max="7433" width="11.52734375" customWidth="1"/>
    <col min="7434" max="7434" width="13.703125" customWidth="1"/>
    <col min="7435" max="7435" width="7.703125" customWidth="1"/>
    <col min="7436" max="7436" width="8.3515625" customWidth="1"/>
    <col min="7437" max="7437" width="22.46875" customWidth="1"/>
    <col min="7438" max="7438" width="9.46875" bestFit="1" customWidth="1"/>
    <col min="7439" max="7440" width="10.41015625" bestFit="1" customWidth="1"/>
    <col min="7441" max="7441" width="9.46875" bestFit="1" customWidth="1"/>
    <col min="7442" max="7442" width="11.76171875" customWidth="1"/>
    <col min="7680" max="7680" width="4.46875" customWidth="1"/>
    <col min="7681" max="7681" width="45.87890625" customWidth="1"/>
    <col min="7682" max="7682" width="15.29296875" customWidth="1"/>
    <col min="7683" max="7684" width="12.29296875" customWidth="1"/>
    <col min="7685" max="7685" width="11.76171875" customWidth="1"/>
    <col min="7686" max="7686" width="12.17578125" customWidth="1"/>
    <col min="7687" max="7687" width="10.9375" customWidth="1"/>
    <col min="7688" max="7688" width="13.41015625" customWidth="1"/>
    <col min="7689" max="7689" width="11.52734375" customWidth="1"/>
    <col min="7690" max="7690" width="13.703125" customWidth="1"/>
    <col min="7691" max="7691" width="7.703125" customWidth="1"/>
    <col min="7692" max="7692" width="8.3515625" customWidth="1"/>
    <col min="7693" max="7693" width="22.46875" customWidth="1"/>
    <col min="7694" max="7694" width="9.46875" bestFit="1" customWidth="1"/>
    <col min="7695" max="7696" width="10.41015625" bestFit="1" customWidth="1"/>
    <col min="7697" max="7697" width="9.46875" bestFit="1" customWidth="1"/>
    <col min="7698" max="7698" width="11.76171875" customWidth="1"/>
    <col min="7936" max="7936" width="4.46875" customWidth="1"/>
    <col min="7937" max="7937" width="45.87890625" customWidth="1"/>
    <col min="7938" max="7938" width="15.29296875" customWidth="1"/>
    <col min="7939" max="7940" width="12.29296875" customWidth="1"/>
    <col min="7941" max="7941" width="11.76171875" customWidth="1"/>
    <col min="7942" max="7942" width="12.17578125" customWidth="1"/>
    <col min="7943" max="7943" width="10.9375" customWidth="1"/>
    <col min="7944" max="7944" width="13.41015625" customWidth="1"/>
    <col min="7945" max="7945" width="11.52734375" customWidth="1"/>
    <col min="7946" max="7946" width="13.703125" customWidth="1"/>
    <col min="7947" max="7947" width="7.703125" customWidth="1"/>
    <col min="7948" max="7948" width="8.3515625" customWidth="1"/>
    <col min="7949" max="7949" width="22.46875" customWidth="1"/>
    <col min="7950" max="7950" width="9.46875" bestFit="1" customWidth="1"/>
    <col min="7951" max="7952" width="10.41015625" bestFit="1" customWidth="1"/>
    <col min="7953" max="7953" width="9.46875" bestFit="1" customWidth="1"/>
    <col min="7954" max="7954" width="11.76171875" customWidth="1"/>
    <col min="8192" max="8192" width="4.46875" customWidth="1"/>
    <col min="8193" max="8193" width="45.87890625" customWidth="1"/>
    <col min="8194" max="8194" width="15.29296875" customWidth="1"/>
    <col min="8195" max="8196" width="12.29296875" customWidth="1"/>
    <col min="8197" max="8197" width="11.76171875" customWidth="1"/>
    <col min="8198" max="8198" width="12.17578125" customWidth="1"/>
    <col min="8199" max="8199" width="10.9375" customWidth="1"/>
    <col min="8200" max="8200" width="13.41015625" customWidth="1"/>
    <col min="8201" max="8201" width="11.52734375" customWidth="1"/>
    <col min="8202" max="8202" width="13.703125" customWidth="1"/>
    <col min="8203" max="8203" width="7.703125" customWidth="1"/>
    <col min="8204" max="8204" width="8.3515625" customWidth="1"/>
    <col min="8205" max="8205" width="22.46875" customWidth="1"/>
    <col min="8206" max="8206" width="9.46875" bestFit="1" customWidth="1"/>
    <col min="8207" max="8208" width="10.41015625" bestFit="1" customWidth="1"/>
    <col min="8209" max="8209" width="9.46875" bestFit="1" customWidth="1"/>
    <col min="8210" max="8210" width="11.76171875" customWidth="1"/>
    <col min="8448" max="8448" width="4.46875" customWidth="1"/>
    <col min="8449" max="8449" width="45.87890625" customWidth="1"/>
    <col min="8450" max="8450" width="15.29296875" customWidth="1"/>
    <col min="8451" max="8452" width="12.29296875" customWidth="1"/>
    <col min="8453" max="8453" width="11.76171875" customWidth="1"/>
    <col min="8454" max="8454" width="12.17578125" customWidth="1"/>
    <col min="8455" max="8455" width="10.9375" customWidth="1"/>
    <col min="8456" max="8456" width="13.41015625" customWidth="1"/>
    <col min="8457" max="8457" width="11.52734375" customWidth="1"/>
    <col min="8458" max="8458" width="13.703125" customWidth="1"/>
    <col min="8459" max="8459" width="7.703125" customWidth="1"/>
    <col min="8460" max="8460" width="8.3515625" customWidth="1"/>
    <col min="8461" max="8461" width="22.46875" customWidth="1"/>
    <col min="8462" max="8462" width="9.46875" bestFit="1" customWidth="1"/>
    <col min="8463" max="8464" width="10.41015625" bestFit="1" customWidth="1"/>
    <col min="8465" max="8465" width="9.46875" bestFit="1" customWidth="1"/>
    <col min="8466" max="8466" width="11.76171875" customWidth="1"/>
    <col min="8704" max="8704" width="4.46875" customWidth="1"/>
    <col min="8705" max="8705" width="45.87890625" customWidth="1"/>
    <col min="8706" max="8706" width="15.29296875" customWidth="1"/>
    <col min="8707" max="8708" width="12.29296875" customWidth="1"/>
    <col min="8709" max="8709" width="11.76171875" customWidth="1"/>
    <col min="8710" max="8710" width="12.17578125" customWidth="1"/>
    <col min="8711" max="8711" width="10.9375" customWidth="1"/>
    <col min="8712" max="8712" width="13.41015625" customWidth="1"/>
    <col min="8713" max="8713" width="11.52734375" customWidth="1"/>
    <col min="8714" max="8714" width="13.703125" customWidth="1"/>
    <col min="8715" max="8715" width="7.703125" customWidth="1"/>
    <col min="8716" max="8716" width="8.3515625" customWidth="1"/>
    <col min="8717" max="8717" width="22.46875" customWidth="1"/>
    <col min="8718" max="8718" width="9.46875" bestFit="1" customWidth="1"/>
    <col min="8719" max="8720" width="10.41015625" bestFit="1" customWidth="1"/>
    <col min="8721" max="8721" width="9.46875" bestFit="1" customWidth="1"/>
    <col min="8722" max="8722" width="11.76171875" customWidth="1"/>
    <col min="8960" max="8960" width="4.46875" customWidth="1"/>
    <col min="8961" max="8961" width="45.87890625" customWidth="1"/>
    <col min="8962" max="8962" width="15.29296875" customWidth="1"/>
    <col min="8963" max="8964" width="12.29296875" customWidth="1"/>
    <col min="8965" max="8965" width="11.76171875" customWidth="1"/>
    <col min="8966" max="8966" width="12.17578125" customWidth="1"/>
    <col min="8967" max="8967" width="10.9375" customWidth="1"/>
    <col min="8968" max="8968" width="13.41015625" customWidth="1"/>
    <col min="8969" max="8969" width="11.52734375" customWidth="1"/>
    <col min="8970" max="8970" width="13.703125" customWidth="1"/>
    <col min="8971" max="8971" width="7.703125" customWidth="1"/>
    <col min="8972" max="8972" width="8.3515625" customWidth="1"/>
    <col min="8973" max="8973" width="22.46875" customWidth="1"/>
    <col min="8974" max="8974" width="9.46875" bestFit="1" customWidth="1"/>
    <col min="8975" max="8976" width="10.41015625" bestFit="1" customWidth="1"/>
    <col min="8977" max="8977" width="9.46875" bestFit="1" customWidth="1"/>
    <col min="8978" max="8978" width="11.76171875" customWidth="1"/>
    <col min="9216" max="9216" width="4.46875" customWidth="1"/>
    <col min="9217" max="9217" width="45.87890625" customWidth="1"/>
    <col min="9218" max="9218" width="15.29296875" customWidth="1"/>
    <col min="9219" max="9220" width="12.29296875" customWidth="1"/>
    <col min="9221" max="9221" width="11.76171875" customWidth="1"/>
    <col min="9222" max="9222" width="12.17578125" customWidth="1"/>
    <col min="9223" max="9223" width="10.9375" customWidth="1"/>
    <col min="9224" max="9224" width="13.41015625" customWidth="1"/>
    <col min="9225" max="9225" width="11.52734375" customWidth="1"/>
    <col min="9226" max="9226" width="13.703125" customWidth="1"/>
    <col min="9227" max="9227" width="7.703125" customWidth="1"/>
    <col min="9228" max="9228" width="8.3515625" customWidth="1"/>
    <col min="9229" max="9229" width="22.46875" customWidth="1"/>
    <col min="9230" max="9230" width="9.46875" bestFit="1" customWidth="1"/>
    <col min="9231" max="9232" width="10.41015625" bestFit="1" customWidth="1"/>
    <col min="9233" max="9233" width="9.46875" bestFit="1" customWidth="1"/>
    <col min="9234" max="9234" width="11.76171875" customWidth="1"/>
    <col min="9472" max="9472" width="4.46875" customWidth="1"/>
    <col min="9473" max="9473" width="45.87890625" customWidth="1"/>
    <col min="9474" max="9474" width="15.29296875" customWidth="1"/>
    <col min="9475" max="9476" width="12.29296875" customWidth="1"/>
    <col min="9477" max="9477" width="11.76171875" customWidth="1"/>
    <col min="9478" max="9478" width="12.17578125" customWidth="1"/>
    <col min="9479" max="9479" width="10.9375" customWidth="1"/>
    <col min="9480" max="9480" width="13.41015625" customWidth="1"/>
    <col min="9481" max="9481" width="11.52734375" customWidth="1"/>
    <col min="9482" max="9482" width="13.703125" customWidth="1"/>
    <col min="9483" max="9483" width="7.703125" customWidth="1"/>
    <col min="9484" max="9484" width="8.3515625" customWidth="1"/>
    <col min="9485" max="9485" width="22.46875" customWidth="1"/>
    <col min="9486" max="9486" width="9.46875" bestFit="1" customWidth="1"/>
    <col min="9487" max="9488" width="10.41015625" bestFit="1" customWidth="1"/>
    <col min="9489" max="9489" width="9.46875" bestFit="1" customWidth="1"/>
    <col min="9490" max="9490" width="11.76171875" customWidth="1"/>
    <col min="9728" max="9728" width="4.46875" customWidth="1"/>
    <col min="9729" max="9729" width="45.87890625" customWidth="1"/>
    <col min="9730" max="9730" width="15.29296875" customWidth="1"/>
    <col min="9731" max="9732" width="12.29296875" customWidth="1"/>
    <col min="9733" max="9733" width="11.76171875" customWidth="1"/>
    <col min="9734" max="9734" width="12.17578125" customWidth="1"/>
    <col min="9735" max="9735" width="10.9375" customWidth="1"/>
    <col min="9736" max="9736" width="13.41015625" customWidth="1"/>
    <col min="9737" max="9737" width="11.52734375" customWidth="1"/>
    <col min="9738" max="9738" width="13.703125" customWidth="1"/>
    <col min="9739" max="9739" width="7.703125" customWidth="1"/>
    <col min="9740" max="9740" width="8.3515625" customWidth="1"/>
    <col min="9741" max="9741" width="22.46875" customWidth="1"/>
    <col min="9742" max="9742" width="9.46875" bestFit="1" customWidth="1"/>
    <col min="9743" max="9744" width="10.41015625" bestFit="1" customWidth="1"/>
    <col min="9745" max="9745" width="9.46875" bestFit="1" customWidth="1"/>
    <col min="9746" max="9746" width="11.76171875" customWidth="1"/>
    <col min="9984" max="9984" width="4.46875" customWidth="1"/>
    <col min="9985" max="9985" width="45.87890625" customWidth="1"/>
    <col min="9986" max="9986" width="15.29296875" customWidth="1"/>
    <col min="9987" max="9988" width="12.29296875" customWidth="1"/>
    <col min="9989" max="9989" width="11.76171875" customWidth="1"/>
    <col min="9990" max="9990" width="12.17578125" customWidth="1"/>
    <col min="9991" max="9991" width="10.9375" customWidth="1"/>
    <col min="9992" max="9992" width="13.41015625" customWidth="1"/>
    <col min="9993" max="9993" width="11.52734375" customWidth="1"/>
    <col min="9994" max="9994" width="13.703125" customWidth="1"/>
    <col min="9995" max="9995" width="7.703125" customWidth="1"/>
    <col min="9996" max="9996" width="8.3515625" customWidth="1"/>
    <col min="9997" max="9997" width="22.46875" customWidth="1"/>
    <col min="9998" max="9998" width="9.46875" bestFit="1" customWidth="1"/>
    <col min="9999" max="10000" width="10.41015625" bestFit="1" customWidth="1"/>
    <col min="10001" max="10001" width="9.46875" bestFit="1" customWidth="1"/>
    <col min="10002" max="10002" width="11.76171875" customWidth="1"/>
    <col min="10240" max="10240" width="4.46875" customWidth="1"/>
    <col min="10241" max="10241" width="45.87890625" customWidth="1"/>
    <col min="10242" max="10242" width="15.29296875" customWidth="1"/>
    <col min="10243" max="10244" width="12.29296875" customWidth="1"/>
    <col min="10245" max="10245" width="11.76171875" customWidth="1"/>
    <col min="10246" max="10246" width="12.17578125" customWidth="1"/>
    <col min="10247" max="10247" width="10.9375" customWidth="1"/>
    <col min="10248" max="10248" width="13.41015625" customWidth="1"/>
    <col min="10249" max="10249" width="11.52734375" customWidth="1"/>
    <col min="10250" max="10250" width="13.703125" customWidth="1"/>
    <col min="10251" max="10251" width="7.703125" customWidth="1"/>
    <col min="10252" max="10252" width="8.3515625" customWidth="1"/>
    <col min="10253" max="10253" width="22.46875" customWidth="1"/>
    <col min="10254" max="10254" width="9.46875" bestFit="1" customWidth="1"/>
    <col min="10255" max="10256" width="10.41015625" bestFit="1" customWidth="1"/>
    <col min="10257" max="10257" width="9.46875" bestFit="1" customWidth="1"/>
    <col min="10258" max="10258" width="11.76171875" customWidth="1"/>
    <col min="10496" max="10496" width="4.46875" customWidth="1"/>
    <col min="10497" max="10497" width="45.87890625" customWidth="1"/>
    <col min="10498" max="10498" width="15.29296875" customWidth="1"/>
    <col min="10499" max="10500" width="12.29296875" customWidth="1"/>
    <col min="10501" max="10501" width="11.76171875" customWidth="1"/>
    <col min="10502" max="10502" width="12.17578125" customWidth="1"/>
    <col min="10503" max="10503" width="10.9375" customWidth="1"/>
    <col min="10504" max="10504" width="13.41015625" customWidth="1"/>
    <col min="10505" max="10505" width="11.52734375" customWidth="1"/>
    <col min="10506" max="10506" width="13.703125" customWidth="1"/>
    <col min="10507" max="10507" width="7.703125" customWidth="1"/>
    <col min="10508" max="10508" width="8.3515625" customWidth="1"/>
    <col min="10509" max="10509" width="22.46875" customWidth="1"/>
    <col min="10510" max="10510" width="9.46875" bestFit="1" customWidth="1"/>
    <col min="10511" max="10512" width="10.41015625" bestFit="1" customWidth="1"/>
    <col min="10513" max="10513" width="9.46875" bestFit="1" customWidth="1"/>
    <col min="10514" max="10514" width="11.76171875" customWidth="1"/>
    <col min="10752" max="10752" width="4.46875" customWidth="1"/>
    <col min="10753" max="10753" width="45.87890625" customWidth="1"/>
    <col min="10754" max="10754" width="15.29296875" customWidth="1"/>
    <col min="10755" max="10756" width="12.29296875" customWidth="1"/>
    <col min="10757" max="10757" width="11.76171875" customWidth="1"/>
    <col min="10758" max="10758" width="12.17578125" customWidth="1"/>
    <col min="10759" max="10759" width="10.9375" customWidth="1"/>
    <col min="10760" max="10760" width="13.41015625" customWidth="1"/>
    <col min="10761" max="10761" width="11.52734375" customWidth="1"/>
    <col min="10762" max="10762" width="13.703125" customWidth="1"/>
    <col min="10763" max="10763" width="7.703125" customWidth="1"/>
    <col min="10764" max="10764" width="8.3515625" customWidth="1"/>
    <col min="10765" max="10765" width="22.46875" customWidth="1"/>
    <col min="10766" max="10766" width="9.46875" bestFit="1" customWidth="1"/>
    <col min="10767" max="10768" width="10.41015625" bestFit="1" customWidth="1"/>
    <col min="10769" max="10769" width="9.46875" bestFit="1" customWidth="1"/>
    <col min="10770" max="10770" width="11.76171875" customWidth="1"/>
    <col min="11008" max="11008" width="4.46875" customWidth="1"/>
    <col min="11009" max="11009" width="45.87890625" customWidth="1"/>
    <col min="11010" max="11010" width="15.29296875" customWidth="1"/>
    <col min="11011" max="11012" width="12.29296875" customWidth="1"/>
    <col min="11013" max="11013" width="11.76171875" customWidth="1"/>
    <col min="11014" max="11014" width="12.17578125" customWidth="1"/>
    <col min="11015" max="11015" width="10.9375" customWidth="1"/>
    <col min="11016" max="11016" width="13.41015625" customWidth="1"/>
    <col min="11017" max="11017" width="11.52734375" customWidth="1"/>
    <col min="11018" max="11018" width="13.703125" customWidth="1"/>
    <col min="11019" max="11019" width="7.703125" customWidth="1"/>
    <col min="11020" max="11020" width="8.3515625" customWidth="1"/>
    <col min="11021" max="11021" width="22.46875" customWidth="1"/>
    <col min="11022" max="11022" width="9.46875" bestFit="1" customWidth="1"/>
    <col min="11023" max="11024" width="10.41015625" bestFit="1" customWidth="1"/>
    <col min="11025" max="11025" width="9.46875" bestFit="1" customWidth="1"/>
    <col min="11026" max="11026" width="11.76171875" customWidth="1"/>
    <col min="11264" max="11264" width="4.46875" customWidth="1"/>
    <col min="11265" max="11265" width="45.87890625" customWidth="1"/>
    <col min="11266" max="11266" width="15.29296875" customWidth="1"/>
    <col min="11267" max="11268" width="12.29296875" customWidth="1"/>
    <col min="11269" max="11269" width="11.76171875" customWidth="1"/>
    <col min="11270" max="11270" width="12.17578125" customWidth="1"/>
    <col min="11271" max="11271" width="10.9375" customWidth="1"/>
    <col min="11272" max="11272" width="13.41015625" customWidth="1"/>
    <col min="11273" max="11273" width="11.52734375" customWidth="1"/>
    <col min="11274" max="11274" width="13.703125" customWidth="1"/>
    <col min="11275" max="11275" width="7.703125" customWidth="1"/>
    <col min="11276" max="11276" width="8.3515625" customWidth="1"/>
    <col min="11277" max="11277" width="22.46875" customWidth="1"/>
    <col min="11278" max="11278" width="9.46875" bestFit="1" customWidth="1"/>
    <col min="11279" max="11280" width="10.41015625" bestFit="1" customWidth="1"/>
    <col min="11281" max="11281" width="9.46875" bestFit="1" customWidth="1"/>
    <col min="11282" max="11282" width="11.76171875" customWidth="1"/>
    <col min="11520" max="11520" width="4.46875" customWidth="1"/>
    <col min="11521" max="11521" width="45.87890625" customWidth="1"/>
    <col min="11522" max="11522" width="15.29296875" customWidth="1"/>
    <col min="11523" max="11524" width="12.29296875" customWidth="1"/>
    <col min="11525" max="11525" width="11.76171875" customWidth="1"/>
    <col min="11526" max="11526" width="12.17578125" customWidth="1"/>
    <col min="11527" max="11527" width="10.9375" customWidth="1"/>
    <col min="11528" max="11528" width="13.41015625" customWidth="1"/>
    <col min="11529" max="11529" width="11.52734375" customWidth="1"/>
    <col min="11530" max="11530" width="13.703125" customWidth="1"/>
    <col min="11531" max="11531" width="7.703125" customWidth="1"/>
    <col min="11532" max="11532" width="8.3515625" customWidth="1"/>
    <col min="11533" max="11533" width="22.46875" customWidth="1"/>
    <col min="11534" max="11534" width="9.46875" bestFit="1" customWidth="1"/>
    <col min="11535" max="11536" width="10.41015625" bestFit="1" customWidth="1"/>
    <col min="11537" max="11537" width="9.46875" bestFit="1" customWidth="1"/>
    <col min="11538" max="11538" width="11.76171875" customWidth="1"/>
    <col min="11776" max="11776" width="4.46875" customWidth="1"/>
    <col min="11777" max="11777" width="45.87890625" customWidth="1"/>
    <col min="11778" max="11778" width="15.29296875" customWidth="1"/>
    <col min="11779" max="11780" width="12.29296875" customWidth="1"/>
    <col min="11781" max="11781" width="11.76171875" customWidth="1"/>
    <col min="11782" max="11782" width="12.17578125" customWidth="1"/>
    <col min="11783" max="11783" width="10.9375" customWidth="1"/>
    <col min="11784" max="11784" width="13.41015625" customWidth="1"/>
    <col min="11785" max="11785" width="11.52734375" customWidth="1"/>
    <col min="11786" max="11786" width="13.703125" customWidth="1"/>
    <col min="11787" max="11787" width="7.703125" customWidth="1"/>
    <col min="11788" max="11788" width="8.3515625" customWidth="1"/>
    <col min="11789" max="11789" width="22.46875" customWidth="1"/>
    <col min="11790" max="11790" width="9.46875" bestFit="1" customWidth="1"/>
    <col min="11791" max="11792" width="10.41015625" bestFit="1" customWidth="1"/>
    <col min="11793" max="11793" width="9.46875" bestFit="1" customWidth="1"/>
    <col min="11794" max="11794" width="11.76171875" customWidth="1"/>
    <col min="12032" max="12032" width="4.46875" customWidth="1"/>
    <col min="12033" max="12033" width="45.87890625" customWidth="1"/>
    <col min="12034" max="12034" width="15.29296875" customWidth="1"/>
    <col min="12035" max="12036" width="12.29296875" customWidth="1"/>
    <col min="12037" max="12037" width="11.76171875" customWidth="1"/>
    <col min="12038" max="12038" width="12.17578125" customWidth="1"/>
    <col min="12039" max="12039" width="10.9375" customWidth="1"/>
    <col min="12040" max="12040" width="13.41015625" customWidth="1"/>
    <col min="12041" max="12041" width="11.52734375" customWidth="1"/>
    <col min="12042" max="12042" width="13.703125" customWidth="1"/>
    <col min="12043" max="12043" width="7.703125" customWidth="1"/>
    <col min="12044" max="12044" width="8.3515625" customWidth="1"/>
    <col min="12045" max="12045" width="22.46875" customWidth="1"/>
    <col min="12046" max="12046" width="9.46875" bestFit="1" customWidth="1"/>
    <col min="12047" max="12048" width="10.41015625" bestFit="1" customWidth="1"/>
    <col min="12049" max="12049" width="9.46875" bestFit="1" customWidth="1"/>
    <col min="12050" max="12050" width="11.76171875" customWidth="1"/>
    <col min="12288" max="12288" width="4.46875" customWidth="1"/>
    <col min="12289" max="12289" width="45.87890625" customWidth="1"/>
    <col min="12290" max="12290" width="15.29296875" customWidth="1"/>
    <col min="12291" max="12292" width="12.29296875" customWidth="1"/>
    <col min="12293" max="12293" width="11.76171875" customWidth="1"/>
    <col min="12294" max="12294" width="12.17578125" customWidth="1"/>
    <col min="12295" max="12295" width="10.9375" customWidth="1"/>
    <col min="12296" max="12296" width="13.41015625" customWidth="1"/>
    <col min="12297" max="12297" width="11.52734375" customWidth="1"/>
    <col min="12298" max="12298" width="13.703125" customWidth="1"/>
    <col min="12299" max="12299" width="7.703125" customWidth="1"/>
    <col min="12300" max="12300" width="8.3515625" customWidth="1"/>
    <col min="12301" max="12301" width="22.46875" customWidth="1"/>
    <col min="12302" max="12302" width="9.46875" bestFit="1" customWidth="1"/>
    <col min="12303" max="12304" width="10.41015625" bestFit="1" customWidth="1"/>
    <col min="12305" max="12305" width="9.46875" bestFit="1" customWidth="1"/>
    <col min="12306" max="12306" width="11.76171875" customWidth="1"/>
    <col min="12544" max="12544" width="4.46875" customWidth="1"/>
    <col min="12545" max="12545" width="45.87890625" customWidth="1"/>
    <col min="12546" max="12546" width="15.29296875" customWidth="1"/>
    <col min="12547" max="12548" width="12.29296875" customWidth="1"/>
    <col min="12549" max="12549" width="11.76171875" customWidth="1"/>
    <col min="12550" max="12550" width="12.17578125" customWidth="1"/>
    <col min="12551" max="12551" width="10.9375" customWidth="1"/>
    <col min="12552" max="12552" width="13.41015625" customWidth="1"/>
    <col min="12553" max="12553" width="11.52734375" customWidth="1"/>
    <col min="12554" max="12554" width="13.703125" customWidth="1"/>
    <col min="12555" max="12555" width="7.703125" customWidth="1"/>
    <col min="12556" max="12556" width="8.3515625" customWidth="1"/>
    <col min="12557" max="12557" width="22.46875" customWidth="1"/>
    <col min="12558" max="12558" width="9.46875" bestFit="1" customWidth="1"/>
    <col min="12559" max="12560" width="10.41015625" bestFit="1" customWidth="1"/>
    <col min="12561" max="12561" width="9.46875" bestFit="1" customWidth="1"/>
    <col min="12562" max="12562" width="11.76171875" customWidth="1"/>
    <col min="12800" max="12800" width="4.46875" customWidth="1"/>
    <col min="12801" max="12801" width="45.87890625" customWidth="1"/>
    <col min="12802" max="12802" width="15.29296875" customWidth="1"/>
    <col min="12803" max="12804" width="12.29296875" customWidth="1"/>
    <col min="12805" max="12805" width="11.76171875" customWidth="1"/>
    <col min="12806" max="12806" width="12.17578125" customWidth="1"/>
    <col min="12807" max="12807" width="10.9375" customWidth="1"/>
    <col min="12808" max="12808" width="13.41015625" customWidth="1"/>
    <col min="12809" max="12809" width="11.52734375" customWidth="1"/>
    <col min="12810" max="12810" width="13.703125" customWidth="1"/>
    <col min="12811" max="12811" width="7.703125" customWidth="1"/>
    <col min="12812" max="12812" width="8.3515625" customWidth="1"/>
    <col min="12813" max="12813" width="22.46875" customWidth="1"/>
    <col min="12814" max="12814" width="9.46875" bestFit="1" customWidth="1"/>
    <col min="12815" max="12816" width="10.41015625" bestFit="1" customWidth="1"/>
    <col min="12817" max="12817" width="9.46875" bestFit="1" customWidth="1"/>
    <col min="12818" max="12818" width="11.76171875" customWidth="1"/>
    <col min="13056" max="13056" width="4.46875" customWidth="1"/>
    <col min="13057" max="13057" width="45.87890625" customWidth="1"/>
    <col min="13058" max="13058" width="15.29296875" customWidth="1"/>
    <col min="13059" max="13060" width="12.29296875" customWidth="1"/>
    <col min="13061" max="13061" width="11.76171875" customWidth="1"/>
    <col min="13062" max="13062" width="12.17578125" customWidth="1"/>
    <col min="13063" max="13063" width="10.9375" customWidth="1"/>
    <col min="13064" max="13064" width="13.41015625" customWidth="1"/>
    <col min="13065" max="13065" width="11.52734375" customWidth="1"/>
    <col min="13066" max="13066" width="13.703125" customWidth="1"/>
    <col min="13067" max="13067" width="7.703125" customWidth="1"/>
    <col min="13068" max="13068" width="8.3515625" customWidth="1"/>
    <col min="13069" max="13069" width="22.46875" customWidth="1"/>
    <col min="13070" max="13070" width="9.46875" bestFit="1" customWidth="1"/>
    <col min="13071" max="13072" width="10.41015625" bestFit="1" customWidth="1"/>
    <col min="13073" max="13073" width="9.46875" bestFit="1" customWidth="1"/>
    <col min="13074" max="13074" width="11.76171875" customWidth="1"/>
    <col min="13312" max="13312" width="4.46875" customWidth="1"/>
    <col min="13313" max="13313" width="45.87890625" customWidth="1"/>
    <col min="13314" max="13314" width="15.29296875" customWidth="1"/>
    <col min="13315" max="13316" width="12.29296875" customWidth="1"/>
    <col min="13317" max="13317" width="11.76171875" customWidth="1"/>
    <col min="13318" max="13318" width="12.17578125" customWidth="1"/>
    <col min="13319" max="13319" width="10.9375" customWidth="1"/>
    <col min="13320" max="13320" width="13.41015625" customWidth="1"/>
    <col min="13321" max="13321" width="11.52734375" customWidth="1"/>
    <col min="13322" max="13322" width="13.703125" customWidth="1"/>
    <col min="13323" max="13323" width="7.703125" customWidth="1"/>
    <col min="13324" max="13324" width="8.3515625" customWidth="1"/>
    <col min="13325" max="13325" width="22.46875" customWidth="1"/>
    <col min="13326" max="13326" width="9.46875" bestFit="1" customWidth="1"/>
    <col min="13327" max="13328" width="10.41015625" bestFit="1" customWidth="1"/>
    <col min="13329" max="13329" width="9.46875" bestFit="1" customWidth="1"/>
    <col min="13330" max="13330" width="11.76171875" customWidth="1"/>
    <col min="13568" max="13568" width="4.46875" customWidth="1"/>
    <col min="13569" max="13569" width="45.87890625" customWidth="1"/>
    <col min="13570" max="13570" width="15.29296875" customWidth="1"/>
    <col min="13571" max="13572" width="12.29296875" customWidth="1"/>
    <col min="13573" max="13573" width="11.76171875" customWidth="1"/>
    <col min="13574" max="13574" width="12.17578125" customWidth="1"/>
    <col min="13575" max="13575" width="10.9375" customWidth="1"/>
    <col min="13576" max="13576" width="13.41015625" customWidth="1"/>
    <col min="13577" max="13577" width="11.52734375" customWidth="1"/>
    <col min="13578" max="13578" width="13.703125" customWidth="1"/>
    <col min="13579" max="13579" width="7.703125" customWidth="1"/>
    <col min="13580" max="13580" width="8.3515625" customWidth="1"/>
    <col min="13581" max="13581" width="22.46875" customWidth="1"/>
    <col min="13582" max="13582" width="9.46875" bestFit="1" customWidth="1"/>
    <col min="13583" max="13584" width="10.41015625" bestFit="1" customWidth="1"/>
    <col min="13585" max="13585" width="9.46875" bestFit="1" customWidth="1"/>
    <col min="13586" max="13586" width="11.76171875" customWidth="1"/>
    <col min="13824" max="13824" width="4.46875" customWidth="1"/>
    <col min="13825" max="13825" width="45.87890625" customWidth="1"/>
    <col min="13826" max="13826" width="15.29296875" customWidth="1"/>
    <col min="13827" max="13828" width="12.29296875" customWidth="1"/>
    <col min="13829" max="13829" width="11.76171875" customWidth="1"/>
    <col min="13830" max="13830" width="12.17578125" customWidth="1"/>
    <col min="13831" max="13831" width="10.9375" customWidth="1"/>
    <col min="13832" max="13832" width="13.41015625" customWidth="1"/>
    <col min="13833" max="13833" width="11.52734375" customWidth="1"/>
    <col min="13834" max="13834" width="13.703125" customWidth="1"/>
    <col min="13835" max="13835" width="7.703125" customWidth="1"/>
    <col min="13836" max="13836" width="8.3515625" customWidth="1"/>
    <col min="13837" max="13837" width="22.46875" customWidth="1"/>
    <col min="13838" max="13838" width="9.46875" bestFit="1" customWidth="1"/>
    <col min="13839" max="13840" width="10.41015625" bestFit="1" customWidth="1"/>
    <col min="13841" max="13841" width="9.46875" bestFit="1" customWidth="1"/>
    <col min="13842" max="13842" width="11.76171875" customWidth="1"/>
    <col min="14080" max="14080" width="4.46875" customWidth="1"/>
    <col min="14081" max="14081" width="45.87890625" customWidth="1"/>
    <col min="14082" max="14082" width="15.29296875" customWidth="1"/>
    <col min="14083" max="14084" width="12.29296875" customWidth="1"/>
    <col min="14085" max="14085" width="11.76171875" customWidth="1"/>
    <col min="14086" max="14086" width="12.17578125" customWidth="1"/>
    <col min="14087" max="14087" width="10.9375" customWidth="1"/>
    <col min="14088" max="14088" width="13.41015625" customWidth="1"/>
    <col min="14089" max="14089" width="11.52734375" customWidth="1"/>
    <col min="14090" max="14090" width="13.703125" customWidth="1"/>
    <col min="14091" max="14091" width="7.703125" customWidth="1"/>
    <col min="14092" max="14092" width="8.3515625" customWidth="1"/>
    <col min="14093" max="14093" width="22.46875" customWidth="1"/>
    <col min="14094" max="14094" width="9.46875" bestFit="1" customWidth="1"/>
    <col min="14095" max="14096" width="10.41015625" bestFit="1" customWidth="1"/>
    <col min="14097" max="14097" width="9.46875" bestFit="1" customWidth="1"/>
    <col min="14098" max="14098" width="11.76171875" customWidth="1"/>
    <col min="14336" max="14336" width="4.46875" customWidth="1"/>
    <col min="14337" max="14337" width="45.87890625" customWidth="1"/>
    <col min="14338" max="14338" width="15.29296875" customWidth="1"/>
    <col min="14339" max="14340" width="12.29296875" customWidth="1"/>
    <col min="14341" max="14341" width="11.76171875" customWidth="1"/>
    <col min="14342" max="14342" width="12.17578125" customWidth="1"/>
    <col min="14343" max="14343" width="10.9375" customWidth="1"/>
    <col min="14344" max="14344" width="13.41015625" customWidth="1"/>
    <col min="14345" max="14345" width="11.52734375" customWidth="1"/>
    <col min="14346" max="14346" width="13.703125" customWidth="1"/>
    <col min="14347" max="14347" width="7.703125" customWidth="1"/>
    <col min="14348" max="14348" width="8.3515625" customWidth="1"/>
    <col min="14349" max="14349" width="22.46875" customWidth="1"/>
    <col min="14350" max="14350" width="9.46875" bestFit="1" customWidth="1"/>
    <col min="14351" max="14352" width="10.41015625" bestFit="1" customWidth="1"/>
    <col min="14353" max="14353" width="9.46875" bestFit="1" customWidth="1"/>
    <col min="14354" max="14354" width="11.76171875" customWidth="1"/>
    <col min="14592" max="14592" width="4.46875" customWidth="1"/>
    <col min="14593" max="14593" width="45.87890625" customWidth="1"/>
    <col min="14594" max="14594" width="15.29296875" customWidth="1"/>
    <col min="14595" max="14596" width="12.29296875" customWidth="1"/>
    <col min="14597" max="14597" width="11.76171875" customWidth="1"/>
    <col min="14598" max="14598" width="12.17578125" customWidth="1"/>
    <col min="14599" max="14599" width="10.9375" customWidth="1"/>
    <col min="14600" max="14600" width="13.41015625" customWidth="1"/>
    <col min="14601" max="14601" width="11.52734375" customWidth="1"/>
    <col min="14602" max="14602" width="13.703125" customWidth="1"/>
    <col min="14603" max="14603" width="7.703125" customWidth="1"/>
    <col min="14604" max="14604" width="8.3515625" customWidth="1"/>
    <col min="14605" max="14605" width="22.46875" customWidth="1"/>
    <col min="14606" max="14606" width="9.46875" bestFit="1" customWidth="1"/>
    <col min="14607" max="14608" width="10.41015625" bestFit="1" customWidth="1"/>
    <col min="14609" max="14609" width="9.46875" bestFit="1" customWidth="1"/>
    <col min="14610" max="14610" width="11.76171875" customWidth="1"/>
    <col min="14848" max="14848" width="4.46875" customWidth="1"/>
    <col min="14849" max="14849" width="45.87890625" customWidth="1"/>
    <col min="14850" max="14850" width="15.29296875" customWidth="1"/>
    <col min="14851" max="14852" width="12.29296875" customWidth="1"/>
    <col min="14853" max="14853" width="11.76171875" customWidth="1"/>
    <col min="14854" max="14854" width="12.17578125" customWidth="1"/>
    <col min="14855" max="14855" width="10.9375" customWidth="1"/>
    <col min="14856" max="14856" width="13.41015625" customWidth="1"/>
    <col min="14857" max="14857" width="11.52734375" customWidth="1"/>
    <col min="14858" max="14858" width="13.703125" customWidth="1"/>
    <col min="14859" max="14859" width="7.703125" customWidth="1"/>
    <col min="14860" max="14860" width="8.3515625" customWidth="1"/>
    <col min="14861" max="14861" width="22.46875" customWidth="1"/>
    <col min="14862" max="14862" width="9.46875" bestFit="1" customWidth="1"/>
    <col min="14863" max="14864" width="10.41015625" bestFit="1" customWidth="1"/>
    <col min="14865" max="14865" width="9.46875" bestFit="1" customWidth="1"/>
    <col min="14866" max="14866" width="11.76171875" customWidth="1"/>
    <col min="15104" max="15104" width="4.46875" customWidth="1"/>
    <col min="15105" max="15105" width="45.87890625" customWidth="1"/>
    <col min="15106" max="15106" width="15.29296875" customWidth="1"/>
    <col min="15107" max="15108" width="12.29296875" customWidth="1"/>
    <col min="15109" max="15109" width="11.76171875" customWidth="1"/>
    <col min="15110" max="15110" width="12.17578125" customWidth="1"/>
    <col min="15111" max="15111" width="10.9375" customWidth="1"/>
    <col min="15112" max="15112" width="13.41015625" customWidth="1"/>
    <col min="15113" max="15113" width="11.52734375" customWidth="1"/>
    <col min="15114" max="15114" width="13.703125" customWidth="1"/>
    <col min="15115" max="15115" width="7.703125" customWidth="1"/>
    <col min="15116" max="15116" width="8.3515625" customWidth="1"/>
    <col min="15117" max="15117" width="22.46875" customWidth="1"/>
    <col min="15118" max="15118" width="9.46875" bestFit="1" customWidth="1"/>
    <col min="15119" max="15120" width="10.41015625" bestFit="1" customWidth="1"/>
    <col min="15121" max="15121" width="9.46875" bestFit="1" customWidth="1"/>
    <col min="15122" max="15122" width="11.76171875" customWidth="1"/>
    <col min="15360" max="15360" width="4.46875" customWidth="1"/>
    <col min="15361" max="15361" width="45.87890625" customWidth="1"/>
    <col min="15362" max="15362" width="15.29296875" customWidth="1"/>
    <col min="15363" max="15364" width="12.29296875" customWidth="1"/>
    <col min="15365" max="15365" width="11.76171875" customWidth="1"/>
    <col min="15366" max="15366" width="12.17578125" customWidth="1"/>
    <col min="15367" max="15367" width="10.9375" customWidth="1"/>
    <col min="15368" max="15368" width="13.41015625" customWidth="1"/>
    <col min="15369" max="15369" width="11.52734375" customWidth="1"/>
    <col min="15370" max="15370" width="13.703125" customWidth="1"/>
    <col min="15371" max="15371" width="7.703125" customWidth="1"/>
    <col min="15372" max="15372" width="8.3515625" customWidth="1"/>
    <col min="15373" max="15373" width="22.46875" customWidth="1"/>
    <col min="15374" max="15374" width="9.46875" bestFit="1" customWidth="1"/>
    <col min="15375" max="15376" width="10.41015625" bestFit="1" customWidth="1"/>
    <col min="15377" max="15377" width="9.46875" bestFit="1" customWidth="1"/>
    <col min="15378" max="15378" width="11.76171875" customWidth="1"/>
    <col min="15616" max="15616" width="4.46875" customWidth="1"/>
    <col min="15617" max="15617" width="45.87890625" customWidth="1"/>
    <col min="15618" max="15618" width="15.29296875" customWidth="1"/>
    <col min="15619" max="15620" width="12.29296875" customWidth="1"/>
    <col min="15621" max="15621" width="11.76171875" customWidth="1"/>
    <col min="15622" max="15622" width="12.17578125" customWidth="1"/>
    <col min="15623" max="15623" width="10.9375" customWidth="1"/>
    <col min="15624" max="15624" width="13.41015625" customWidth="1"/>
    <col min="15625" max="15625" width="11.52734375" customWidth="1"/>
    <col min="15626" max="15626" width="13.703125" customWidth="1"/>
    <col min="15627" max="15627" width="7.703125" customWidth="1"/>
    <col min="15628" max="15628" width="8.3515625" customWidth="1"/>
    <col min="15629" max="15629" width="22.46875" customWidth="1"/>
    <col min="15630" max="15630" width="9.46875" bestFit="1" customWidth="1"/>
    <col min="15631" max="15632" width="10.41015625" bestFit="1" customWidth="1"/>
    <col min="15633" max="15633" width="9.46875" bestFit="1" customWidth="1"/>
    <col min="15634" max="15634" width="11.76171875" customWidth="1"/>
    <col min="15872" max="15872" width="4.46875" customWidth="1"/>
    <col min="15873" max="15873" width="45.87890625" customWidth="1"/>
    <col min="15874" max="15874" width="15.29296875" customWidth="1"/>
    <col min="15875" max="15876" width="12.29296875" customWidth="1"/>
    <col min="15877" max="15877" width="11.76171875" customWidth="1"/>
    <col min="15878" max="15878" width="12.17578125" customWidth="1"/>
    <col min="15879" max="15879" width="10.9375" customWidth="1"/>
    <col min="15880" max="15880" width="13.41015625" customWidth="1"/>
    <col min="15881" max="15881" width="11.52734375" customWidth="1"/>
    <col min="15882" max="15882" width="13.703125" customWidth="1"/>
    <col min="15883" max="15883" width="7.703125" customWidth="1"/>
    <col min="15884" max="15884" width="8.3515625" customWidth="1"/>
    <col min="15885" max="15885" width="22.46875" customWidth="1"/>
    <col min="15886" max="15886" width="9.46875" bestFit="1" customWidth="1"/>
    <col min="15887" max="15888" width="10.41015625" bestFit="1" customWidth="1"/>
    <col min="15889" max="15889" width="9.46875" bestFit="1" customWidth="1"/>
    <col min="15890" max="15890" width="11.76171875" customWidth="1"/>
    <col min="16128" max="16128" width="4.46875" customWidth="1"/>
    <col min="16129" max="16129" width="45.87890625" customWidth="1"/>
    <col min="16130" max="16130" width="15.29296875" customWidth="1"/>
    <col min="16131" max="16132" width="12.29296875" customWidth="1"/>
    <col min="16133" max="16133" width="11.76171875" customWidth="1"/>
    <col min="16134" max="16134" width="12.17578125" customWidth="1"/>
    <col min="16135" max="16135" width="10.9375" customWidth="1"/>
    <col min="16136" max="16136" width="13.41015625" customWidth="1"/>
    <col min="16137" max="16137" width="11.52734375" customWidth="1"/>
    <col min="16138" max="16138" width="13.703125" customWidth="1"/>
    <col min="16139" max="16139" width="7.703125" customWidth="1"/>
    <col min="16140" max="16140" width="8.3515625" customWidth="1"/>
    <col min="16141" max="16141" width="22.46875" customWidth="1"/>
    <col min="16142" max="16142" width="9.46875" bestFit="1" customWidth="1"/>
    <col min="16143" max="16144" width="10.41015625" bestFit="1" customWidth="1"/>
    <col min="16145" max="16145" width="9.46875" bestFit="1" customWidth="1"/>
    <col min="16146" max="16146" width="11.76171875" customWidth="1"/>
  </cols>
  <sheetData>
    <row r="1" spans="1:8" ht="20" x14ac:dyDescent="0.6">
      <c r="B1" s="15" t="s">
        <v>82</v>
      </c>
    </row>
    <row r="2" spans="1:8" ht="11.7" customHeight="1" x14ac:dyDescent="0.5">
      <c r="B2" s="17" t="s">
        <v>6</v>
      </c>
      <c r="C2" s="16"/>
    </row>
    <row r="3" spans="1:8" ht="20.350000000000001" customHeight="1" x14ac:dyDescent="0.7">
      <c r="B3" s="78" t="s">
        <v>91</v>
      </c>
      <c r="C3" s="80">
        <v>43373</v>
      </c>
      <c r="F3" s="78" t="s">
        <v>84</v>
      </c>
      <c r="G3" s="80">
        <v>43433</v>
      </c>
    </row>
    <row r="4" spans="1:8" ht="16.5" customHeight="1" x14ac:dyDescent="0.7">
      <c r="D4" s="18"/>
      <c r="E4" s="18"/>
      <c r="F4" s="78" t="s">
        <v>84</v>
      </c>
      <c r="G4" s="79" t="s">
        <v>83</v>
      </c>
      <c r="H4" s="18"/>
    </row>
    <row r="5" spans="1:8" ht="6.45" customHeight="1" x14ac:dyDescent="0.7">
      <c r="B5" s="78"/>
      <c r="C5" s="79"/>
      <c r="D5" s="18"/>
      <c r="E5" s="18"/>
      <c r="F5" s="18"/>
      <c r="G5" s="18"/>
      <c r="H5" s="18"/>
    </row>
    <row r="6" spans="1:8" ht="19" customHeight="1" x14ac:dyDescent="0.55000000000000004">
      <c r="A6" s="14">
        <f>ROW()</f>
        <v>6</v>
      </c>
      <c r="B6" s="19" t="s">
        <v>7</v>
      </c>
      <c r="D6" s="18"/>
      <c r="F6" s="19" t="s">
        <v>89</v>
      </c>
      <c r="G6" s="24"/>
    </row>
    <row r="7" spans="1:8" ht="7.5" customHeight="1" x14ac:dyDescent="0.55000000000000004">
      <c r="B7" s="19"/>
      <c r="D7" s="18"/>
      <c r="F7" s="19"/>
      <c r="G7" s="24"/>
    </row>
    <row r="8" spans="1:8" ht="14.25" customHeight="1" thickBot="1" x14ac:dyDescent="0.55000000000000004">
      <c r="A8" s="14">
        <f>ROW()</f>
        <v>8</v>
      </c>
      <c r="B8" s="20" t="s">
        <v>90</v>
      </c>
      <c r="D8" s="21" t="s">
        <v>8</v>
      </c>
      <c r="F8" s="20" t="s">
        <v>87</v>
      </c>
    </row>
    <row r="9" spans="1:8" ht="14.25" customHeight="1" thickTop="1" x14ac:dyDescent="0.5">
      <c r="A9" s="14">
        <f>ROW()</f>
        <v>9</v>
      </c>
      <c r="B9" s="18" t="s">
        <v>10</v>
      </c>
      <c r="C9" s="22">
        <v>6640000</v>
      </c>
      <c r="D9" s="23">
        <f>+C9/$G$10</f>
        <v>21.043290866451162</v>
      </c>
      <c r="F9" s="18" t="e">
        <f>+#REF!</f>
        <v>#REF!</v>
      </c>
      <c r="G9" s="29">
        <v>3.1</v>
      </c>
    </row>
    <row r="10" spans="1:8" ht="14.25" customHeight="1" x14ac:dyDescent="0.5">
      <c r="A10" s="14">
        <f>ROW()</f>
        <v>10</v>
      </c>
      <c r="B10" s="18" t="s">
        <v>12</v>
      </c>
      <c r="C10" s="22">
        <v>470000</v>
      </c>
      <c r="D10" s="23">
        <f>+C10/$G$10</f>
        <v>1.4895100462698865</v>
      </c>
      <c r="F10" s="18" t="s">
        <v>19</v>
      </c>
      <c r="G10" s="22">
        <v>315540</v>
      </c>
    </row>
    <row r="11" spans="1:8" ht="14.25" customHeight="1" x14ac:dyDescent="0.5">
      <c r="A11" s="14">
        <f>ROW()</f>
        <v>11</v>
      </c>
      <c r="B11" s="18" t="s">
        <v>14</v>
      </c>
      <c r="C11" s="25">
        <v>-25200</v>
      </c>
      <c r="D11" s="23">
        <f>+C11/$G$10</f>
        <v>-7.986309184255562E-2</v>
      </c>
      <c r="E11" s="26" t="s">
        <v>15</v>
      </c>
      <c r="F11" s="18" t="s">
        <v>20</v>
      </c>
      <c r="G11" s="30">
        <f>+G10*G9</f>
        <v>978174</v>
      </c>
    </row>
    <row r="12" spans="1:8" ht="16.5" customHeight="1" x14ac:dyDescent="0.5">
      <c r="A12" s="14">
        <f>ROW()</f>
        <v>12</v>
      </c>
      <c r="F12" s="18" t="s">
        <v>88</v>
      </c>
      <c r="G12" s="30">
        <f>+G11+C15-C16</f>
        <v>2960874</v>
      </c>
    </row>
    <row r="13" spans="1:8" ht="16.5" customHeight="1" x14ac:dyDescent="0.5">
      <c r="A13" s="14">
        <f>ROW()</f>
        <v>13</v>
      </c>
      <c r="B13" s="18" t="s">
        <v>17</v>
      </c>
      <c r="C13" s="25">
        <v>4487900</v>
      </c>
      <c r="D13" s="23">
        <f>+C13/$G$10</f>
        <v>14.222919439690688</v>
      </c>
      <c r="F13" s="18" t="s">
        <v>21</v>
      </c>
      <c r="G13" s="31">
        <v>0</v>
      </c>
    </row>
    <row r="14" spans="1:8" ht="16.5" customHeight="1" x14ac:dyDescent="0.5">
      <c r="A14" s="14">
        <f>ROW()</f>
        <v>14</v>
      </c>
      <c r="B14" s="18" t="s">
        <v>18</v>
      </c>
      <c r="C14" s="25">
        <v>97100</v>
      </c>
      <c r="D14" s="23">
        <f>+C14/$G$10</f>
        <v>0.30772643721873616</v>
      </c>
      <c r="F14" s="18" t="s">
        <v>92</v>
      </c>
      <c r="G14">
        <v>2.91</v>
      </c>
    </row>
    <row r="15" spans="1:8" ht="16.5" customHeight="1" x14ac:dyDescent="0.5">
      <c r="A15" s="14">
        <f>ROW()</f>
        <v>15</v>
      </c>
      <c r="B15" s="18" t="s">
        <v>85</v>
      </c>
      <c r="C15" s="25">
        <v>2030000</v>
      </c>
      <c r="D15" s="23">
        <f>+C15/$G$10</f>
        <v>6.4334157317614249</v>
      </c>
    </row>
    <row r="16" spans="1:8" ht="16.5" customHeight="1" thickBot="1" x14ac:dyDescent="0.55000000000000004">
      <c r="A16" s="14">
        <f>ROW()</f>
        <v>16</v>
      </c>
      <c r="B16" s="18" t="s">
        <v>86</v>
      </c>
      <c r="C16" s="25">
        <v>47300</v>
      </c>
      <c r="D16" s="23">
        <f>+C16/$G$10</f>
        <v>0.14990175572035241</v>
      </c>
      <c r="F16" s="20" t="s">
        <v>22</v>
      </c>
      <c r="G16" s="21" t="str">
        <f>+G4</f>
        <v>AKS</v>
      </c>
    </row>
    <row r="17" spans="1:11" ht="16.5" customHeight="1" thickTop="1" x14ac:dyDescent="0.5">
      <c r="A17" s="14">
        <f>ROW()</f>
        <v>17</v>
      </c>
      <c r="B17" s="18"/>
      <c r="C17" s="25"/>
      <c r="D17" s="23"/>
      <c r="F17" s="18" t="s">
        <v>23</v>
      </c>
      <c r="G17" s="32">
        <f>+G9/D21</f>
        <v>10.073882595262615</v>
      </c>
    </row>
    <row r="18" spans="1:11" ht="16.5" customHeight="1" x14ac:dyDescent="0.5">
      <c r="A18" s="14">
        <f>ROW()</f>
        <v>18</v>
      </c>
      <c r="B18" s="20" t="s">
        <v>9</v>
      </c>
      <c r="C18" s="18"/>
      <c r="F18" s="18" t="s">
        <v>24</v>
      </c>
      <c r="G18" s="32">
        <f>+G12/C13</f>
        <v>0.65974598364491188</v>
      </c>
    </row>
    <row r="19" spans="1:11" ht="16.5" customHeight="1" x14ac:dyDescent="0.5">
      <c r="A19" s="14">
        <f>ROW()</f>
        <v>19</v>
      </c>
      <c r="B19" s="18" t="s">
        <v>11</v>
      </c>
      <c r="D19" s="24">
        <f>+C11/C14</f>
        <v>-0.25952626158599384</v>
      </c>
      <c r="F19" s="18" t="s">
        <v>25</v>
      </c>
      <c r="G19" s="32">
        <f>+G12/C11</f>
        <v>-117.495</v>
      </c>
    </row>
    <row r="20" spans="1:11" ht="16.5" customHeight="1" x14ac:dyDescent="0.5">
      <c r="A20" s="14">
        <f>ROW()</f>
        <v>20</v>
      </c>
      <c r="B20" s="18" t="s">
        <v>13</v>
      </c>
      <c r="D20" s="24">
        <f>+C11/C13</f>
        <v>-5.615098375632256E-3</v>
      </c>
      <c r="F20" s="18" t="s">
        <v>26</v>
      </c>
      <c r="G20" s="32">
        <f>+G12/C9</f>
        <v>0.44591475903614458</v>
      </c>
    </row>
    <row r="21" spans="1:11" ht="16.5" customHeight="1" x14ac:dyDescent="0.5">
      <c r="A21" s="14">
        <f>ROW()</f>
        <v>21</v>
      </c>
      <c r="B21" s="18" t="s">
        <v>16</v>
      </c>
      <c r="D21" s="27">
        <f>+C14/G10</f>
        <v>0.30772643721873616</v>
      </c>
      <c r="F21" s="18" t="s">
        <v>27</v>
      </c>
      <c r="G21" s="32">
        <f>+G12/C10</f>
        <v>6.2997319148936173</v>
      </c>
    </row>
    <row r="22" spans="1:11" ht="16.5" customHeight="1" x14ac:dyDescent="0.5">
      <c r="A22" s="14">
        <f>ROW()</f>
        <v>22</v>
      </c>
      <c r="B22" s="18"/>
      <c r="C22" s="25"/>
      <c r="D22" s="23"/>
      <c r="F22" s="18"/>
    </row>
    <row r="23" spans="1:11" ht="16.5" customHeight="1" x14ac:dyDescent="0.5">
      <c r="A23" s="14">
        <f>ROW()</f>
        <v>23</v>
      </c>
      <c r="B23" s="18"/>
      <c r="C23" s="25"/>
      <c r="D23" s="23"/>
      <c r="F23" s="18"/>
    </row>
    <row r="24" spans="1:11" ht="8.1" customHeight="1" x14ac:dyDescent="0.5">
      <c r="A24" s="14">
        <f>ROW()</f>
        <v>24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ht="16.5" customHeight="1" x14ac:dyDescent="0.5">
      <c r="A25" s="14">
        <f>ROW()</f>
        <v>25</v>
      </c>
    </row>
    <row r="26" spans="1:11" ht="7.7" customHeight="1" x14ac:dyDescent="0.5">
      <c r="A26" s="14">
        <f>ROW()</f>
        <v>26</v>
      </c>
    </row>
    <row r="27" spans="1:11" ht="16.5" customHeight="1" x14ac:dyDescent="0.5">
      <c r="A27" s="14">
        <f>ROW()</f>
        <v>27</v>
      </c>
    </row>
    <row r="28" spans="1:11" ht="16.5" customHeight="1" x14ac:dyDescent="0.5">
      <c r="A28" s="14">
        <f>ROW()</f>
        <v>28</v>
      </c>
    </row>
    <row r="29" spans="1:11" ht="16.5" customHeight="1" x14ac:dyDescent="0.5">
      <c r="A29" s="14">
        <f>ROW()</f>
        <v>29</v>
      </c>
    </row>
    <row r="30" spans="1:11" ht="16.5" customHeight="1" x14ac:dyDescent="0.5">
      <c r="A30" s="14">
        <f>ROW()</f>
        <v>30</v>
      </c>
    </row>
    <row r="31" spans="1:11" ht="16.5" customHeight="1" x14ac:dyDescent="0.5">
      <c r="A31" s="14">
        <f>ROW()</f>
        <v>31</v>
      </c>
    </row>
    <row r="32" spans="1:11" ht="16.5" customHeight="1" x14ac:dyDescent="0.5">
      <c r="A32" s="14">
        <f>ROW()</f>
        <v>32</v>
      </c>
    </row>
    <row r="33" spans="1:5" ht="16.5" customHeight="1" x14ac:dyDescent="0.5">
      <c r="A33" s="14">
        <f>ROW()</f>
        <v>33</v>
      </c>
    </row>
    <row r="34" spans="1:5" ht="16.5" customHeight="1" x14ac:dyDescent="0.5">
      <c r="A34" s="14">
        <f>ROW()</f>
        <v>34</v>
      </c>
    </row>
    <row r="35" spans="1:5" ht="16.5" customHeight="1" x14ac:dyDescent="0.5">
      <c r="A35" s="14">
        <f>ROW()</f>
        <v>35</v>
      </c>
    </row>
    <row r="36" spans="1:5" ht="16.5" customHeight="1" x14ac:dyDescent="0.5">
      <c r="A36" s="14">
        <f>ROW()</f>
        <v>36</v>
      </c>
    </row>
    <row r="37" spans="1:5" ht="16.5" customHeight="1" x14ac:dyDescent="0.5">
      <c r="A37" s="14">
        <f>ROW()</f>
        <v>37</v>
      </c>
    </row>
    <row r="38" spans="1:5" ht="16.5" customHeight="1" x14ac:dyDescent="0.5">
      <c r="A38" s="14">
        <f>ROW()</f>
        <v>38</v>
      </c>
    </row>
    <row r="39" spans="1:5" ht="16.5" customHeight="1" x14ac:dyDescent="0.5">
      <c r="A39" s="14">
        <f>ROW()</f>
        <v>39</v>
      </c>
      <c r="E39" s="33"/>
    </row>
    <row r="40" spans="1:5" ht="16.5" customHeight="1" x14ac:dyDescent="0.5"/>
    <row r="41" spans="1:5" ht="16.5" customHeight="1" x14ac:dyDescent="0.6">
      <c r="B41" s="15"/>
      <c r="C41" s="16"/>
    </row>
    <row r="42" spans="1:5" ht="16.5" customHeight="1" x14ac:dyDescent="0.5"/>
    <row r="43" spans="1:5" ht="16.5" customHeight="1" x14ac:dyDescent="0.5"/>
    <row r="44" spans="1:5" ht="16.5" customHeight="1" x14ac:dyDescent="0.5"/>
    <row r="45" spans="1:5" ht="9" customHeight="1" x14ac:dyDescent="0.5"/>
    <row r="46" spans="1:5" ht="16.5" customHeight="1" x14ac:dyDescent="0.5"/>
    <row r="47" spans="1:5" ht="9.6" customHeight="1" x14ac:dyDescent="0.5"/>
    <row r="48" spans="1:5" ht="16.5" customHeight="1" x14ac:dyDescent="0.5"/>
    <row r="49" ht="16.5" customHeight="1" x14ac:dyDescent="0.5"/>
    <row r="50" ht="16.5" customHeight="1" x14ac:dyDescent="0.5"/>
    <row r="51" ht="16.5" customHeight="1" x14ac:dyDescent="0.5"/>
    <row r="52" ht="16.5" customHeight="1" x14ac:dyDescent="0.5"/>
    <row r="53" ht="16.5" customHeight="1" x14ac:dyDescent="0.5"/>
    <row r="54" ht="7.95" customHeight="1" x14ac:dyDescent="0.5"/>
    <row r="55" ht="16.5" customHeight="1" x14ac:dyDescent="0.5"/>
    <row r="56" ht="16.5" customHeight="1" x14ac:dyDescent="0.5"/>
    <row r="101" spans="1:14" x14ac:dyDescent="0.5">
      <c r="A101" s="14">
        <f>ROW()</f>
        <v>101</v>
      </c>
    </row>
    <row r="106" spans="1:14" x14ac:dyDescent="0.5">
      <c r="M106" t="s">
        <v>45</v>
      </c>
      <c r="N106" s="56" t="e">
        <f>+#REF!</f>
        <v>#REF!</v>
      </c>
    </row>
    <row r="107" spans="1:14" x14ac:dyDescent="0.5">
      <c r="M107" t="s">
        <v>46</v>
      </c>
      <c r="N107" s="56" t="e">
        <f>+#REF!</f>
        <v>#REF!</v>
      </c>
    </row>
    <row r="108" spans="1:14" x14ac:dyDescent="0.5">
      <c r="M108" t="s">
        <v>47</v>
      </c>
      <c r="N108" s="56" t="e">
        <f>+#REF!</f>
        <v>#REF!</v>
      </c>
    </row>
    <row r="109" spans="1:14" x14ac:dyDescent="0.5">
      <c r="M109" t="s">
        <v>48</v>
      </c>
      <c r="N109" s="56" t="e">
        <f>+#REF!</f>
        <v>#REF!</v>
      </c>
    </row>
    <row r="110" spans="1:14" x14ac:dyDescent="0.5">
      <c r="M110" t="s">
        <v>49</v>
      </c>
      <c r="N110" s="56" t="e">
        <f>+#REF!</f>
        <v>#REF!</v>
      </c>
    </row>
    <row r="111" spans="1:14" x14ac:dyDescent="0.5">
      <c r="M111" t="s">
        <v>50</v>
      </c>
      <c r="N111" s="56" t="e">
        <f>+#REF!</f>
        <v>#REF!</v>
      </c>
    </row>
    <row r="120" spans="1:9" x14ac:dyDescent="0.5">
      <c r="A120" s="14">
        <f>ROW()</f>
        <v>120</v>
      </c>
    </row>
    <row r="123" spans="1:9" x14ac:dyDescent="0.5">
      <c r="D123" s="4"/>
      <c r="F123" s="4"/>
      <c r="G123" s="4"/>
      <c r="H123" s="4"/>
      <c r="I123" s="4"/>
    </row>
    <row r="124" spans="1:9" x14ac:dyDescent="0.5">
      <c r="D124" s="4"/>
      <c r="F124" s="4"/>
      <c r="G124" s="4"/>
      <c r="H124" s="4"/>
      <c r="I124" s="4"/>
    </row>
    <row r="125" spans="1:9" x14ac:dyDescent="0.5">
      <c r="D125" s="4"/>
      <c r="F125" s="4"/>
      <c r="G125" s="4"/>
      <c r="H125" s="4"/>
      <c r="I125" s="4"/>
    </row>
    <row r="126" spans="1:9" x14ac:dyDescent="0.5">
      <c r="D126" s="4"/>
      <c r="F126" s="4"/>
      <c r="G126" s="4"/>
      <c r="H126" s="4"/>
      <c r="I126" s="4"/>
    </row>
    <row r="127" spans="1:9" x14ac:dyDescent="0.5">
      <c r="D127" s="4"/>
      <c r="F127" s="4"/>
      <c r="G127" s="4"/>
      <c r="H127" s="4"/>
      <c r="I127" s="4"/>
    </row>
    <row r="128" spans="1:9" x14ac:dyDescent="0.5">
      <c r="D128" s="4"/>
      <c r="F128" s="4"/>
    </row>
    <row r="129" spans="4:4" x14ac:dyDescent="0.5">
      <c r="D129" s="4"/>
    </row>
    <row r="130" spans="4:4" x14ac:dyDescent="0.5">
      <c r="D130" s="4"/>
    </row>
    <row r="131" spans="4:4" x14ac:dyDescent="0.5">
      <c r="D131" s="4"/>
    </row>
    <row r="132" spans="4:4" x14ac:dyDescent="0.5">
      <c r="D132" s="4"/>
    </row>
    <row r="133" spans="4:4" x14ac:dyDescent="0.5">
      <c r="D133" s="4"/>
    </row>
    <row r="134" spans="4:4" x14ac:dyDescent="0.5">
      <c r="D134" s="4"/>
    </row>
    <row r="135" spans="4:4" x14ac:dyDescent="0.5">
      <c r="D135" s="4"/>
    </row>
    <row r="136" spans="4:4" x14ac:dyDescent="0.5">
      <c r="D136" s="4"/>
    </row>
    <row r="137" spans="4:4" x14ac:dyDescent="0.5">
      <c r="D137" s="4"/>
    </row>
    <row r="138" spans="4:4" x14ac:dyDescent="0.5">
      <c r="D138" s="4"/>
    </row>
    <row r="139" spans="4:4" x14ac:dyDescent="0.5">
      <c r="D139" s="4"/>
    </row>
    <row r="140" spans="4:4" x14ac:dyDescent="0.5">
      <c r="D140" s="4"/>
    </row>
    <row r="141" spans="4:4" x14ac:dyDescent="0.5">
      <c r="D141" s="4"/>
    </row>
    <row r="142" spans="4:4" x14ac:dyDescent="0.5">
      <c r="D142" s="4"/>
    </row>
    <row r="143" spans="4:4" x14ac:dyDescent="0.5">
      <c r="D143" s="4"/>
    </row>
    <row r="144" spans="4:4" x14ac:dyDescent="0.5">
      <c r="D144" s="4"/>
    </row>
    <row r="145" spans="4:4" x14ac:dyDescent="0.5">
      <c r="D145" s="4"/>
    </row>
    <row r="146" spans="4:4" x14ac:dyDescent="0.5">
      <c r="D146" s="4"/>
    </row>
    <row r="147" spans="4:4" x14ac:dyDescent="0.5">
      <c r="D147" s="4"/>
    </row>
    <row r="148" spans="4:4" x14ac:dyDescent="0.5">
      <c r="D148" s="4"/>
    </row>
    <row r="149" spans="4:4" x14ac:dyDescent="0.5">
      <c r="D149" s="4"/>
    </row>
    <row r="150" spans="4:4" x14ac:dyDescent="0.5">
      <c r="D150" s="4"/>
    </row>
    <row r="151" spans="4:4" x14ac:dyDescent="0.5">
      <c r="D151" s="4"/>
    </row>
    <row r="152" spans="4:4" x14ac:dyDescent="0.5">
      <c r="D152" s="4"/>
    </row>
    <row r="153" spans="4:4" x14ac:dyDescent="0.5">
      <c r="D153" s="4"/>
    </row>
    <row r="154" spans="4:4" x14ac:dyDescent="0.5">
      <c r="D154" s="4"/>
    </row>
    <row r="155" spans="4:4" x14ac:dyDescent="0.5">
      <c r="D155" s="4"/>
    </row>
    <row r="156" spans="4:4" x14ac:dyDescent="0.5">
      <c r="D156" s="4"/>
    </row>
    <row r="157" spans="4:4" x14ac:dyDescent="0.5">
      <c r="D157" s="4"/>
    </row>
    <row r="158" spans="4:4" x14ac:dyDescent="0.5">
      <c r="D158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3A031-D56B-4CD2-8B49-B4B0307893C0}">
  <dimension ref="A1:N23"/>
  <sheetViews>
    <sheetView showGridLines="0" workbookViewId="0">
      <selection activeCell="M18" sqref="M18"/>
    </sheetView>
  </sheetViews>
  <sheetFormatPr defaultRowHeight="14.35" x14ac:dyDescent="0.5"/>
  <cols>
    <col min="1" max="1" width="5.52734375" customWidth="1"/>
    <col min="2" max="2" width="22.29296875" customWidth="1"/>
    <col min="3" max="3" width="19.29296875" customWidth="1"/>
    <col min="5" max="5" width="11.703125" customWidth="1"/>
    <col min="6" max="6" width="10.703125" customWidth="1"/>
    <col min="7" max="7" width="10.1171875" customWidth="1"/>
    <col min="8" max="8" width="10.29296875" customWidth="1"/>
    <col min="9" max="9" width="9.29296875" bestFit="1" customWidth="1"/>
    <col min="11" max="11" width="3.76171875" customWidth="1"/>
  </cols>
  <sheetData>
    <row r="1" spans="1:14" ht="20" x14ac:dyDescent="0.6">
      <c r="A1" s="14"/>
      <c r="B1" s="15" t="str">
        <f>+'[1]Method #1'!B1</f>
        <v>AK Steel Holding Corp. (AKS)</v>
      </c>
      <c r="C1" s="16"/>
    </row>
    <row r="2" spans="1:14" x14ac:dyDescent="0.5">
      <c r="A2" s="14"/>
      <c r="B2" s="17" t="s">
        <v>6</v>
      </c>
      <c r="C2" s="16"/>
    </row>
    <row r="4" spans="1:14" ht="15.35" x14ac:dyDescent="0.5">
      <c r="A4" s="14"/>
      <c r="B4" s="34" t="s">
        <v>241</v>
      </c>
      <c r="C4" s="273"/>
      <c r="D4" s="273"/>
      <c r="E4" s="273"/>
      <c r="F4" s="273"/>
      <c r="G4" s="273"/>
      <c r="H4" s="273"/>
      <c r="I4" s="273"/>
      <c r="J4" s="273"/>
    </row>
    <row r="5" spans="1:14" x14ac:dyDescent="0.5">
      <c r="A5" s="14"/>
    </row>
    <row r="6" spans="1:14" x14ac:dyDescent="0.5">
      <c r="A6" s="14"/>
      <c r="C6" t="s">
        <v>217</v>
      </c>
      <c r="D6" s="224" t="s">
        <v>218</v>
      </c>
      <c r="E6" s="224" t="s">
        <v>181</v>
      </c>
      <c r="F6" s="224" t="s">
        <v>219</v>
      </c>
      <c r="G6" s="224" t="s">
        <v>220</v>
      </c>
      <c r="H6" s="224" t="s">
        <v>221</v>
      </c>
      <c r="I6" s="224" t="s">
        <v>186</v>
      </c>
      <c r="J6" s="224" t="s">
        <v>187</v>
      </c>
      <c r="M6" s="14"/>
      <c r="N6" s="14"/>
    </row>
    <row r="7" spans="1:14" ht="14.7" thickBot="1" x14ac:dyDescent="0.55000000000000004">
      <c r="A7" s="14"/>
      <c r="D7" s="14"/>
      <c r="E7" s="14"/>
      <c r="F7" s="14"/>
      <c r="G7" s="14"/>
      <c r="H7" s="14"/>
      <c r="I7" s="274"/>
      <c r="J7" s="14"/>
      <c r="M7" s="14"/>
      <c r="N7" s="14"/>
    </row>
    <row r="8" spans="1:14" ht="39" thickBot="1" x14ac:dyDescent="0.55000000000000004">
      <c r="A8" s="14"/>
      <c r="B8" s="228" t="s">
        <v>222</v>
      </c>
      <c r="C8" s="228" t="s">
        <v>223</v>
      </c>
      <c r="D8" s="228" t="s">
        <v>224</v>
      </c>
      <c r="E8" s="228" t="s">
        <v>213</v>
      </c>
      <c r="F8" s="228" t="s">
        <v>225</v>
      </c>
      <c r="G8" s="228" t="s">
        <v>226</v>
      </c>
      <c r="H8" s="228" t="s">
        <v>227</v>
      </c>
      <c r="I8" s="228" t="s">
        <v>228</v>
      </c>
      <c r="J8" s="275" t="s">
        <v>196</v>
      </c>
    </row>
    <row r="9" spans="1:14" s="251" customFormat="1" x14ac:dyDescent="0.5">
      <c r="A9" s="14"/>
      <c r="B9" s="276" t="s">
        <v>229</v>
      </c>
      <c r="C9" s="276" t="s">
        <v>230</v>
      </c>
      <c r="D9" s="277">
        <v>47.5</v>
      </c>
      <c r="E9" s="278">
        <v>24000000</v>
      </c>
      <c r="F9" s="279">
        <f>+E9*D9/1000</f>
        <v>1140000</v>
      </c>
      <c r="G9" s="280">
        <v>1500000</v>
      </c>
      <c r="H9" s="279">
        <f>+G9+F9</f>
        <v>2640000</v>
      </c>
      <c r="I9" s="279">
        <v>350000</v>
      </c>
      <c r="J9" s="281">
        <f>+H9/I9</f>
        <v>7.5428571428571427</v>
      </c>
    </row>
    <row r="10" spans="1:14" s="251" customFormat="1" x14ac:dyDescent="0.5">
      <c r="A10" s="14"/>
      <c r="B10" s="276" t="s">
        <v>231</v>
      </c>
      <c r="C10" s="276" t="s">
        <v>232</v>
      </c>
      <c r="D10" s="277">
        <v>34</v>
      </c>
      <c r="E10" s="278">
        <v>123000000</v>
      </c>
      <c r="F10" s="279">
        <f>+E10*D10/1000</f>
        <v>4182000</v>
      </c>
      <c r="G10" s="280">
        <v>2500000</v>
      </c>
      <c r="H10" s="279">
        <f>+G10+F10</f>
        <v>6682000</v>
      </c>
      <c r="I10" s="279">
        <v>1100000</v>
      </c>
      <c r="J10" s="281">
        <f>+H10/I10</f>
        <v>6.0745454545454542</v>
      </c>
    </row>
    <row r="11" spans="1:14" s="251" customFormat="1" x14ac:dyDescent="0.5">
      <c r="A11" s="14"/>
      <c r="B11" s="282" t="s">
        <v>233</v>
      </c>
      <c r="C11" s="282" t="s">
        <v>234</v>
      </c>
      <c r="D11" s="277">
        <v>45</v>
      </c>
      <c r="E11" s="278">
        <v>13500000</v>
      </c>
      <c r="F11" s="279">
        <f t="shared" ref="F11:F14" si="0">+E11*D11/1000</f>
        <v>607500</v>
      </c>
      <c r="G11" s="280">
        <v>450000</v>
      </c>
      <c r="H11" s="279">
        <f t="shared" ref="H11:H14" si="1">+G11+F11</f>
        <v>1057500</v>
      </c>
      <c r="I11" s="279">
        <v>190000</v>
      </c>
      <c r="J11" s="281">
        <f t="shared" ref="J11:J14" si="2">+H11/I11</f>
        <v>5.5657894736842106</v>
      </c>
    </row>
    <row r="12" spans="1:14" s="251" customFormat="1" x14ac:dyDescent="0.5">
      <c r="A12" s="14"/>
      <c r="B12" s="282" t="s">
        <v>235</v>
      </c>
      <c r="C12" s="282" t="s">
        <v>236</v>
      </c>
      <c r="D12" s="277">
        <v>22</v>
      </c>
      <c r="E12" s="278">
        <v>234000000</v>
      </c>
      <c r="F12" s="279">
        <f t="shared" si="0"/>
        <v>5148000</v>
      </c>
      <c r="G12" s="280">
        <v>1400000</v>
      </c>
      <c r="H12" s="279">
        <f t="shared" si="1"/>
        <v>6548000</v>
      </c>
      <c r="I12" s="279">
        <v>1230000</v>
      </c>
      <c r="J12" s="281">
        <f t="shared" si="2"/>
        <v>5.3235772357723574</v>
      </c>
    </row>
    <row r="13" spans="1:14" s="251" customFormat="1" x14ac:dyDescent="0.5">
      <c r="A13" s="14"/>
      <c r="B13" s="283" t="s">
        <v>237</v>
      </c>
      <c r="C13" s="282" t="s">
        <v>238</v>
      </c>
      <c r="D13" s="277">
        <v>12</v>
      </c>
      <c r="E13" s="278">
        <v>85000000</v>
      </c>
      <c r="F13" s="279">
        <f t="shared" si="0"/>
        <v>1020000</v>
      </c>
      <c r="G13" s="280">
        <v>1200000</v>
      </c>
      <c r="H13" s="279">
        <f t="shared" si="1"/>
        <v>2220000</v>
      </c>
      <c r="I13" s="279">
        <v>320000</v>
      </c>
      <c r="J13" s="281">
        <f t="shared" si="2"/>
        <v>6.9375</v>
      </c>
    </row>
    <row r="14" spans="1:14" s="251" customFormat="1" ht="14.7" thickBot="1" x14ac:dyDescent="0.55000000000000004">
      <c r="A14" s="14"/>
      <c r="B14" s="284" t="s">
        <v>239</v>
      </c>
      <c r="C14" s="284" t="s">
        <v>240</v>
      </c>
      <c r="D14" s="277">
        <v>8</v>
      </c>
      <c r="E14" s="278">
        <v>45000000</v>
      </c>
      <c r="F14" s="279">
        <f t="shared" si="0"/>
        <v>360000</v>
      </c>
      <c r="G14" s="280">
        <v>240000</v>
      </c>
      <c r="H14" s="279">
        <f t="shared" si="1"/>
        <v>600000</v>
      </c>
      <c r="I14" s="279">
        <v>98000</v>
      </c>
      <c r="J14" s="281">
        <f t="shared" si="2"/>
        <v>6.1224489795918364</v>
      </c>
    </row>
    <row r="15" spans="1:14" x14ac:dyDescent="0.5">
      <c r="A15" s="14"/>
      <c r="I15" s="3" t="s">
        <v>28</v>
      </c>
      <c r="J15" s="250">
        <f>AVERAGE(J9:J14)</f>
        <v>6.2611197144085002</v>
      </c>
      <c r="K15" s="285"/>
    </row>
    <row r="16" spans="1:14" x14ac:dyDescent="0.5">
      <c r="A16" s="14"/>
      <c r="B16" s="269" t="s">
        <v>208</v>
      </c>
      <c r="C16" s="270">
        <f>+F16*G16</f>
        <v>3860606.4159042812</v>
      </c>
      <c r="E16" s="286"/>
      <c r="F16" s="13">
        <v>616600</v>
      </c>
      <c r="G16" s="38">
        <f>+J15</f>
        <v>6.2611197144085002</v>
      </c>
    </row>
    <row r="17" spans="2:10" x14ac:dyDescent="0.5">
      <c r="B17" s="269" t="s">
        <v>210</v>
      </c>
      <c r="C17" s="270">
        <v>-2354100</v>
      </c>
    </row>
    <row r="18" spans="2:10" x14ac:dyDescent="0.5">
      <c r="B18" s="269" t="s">
        <v>211</v>
      </c>
      <c r="C18" s="270">
        <v>48600</v>
      </c>
      <c r="J18" s="10"/>
    </row>
    <row r="19" spans="2:10" ht="14.7" thickBot="1" x14ac:dyDescent="0.55000000000000004">
      <c r="B19" s="269" t="s">
        <v>212</v>
      </c>
      <c r="C19" s="271">
        <f>SUM(C16:C18)</f>
        <v>1555106.4159042812</v>
      </c>
    </row>
    <row r="20" spans="2:10" ht="14.7" thickTop="1" x14ac:dyDescent="0.5">
      <c r="B20" s="269" t="s">
        <v>215</v>
      </c>
      <c r="C20" s="270">
        <v>315540</v>
      </c>
    </row>
    <row r="21" spans="2:10" ht="27.7" thickBot="1" x14ac:dyDescent="0.55000000000000004">
      <c r="B21" s="252" t="s">
        <v>214</v>
      </c>
      <c r="C21" s="268">
        <f>+C19/C20</f>
        <v>4.9283970840599647</v>
      </c>
    </row>
    <row r="22" spans="2:10" ht="15" thickTop="1" thickBot="1" x14ac:dyDescent="0.55000000000000004">
      <c r="B22" s="269" t="s">
        <v>216</v>
      </c>
      <c r="C22" s="287">
        <f>+C21/3-1</f>
        <v>0.64279902801998823</v>
      </c>
    </row>
    <row r="23" spans="2:10" ht="14.7" thickTop="1" x14ac:dyDescent="0.5">
      <c r="J23" s="10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D5DE6-B61A-4759-B03F-89BD3668CE4A}">
  <dimension ref="B1:K46"/>
  <sheetViews>
    <sheetView showGridLines="0" workbookViewId="0">
      <selection activeCell="O8" sqref="O8"/>
    </sheetView>
  </sheetViews>
  <sheetFormatPr defaultRowHeight="14.35" x14ac:dyDescent="0.5"/>
  <cols>
    <col min="1" max="1" width="3.234375" customWidth="1"/>
    <col min="2" max="2" width="40.76171875" customWidth="1"/>
    <col min="3" max="3" width="14" customWidth="1"/>
    <col min="4" max="4" width="10.8203125" customWidth="1"/>
    <col min="5" max="5" width="3.41015625" customWidth="1"/>
    <col min="7" max="7" width="9.87890625" customWidth="1"/>
    <col min="8" max="11" width="11.3515625" customWidth="1"/>
    <col min="12" max="12" width="2.05859375" customWidth="1"/>
  </cols>
  <sheetData>
    <row r="1" spans="2:11" ht="20.7" x14ac:dyDescent="0.7">
      <c r="B1" s="182" t="s">
        <v>177</v>
      </c>
    </row>
    <row r="2" spans="2:11" ht="15.7" x14ac:dyDescent="0.55000000000000004">
      <c r="B2" s="221" t="s">
        <v>142</v>
      </c>
    </row>
    <row r="3" spans="2:11" ht="9.6999999999999993" customHeight="1" x14ac:dyDescent="0.5"/>
    <row r="4" spans="2:11" x14ac:dyDescent="0.5">
      <c r="B4" s="183" t="s">
        <v>143</v>
      </c>
      <c r="C4" s="183" t="s">
        <v>178</v>
      </c>
      <c r="D4" s="183"/>
      <c r="E4" s="8"/>
      <c r="F4" s="183" t="s">
        <v>144</v>
      </c>
      <c r="G4" s="183" t="s">
        <v>179</v>
      </c>
      <c r="H4" s="184"/>
      <c r="J4" s="183" t="s">
        <v>243</v>
      </c>
      <c r="K4" s="183"/>
    </row>
    <row r="5" spans="2:11" x14ac:dyDescent="0.5">
      <c r="B5" t="s">
        <v>145</v>
      </c>
      <c r="C5" s="191">
        <v>11821.839</v>
      </c>
      <c r="D5" t="s">
        <v>146</v>
      </c>
      <c r="F5" t="s">
        <v>145</v>
      </c>
      <c r="G5" s="191">
        <v>6818.2</v>
      </c>
      <c r="H5" t="s">
        <v>146</v>
      </c>
    </row>
    <row r="6" spans="2:11" x14ac:dyDescent="0.5">
      <c r="B6" t="s">
        <v>2</v>
      </c>
      <c r="C6" s="288">
        <v>1722.4090000000001</v>
      </c>
      <c r="D6" s="4"/>
      <c r="E6" s="4"/>
      <c r="F6" s="4" t="s">
        <v>2</v>
      </c>
      <c r="G6" s="288">
        <v>364.4</v>
      </c>
      <c r="J6" t="s">
        <v>2</v>
      </c>
      <c r="K6" s="185">
        <v>125</v>
      </c>
    </row>
    <row r="7" spans="2:11" x14ac:dyDescent="0.5">
      <c r="B7" t="s">
        <v>147</v>
      </c>
      <c r="C7" s="288">
        <v>126.62</v>
      </c>
      <c r="D7" s="4"/>
      <c r="E7" s="4"/>
      <c r="F7" s="4"/>
      <c r="G7" s="4"/>
      <c r="K7" s="185"/>
    </row>
    <row r="8" spans="2:11" x14ac:dyDescent="0.5">
      <c r="B8" t="s">
        <v>148</v>
      </c>
      <c r="C8" s="75">
        <v>224.1</v>
      </c>
      <c r="D8" s="4" t="s">
        <v>146</v>
      </c>
      <c r="E8" s="4"/>
      <c r="F8" s="4"/>
      <c r="G8" s="4"/>
      <c r="K8" s="185"/>
    </row>
    <row r="10" spans="2:11" x14ac:dyDescent="0.5">
      <c r="B10" s="183" t="s">
        <v>149</v>
      </c>
      <c r="C10" s="183"/>
      <c r="D10" s="183"/>
      <c r="E10" s="183"/>
      <c r="F10" s="183"/>
      <c r="G10" s="183"/>
      <c r="H10" s="183"/>
      <c r="I10" s="183"/>
      <c r="J10" s="183"/>
      <c r="K10" s="183"/>
    </row>
    <row r="11" spans="2:11" x14ac:dyDescent="0.5">
      <c r="B11" s="186" t="s">
        <v>150</v>
      </c>
      <c r="C11" s="186"/>
      <c r="D11" s="187" t="s">
        <v>151</v>
      </c>
      <c r="E11" s="8"/>
      <c r="F11" s="186" t="s">
        <v>152</v>
      </c>
      <c r="G11" s="186"/>
      <c r="H11" s="186"/>
      <c r="I11" s="186"/>
      <c r="J11" s="187"/>
      <c r="K11" s="187"/>
    </row>
    <row r="12" spans="2:11" x14ac:dyDescent="0.5">
      <c r="B12" t="s">
        <v>244</v>
      </c>
      <c r="D12" s="4">
        <f>4*'Fig. 9.8'!E15/1000</f>
        <v>1262.1600000000001</v>
      </c>
      <c r="F12" t="s">
        <v>153</v>
      </c>
      <c r="J12">
        <v>30</v>
      </c>
      <c r="K12" t="s">
        <v>146</v>
      </c>
    </row>
    <row r="13" spans="2:11" x14ac:dyDescent="0.5">
      <c r="B13" t="s">
        <v>154</v>
      </c>
      <c r="D13" s="188">
        <v>0.5</v>
      </c>
      <c r="F13" t="s">
        <v>155</v>
      </c>
      <c r="J13" s="185">
        <v>600</v>
      </c>
      <c r="K13" t="s">
        <v>146</v>
      </c>
    </row>
    <row r="14" spans="2:11" x14ac:dyDescent="0.5">
      <c r="B14" t="s">
        <v>156</v>
      </c>
      <c r="D14" s="188">
        <v>0.5</v>
      </c>
      <c r="F14" t="s">
        <v>157</v>
      </c>
      <c r="J14" s="50">
        <v>0.05</v>
      </c>
      <c r="K14" s="26" t="s">
        <v>245</v>
      </c>
    </row>
    <row r="15" spans="2:11" x14ac:dyDescent="0.5">
      <c r="B15" t="s">
        <v>158</v>
      </c>
      <c r="D15" s="48">
        <f>+D12/G6</f>
        <v>3.463666300768387</v>
      </c>
    </row>
    <row r="17" spans="2:11" x14ac:dyDescent="0.5">
      <c r="D17" s="184" t="s">
        <v>246</v>
      </c>
      <c r="F17" s="183" t="s">
        <v>30</v>
      </c>
      <c r="H17" s="189" t="s">
        <v>159</v>
      </c>
      <c r="I17" s="189"/>
      <c r="J17" s="189"/>
      <c r="K17" s="189"/>
    </row>
    <row r="18" spans="2:11" x14ac:dyDescent="0.5">
      <c r="B18" t="s">
        <v>2</v>
      </c>
      <c r="D18" s="190" t="s">
        <v>37</v>
      </c>
      <c r="F18" s="190" t="s">
        <v>160</v>
      </c>
      <c r="H18" s="190" t="s">
        <v>161</v>
      </c>
      <c r="I18" s="190" t="s">
        <v>162</v>
      </c>
      <c r="J18" s="190" t="s">
        <v>163</v>
      </c>
      <c r="K18" s="190" t="s">
        <v>164</v>
      </c>
    </row>
    <row r="19" spans="2:11" x14ac:dyDescent="0.5">
      <c r="B19" t="str">
        <f>+C4</f>
        <v>Steel Dynamics</v>
      </c>
      <c r="D19" s="33">
        <v>0.05</v>
      </c>
      <c r="F19" s="191">
        <f>+C6</f>
        <v>1722.4090000000001</v>
      </c>
      <c r="H19" s="191">
        <f>+F19*(1+$D$19)</f>
        <v>1808.5294500000002</v>
      </c>
      <c r="I19" s="191">
        <f>+H19*(1+$D$19)</f>
        <v>1898.9559225000003</v>
      </c>
      <c r="J19" s="191">
        <f t="shared" ref="J19:K19" si="0">+I19*(1+$D$19)</f>
        <v>1993.9037186250005</v>
      </c>
      <c r="K19" s="191">
        <f t="shared" si="0"/>
        <v>2093.5989045562505</v>
      </c>
    </row>
    <row r="20" spans="2:11" x14ac:dyDescent="0.5">
      <c r="B20" t="str">
        <f>+G4</f>
        <v>Ak Steel (AKS)</v>
      </c>
      <c r="D20" s="33">
        <v>0.05</v>
      </c>
      <c r="F20" s="288">
        <f>+G6</f>
        <v>364.4</v>
      </c>
      <c r="G20" s="289"/>
      <c r="H20" s="288">
        <f>+F20*(1+$D$20)</f>
        <v>382.62</v>
      </c>
      <c r="I20" s="288">
        <f>+H20*(1+$D$20)</f>
        <v>401.75100000000003</v>
      </c>
      <c r="J20" s="288">
        <f t="shared" ref="J20:K20" si="1">+I20*(1+$D$20)</f>
        <v>421.83855000000005</v>
      </c>
      <c r="K20" s="288">
        <f t="shared" si="1"/>
        <v>442.93047750000005</v>
      </c>
    </row>
    <row r="21" spans="2:11" x14ac:dyDescent="0.5">
      <c r="B21" t="str">
        <f>+J4</f>
        <v>Combined Synergies</v>
      </c>
      <c r="F21" s="288"/>
      <c r="G21" s="289"/>
      <c r="H21" s="288">
        <f>+K6</f>
        <v>125</v>
      </c>
      <c r="I21" s="288">
        <f>+H21</f>
        <v>125</v>
      </c>
      <c r="J21" s="288">
        <f>+I21</f>
        <v>125</v>
      </c>
      <c r="K21" s="288">
        <f>+J21</f>
        <v>125</v>
      </c>
    </row>
    <row r="22" spans="2:11" x14ac:dyDescent="0.5">
      <c r="B22" t="s">
        <v>165</v>
      </c>
      <c r="F22" s="290">
        <f>SUM(F19:F21)</f>
        <v>2086.8090000000002</v>
      </c>
      <c r="G22" s="289"/>
      <c r="H22" s="290">
        <f t="shared" ref="H22:K22" si="2">SUM(H19:H21)</f>
        <v>2316.1494500000003</v>
      </c>
      <c r="I22" s="290">
        <f t="shared" si="2"/>
        <v>2425.7069225000005</v>
      </c>
      <c r="J22" s="290">
        <f t="shared" si="2"/>
        <v>2540.7422686250006</v>
      </c>
      <c r="K22" s="290">
        <f t="shared" si="2"/>
        <v>2661.5293820562506</v>
      </c>
    </row>
    <row r="23" spans="2:11" x14ac:dyDescent="0.5">
      <c r="F23" s="4"/>
      <c r="H23" s="75"/>
      <c r="I23" s="75"/>
      <c r="J23" s="75"/>
      <c r="K23" s="75"/>
    </row>
    <row r="24" spans="2:11" x14ac:dyDescent="0.5">
      <c r="B24" t="s">
        <v>166</v>
      </c>
      <c r="F24" s="75">
        <f>+C7</f>
        <v>126.62</v>
      </c>
      <c r="H24" s="75">
        <f>+$C$7</f>
        <v>126.62</v>
      </c>
      <c r="I24" s="75">
        <f t="shared" ref="I24:K24" si="3">+$C$7</f>
        <v>126.62</v>
      </c>
      <c r="J24" s="75">
        <f t="shared" si="3"/>
        <v>126.62</v>
      </c>
      <c r="K24" s="75">
        <f t="shared" si="3"/>
        <v>126.62</v>
      </c>
    </row>
    <row r="25" spans="2:11" x14ac:dyDescent="0.5">
      <c r="B25" t="s">
        <v>167</v>
      </c>
      <c r="F25" s="4"/>
      <c r="H25" s="76">
        <f>+$J$14*$J$13</f>
        <v>30</v>
      </c>
      <c r="I25" s="76">
        <f>+H25</f>
        <v>30</v>
      </c>
      <c r="J25" s="76">
        <f>+I25</f>
        <v>30</v>
      </c>
      <c r="K25" s="76">
        <f>+J25</f>
        <v>30</v>
      </c>
    </row>
    <row r="26" spans="2:11" x14ac:dyDescent="0.5">
      <c r="B26" t="s">
        <v>168</v>
      </c>
      <c r="H26" s="192">
        <f>SUM(H24:H25)</f>
        <v>156.62</v>
      </c>
      <c r="I26" s="192">
        <f t="shared" ref="I26:K26" si="4">SUM(I24:I25)</f>
        <v>156.62</v>
      </c>
      <c r="J26" s="192">
        <f t="shared" si="4"/>
        <v>156.62</v>
      </c>
      <c r="K26" s="192">
        <f t="shared" si="4"/>
        <v>156.62</v>
      </c>
    </row>
    <row r="27" spans="2:11" x14ac:dyDescent="0.5">
      <c r="B27" t="s">
        <v>169</v>
      </c>
      <c r="H27" s="75">
        <f>+H22-H26</f>
        <v>2159.5294500000005</v>
      </c>
      <c r="I27" s="75">
        <f t="shared" ref="I27:K27" si="5">+I22-I26</f>
        <v>2269.0869225000006</v>
      </c>
      <c r="J27" s="75">
        <f t="shared" si="5"/>
        <v>2384.1222686250007</v>
      </c>
      <c r="K27" s="75">
        <f t="shared" si="5"/>
        <v>2504.9093820562507</v>
      </c>
    </row>
    <row r="28" spans="2:11" ht="14.7" thickBot="1" x14ac:dyDescent="0.55000000000000004">
      <c r="B28" t="s">
        <v>170</v>
      </c>
      <c r="F28" s="188">
        <v>0.36</v>
      </c>
      <c r="H28" s="75">
        <f>+$F$28*H27</f>
        <v>777.43060200000014</v>
      </c>
      <c r="I28" s="75">
        <f t="shared" ref="I28:K28" si="6">+$F$28*I27</f>
        <v>816.87129210000023</v>
      </c>
      <c r="J28" s="75">
        <f t="shared" si="6"/>
        <v>858.28401670500023</v>
      </c>
      <c r="K28" s="75">
        <f t="shared" si="6"/>
        <v>901.76737754025021</v>
      </c>
    </row>
    <row r="29" spans="2:11" ht="14.7" thickBot="1" x14ac:dyDescent="0.55000000000000004">
      <c r="B29" s="193" t="s">
        <v>171</v>
      </c>
      <c r="C29" s="194"/>
      <c r="D29" s="194"/>
      <c r="E29" s="194"/>
      <c r="F29" s="194"/>
      <c r="G29" s="194"/>
      <c r="H29" s="195">
        <f>+H27-H28</f>
        <v>1382.0988480000003</v>
      </c>
      <c r="I29" s="195">
        <f t="shared" ref="I29:K29" si="7">+I27-I28</f>
        <v>1452.2156304000005</v>
      </c>
      <c r="J29" s="195">
        <f t="shared" si="7"/>
        <v>1525.8382519200004</v>
      </c>
      <c r="K29" s="196">
        <f t="shared" si="7"/>
        <v>1603.1420045160005</v>
      </c>
    </row>
    <row r="30" spans="2:11" ht="14.7" thickBot="1" x14ac:dyDescent="0.55000000000000004">
      <c r="H30" s="75"/>
      <c r="I30" s="75"/>
      <c r="J30" s="75"/>
      <c r="K30" s="75"/>
    </row>
    <row r="31" spans="2:11" ht="14.7" thickBot="1" x14ac:dyDescent="0.55000000000000004">
      <c r="B31" s="193" t="s">
        <v>172</v>
      </c>
      <c r="C31" s="194"/>
      <c r="D31" s="194"/>
      <c r="E31" s="194"/>
      <c r="F31" s="194"/>
      <c r="G31" s="194"/>
      <c r="H31" s="195">
        <f>+(H19-H24)*(1-$F$28)</f>
        <v>1076.4220480000001</v>
      </c>
      <c r="I31" s="195">
        <f t="shared" ref="I31:K31" si="8">+(I19-I24)*(1-$F$28)</f>
        <v>1134.2949904000002</v>
      </c>
      <c r="J31" s="195">
        <f t="shared" si="8"/>
        <v>1195.0615799200002</v>
      </c>
      <c r="K31" s="196">
        <f t="shared" si="8"/>
        <v>1258.8664989160004</v>
      </c>
    </row>
    <row r="33" spans="2:11" x14ac:dyDescent="0.5">
      <c r="B33" t="s">
        <v>173</v>
      </c>
      <c r="H33" s="4">
        <f>+$C$8</f>
        <v>224.1</v>
      </c>
      <c r="I33" s="4">
        <f t="shared" ref="I33:K33" si="9">+$C$8</f>
        <v>224.1</v>
      </c>
      <c r="J33" s="4">
        <f t="shared" si="9"/>
        <v>224.1</v>
      </c>
      <c r="K33" s="4">
        <f t="shared" si="9"/>
        <v>224.1</v>
      </c>
    </row>
    <row r="34" spans="2:11" x14ac:dyDescent="0.5">
      <c r="B34" t="s">
        <v>174</v>
      </c>
      <c r="H34" s="4">
        <f>+$J$12</f>
        <v>30</v>
      </c>
      <c r="I34" s="4">
        <f t="shared" ref="I34:K34" si="10">+$J$12</f>
        <v>30</v>
      </c>
      <c r="J34" s="4">
        <f t="shared" si="10"/>
        <v>30</v>
      </c>
      <c r="K34" s="4">
        <f t="shared" si="10"/>
        <v>30</v>
      </c>
    </row>
    <row r="35" spans="2:11" x14ac:dyDescent="0.5">
      <c r="B35" t="s">
        <v>175</v>
      </c>
      <c r="H35" s="197">
        <f>SUM(H33:H34)</f>
        <v>254.1</v>
      </c>
      <c r="I35" s="197">
        <f t="shared" ref="I35:K35" si="11">SUM(I33:I34)</f>
        <v>254.1</v>
      </c>
      <c r="J35" s="197">
        <f t="shared" si="11"/>
        <v>254.1</v>
      </c>
      <c r="K35" s="197">
        <f t="shared" si="11"/>
        <v>254.1</v>
      </c>
    </row>
    <row r="36" spans="2:11" ht="14.7" thickBot="1" x14ac:dyDescent="0.55000000000000004"/>
    <row r="37" spans="2:11" x14ac:dyDescent="0.5">
      <c r="B37" s="198" t="s">
        <v>248</v>
      </c>
      <c r="C37" s="199"/>
      <c r="D37" s="199"/>
      <c r="E37" s="199"/>
      <c r="F37" s="199"/>
      <c r="G37" s="199"/>
      <c r="H37" s="200">
        <f>+H29/H35</f>
        <v>5.439192632821725</v>
      </c>
      <c r="I37" s="200">
        <f t="shared" ref="I37:K37" si="12">+I29/I35</f>
        <v>5.7151343187721393</v>
      </c>
      <c r="J37" s="200">
        <f t="shared" si="12"/>
        <v>6.004873089020073</v>
      </c>
      <c r="K37" s="201">
        <f t="shared" si="12"/>
        <v>6.3090987977804032</v>
      </c>
    </row>
    <row r="38" spans="2:11" ht="14.7" thickBot="1" x14ac:dyDescent="0.55000000000000004">
      <c r="B38" s="202" t="s">
        <v>249</v>
      </c>
      <c r="C38" s="203"/>
      <c r="D38" s="203"/>
      <c r="E38" s="203"/>
      <c r="F38" s="203"/>
      <c r="G38" s="203"/>
      <c r="H38" s="204">
        <f>+H31/H33</f>
        <v>4.8033112360553334</v>
      </c>
      <c r="I38" s="204">
        <f t="shared" ref="I38:K38" si="13">+I31/I33</f>
        <v>5.0615572976349856</v>
      </c>
      <c r="J38" s="204">
        <f t="shared" si="13"/>
        <v>5.3327156622936203</v>
      </c>
      <c r="K38" s="205">
        <f t="shared" si="13"/>
        <v>5.6174319451851868</v>
      </c>
    </row>
    <row r="39" spans="2:11" ht="14.7" thickBot="1" x14ac:dyDescent="0.55000000000000004"/>
    <row r="40" spans="2:11" x14ac:dyDescent="0.5">
      <c r="B40" s="206" t="s">
        <v>247</v>
      </c>
      <c r="C40" s="207"/>
      <c r="D40" s="207"/>
      <c r="E40" s="207"/>
      <c r="F40" s="207"/>
      <c r="G40" s="207"/>
      <c r="H40" s="208">
        <f>+H37-H38</f>
        <v>0.63588139676639166</v>
      </c>
      <c r="I40" s="209">
        <f t="shared" ref="I40:K40" si="14">+I37-I38</f>
        <v>0.65357702113715366</v>
      </c>
      <c r="J40" s="209">
        <f t="shared" si="14"/>
        <v>0.67215742672645273</v>
      </c>
      <c r="K40" s="210">
        <f t="shared" si="14"/>
        <v>0.69166685259521632</v>
      </c>
    </row>
    <row r="41" spans="2:11" x14ac:dyDescent="0.5">
      <c r="B41" s="211" t="s">
        <v>250</v>
      </c>
      <c r="C41" s="212"/>
      <c r="D41" s="212"/>
      <c r="E41" s="212"/>
      <c r="F41" s="212"/>
      <c r="G41" s="212"/>
      <c r="H41" s="213">
        <f>+H37/H38-1</f>
        <v>0.13238396712527045</v>
      </c>
      <c r="I41" s="213">
        <f t="shared" ref="I41:K41" si="15">+I37/I38-1</f>
        <v>0.12912567866070335</v>
      </c>
      <c r="J41" s="213">
        <f t="shared" si="15"/>
        <v>0.12604411509863911</v>
      </c>
      <c r="K41" s="214">
        <f t="shared" si="15"/>
        <v>0.1231286572484529</v>
      </c>
    </row>
    <row r="42" spans="2:11" x14ac:dyDescent="0.5">
      <c r="B42" s="211" t="s">
        <v>176</v>
      </c>
      <c r="C42" s="212"/>
      <c r="D42" s="212"/>
      <c r="E42" s="212"/>
      <c r="F42" s="212"/>
      <c r="G42" s="212"/>
      <c r="H42" s="215" t="str">
        <f>IF(H41&gt;0,"Accretive","Dillutive")</f>
        <v>Accretive</v>
      </c>
      <c r="I42" s="215" t="str">
        <f t="shared" ref="I42:K42" si="16">IF(I41&gt;0,"Accretive","Dillutive")</f>
        <v>Accretive</v>
      </c>
      <c r="J42" s="215" t="str">
        <f t="shared" si="16"/>
        <v>Accretive</v>
      </c>
      <c r="K42" s="216" t="str">
        <f t="shared" si="16"/>
        <v>Accretive</v>
      </c>
    </row>
    <row r="43" spans="2:11" ht="14.7" thickBot="1" x14ac:dyDescent="0.55000000000000004">
      <c r="B43" s="217" t="s">
        <v>251</v>
      </c>
      <c r="C43" s="218"/>
      <c r="D43" s="218"/>
      <c r="E43" s="218"/>
      <c r="F43" s="218"/>
      <c r="G43" s="218"/>
      <c r="H43" s="219">
        <f>-(H40*H35)/(1-$F$28)</f>
        <v>-252.4647858099064</v>
      </c>
      <c r="I43" s="219">
        <f t="shared" ref="I43:K43" si="17">-(I40*I35)/(1-$F$28)</f>
        <v>-259.49050167336054</v>
      </c>
      <c r="J43" s="219">
        <f t="shared" si="17"/>
        <v>-266.86750332998696</v>
      </c>
      <c r="K43" s="220">
        <f t="shared" si="17"/>
        <v>-274.61335506944448</v>
      </c>
    </row>
    <row r="46" spans="2:11" x14ac:dyDescent="0.5">
      <c r="K46" s="10" t="s">
        <v>379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3BA6F-5C85-45B1-8B5D-FE51B2C8FA1D}">
  <dimension ref="A1:L23"/>
  <sheetViews>
    <sheetView showGridLines="0" workbookViewId="0">
      <selection activeCell="D7" sqref="D7"/>
    </sheetView>
  </sheetViews>
  <sheetFormatPr defaultRowHeight="14.35" x14ac:dyDescent="0.5"/>
  <cols>
    <col min="1" max="1" width="3.5859375" customWidth="1"/>
    <col min="2" max="2" width="33.76171875" customWidth="1"/>
    <col min="3" max="3" width="9.29296875" customWidth="1"/>
    <col min="4" max="4" width="8.9375" customWidth="1"/>
    <col min="5" max="6" width="9.3515625" customWidth="1"/>
    <col min="7" max="7" width="9.3515625" style="14" customWidth="1"/>
    <col min="8" max="8" width="9.3515625" customWidth="1"/>
    <col min="9" max="10" width="9.3515625" style="14" customWidth="1"/>
    <col min="11" max="11" width="10.29296875" style="14" customWidth="1"/>
    <col min="12" max="12" width="11.5859375" customWidth="1"/>
    <col min="13" max="13" width="11.05859375" customWidth="1"/>
  </cols>
  <sheetData>
    <row r="1" spans="1:12" ht="18" x14ac:dyDescent="0.6">
      <c r="A1" s="14"/>
      <c r="B1" s="85" t="s">
        <v>105</v>
      </c>
      <c r="C1" s="16"/>
    </row>
    <row r="2" spans="1:12" ht="8.35" customHeight="1" x14ac:dyDescent="0.5"/>
    <row r="3" spans="1:12" ht="15.35" x14ac:dyDescent="0.5">
      <c r="A3" s="14"/>
      <c r="B3" s="34" t="s">
        <v>301</v>
      </c>
      <c r="C3" s="35"/>
      <c r="D3" s="35"/>
      <c r="E3" s="35"/>
      <c r="F3" s="35"/>
      <c r="G3" s="96"/>
      <c r="H3" s="35"/>
      <c r="I3" s="96"/>
      <c r="J3" s="96"/>
    </row>
    <row r="4" spans="1:12" s="1" customFormat="1" ht="15.35" x14ac:dyDescent="0.5">
      <c r="A4" s="57"/>
      <c r="B4" s="58"/>
      <c r="C4" s="18"/>
      <c r="D4" s="18"/>
      <c r="E4" s="18"/>
      <c r="F4" s="18"/>
      <c r="G4" s="66"/>
      <c r="H4" s="18"/>
      <c r="I4" s="66"/>
      <c r="J4" s="66"/>
      <c r="K4" s="14"/>
      <c r="L4"/>
    </row>
    <row r="5" spans="1:12" s="1" customFormat="1" ht="20.350000000000001" customHeight="1" thickBot="1" x14ac:dyDescent="0.55000000000000004">
      <c r="A5" s="57"/>
      <c r="B5" s="299" t="s">
        <v>306</v>
      </c>
      <c r="C5" s="299"/>
      <c r="D5" s="300"/>
      <c r="E5" s="300"/>
      <c r="F5" s="300"/>
      <c r="G5" s="300"/>
      <c r="H5" s="300"/>
      <c r="I5" s="300"/>
      <c r="J5" s="300"/>
      <c r="K5" s="14"/>
      <c r="L5"/>
    </row>
    <row r="6" spans="1:12" s="1" customFormat="1" x14ac:dyDescent="0.5">
      <c r="A6" s="57"/>
      <c r="B6" t="s">
        <v>302</v>
      </c>
      <c r="D6" s="60">
        <f>+'Fig. 9.2'!G9</f>
        <v>3746.0515726191502</v>
      </c>
      <c r="E6" s="60"/>
      <c r="F6" s="60" t="s">
        <v>310</v>
      </c>
      <c r="G6" s="302"/>
      <c r="J6" s="302">
        <v>0.36</v>
      </c>
      <c r="K6" s="14"/>
      <c r="L6"/>
    </row>
    <row r="7" spans="1:12" s="1" customFormat="1" x14ac:dyDescent="0.5">
      <c r="A7" s="57"/>
      <c r="B7" t="s">
        <v>303</v>
      </c>
      <c r="D7" s="60">
        <f>+'Fig 9.3'!C14</f>
        <v>1911.6</v>
      </c>
      <c r="E7" s="60"/>
      <c r="F7" s="60" t="s">
        <v>313</v>
      </c>
      <c r="G7" s="100"/>
      <c r="J7" s="304">
        <f>+J6*D10</f>
        <v>82.550320767861763</v>
      </c>
      <c r="K7" s="14"/>
      <c r="L7"/>
    </row>
    <row r="8" spans="1:12" s="1" customFormat="1" x14ac:dyDescent="0.5">
      <c r="A8" s="57"/>
      <c r="B8" t="s">
        <v>304</v>
      </c>
      <c r="D8" s="301">
        <f>+D6-D7</f>
        <v>1834.4515726191503</v>
      </c>
      <c r="E8" s="60"/>
      <c r="F8" s="60" t="s">
        <v>312</v>
      </c>
      <c r="G8" s="100"/>
      <c r="J8" s="303">
        <v>0.1</v>
      </c>
      <c r="K8" s="14"/>
      <c r="L8"/>
    </row>
    <row r="9" spans="1:12" s="1" customFormat="1" x14ac:dyDescent="0.5">
      <c r="A9" s="57"/>
      <c r="B9" t="s">
        <v>307</v>
      </c>
      <c r="D9" s="60">
        <v>8</v>
      </c>
      <c r="E9" s="60" t="s">
        <v>308</v>
      </c>
      <c r="F9" s="60"/>
      <c r="G9" s="100"/>
      <c r="H9" s="18"/>
      <c r="I9" s="66"/>
      <c r="K9" s="14"/>
      <c r="L9"/>
    </row>
    <row r="10" spans="1:12" s="1" customFormat="1" x14ac:dyDescent="0.5">
      <c r="A10" s="57"/>
      <c r="B10" t="s">
        <v>309</v>
      </c>
      <c r="C10" s="18"/>
      <c r="D10" s="27">
        <f>+D8/D9</f>
        <v>229.30644657739379</v>
      </c>
      <c r="E10" s="18"/>
      <c r="F10" s="18"/>
      <c r="G10" s="66"/>
      <c r="H10" s="18"/>
      <c r="I10" s="66"/>
      <c r="J10" s="66"/>
      <c r="K10" s="14"/>
      <c r="L10"/>
    </row>
    <row r="11" spans="1:12" s="1" customFormat="1" x14ac:dyDescent="0.5">
      <c r="A11" s="57"/>
      <c r="B11"/>
      <c r="C11" s="18"/>
      <c r="D11" s="18"/>
      <c r="E11" s="18"/>
      <c r="F11" s="18"/>
      <c r="G11" s="66"/>
      <c r="H11" s="18"/>
      <c r="I11" s="66"/>
      <c r="J11" s="66"/>
      <c r="K11" s="14"/>
      <c r="L11"/>
    </row>
    <row r="12" spans="1:12" s="1" customFormat="1" ht="14.7" thickBot="1" x14ac:dyDescent="0.55000000000000004">
      <c r="A12" s="57"/>
      <c r="B12" s="299" t="s">
        <v>305</v>
      </c>
      <c r="C12" s="82">
        <v>1</v>
      </c>
      <c r="D12" s="92">
        <v>2</v>
      </c>
      <c r="E12" s="82">
        <v>3</v>
      </c>
      <c r="F12" s="36">
        <v>4</v>
      </c>
      <c r="G12" s="36">
        <v>5</v>
      </c>
      <c r="H12" s="36">
        <v>6</v>
      </c>
      <c r="I12" s="36">
        <v>7</v>
      </c>
      <c r="J12" s="36">
        <v>8</v>
      </c>
      <c r="K12" s="14"/>
      <c r="L12"/>
    </row>
    <row r="13" spans="1:12" s="1" customFormat="1" x14ac:dyDescent="0.5">
      <c r="A13" s="57"/>
      <c r="B13" s="1" t="s">
        <v>311</v>
      </c>
      <c r="C13" s="306">
        <f>+J7</f>
        <v>82.550320767861763</v>
      </c>
      <c r="D13" s="306">
        <f>+C13</f>
        <v>82.550320767861763</v>
      </c>
      <c r="E13" s="306">
        <f t="shared" ref="E13:J13" si="0">+D13</f>
        <v>82.550320767861763</v>
      </c>
      <c r="F13" s="306">
        <f t="shared" si="0"/>
        <v>82.550320767861763</v>
      </c>
      <c r="G13" s="306">
        <f t="shared" si="0"/>
        <v>82.550320767861763</v>
      </c>
      <c r="H13" s="306">
        <f t="shared" si="0"/>
        <v>82.550320767861763</v>
      </c>
      <c r="I13" s="306">
        <f t="shared" si="0"/>
        <v>82.550320767861763</v>
      </c>
      <c r="J13" s="306">
        <f t="shared" si="0"/>
        <v>82.550320767861763</v>
      </c>
      <c r="K13" s="57"/>
      <c r="L13" s="57"/>
    </row>
    <row r="14" spans="1:12" s="1" customFormat="1" x14ac:dyDescent="0.5">
      <c r="A14" s="57"/>
      <c r="B14" s="1" t="s">
        <v>314</v>
      </c>
      <c r="C14" s="305">
        <f>+C13/((1+$J$8)^C12)</f>
        <v>75.045746152601595</v>
      </c>
      <c r="D14" s="305">
        <f t="shared" ref="D14:J14" si="1">+D13/((1+$J$8)^D12)</f>
        <v>68.22340559327418</v>
      </c>
      <c r="E14" s="305">
        <f t="shared" si="1"/>
        <v>62.021277812067424</v>
      </c>
      <c r="F14" s="305">
        <f t="shared" si="1"/>
        <v>56.382979829152205</v>
      </c>
      <c r="G14" s="305">
        <f t="shared" si="1"/>
        <v>51.257254390138364</v>
      </c>
      <c r="H14" s="305">
        <f t="shared" si="1"/>
        <v>46.59750399103487</v>
      </c>
      <c r="I14" s="305">
        <f t="shared" si="1"/>
        <v>42.361367264577147</v>
      </c>
      <c r="J14" s="305">
        <f t="shared" si="1"/>
        <v>38.510333876888318</v>
      </c>
      <c r="L14"/>
    </row>
    <row r="15" spans="1:12" s="1" customFormat="1" x14ac:dyDescent="0.5">
      <c r="A15" s="57"/>
      <c r="C15" s="57"/>
      <c r="D15" s="57"/>
      <c r="E15" s="57"/>
      <c r="F15" s="57"/>
      <c r="G15" s="57"/>
      <c r="H15" s="57"/>
      <c r="I15" s="57"/>
      <c r="J15" s="57"/>
      <c r="L15"/>
    </row>
    <row r="16" spans="1:12" s="1" customFormat="1" x14ac:dyDescent="0.5">
      <c r="A16" s="57"/>
      <c r="B16" s="307" t="s">
        <v>315</v>
      </c>
      <c r="C16" s="308">
        <f>SUM(C14:J14)</f>
        <v>440.3998689097341</v>
      </c>
      <c r="D16" s="309" t="s">
        <v>146</v>
      </c>
      <c r="E16" s="57"/>
      <c r="F16" s="57"/>
      <c r="G16" s="57"/>
      <c r="H16" s="57"/>
      <c r="I16" s="57"/>
      <c r="J16" s="57"/>
      <c r="L16"/>
    </row>
    <row r="17" spans="1:12" s="1" customFormat="1" x14ac:dyDescent="0.5">
      <c r="A17" s="57"/>
      <c r="C17" s="57"/>
      <c r="D17" s="57"/>
      <c r="E17" s="57"/>
      <c r="F17" s="57"/>
      <c r="G17" s="57"/>
      <c r="H17" s="57"/>
      <c r="I17" s="57"/>
      <c r="J17" s="57"/>
      <c r="L17"/>
    </row>
    <row r="18" spans="1:12" s="1" customFormat="1" x14ac:dyDescent="0.5">
      <c r="B18"/>
      <c r="C18" s="18"/>
      <c r="D18" s="18"/>
      <c r="E18"/>
      <c r="G18" s="57"/>
      <c r="H18" s="57"/>
      <c r="I18" s="66"/>
      <c r="J18" s="310" t="s">
        <v>380</v>
      </c>
      <c r="L18" s="18"/>
    </row>
    <row r="19" spans="1:12" s="1" customFormat="1" x14ac:dyDescent="0.5">
      <c r="B19"/>
      <c r="C19" s="18"/>
      <c r="D19" s="18"/>
      <c r="E19"/>
      <c r="G19" s="57"/>
      <c r="I19" s="57"/>
      <c r="J19" s="57"/>
      <c r="K19" s="57"/>
    </row>
    <row r="20" spans="1:12" s="1" customFormat="1" x14ac:dyDescent="0.5">
      <c r="B20"/>
      <c r="C20" s="18"/>
      <c r="D20" s="18"/>
      <c r="E20"/>
      <c r="G20" s="57"/>
      <c r="I20" s="57"/>
      <c r="J20" s="57"/>
      <c r="K20" s="57"/>
    </row>
    <row r="21" spans="1:12" s="1" customFormat="1" x14ac:dyDescent="0.5">
      <c r="B21"/>
      <c r="C21" s="18"/>
      <c r="D21" s="18"/>
      <c r="E21"/>
      <c r="G21" s="57"/>
      <c r="I21" s="57"/>
      <c r="J21" s="57"/>
      <c r="K21" s="57"/>
    </row>
    <row r="22" spans="1:12" s="1" customFormat="1" x14ac:dyDescent="0.5">
      <c r="B22"/>
      <c r="C22" s="18"/>
      <c r="D22" s="18"/>
      <c r="E22"/>
      <c r="F22"/>
      <c r="G22" s="14"/>
      <c r="I22" s="57"/>
      <c r="J22" s="57"/>
      <c r="K22" s="57"/>
    </row>
    <row r="23" spans="1:12" s="1" customFormat="1" x14ac:dyDescent="0.5">
      <c r="B23"/>
      <c r="C23" s="18"/>
      <c r="D23" s="18"/>
      <c r="E23"/>
      <c r="F23"/>
      <c r="G23" s="14"/>
      <c r="I23" s="57"/>
      <c r="J23" s="57"/>
      <c r="K23" s="5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EEFA7-DF06-44AD-A5E9-BEBD596BB455}">
  <dimension ref="B1:R72"/>
  <sheetViews>
    <sheetView showGridLines="0" workbookViewId="0">
      <selection activeCell="B1" sqref="B1"/>
    </sheetView>
  </sheetViews>
  <sheetFormatPr defaultRowHeight="14.35" x14ac:dyDescent="0.5"/>
  <cols>
    <col min="1" max="1" width="3.234375" customWidth="1"/>
    <col min="2" max="2" width="35.05859375" customWidth="1"/>
    <col min="3" max="3" width="10.703125" customWidth="1"/>
    <col min="4" max="4" width="12.05859375" customWidth="1"/>
    <col min="5" max="7" width="13.1171875" customWidth="1"/>
    <col min="8" max="11" width="10.29296875" customWidth="1"/>
    <col min="12" max="12" width="9.3515625" customWidth="1"/>
    <col min="257" max="257" width="3.234375" customWidth="1"/>
    <col min="258" max="258" width="27.29296875" customWidth="1"/>
    <col min="260" max="260" width="10.703125" customWidth="1"/>
    <col min="261" max="261" width="13" customWidth="1"/>
    <col min="262" max="262" width="10.17578125" customWidth="1"/>
    <col min="263" max="263" width="10.8203125" customWidth="1"/>
    <col min="264" max="264" width="16.87890625" customWidth="1"/>
    <col min="266" max="266" width="3.1171875" customWidth="1"/>
    <col min="513" max="513" width="3.234375" customWidth="1"/>
    <col min="514" max="514" width="27.29296875" customWidth="1"/>
    <col min="516" max="516" width="10.703125" customWidth="1"/>
    <col min="517" max="517" width="13" customWidth="1"/>
    <col min="518" max="518" width="10.17578125" customWidth="1"/>
    <col min="519" max="519" width="10.8203125" customWidth="1"/>
    <col min="520" max="520" width="16.87890625" customWidth="1"/>
    <col min="522" max="522" width="3.1171875" customWidth="1"/>
    <col min="769" max="769" width="3.234375" customWidth="1"/>
    <col min="770" max="770" width="27.29296875" customWidth="1"/>
    <col min="772" max="772" width="10.703125" customWidth="1"/>
    <col min="773" max="773" width="13" customWidth="1"/>
    <col min="774" max="774" width="10.17578125" customWidth="1"/>
    <col min="775" max="775" width="10.8203125" customWidth="1"/>
    <col min="776" max="776" width="16.87890625" customWidth="1"/>
    <col min="778" max="778" width="3.1171875" customWidth="1"/>
    <col min="1025" max="1025" width="3.234375" customWidth="1"/>
    <col min="1026" max="1026" width="27.29296875" customWidth="1"/>
    <col min="1028" max="1028" width="10.703125" customWidth="1"/>
    <col min="1029" max="1029" width="13" customWidth="1"/>
    <col min="1030" max="1030" width="10.17578125" customWidth="1"/>
    <col min="1031" max="1031" width="10.8203125" customWidth="1"/>
    <col min="1032" max="1032" width="16.87890625" customWidth="1"/>
    <col min="1034" max="1034" width="3.1171875" customWidth="1"/>
    <col min="1281" max="1281" width="3.234375" customWidth="1"/>
    <col min="1282" max="1282" width="27.29296875" customWidth="1"/>
    <col min="1284" max="1284" width="10.703125" customWidth="1"/>
    <col min="1285" max="1285" width="13" customWidth="1"/>
    <col min="1286" max="1286" width="10.17578125" customWidth="1"/>
    <col min="1287" max="1287" width="10.8203125" customWidth="1"/>
    <col min="1288" max="1288" width="16.87890625" customWidth="1"/>
    <col min="1290" max="1290" width="3.1171875" customWidth="1"/>
    <col min="1537" max="1537" width="3.234375" customWidth="1"/>
    <col min="1538" max="1538" width="27.29296875" customWidth="1"/>
    <col min="1540" max="1540" width="10.703125" customWidth="1"/>
    <col min="1541" max="1541" width="13" customWidth="1"/>
    <col min="1542" max="1542" width="10.17578125" customWidth="1"/>
    <col min="1543" max="1543" width="10.8203125" customWidth="1"/>
    <col min="1544" max="1544" width="16.87890625" customWidth="1"/>
    <col min="1546" max="1546" width="3.1171875" customWidth="1"/>
    <col min="1793" max="1793" width="3.234375" customWidth="1"/>
    <col min="1794" max="1794" width="27.29296875" customWidth="1"/>
    <col min="1796" max="1796" width="10.703125" customWidth="1"/>
    <col min="1797" max="1797" width="13" customWidth="1"/>
    <col min="1798" max="1798" width="10.17578125" customWidth="1"/>
    <col min="1799" max="1799" width="10.8203125" customWidth="1"/>
    <col min="1800" max="1800" width="16.87890625" customWidth="1"/>
    <col min="1802" max="1802" width="3.1171875" customWidth="1"/>
    <col min="2049" max="2049" width="3.234375" customWidth="1"/>
    <col min="2050" max="2050" width="27.29296875" customWidth="1"/>
    <col min="2052" max="2052" width="10.703125" customWidth="1"/>
    <col min="2053" max="2053" width="13" customWidth="1"/>
    <col min="2054" max="2054" width="10.17578125" customWidth="1"/>
    <col min="2055" max="2055" width="10.8203125" customWidth="1"/>
    <col min="2056" max="2056" width="16.87890625" customWidth="1"/>
    <col min="2058" max="2058" width="3.1171875" customWidth="1"/>
    <col min="2305" max="2305" width="3.234375" customWidth="1"/>
    <col min="2306" max="2306" width="27.29296875" customWidth="1"/>
    <col min="2308" max="2308" width="10.703125" customWidth="1"/>
    <col min="2309" max="2309" width="13" customWidth="1"/>
    <col min="2310" max="2310" width="10.17578125" customWidth="1"/>
    <col min="2311" max="2311" width="10.8203125" customWidth="1"/>
    <col min="2312" max="2312" width="16.87890625" customWidth="1"/>
    <col min="2314" max="2314" width="3.1171875" customWidth="1"/>
    <col min="2561" max="2561" width="3.234375" customWidth="1"/>
    <col min="2562" max="2562" width="27.29296875" customWidth="1"/>
    <col min="2564" max="2564" width="10.703125" customWidth="1"/>
    <col min="2565" max="2565" width="13" customWidth="1"/>
    <col min="2566" max="2566" width="10.17578125" customWidth="1"/>
    <col min="2567" max="2567" width="10.8203125" customWidth="1"/>
    <col min="2568" max="2568" width="16.87890625" customWidth="1"/>
    <col min="2570" max="2570" width="3.1171875" customWidth="1"/>
    <col min="2817" max="2817" width="3.234375" customWidth="1"/>
    <col min="2818" max="2818" width="27.29296875" customWidth="1"/>
    <col min="2820" max="2820" width="10.703125" customWidth="1"/>
    <col min="2821" max="2821" width="13" customWidth="1"/>
    <col min="2822" max="2822" width="10.17578125" customWidth="1"/>
    <col min="2823" max="2823" width="10.8203125" customWidth="1"/>
    <col min="2824" max="2824" width="16.87890625" customWidth="1"/>
    <col min="2826" max="2826" width="3.1171875" customWidth="1"/>
    <col min="3073" max="3073" width="3.234375" customWidth="1"/>
    <col min="3074" max="3074" width="27.29296875" customWidth="1"/>
    <col min="3076" max="3076" width="10.703125" customWidth="1"/>
    <col min="3077" max="3077" width="13" customWidth="1"/>
    <col min="3078" max="3078" width="10.17578125" customWidth="1"/>
    <col min="3079" max="3079" width="10.8203125" customWidth="1"/>
    <col min="3080" max="3080" width="16.87890625" customWidth="1"/>
    <col min="3082" max="3082" width="3.1171875" customWidth="1"/>
    <col min="3329" max="3329" width="3.234375" customWidth="1"/>
    <col min="3330" max="3330" width="27.29296875" customWidth="1"/>
    <col min="3332" max="3332" width="10.703125" customWidth="1"/>
    <col min="3333" max="3333" width="13" customWidth="1"/>
    <col min="3334" max="3334" width="10.17578125" customWidth="1"/>
    <col min="3335" max="3335" width="10.8203125" customWidth="1"/>
    <col min="3336" max="3336" width="16.87890625" customWidth="1"/>
    <col min="3338" max="3338" width="3.1171875" customWidth="1"/>
    <col min="3585" max="3585" width="3.234375" customWidth="1"/>
    <col min="3586" max="3586" width="27.29296875" customWidth="1"/>
    <col min="3588" max="3588" width="10.703125" customWidth="1"/>
    <col min="3589" max="3589" width="13" customWidth="1"/>
    <col min="3590" max="3590" width="10.17578125" customWidth="1"/>
    <col min="3591" max="3591" width="10.8203125" customWidth="1"/>
    <col min="3592" max="3592" width="16.87890625" customWidth="1"/>
    <col min="3594" max="3594" width="3.1171875" customWidth="1"/>
    <col min="3841" max="3841" width="3.234375" customWidth="1"/>
    <col min="3842" max="3842" width="27.29296875" customWidth="1"/>
    <col min="3844" max="3844" width="10.703125" customWidth="1"/>
    <col min="3845" max="3845" width="13" customWidth="1"/>
    <col min="3846" max="3846" width="10.17578125" customWidth="1"/>
    <col min="3847" max="3847" width="10.8203125" customWidth="1"/>
    <col min="3848" max="3848" width="16.87890625" customWidth="1"/>
    <col min="3850" max="3850" width="3.1171875" customWidth="1"/>
    <col min="4097" max="4097" width="3.234375" customWidth="1"/>
    <col min="4098" max="4098" width="27.29296875" customWidth="1"/>
    <col min="4100" max="4100" width="10.703125" customWidth="1"/>
    <col min="4101" max="4101" width="13" customWidth="1"/>
    <col min="4102" max="4102" width="10.17578125" customWidth="1"/>
    <col min="4103" max="4103" width="10.8203125" customWidth="1"/>
    <col min="4104" max="4104" width="16.87890625" customWidth="1"/>
    <col min="4106" max="4106" width="3.1171875" customWidth="1"/>
    <col min="4353" max="4353" width="3.234375" customWidth="1"/>
    <col min="4354" max="4354" width="27.29296875" customWidth="1"/>
    <col min="4356" max="4356" width="10.703125" customWidth="1"/>
    <col min="4357" max="4357" width="13" customWidth="1"/>
    <col min="4358" max="4358" width="10.17578125" customWidth="1"/>
    <col min="4359" max="4359" width="10.8203125" customWidth="1"/>
    <col min="4360" max="4360" width="16.87890625" customWidth="1"/>
    <col min="4362" max="4362" width="3.1171875" customWidth="1"/>
    <col min="4609" max="4609" width="3.234375" customWidth="1"/>
    <col min="4610" max="4610" width="27.29296875" customWidth="1"/>
    <col min="4612" max="4612" width="10.703125" customWidth="1"/>
    <col min="4613" max="4613" width="13" customWidth="1"/>
    <col min="4614" max="4614" width="10.17578125" customWidth="1"/>
    <col min="4615" max="4615" width="10.8203125" customWidth="1"/>
    <col min="4616" max="4616" width="16.87890625" customWidth="1"/>
    <col min="4618" max="4618" width="3.1171875" customWidth="1"/>
    <col min="4865" max="4865" width="3.234375" customWidth="1"/>
    <col min="4866" max="4866" width="27.29296875" customWidth="1"/>
    <col min="4868" max="4868" width="10.703125" customWidth="1"/>
    <col min="4869" max="4869" width="13" customWidth="1"/>
    <col min="4870" max="4870" width="10.17578125" customWidth="1"/>
    <col min="4871" max="4871" width="10.8203125" customWidth="1"/>
    <col min="4872" max="4872" width="16.87890625" customWidth="1"/>
    <col min="4874" max="4874" width="3.1171875" customWidth="1"/>
    <col min="5121" max="5121" width="3.234375" customWidth="1"/>
    <col min="5122" max="5122" width="27.29296875" customWidth="1"/>
    <col min="5124" max="5124" width="10.703125" customWidth="1"/>
    <col min="5125" max="5125" width="13" customWidth="1"/>
    <col min="5126" max="5126" width="10.17578125" customWidth="1"/>
    <col min="5127" max="5127" width="10.8203125" customWidth="1"/>
    <col min="5128" max="5128" width="16.87890625" customWidth="1"/>
    <col min="5130" max="5130" width="3.1171875" customWidth="1"/>
    <col min="5377" max="5377" width="3.234375" customWidth="1"/>
    <col min="5378" max="5378" width="27.29296875" customWidth="1"/>
    <col min="5380" max="5380" width="10.703125" customWidth="1"/>
    <col min="5381" max="5381" width="13" customWidth="1"/>
    <col min="5382" max="5382" width="10.17578125" customWidth="1"/>
    <col min="5383" max="5383" width="10.8203125" customWidth="1"/>
    <col min="5384" max="5384" width="16.87890625" customWidth="1"/>
    <col min="5386" max="5386" width="3.1171875" customWidth="1"/>
    <col min="5633" max="5633" width="3.234375" customWidth="1"/>
    <col min="5634" max="5634" width="27.29296875" customWidth="1"/>
    <col min="5636" max="5636" width="10.703125" customWidth="1"/>
    <col min="5637" max="5637" width="13" customWidth="1"/>
    <col min="5638" max="5638" width="10.17578125" customWidth="1"/>
    <col min="5639" max="5639" width="10.8203125" customWidth="1"/>
    <col min="5640" max="5640" width="16.87890625" customWidth="1"/>
    <col min="5642" max="5642" width="3.1171875" customWidth="1"/>
    <col min="5889" max="5889" width="3.234375" customWidth="1"/>
    <col min="5890" max="5890" width="27.29296875" customWidth="1"/>
    <col min="5892" max="5892" width="10.703125" customWidth="1"/>
    <col min="5893" max="5893" width="13" customWidth="1"/>
    <col min="5894" max="5894" width="10.17578125" customWidth="1"/>
    <col min="5895" max="5895" width="10.8203125" customWidth="1"/>
    <col min="5896" max="5896" width="16.87890625" customWidth="1"/>
    <col min="5898" max="5898" width="3.1171875" customWidth="1"/>
    <col min="6145" max="6145" width="3.234375" customWidth="1"/>
    <col min="6146" max="6146" width="27.29296875" customWidth="1"/>
    <col min="6148" max="6148" width="10.703125" customWidth="1"/>
    <col min="6149" max="6149" width="13" customWidth="1"/>
    <col min="6150" max="6150" width="10.17578125" customWidth="1"/>
    <col min="6151" max="6151" width="10.8203125" customWidth="1"/>
    <col min="6152" max="6152" width="16.87890625" customWidth="1"/>
    <col min="6154" max="6154" width="3.1171875" customWidth="1"/>
    <col min="6401" max="6401" width="3.234375" customWidth="1"/>
    <col min="6402" max="6402" width="27.29296875" customWidth="1"/>
    <col min="6404" max="6404" width="10.703125" customWidth="1"/>
    <col min="6405" max="6405" width="13" customWidth="1"/>
    <col min="6406" max="6406" width="10.17578125" customWidth="1"/>
    <col min="6407" max="6407" width="10.8203125" customWidth="1"/>
    <col min="6408" max="6408" width="16.87890625" customWidth="1"/>
    <col min="6410" max="6410" width="3.1171875" customWidth="1"/>
    <col min="6657" max="6657" width="3.234375" customWidth="1"/>
    <col min="6658" max="6658" width="27.29296875" customWidth="1"/>
    <col min="6660" max="6660" width="10.703125" customWidth="1"/>
    <col min="6661" max="6661" width="13" customWidth="1"/>
    <col min="6662" max="6662" width="10.17578125" customWidth="1"/>
    <col min="6663" max="6663" width="10.8203125" customWidth="1"/>
    <col min="6664" max="6664" width="16.87890625" customWidth="1"/>
    <col min="6666" max="6666" width="3.1171875" customWidth="1"/>
    <col min="6913" max="6913" width="3.234375" customWidth="1"/>
    <col min="6914" max="6914" width="27.29296875" customWidth="1"/>
    <col min="6916" max="6916" width="10.703125" customWidth="1"/>
    <col min="6917" max="6917" width="13" customWidth="1"/>
    <col min="6918" max="6918" width="10.17578125" customWidth="1"/>
    <col min="6919" max="6919" width="10.8203125" customWidth="1"/>
    <col min="6920" max="6920" width="16.87890625" customWidth="1"/>
    <col min="6922" max="6922" width="3.1171875" customWidth="1"/>
    <col min="7169" max="7169" width="3.234375" customWidth="1"/>
    <col min="7170" max="7170" width="27.29296875" customWidth="1"/>
    <col min="7172" max="7172" width="10.703125" customWidth="1"/>
    <col min="7173" max="7173" width="13" customWidth="1"/>
    <col min="7174" max="7174" width="10.17578125" customWidth="1"/>
    <col min="7175" max="7175" width="10.8203125" customWidth="1"/>
    <col min="7176" max="7176" width="16.87890625" customWidth="1"/>
    <col min="7178" max="7178" width="3.1171875" customWidth="1"/>
    <col min="7425" max="7425" width="3.234375" customWidth="1"/>
    <col min="7426" max="7426" width="27.29296875" customWidth="1"/>
    <col min="7428" max="7428" width="10.703125" customWidth="1"/>
    <col min="7429" max="7429" width="13" customWidth="1"/>
    <col min="7430" max="7430" width="10.17578125" customWidth="1"/>
    <col min="7431" max="7431" width="10.8203125" customWidth="1"/>
    <col min="7432" max="7432" width="16.87890625" customWidth="1"/>
    <col min="7434" max="7434" width="3.1171875" customWidth="1"/>
    <col min="7681" max="7681" width="3.234375" customWidth="1"/>
    <col min="7682" max="7682" width="27.29296875" customWidth="1"/>
    <col min="7684" max="7684" width="10.703125" customWidth="1"/>
    <col min="7685" max="7685" width="13" customWidth="1"/>
    <col min="7686" max="7686" width="10.17578125" customWidth="1"/>
    <col min="7687" max="7687" width="10.8203125" customWidth="1"/>
    <col min="7688" max="7688" width="16.87890625" customWidth="1"/>
    <col min="7690" max="7690" width="3.1171875" customWidth="1"/>
    <col min="7937" max="7937" width="3.234375" customWidth="1"/>
    <col min="7938" max="7938" width="27.29296875" customWidth="1"/>
    <col min="7940" max="7940" width="10.703125" customWidth="1"/>
    <col min="7941" max="7941" width="13" customWidth="1"/>
    <col min="7942" max="7942" width="10.17578125" customWidth="1"/>
    <col min="7943" max="7943" width="10.8203125" customWidth="1"/>
    <col min="7944" max="7944" width="16.87890625" customWidth="1"/>
    <col min="7946" max="7946" width="3.1171875" customWidth="1"/>
    <col min="8193" max="8193" width="3.234375" customWidth="1"/>
    <col min="8194" max="8194" width="27.29296875" customWidth="1"/>
    <col min="8196" max="8196" width="10.703125" customWidth="1"/>
    <col min="8197" max="8197" width="13" customWidth="1"/>
    <col min="8198" max="8198" width="10.17578125" customWidth="1"/>
    <col min="8199" max="8199" width="10.8203125" customWidth="1"/>
    <col min="8200" max="8200" width="16.87890625" customWidth="1"/>
    <col min="8202" max="8202" width="3.1171875" customWidth="1"/>
    <col min="8449" max="8449" width="3.234375" customWidth="1"/>
    <col min="8450" max="8450" width="27.29296875" customWidth="1"/>
    <col min="8452" max="8452" width="10.703125" customWidth="1"/>
    <col min="8453" max="8453" width="13" customWidth="1"/>
    <col min="8454" max="8454" width="10.17578125" customWidth="1"/>
    <col min="8455" max="8455" width="10.8203125" customWidth="1"/>
    <col min="8456" max="8456" width="16.87890625" customWidth="1"/>
    <col min="8458" max="8458" width="3.1171875" customWidth="1"/>
    <col min="8705" max="8705" width="3.234375" customWidth="1"/>
    <col min="8706" max="8706" width="27.29296875" customWidth="1"/>
    <col min="8708" max="8708" width="10.703125" customWidth="1"/>
    <col min="8709" max="8709" width="13" customWidth="1"/>
    <col min="8710" max="8710" width="10.17578125" customWidth="1"/>
    <col min="8711" max="8711" width="10.8203125" customWidth="1"/>
    <col min="8712" max="8712" width="16.87890625" customWidth="1"/>
    <col min="8714" max="8714" width="3.1171875" customWidth="1"/>
    <col min="8961" max="8961" width="3.234375" customWidth="1"/>
    <col min="8962" max="8962" width="27.29296875" customWidth="1"/>
    <col min="8964" max="8964" width="10.703125" customWidth="1"/>
    <col min="8965" max="8965" width="13" customWidth="1"/>
    <col min="8966" max="8966" width="10.17578125" customWidth="1"/>
    <col min="8967" max="8967" width="10.8203125" customWidth="1"/>
    <col min="8968" max="8968" width="16.87890625" customWidth="1"/>
    <col min="8970" max="8970" width="3.1171875" customWidth="1"/>
    <col min="9217" max="9217" width="3.234375" customWidth="1"/>
    <col min="9218" max="9218" width="27.29296875" customWidth="1"/>
    <col min="9220" max="9220" width="10.703125" customWidth="1"/>
    <col min="9221" max="9221" width="13" customWidth="1"/>
    <col min="9222" max="9222" width="10.17578125" customWidth="1"/>
    <col min="9223" max="9223" width="10.8203125" customWidth="1"/>
    <col min="9224" max="9224" width="16.87890625" customWidth="1"/>
    <col min="9226" max="9226" width="3.1171875" customWidth="1"/>
    <col min="9473" max="9473" width="3.234375" customWidth="1"/>
    <col min="9474" max="9474" width="27.29296875" customWidth="1"/>
    <col min="9476" max="9476" width="10.703125" customWidth="1"/>
    <col min="9477" max="9477" width="13" customWidth="1"/>
    <col min="9478" max="9478" width="10.17578125" customWidth="1"/>
    <col min="9479" max="9479" width="10.8203125" customWidth="1"/>
    <col min="9480" max="9480" width="16.87890625" customWidth="1"/>
    <col min="9482" max="9482" width="3.1171875" customWidth="1"/>
    <col min="9729" max="9729" width="3.234375" customWidth="1"/>
    <col min="9730" max="9730" width="27.29296875" customWidth="1"/>
    <col min="9732" max="9732" width="10.703125" customWidth="1"/>
    <col min="9733" max="9733" width="13" customWidth="1"/>
    <col min="9734" max="9734" width="10.17578125" customWidth="1"/>
    <col min="9735" max="9735" width="10.8203125" customWidth="1"/>
    <col min="9736" max="9736" width="16.87890625" customWidth="1"/>
    <col min="9738" max="9738" width="3.1171875" customWidth="1"/>
    <col min="9985" max="9985" width="3.234375" customWidth="1"/>
    <col min="9986" max="9986" width="27.29296875" customWidth="1"/>
    <col min="9988" max="9988" width="10.703125" customWidth="1"/>
    <col min="9989" max="9989" width="13" customWidth="1"/>
    <col min="9990" max="9990" width="10.17578125" customWidth="1"/>
    <col min="9991" max="9991" width="10.8203125" customWidth="1"/>
    <col min="9992" max="9992" width="16.87890625" customWidth="1"/>
    <col min="9994" max="9994" width="3.1171875" customWidth="1"/>
    <col min="10241" max="10241" width="3.234375" customWidth="1"/>
    <col min="10242" max="10242" width="27.29296875" customWidth="1"/>
    <col min="10244" max="10244" width="10.703125" customWidth="1"/>
    <col min="10245" max="10245" width="13" customWidth="1"/>
    <col min="10246" max="10246" width="10.17578125" customWidth="1"/>
    <col min="10247" max="10247" width="10.8203125" customWidth="1"/>
    <col min="10248" max="10248" width="16.87890625" customWidth="1"/>
    <col min="10250" max="10250" width="3.1171875" customWidth="1"/>
    <col min="10497" max="10497" width="3.234375" customWidth="1"/>
    <col min="10498" max="10498" width="27.29296875" customWidth="1"/>
    <col min="10500" max="10500" width="10.703125" customWidth="1"/>
    <col min="10501" max="10501" width="13" customWidth="1"/>
    <col min="10502" max="10502" width="10.17578125" customWidth="1"/>
    <col min="10503" max="10503" width="10.8203125" customWidth="1"/>
    <col min="10504" max="10504" width="16.87890625" customWidth="1"/>
    <col min="10506" max="10506" width="3.1171875" customWidth="1"/>
    <col min="10753" max="10753" width="3.234375" customWidth="1"/>
    <col min="10754" max="10754" width="27.29296875" customWidth="1"/>
    <col min="10756" max="10756" width="10.703125" customWidth="1"/>
    <col min="10757" max="10757" width="13" customWidth="1"/>
    <col min="10758" max="10758" width="10.17578125" customWidth="1"/>
    <col min="10759" max="10759" width="10.8203125" customWidth="1"/>
    <col min="10760" max="10760" width="16.87890625" customWidth="1"/>
    <col min="10762" max="10762" width="3.1171875" customWidth="1"/>
    <col min="11009" max="11009" width="3.234375" customWidth="1"/>
    <col min="11010" max="11010" width="27.29296875" customWidth="1"/>
    <col min="11012" max="11012" width="10.703125" customWidth="1"/>
    <col min="11013" max="11013" width="13" customWidth="1"/>
    <col min="11014" max="11014" width="10.17578125" customWidth="1"/>
    <col min="11015" max="11015" width="10.8203125" customWidth="1"/>
    <col min="11016" max="11016" width="16.87890625" customWidth="1"/>
    <col min="11018" max="11018" width="3.1171875" customWidth="1"/>
    <col min="11265" max="11265" width="3.234375" customWidth="1"/>
    <col min="11266" max="11266" width="27.29296875" customWidth="1"/>
    <col min="11268" max="11268" width="10.703125" customWidth="1"/>
    <col min="11269" max="11269" width="13" customWidth="1"/>
    <col min="11270" max="11270" width="10.17578125" customWidth="1"/>
    <col min="11271" max="11271" width="10.8203125" customWidth="1"/>
    <col min="11272" max="11272" width="16.87890625" customWidth="1"/>
    <col min="11274" max="11274" width="3.1171875" customWidth="1"/>
    <col min="11521" max="11521" width="3.234375" customWidth="1"/>
    <col min="11522" max="11522" width="27.29296875" customWidth="1"/>
    <col min="11524" max="11524" width="10.703125" customWidth="1"/>
    <col min="11525" max="11525" width="13" customWidth="1"/>
    <col min="11526" max="11526" width="10.17578125" customWidth="1"/>
    <col min="11527" max="11527" width="10.8203125" customWidth="1"/>
    <col min="11528" max="11528" width="16.87890625" customWidth="1"/>
    <col min="11530" max="11530" width="3.1171875" customWidth="1"/>
    <col min="11777" max="11777" width="3.234375" customWidth="1"/>
    <col min="11778" max="11778" width="27.29296875" customWidth="1"/>
    <col min="11780" max="11780" width="10.703125" customWidth="1"/>
    <col min="11781" max="11781" width="13" customWidth="1"/>
    <col min="11782" max="11782" width="10.17578125" customWidth="1"/>
    <col min="11783" max="11783" width="10.8203125" customWidth="1"/>
    <col min="11784" max="11784" width="16.87890625" customWidth="1"/>
    <col min="11786" max="11786" width="3.1171875" customWidth="1"/>
    <col min="12033" max="12033" width="3.234375" customWidth="1"/>
    <col min="12034" max="12034" width="27.29296875" customWidth="1"/>
    <col min="12036" max="12036" width="10.703125" customWidth="1"/>
    <col min="12037" max="12037" width="13" customWidth="1"/>
    <col min="12038" max="12038" width="10.17578125" customWidth="1"/>
    <col min="12039" max="12039" width="10.8203125" customWidth="1"/>
    <col min="12040" max="12040" width="16.87890625" customWidth="1"/>
    <col min="12042" max="12042" width="3.1171875" customWidth="1"/>
    <col min="12289" max="12289" width="3.234375" customWidth="1"/>
    <col min="12290" max="12290" width="27.29296875" customWidth="1"/>
    <col min="12292" max="12292" width="10.703125" customWidth="1"/>
    <col min="12293" max="12293" width="13" customWidth="1"/>
    <col min="12294" max="12294" width="10.17578125" customWidth="1"/>
    <col min="12295" max="12295" width="10.8203125" customWidth="1"/>
    <col min="12296" max="12296" width="16.87890625" customWidth="1"/>
    <col min="12298" max="12298" width="3.1171875" customWidth="1"/>
    <col min="12545" max="12545" width="3.234375" customWidth="1"/>
    <col min="12546" max="12546" width="27.29296875" customWidth="1"/>
    <col min="12548" max="12548" width="10.703125" customWidth="1"/>
    <col min="12549" max="12549" width="13" customWidth="1"/>
    <col min="12550" max="12550" width="10.17578125" customWidth="1"/>
    <col min="12551" max="12551" width="10.8203125" customWidth="1"/>
    <col min="12552" max="12552" width="16.87890625" customWidth="1"/>
    <col min="12554" max="12554" width="3.1171875" customWidth="1"/>
    <col min="12801" max="12801" width="3.234375" customWidth="1"/>
    <col min="12802" max="12802" width="27.29296875" customWidth="1"/>
    <col min="12804" max="12804" width="10.703125" customWidth="1"/>
    <col min="12805" max="12805" width="13" customWidth="1"/>
    <col min="12806" max="12806" width="10.17578125" customWidth="1"/>
    <col min="12807" max="12807" width="10.8203125" customWidth="1"/>
    <col min="12808" max="12808" width="16.87890625" customWidth="1"/>
    <col min="12810" max="12810" width="3.1171875" customWidth="1"/>
    <col min="13057" max="13057" width="3.234375" customWidth="1"/>
    <col min="13058" max="13058" width="27.29296875" customWidth="1"/>
    <col min="13060" max="13060" width="10.703125" customWidth="1"/>
    <col min="13061" max="13061" width="13" customWidth="1"/>
    <col min="13062" max="13062" width="10.17578125" customWidth="1"/>
    <col min="13063" max="13063" width="10.8203125" customWidth="1"/>
    <col min="13064" max="13064" width="16.87890625" customWidth="1"/>
    <col min="13066" max="13066" width="3.1171875" customWidth="1"/>
    <col min="13313" max="13313" width="3.234375" customWidth="1"/>
    <col min="13314" max="13314" width="27.29296875" customWidth="1"/>
    <col min="13316" max="13316" width="10.703125" customWidth="1"/>
    <col min="13317" max="13317" width="13" customWidth="1"/>
    <col min="13318" max="13318" width="10.17578125" customWidth="1"/>
    <col min="13319" max="13319" width="10.8203125" customWidth="1"/>
    <col min="13320" max="13320" width="16.87890625" customWidth="1"/>
    <col min="13322" max="13322" width="3.1171875" customWidth="1"/>
    <col min="13569" max="13569" width="3.234375" customWidth="1"/>
    <col min="13570" max="13570" width="27.29296875" customWidth="1"/>
    <col min="13572" max="13572" width="10.703125" customWidth="1"/>
    <col min="13573" max="13573" width="13" customWidth="1"/>
    <col min="13574" max="13574" width="10.17578125" customWidth="1"/>
    <col min="13575" max="13575" width="10.8203125" customWidth="1"/>
    <col min="13576" max="13576" width="16.87890625" customWidth="1"/>
    <col min="13578" max="13578" width="3.1171875" customWidth="1"/>
    <col min="13825" max="13825" width="3.234375" customWidth="1"/>
    <col min="13826" max="13826" width="27.29296875" customWidth="1"/>
    <col min="13828" max="13828" width="10.703125" customWidth="1"/>
    <col min="13829" max="13829" width="13" customWidth="1"/>
    <col min="13830" max="13830" width="10.17578125" customWidth="1"/>
    <col min="13831" max="13831" width="10.8203125" customWidth="1"/>
    <col min="13832" max="13832" width="16.87890625" customWidth="1"/>
    <col min="13834" max="13834" width="3.1171875" customWidth="1"/>
    <col min="14081" max="14081" width="3.234375" customWidth="1"/>
    <col min="14082" max="14082" width="27.29296875" customWidth="1"/>
    <col min="14084" max="14084" width="10.703125" customWidth="1"/>
    <col min="14085" max="14085" width="13" customWidth="1"/>
    <col min="14086" max="14086" width="10.17578125" customWidth="1"/>
    <col min="14087" max="14087" width="10.8203125" customWidth="1"/>
    <col min="14088" max="14088" width="16.87890625" customWidth="1"/>
    <col min="14090" max="14090" width="3.1171875" customWidth="1"/>
    <col min="14337" max="14337" width="3.234375" customWidth="1"/>
    <col min="14338" max="14338" width="27.29296875" customWidth="1"/>
    <col min="14340" max="14340" width="10.703125" customWidth="1"/>
    <col min="14341" max="14341" width="13" customWidth="1"/>
    <col min="14342" max="14342" width="10.17578125" customWidth="1"/>
    <col min="14343" max="14343" width="10.8203125" customWidth="1"/>
    <col min="14344" max="14344" width="16.87890625" customWidth="1"/>
    <col min="14346" max="14346" width="3.1171875" customWidth="1"/>
    <col min="14593" max="14593" width="3.234375" customWidth="1"/>
    <col min="14594" max="14594" width="27.29296875" customWidth="1"/>
    <col min="14596" max="14596" width="10.703125" customWidth="1"/>
    <col min="14597" max="14597" width="13" customWidth="1"/>
    <col min="14598" max="14598" width="10.17578125" customWidth="1"/>
    <col min="14599" max="14599" width="10.8203125" customWidth="1"/>
    <col min="14600" max="14600" width="16.87890625" customWidth="1"/>
    <col min="14602" max="14602" width="3.1171875" customWidth="1"/>
    <col min="14849" max="14849" width="3.234375" customWidth="1"/>
    <col min="14850" max="14850" width="27.29296875" customWidth="1"/>
    <col min="14852" max="14852" width="10.703125" customWidth="1"/>
    <col min="14853" max="14853" width="13" customWidth="1"/>
    <col min="14854" max="14854" width="10.17578125" customWidth="1"/>
    <col min="14855" max="14855" width="10.8203125" customWidth="1"/>
    <col min="14856" max="14856" width="16.87890625" customWidth="1"/>
    <col min="14858" max="14858" width="3.1171875" customWidth="1"/>
    <col min="15105" max="15105" width="3.234375" customWidth="1"/>
    <col min="15106" max="15106" width="27.29296875" customWidth="1"/>
    <col min="15108" max="15108" width="10.703125" customWidth="1"/>
    <col min="15109" max="15109" width="13" customWidth="1"/>
    <col min="15110" max="15110" width="10.17578125" customWidth="1"/>
    <col min="15111" max="15111" width="10.8203125" customWidth="1"/>
    <col min="15112" max="15112" width="16.87890625" customWidth="1"/>
    <col min="15114" max="15114" width="3.1171875" customWidth="1"/>
    <col min="15361" max="15361" width="3.234375" customWidth="1"/>
    <col min="15362" max="15362" width="27.29296875" customWidth="1"/>
    <col min="15364" max="15364" width="10.703125" customWidth="1"/>
    <col min="15365" max="15365" width="13" customWidth="1"/>
    <col min="15366" max="15366" width="10.17578125" customWidth="1"/>
    <col min="15367" max="15367" width="10.8203125" customWidth="1"/>
    <col min="15368" max="15368" width="16.87890625" customWidth="1"/>
    <col min="15370" max="15370" width="3.1171875" customWidth="1"/>
    <col min="15617" max="15617" width="3.234375" customWidth="1"/>
    <col min="15618" max="15618" width="27.29296875" customWidth="1"/>
    <col min="15620" max="15620" width="10.703125" customWidth="1"/>
    <col min="15621" max="15621" width="13" customWidth="1"/>
    <col min="15622" max="15622" width="10.17578125" customWidth="1"/>
    <col min="15623" max="15623" width="10.8203125" customWidth="1"/>
    <col min="15624" max="15624" width="16.87890625" customWidth="1"/>
    <col min="15626" max="15626" width="3.1171875" customWidth="1"/>
    <col min="15873" max="15873" width="3.234375" customWidth="1"/>
    <col min="15874" max="15874" width="27.29296875" customWidth="1"/>
    <col min="15876" max="15876" width="10.703125" customWidth="1"/>
    <col min="15877" max="15877" width="13" customWidth="1"/>
    <col min="15878" max="15878" width="10.17578125" customWidth="1"/>
    <col min="15879" max="15879" width="10.8203125" customWidth="1"/>
    <col min="15880" max="15880" width="16.87890625" customWidth="1"/>
    <col min="15882" max="15882" width="3.1171875" customWidth="1"/>
    <col min="16129" max="16129" width="3.234375" customWidth="1"/>
    <col min="16130" max="16130" width="27.29296875" customWidth="1"/>
    <col min="16132" max="16132" width="10.703125" customWidth="1"/>
    <col min="16133" max="16133" width="13" customWidth="1"/>
    <col min="16134" max="16134" width="10.17578125" customWidth="1"/>
    <col min="16135" max="16135" width="10.8203125" customWidth="1"/>
    <col min="16136" max="16136" width="16.87890625" customWidth="1"/>
    <col min="16138" max="16138" width="3.1171875" customWidth="1"/>
  </cols>
  <sheetData>
    <row r="1" spans="2:13" ht="20" x14ac:dyDescent="0.6">
      <c r="B1" s="15" t="s">
        <v>405</v>
      </c>
    </row>
    <row r="2" spans="2:13" x14ac:dyDescent="0.5">
      <c r="B2" s="3" t="s">
        <v>406</v>
      </c>
      <c r="F2" s="358"/>
      <c r="H2" s="358"/>
    </row>
    <row r="3" spans="2:13" x14ac:dyDescent="0.5">
      <c r="B3" s="3"/>
      <c r="F3" s="358"/>
      <c r="H3" s="358"/>
    </row>
    <row r="4" spans="2:13" ht="18" customHeight="1" x14ac:dyDescent="0.5">
      <c r="B4" s="183" t="s">
        <v>353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2:13" ht="54.35" customHeight="1" x14ac:dyDescent="0.5">
      <c r="B5" s="325" t="s">
        <v>354</v>
      </c>
      <c r="C5" s="326" t="s">
        <v>420</v>
      </c>
      <c r="D5" s="313" t="s">
        <v>356</v>
      </c>
      <c r="E5" s="313" t="s">
        <v>357</v>
      </c>
      <c r="F5" s="326" t="s">
        <v>358</v>
      </c>
      <c r="H5" s="325" t="s">
        <v>360</v>
      </c>
      <c r="I5" s="325"/>
      <c r="J5" s="326" t="s">
        <v>419</v>
      </c>
      <c r="K5" s="326" t="s">
        <v>434</v>
      </c>
      <c r="L5" s="326" t="s">
        <v>356</v>
      </c>
    </row>
    <row r="6" spans="2:13" x14ac:dyDescent="0.5">
      <c r="B6" t="s">
        <v>408</v>
      </c>
      <c r="C6" s="375">
        <v>50</v>
      </c>
      <c r="D6" s="376">
        <v>0</v>
      </c>
      <c r="E6" s="33">
        <f>+D6/$D$10</f>
        <v>0</v>
      </c>
      <c r="F6" s="328">
        <v>0</v>
      </c>
      <c r="H6" t="s">
        <v>417</v>
      </c>
      <c r="K6" s="373">
        <f>+L6/F27</f>
        <v>3.1241776139407471</v>
      </c>
      <c r="L6" s="362">
        <f>+C70</f>
        <v>49.674424061657895</v>
      </c>
    </row>
    <row r="7" spans="2:13" x14ac:dyDescent="0.5">
      <c r="B7" t="s">
        <v>409</v>
      </c>
      <c r="C7" s="375"/>
      <c r="D7" s="377">
        <f>+C7*E32</f>
        <v>0</v>
      </c>
      <c r="E7" s="330">
        <f t="shared" ref="E7:E10" si="0">+D7/$D$10</f>
        <v>0</v>
      </c>
      <c r="F7" s="331">
        <v>0</v>
      </c>
      <c r="H7" t="s">
        <v>418</v>
      </c>
      <c r="J7" s="74">
        <f>+L7/D14</f>
        <v>0.62942219166842883</v>
      </c>
      <c r="L7" s="362">
        <f>+E61-C70</f>
        <v>25.176887666737152</v>
      </c>
    </row>
    <row r="8" spans="2:13" x14ac:dyDescent="0.5">
      <c r="B8" t="s">
        <v>365</v>
      </c>
      <c r="C8" s="375"/>
      <c r="D8" s="376">
        <f>SUM(D6:D7)</f>
        <v>0</v>
      </c>
      <c r="E8" s="33">
        <f t="shared" si="0"/>
        <v>0</v>
      </c>
      <c r="F8" s="332"/>
      <c r="H8" t="s">
        <v>364</v>
      </c>
      <c r="I8" s="50">
        <v>3.5000000000000003E-2</v>
      </c>
      <c r="K8" s="327"/>
      <c r="L8" s="362">
        <f>+I8*L6</f>
        <v>1.7386048421580265</v>
      </c>
    </row>
    <row r="9" spans="2:13" x14ac:dyDescent="0.5">
      <c r="B9" t="s">
        <v>60</v>
      </c>
      <c r="C9" s="375"/>
      <c r="D9" s="377">
        <f>+L10-D8</f>
        <v>76.589916570553072</v>
      </c>
      <c r="E9" s="33">
        <f t="shared" si="0"/>
        <v>1</v>
      </c>
      <c r="F9" s="333">
        <v>0.25</v>
      </c>
      <c r="L9" s="362"/>
    </row>
    <row r="10" spans="2:13" ht="14.7" thickBot="1" x14ac:dyDescent="0.55000000000000004">
      <c r="B10" t="s">
        <v>366</v>
      </c>
      <c r="C10" s="375"/>
      <c r="D10" s="374">
        <f>SUM(D8:D9)</f>
        <v>76.589916570553072</v>
      </c>
      <c r="E10" s="335">
        <f t="shared" si="0"/>
        <v>1</v>
      </c>
      <c r="F10" s="336"/>
      <c r="L10" s="374">
        <f>SUM(L6:L9)</f>
        <v>76.589916570553072</v>
      </c>
    </row>
    <row r="11" spans="2:13" ht="14.7" thickTop="1" x14ac:dyDescent="0.5"/>
    <row r="13" spans="2:13" s="296" customFormat="1" ht="20.45" customHeight="1" x14ac:dyDescent="0.5">
      <c r="B13" s="378" t="s">
        <v>425</v>
      </c>
      <c r="C13" s="379"/>
      <c r="D13" s="379"/>
      <c r="E13" s="379"/>
      <c r="G13" s="378" t="s">
        <v>427</v>
      </c>
      <c r="H13" s="379"/>
      <c r="I13" s="379"/>
      <c r="J13" s="379"/>
      <c r="K13" s="379"/>
      <c r="L13" s="379"/>
    </row>
    <row r="14" spans="2:13" x14ac:dyDescent="0.5">
      <c r="B14" t="s">
        <v>411</v>
      </c>
      <c r="D14">
        <v>40</v>
      </c>
      <c r="E14" t="s">
        <v>146</v>
      </c>
      <c r="G14" t="s">
        <v>423</v>
      </c>
      <c r="L14" s="50">
        <v>3.1510000000000003E-2</v>
      </c>
    </row>
    <row r="15" spans="2:13" x14ac:dyDescent="0.5">
      <c r="B15" t="s">
        <v>410</v>
      </c>
      <c r="D15">
        <v>5</v>
      </c>
      <c r="E15" t="s">
        <v>308</v>
      </c>
      <c r="G15" t="s">
        <v>421</v>
      </c>
      <c r="L15" s="50">
        <v>2.1600000000000001E-2</v>
      </c>
    </row>
    <row r="16" spans="2:13" x14ac:dyDescent="0.5">
      <c r="B16" t="s">
        <v>381</v>
      </c>
      <c r="D16" s="74">
        <v>0.2</v>
      </c>
      <c r="E16" t="s">
        <v>436</v>
      </c>
      <c r="G16" t="s">
        <v>424</v>
      </c>
      <c r="L16">
        <v>0.25</v>
      </c>
      <c r="M16" s="359">
        <f>80/((1.1)^10)</f>
        <v>30.843463154362517</v>
      </c>
    </row>
    <row r="17" spans="2:18" x14ac:dyDescent="0.5">
      <c r="B17" t="s">
        <v>81</v>
      </c>
      <c r="D17" s="74">
        <f>162/450</f>
        <v>0.36</v>
      </c>
      <c r="G17" t="s">
        <v>422</v>
      </c>
      <c r="L17" s="50">
        <v>0.88300000000000001</v>
      </c>
    </row>
    <row r="19" spans="2:18" ht="17.350000000000001" customHeight="1" x14ac:dyDescent="0.5">
      <c r="B19" s="380" t="s">
        <v>428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0" spans="2:18" ht="17.45" customHeight="1" x14ac:dyDescent="0.5">
      <c r="C20" s="313" t="s">
        <v>160</v>
      </c>
      <c r="D20" s="313" t="s">
        <v>161</v>
      </c>
      <c r="E20" s="313" t="s">
        <v>162</v>
      </c>
      <c r="F20" s="313" t="s">
        <v>163</v>
      </c>
      <c r="G20" s="313" t="s">
        <v>164</v>
      </c>
      <c r="H20" s="313" t="s">
        <v>407</v>
      </c>
    </row>
    <row r="21" spans="2:18" ht="9" customHeight="1" x14ac:dyDescent="0.5">
      <c r="D21" s="14"/>
      <c r="E21" s="14"/>
      <c r="F21" s="14"/>
      <c r="G21" s="14"/>
      <c r="H21" s="14"/>
    </row>
    <row r="22" spans="2:18" x14ac:dyDescent="0.5">
      <c r="B22" t="s">
        <v>416</v>
      </c>
      <c r="C22" s="50"/>
      <c r="D22" s="367">
        <v>125</v>
      </c>
      <c r="E22" s="367">
        <v>113.75</v>
      </c>
      <c r="F22" s="367">
        <v>111.48</v>
      </c>
      <c r="G22" s="367">
        <v>125</v>
      </c>
      <c r="H22" s="367">
        <v>140</v>
      </c>
      <c r="Q22" t="s">
        <v>160</v>
      </c>
      <c r="R22">
        <v>0</v>
      </c>
    </row>
    <row r="23" spans="2:18" x14ac:dyDescent="0.5">
      <c r="B23" t="s">
        <v>101</v>
      </c>
      <c r="C23" s="50"/>
      <c r="D23" s="367">
        <v>-98</v>
      </c>
      <c r="E23" s="367">
        <v>-81</v>
      </c>
      <c r="F23" s="367">
        <v>-70</v>
      </c>
      <c r="G23" s="367">
        <v>-69.56</v>
      </c>
      <c r="H23" s="367">
        <v>-72.34</v>
      </c>
      <c r="Q23" t="s">
        <v>161</v>
      </c>
      <c r="R23" s="362">
        <f>+D34</f>
        <v>-34.5</v>
      </c>
    </row>
    <row r="24" spans="2:18" x14ac:dyDescent="0.5">
      <c r="B24" t="s">
        <v>412</v>
      </c>
      <c r="C24" s="50"/>
      <c r="D24" s="368">
        <v>-72</v>
      </c>
      <c r="E24" s="368">
        <v>-45</v>
      </c>
      <c r="F24" s="368">
        <v>-20.58</v>
      </c>
      <c r="G24" s="368">
        <v>-21.4</v>
      </c>
      <c r="H24" s="368">
        <v>-22.26</v>
      </c>
      <c r="Q24" t="s">
        <v>162</v>
      </c>
      <c r="R24" s="362">
        <f>+E34</f>
        <v>-13.315</v>
      </c>
    </row>
    <row r="25" spans="2:18" x14ac:dyDescent="0.5">
      <c r="B25" s="8" t="s">
        <v>1</v>
      </c>
      <c r="C25" s="50"/>
      <c r="D25" s="367">
        <f>SUM(D22:D24)</f>
        <v>-45</v>
      </c>
      <c r="E25" s="367">
        <f t="shared" ref="E25:H25" si="1">SUM(E22:E24)</f>
        <v>-12.25</v>
      </c>
      <c r="F25" s="367">
        <f t="shared" si="1"/>
        <v>20.900000000000006</v>
      </c>
      <c r="G25" s="367">
        <f t="shared" si="1"/>
        <v>34.04</v>
      </c>
      <c r="H25" s="367">
        <f t="shared" si="1"/>
        <v>45.399999999999991</v>
      </c>
      <c r="Q25" t="s">
        <v>163</v>
      </c>
      <c r="R25" s="362">
        <f>+F34</f>
        <v>7.9464000000000041</v>
      </c>
    </row>
    <row r="26" spans="2:18" x14ac:dyDescent="0.5">
      <c r="B26" t="s">
        <v>376</v>
      </c>
      <c r="C26" s="50"/>
      <c r="D26" s="368">
        <v>-5</v>
      </c>
      <c r="E26" s="368">
        <f>+D26</f>
        <v>-5</v>
      </c>
      <c r="F26" s="368">
        <f t="shared" ref="F26:H26" si="2">+E26</f>
        <v>-5</v>
      </c>
      <c r="G26" s="368">
        <f t="shared" si="2"/>
        <v>-5</v>
      </c>
      <c r="H26" s="368">
        <f t="shared" si="2"/>
        <v>-5</v>
      </c>
      <c r="Q26" t="s">
        <v>164</v>
      </c>
      <c r="R26" s="362">
        <f>+G34</f>
        <v>16.085599999999999</v>
      </c>
    </row>
    <row r="27" spans="2:18" x14ac:dyDescent="0.5">
      <c r="B27" s="3" t="s">
        <v>382</v>
      </c>
      <c r="C27" s="360"/>
      <c r="D27" s="107">
        <f>+D25+D26</f>
        <v>-50</v>
      </c>
      <c r="E27" s="107">
        <f t="shared" ref="E27:H27" si="3">+E25+E26</f>
        <v>-17.25</v>
      </c>
      <c r="F27" s="107">
        <f t="shared" si="3"/>
        <v>15.900000000000006</v>
      </c>
      <c r="G27" s="107">
        <f t="shared" si="3"/>
        <v>29.04</v>
      </c>
      <c r="H27" s="107">
        <f t="shared" si="3"/>
        <v>40.399999999999991</v>
      </c>
      <c r="Q27" t="s">
        <v>407</v>
      </c>
      <c r="R27" s="362">
        <f>+H34</f>
        <v>23.055999999999994</v>
      </c>
    </row>
    <row r="28" spans="2:18" x14ac:dyDescent="0.5">
      <c r="B28" s="18" t="s">
        <v>330</v>
      </c>
      <c r="C28" s="360"/>
      <c r="D28" s="369">
        <f>-$D$17*D27</f>
        <v>18</v>
      </c>
      <c r="E28" s="369">
        <f>-$D$17*E27</f>
        <v>6.21</v>
      </c>
      <c r="F28" s="369">
        <f>-$D$17*F27</f>
        <v>-5.724000000000002</v>
      </c>
      <c r="G28" s="369">
        <f>-$D$17*G27</f>
        <v>-10.4544</v>
      </c>
      <c r="H28" s="369">
        <f>-$D$17*H27</f>
        <v>-14.543999999999997</v>
      </c>
    </row>
    <row r="29" spans="2:18" x14ac:dyDescent="0.5">
      <c r="B29" s="3" t="s">
        <v>66</v>
      </c>
      <c r="C29" s="360"/>
      <c r="D29" s="107">
        <f>+D27+D28</f>
        <v>-32</v>
      </c>
      <c r="E29" s="107">
        <f t="shared" ref="E29:H29" si="4">+E27+E28</f>
        <v>-11.04</v>
      </c>
      <c r="F29" s="107">
        <f t="shared" si="4"/>
        <v>10.176000000000004</v>
      </c>
      <c r="G29" s="107">
        <f t="shared" si="4"/>
        <v>18.585599999999999</v>
      </c>
      <c r="H29" s="107">
        <f t="shared" si="4"/>
        <v>25.855999999999995</v>
      </c>
    </row>
    <row r="30" spans="2:18" x14ac:dyDescent="0.5">
      <c r="B30" s="3"/>
      <c r="C30" s="360"/>
      <c r="D30" s="107"/>
      <c r="E30" s="107"/>
      <c r="F30" s="107"/>
      <c r="G30" s="107"/>
      <c r="H30" s="107"/>
    </row>
    <row r="31" spans="2:18" x14ac:dyDescent="0.5">
      <c r="B31" s="18" t="s">
        <v>414</v>
      </c>
      <c r="C31" s="360"/>
      <c r="D31" s="108">
        <f>-D26</f>
        <v>5</v>
      </c>
      <c r="E31" s="108">
        <f t="shared" ref="E31:H31" si="5">-E26</f>
        <v>5</v>
      </c>
      <c r="F31" s="108">
        <f t="shared" si="5"/>
        <v>5</v>
      </c>
      <c r="G31" s="108">
        <f t="shared" si="5"/>
        <v>5</v>
      </c>
      <c r="H31" s="108">
        <f t="shared" si="5"/>
        <v>5</v>
      </c>
    </row>
    <row r="32" spans="2:18" x14ac:dyDescent="0.5">
      <c r="B32" t="s">
        <v>413</v>
      </c>
      <c r="C32" s="50"/>
      <c r="D32" s="367">
        <f>+D26</f>
        <v>-5</v>
      </c>
      <c r="E32" s="367">
        <f t="shared" ref="E32:H32" si="6">+E26</f>
        <v>-5</v>
      </c>
      <c r="F32" s="367">
        <f t="shared" si="6"/>
        <v>-5</v>
      </c>
      <c r="G32" s="367">
        <f t="shared" si="6"/>
        <v>-5</v>
      </c>
      <c r="H32" s="367">
        <f t="shared" si="6"/>
        <v>-5</v>
      </c>
    </row>
    <row r="33" spans="2:12" x14ac:dyDescent="0.5">
      <c r="B33" t="s">
        <v>415</v>
      </c>
      <c r="C33" s="188">
        <v>0.02</v>
      </c>
      <c r="D33" s="367">
        <f>-$C$33*D22</f>
        <v>-2.5</v>
      </c>
      <c r="E33" s="367">
        <f>-$C$33*E22</f>
        <v>-2.2749999999999999</v>
      </c>
      <c r="F33" s="367">
        <f>-$C$33*F22</f>
        <v>-2.2296</v>
      </c>
      <c r="G33" s="367">
        <f>-$C$33*G22</f>
        <v>-2.5</v>
      </c>
      <c r="H33" s="367">
        <f>-$C$33*H22</f>
        <v>-2.8000000000000003</v>
      </c>
    </row>
    <row r="34" spans="2:12" ht="14.7" thickBot="1" x14ac:dyDescent="0.55000000000000004">
      <c r="B34" t="s">
        <v>383</v>
      </c>
      <c r="D34" s="370">
        <f>SUM(D29:D33)</f>
        <v>-34.5</v>
      </c>
      <c r="E34" s="370">
        <f>SUM(E29:E33)</f>
        <v>-13.315</v>
      </c>
      <c r="F34" s="370">
        <f>SUM(F29:F33)</f>
        <v>7.9464000000000041</v>
      </c>
      <c r="G34" s="370">
        <f>SUM(G29:G33)</f>
        <v>16.085599999999999</v>
      </c>
      <c r="H34" s="370">
        <f>SUM(H29:H33)</f>
        <v>23.055999999999994</v>
      </c>
    </row>
    <row r="35" spans="2:12" ht="14.7" thickTop="1" x14ac:dyDescent="0.5">
      <c r="D35" s="14"/>
      <c r="E35" s="371"/>
      <c r="F35" s="371"/>
      <c r="G35" s="371"/>
      <c r="H35" s="371"/>
    </row>
    <row r="36" spans="2:12" x14ac:dyDescent="0.5">
      <c r="B36" t="s">
        <v>384</v>
      </c>
      <c r="C36" s="48">
        <v>5</v>
      </c>
      <c r="D36" s="14" t="s">
        <v>1</v>
      </c>
      <c r="E36" s="371"/>
      <c r="F36" s="371"/>
      <c r="G36" s="371"/>
      <c r="H36" s="371">
        <f>+C36*H25</f>
        <v>226.99999999999994</v>
      </c>
    </row>
    <row r="37" spans="2:12" x14ac:dyDescent="0.5">
      <c r="D37" s="14"/>
      <c r="E37" s="14"/>
      <c r="F37" s="14"/>
      <c r="G37" s="14"/>
      <c r="H37" s="14"/>
    </row>
    <row r="38" spans="2:12" ht="14.7" thickBot="1" x14ac:dyDescent="0.55000000000000004">
      <c r="B38" s="3" t="s">
        <v>385</v>
      </c>
      <c r="C38" s="363">
        <f>NPV(D16,D38:H38)</f>
        <v>74.851311728395046</v>
      </c>
      <c r="D38" s="372">
        <f>SUM(D34:D37)</f>
        <v>-34.5</v>
      </c>
      <c r="E38" s="372">
        <f>SUM(E34:E37)</f>
        <v>-13.315</v>
      </c>
      <c r="F38" s="372">
        <f>SUM(F34:F37)</f>
        <v>7.9464000000000041</v>
      </c>
      <c r="G38" s="372">
        <f>SUM(G34:G37)</f>
        <v>16.085599999999999</v>
      </c>
      <c r="H38" s="372">
        <f>SUM(H34:H37)</f>
        <v>250.05599999999993</v>
      </c>
    </row>
    <row r="39" spans="2:12" ht="14.7" thickTop="1" x14ac:dyDescent="0.5">
      <c r="B39" s="3" t="s">
        <v>426</v>
      </c>
      <c r="C39" s="363">
        <f>NPV(F9,D39:H39)</f>
        <v>56.473968639999974</v>
      </c>
      <c r="D39" s="362">
        <f>+D38</f>
        <v>-34.5</v>
      </c>
      <c r="E39" s="362">
        <f t="shared" ref="E39:H40" si="7">+E38</f>
        <v>-13.315</v>
      </c>
      <c r="F39" s="362">
        <f t="shared" si="7"/>
        <v>7.9464000000000041</v>
      </c>
      <c r="G39" s="362">
        <f t="shared" si="7"/>
        <v>16.085599999999999</v>
      </c>
      <c r="H39" s="362">
        <f t="shared" si="7"/>
        <v>250.05599999999993</v>
      </c>
    </row>
    <row r="40" spans="2:12" ht="14.7" thickBot="1" x14ac:dyDescent="0.55000000000000004">
      <c r="B40" s="8" t="s">
        <v>438</v>
      </c>
      <c r="C40" s="362">
        <f>-L6</f>
        <v>-49.674424061657895</v>
      </c>
      <c r="D40" s="361">
        <f>+D39</f>
        <v>-34.5</v>
      </c>
      <c r="E40" s="361">
        <f>+E39</f>
        <v>-13.315</v>
      </c>
      <c r="F40" s="361">
        <f t="shared" si="7"/>
        <v>7.9464000000000041</v>
      </c>
      <c r="G40" s="361">
        <f t="shared" si="7"/>
        <v>16.085599999999999</v>
      </c>
      <c r="H40" s="361">
        <f t="shared" si="7"/>
        <v>250.05599999999993</v>
      </c>
    </row>
    <row r="41" spans="2:12" ht="15" thickTop="1" thickBot="1" x14ac:dyDescent="0.55000000000000004">
      <c r="B41" s="389" t="s">
        <v>138</v>
      </c>
      <c r="C41" s="390">
        <f>IRR(C40:H40)</f>
        <v>0.27225094469916988</v>
      </c>
    </row>
    <row r="43" spans="2:12" x14ac:dyDescent="0.5">
      <c r="B43" s="380" t="s">
        <v>429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</row>
    <row r="44" spans="2:12" ht="15.35" x14ac:dyDescent="0.5">
      <c r="B44" s="364" t="s">
        <v>433</v>
      </c>
    </row>
    <row r="45" spans="2:12" x14ac:dyDescent="0.5">
      <c r="B45" t="s">
        <v>431</v>
      </c>
      <c r="E45" s="26">
        <f>+L14*12</f>
        <v>0.37812000000000001</v>
      </c>
      <c r="F45" s="26" t="s">
        <v>386</v>
      </c>
      <c r="H45" t="s">
        <v>387</v>
      </c>
      <c r="I45">
        <f>SQRT(E45)</f>
        <v>0.61491462822086129</v>
      </c>
    </row>
    <row r="46" spans="2:12" x14ac:dyDescent="0.5">
      <c r="B46" t="s">
        <v>432</v>
      </c>
      <c r="E46">
        <f>+L15*12</f>
        <v>0.25919999999999999</v>
      </c>
      <c r="F46" s="26" t="s">
        <v>386</v>
      </c>
      <c r="H46" t="s">
        <v>387</v>
      </c>
      <c r="I46">
        <f>SQRT(E46)</f>
        <v>0.50911688245431419</v>
      </c>
    </row>
    <row r="48" spans="2:12" ht="15.35" x14ac:dyDescent="0.5">
      <c r="B48" s="364" t="s">
        <v>388</v>
      </c>
    </row>
    <row r="49" spans="2:6" ht="14.7" thickBot="1" x14ac:dyDescent="0.55000000000000004">
      <c r="B49" s="20"/>
    </row>
    <row r="50" spans="2:6" ht="19.5" customHeight="1" thickBot="1" x14ac:dyDescent="0.55000000000000004">
      <c r="B50" s="381" t="s">
        <v>389</v>
      </c>
      <c r="C50" s="382"/>
      <c r="D50" s="382"/>
      <c r="E50" s="382"/>
      <c r="F50" s="383"/>
    </row>
    <row r="51" spans="2:6" x14ac:dyDescent="0.5">
      <c r="B51" s="20"/>
    </row>
    <row r="52" spans="2:6" x14ac:dyDescent="0.5">
      <c r="B52" s="3" t="s">
        <v>390</v>
      </c>
      <c r="C52" s="50">
        <f>1-C53</f>
        <v>0.11699999999999999</v>
      </c>
      <c r="E52" s="10" t="s">
        <v>391</v>
      </c>
      <c r="F52">
        <f>+L16</f>
        <v>0.25</v>
      </c>
    </row>
    <row r="53" spans="2:6" x14ac:dyDescent="0.5">
      <c r="B53" s="3" t="s">
        <v>392</v>
      </c>
      <c r="C53" s="50">
        <f>+L17</f>
        <v>0.88300000000000001</v>
      </c>
    </row>
    <row r="54" spans="2:6" x14ac:dyDescent="0.5">
      <c r="B54" s="18"/>
    </row>
    <row r="55" spans="2:6" x14ac:dyDescent="0.5">
      <c r="B55" t="s">
        <v>393</v>
      </c>
      <c r="C55">
        <f>+((C52^2)*(E45))+((C53^2)*(E46))+(2*C52*C53*L16*I45*I46)*L16</f>
        <v>0.21131433533352173</v>
      </c>
    </row>
    <row r="57" spans="2:6" x14ac:dyDescent="0.5">
      <c r="B57" t="s">
        <v>394</v>
      </c>
    </row>
    <row r="59" spans="2:6" ht="15.35" x14ac:dyDescent="0.5">
      <c r="B59" s="364" t="s">
        <v>395</v>
      </c>
    </row>
    <row r="61" spans="2:6" x14ac:dyDescent="0.5">
      <c r="B61" t="s">
        <v>435</v>
      </c>
      <c r="E61" s="365">
        <f>+C38</f>
        <v>74.851311728395046</v>
      </c>
    </row>
    <row r="62" spans="2:6" x14ac:dyDescent="0.5">
      <c r="B62" t="s">
        <v>396</v>
      </c>
      <c r="E62" s="365">
        <f>+D14</f>
        <v>40</v>
      </c>
    </row>
    <row r="63" spans="2:6" x14ac:dyDescent="0.5">
      <c r="B63" t="s">
        <v>397</v>
      </c>
      <c r="E63">
        <f>+D15</f>
        <v>5</v>
      </c>
      <c r="F63" t="s">
        <v>308</v>
      </c>
    </row>
    <row r="64" spans="2:6" x14ac:dyDescent="0.5">
      <c r="B64" t="s">
        <v>398</v>
      </c>
      <c r="E64" s="386">
        <f>+C55</f>
        <v>0.21131433533352173</v>
      </c>
    </row>
    <row r="65" spans="2:12" x14ac:dyDescent="0.5">
      <c r="B65" t="s">
        <v>399</v>
      </c>
      <c r="E65" s="366">
        <v>0.06</v>
      </c>
    </row>
    <row r="67" spans="2:12" x14ac:dyDescent="0.5">
      <c r="B67" s="10" t="s">
        <v>400</v>
      </c>
      <c r="C67" s="387">
        <f>+(LN(E61/E62)+(E65+E64/2)*E63)/((SQRT(E64)*(SQRT(E63))))</f>
        <v>1.4154243171707859</v>
      </c>
      <c r="D67" s="388" t="s">
        <v>401</v>
      </c>
      <c r="E67" s="386">
        <f>NORMSDIST(C67)</f>
        <v>0.92152793798750898</v>
      </c>
    </row>
    <row r="68" spans="2:12" x14ac:dyDescent="0.5">
      <c r="B68" s="10" t="s">
        <v>402</v>
      </c>
      <c r="C68" s="387">
        <f>+C67-((SQRT(E64)*(SQRT(E63))))</f>
        <v>0.38752759246172808</v>
      </c>
      <c r="D68" s="388" t="s">
        <v>403</v>
      </c>
      <c r="E68" s="386">
        <f>NORMSDIST(C68)</f>
        <v>0.65081716909911691</v>
      </c>
    </row>
    <row r="69" spans="2:12" ht="14.7" thickBot="1" x14ac:dyDescent="0.55000000000000004"/>
    <row r="70" spans="2:12" ht="14.7" thickBot="1" x14ac:dyDescent="0.55000000000000004">
      <c r="B70" s="384" t="s">
        <v>404</v>
      </c>
      <c r="C70" s="385">
        <f>+(E61*E67)-(E62*(2.71^(-E65*E63))*E68)</f>
        <v>49.674424061657895</v>
      </c>
    </row>
    <row r="71" spans="2:12" x14ac:dyDescent="0.5">
      <c r="L71" t="s">
        <v>437</v>
      </c>
    </row>
    <row r="72" spans="2:12" x14ac:dyDescent="0.5">
      <c r="B72" s="274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E508-355A-445A-A718-ECC6B3A16A7E}">
  <dimension ref="A1:F24"/>
  <sheetViews>
    <sheetView showGridLines="0" workbookViewId="0">
      <selection activeCell="H15" sqref="H15"/>
    </sheetView>
  </sheetViews>
  <sheetFormatPr defaultRowHeight="14.35" x14ac:dyDescent="0.5"/>
  <cols>
    <col min="1" max="1" width="3.8203125" customWidth="1"/>
    <col min="2" max="2" width="41.3515625" customWidth="1"/>
    <col min="3" max="8" width="11.29296875" customWidth="1"/>
  </cols>
  <sheetData>
    <row r="1" spans="1:6" ht="20" x14ac:dyDescent="0.6">
      <c r="A1" s="14"/>
      <c r="B1" s="15" t="s">
        <v>529</v>
      </c>
    </row>
    <row r="2" spans="1:6" x14ac:dyDescent="0.5">
      <c r="A2" s="14"/>
      <c r="B2" s="17" t="s">
        <v>6</v>
      </c>
    </row>
    <row r="3" spans="1:6" x14ac:dyDescent="0.5">
      <c r="A3" s="14"/>
      <c r="B3" s="17"/>
    </row>
    <row r="4" spans="1:6" ht="15.35" x14ac:dyDescent="0.5">
      <c r="B4" s="34" t="s">
        <v>513</v>
      </c>
      <c r="C4" s="34"/>
      <c r="D4" s="35"/>
      <c r="E4" s="35"/>
      <c r="F4" s="35"/>
    </row>
    <row r="5" spans="1:6" ht="53.7" customHeight="1" thickBot="1" x14ac:dyDescent="0.55000000000000004">
      <c r="B5" s="460" t="s">
        <v>525</v>
      </c>
      <c r="C5" s="461"/>
      <c r="D5" s="461" t="s">
        <v>516</v>
      </c>
      <c r="E5" s="461" t="s">
        <v>520</v>
      </c>
      <c r="F5" s="461" t="s">
        <v>517</v>
      </c>
    </row>
    <row r="6" spans="1:6" x14ac:dyDescent="0.5">
      <c r="B6" s="455" t="s">
        <v>209</v>
      </c>
      <c r="C6" s="455"/>
      <c r="D6" s="321">
        <f>+'Fig. 9.14'!C23</f>
        <v>775437.00078089954</v>
      </c>
      <c r="E6" s="321">
        <v>40000</v>
      </c>
      <c r="F6" s="456">
        <f>+D6/E6</f>
        <v>19.385925019522489</v>
      </c>
    </row>
    <row r="7" spans="1:6" x14ac:dyDescent="0.5">
      <c r="B7" s="455" t="s">
        <v>514</v>
      </c>
      <c r="C7" s="455"/>
      <c r="D7" s="321">
        <f>+'Fig. 9.15'!D28</f>
        <v>728601.54333261354</v>
      </c>
      <c r="E7" s="321">
        <f>+E6</f>
        <v>40000</v>
      </c>
      <c r="F7" s="456">
        <f>+D7/E7</f>
        <v>18.215038583315337</v>
      </c>
    </row>
    <row r="8" spans="1:6" x14ac:dyDescent="0.5">
      <c r="B8" s="28" t="s">
        <v>515</v>
      </c>
      <c r="C8" s="455"/>
      <c r="D8" s="321">
        <f>+'Fig. 9.16'!D35</f>
        <v>646892.93207160092</v>
      </c>
      <c r="E8" s="321">
        <f>+E7</f>
        <v>40000</v>
      </c>
      <c r="F8" s="456">
        <f>+D8/E8</f>
        <v>16.172323301790023</v>
      </c>
    </row>
    <row r="9" spans="1:6" x14ac:dyDescent="0.5">
      <c r="C9" s="455"/>
      <c r="D9" s="13"/>
      <c r="E9" s="13"/>
      <c r="F9" s="457"/>
    </row>
    <row r="10" spans="1:6" ht="14.7" thickBot="1" x14ac:dyDescent="0.55000000000000004">
      <c r="B10" s="37" t="s">
        <v>512</v>
      </c>
      <c r="C10" s="37"/>
      <c r="D10" s="37">
        <f>AVERAGE(D6:D8)</f>
        <v>716977.15872837137</v>
      </c>
      <c r="E10" s="37"/>
      <c r="F10" s="458">
        <f>AVERAGE(F5:F8)</f>
        <v>17.924428968209281</v>
      </c>
    </row>
    <row r="11" spans="1:6" ht="14.7" thickTop="1" x14ac:dyDescent="0.5"/>
    <row r="12" spans="1:6" ht="14.7" thickBot="1" x14ac:dyDescent="0.55000000000000004">
      <c r="B12" t="s">
        <v>521</v>
      </c>
      <c r="F12" s="50">
        <v>0.1</v>
      </c>
    </row>
    <row r="13" spans="1:6" ht="14.7" thickBot="1" x14ac:dyDescent="0.55000000000000004">
      <c r="B13" t="s">
        <v>522</v>
      </c>
      <c r="F13" s="459">
        <f>ROUND(+F10*(1-F12),0)</f>
        <v>16</v>
      </c>
    </row>
    <row r="15" spans="1:6" ht="64.349999999999994" thickBot="1" x14ac:dyDescent="0.55000000000000004">
      <c r="C15" s="82" t="s">
        <v>528</v>
      </c>
      <c r="D15" s="82" t="s">
        <v>518</v>
      </c>
      <c r="E15" s="82" t="s">
        <v>527</v>
      </c>
      <c r="F15" s="82" t="s">
        <v>526</v>
      </c>
    </row>
    <row r="17" spans="2:6" x14ac:dyDescent="0.5">
      <c r="B17" t="s">
        <v>523</v>
      </c>
      <c r="C17" s="13">
        <f>+F13*E6</f>
        <v>640000</v>
      </c>
      <c r="D17" s="188">
        <v>0.4</v>
      </c>
      <c r="E17" s="13">
        <f>+D17*E6</f>
        <v>16000</v>
      </c>
      <c r="F17" s="4">
        <f>+E17*F13</f>
        <v>256000</v>
      </c>
    </row>
    <row r="18" spans="2:6" x14ac:dyDescent="0.5">
      <c r="B18" t="s">
        <v>348</v>
      </c>
      <c r="C18" s="4">
        <f>-'Fig. 9.15'!D26</f>
        <v>2100000</v>
      </c>
    </row>
    <row r="19" spans="2:6" x14ac:dyDescent="0.5">
      <c r="B19" t="s">
        <v>349</v>
      </c>
      <c r="C19" s="4">
        <f>-'Fig. 9.14'!C22</f>
        <v>-250000</v>
      </c>
    </row>
    <row r="20" spans="2:6" x14ac:dyDescent="0.5">
      <c r="B20" t="s">
        <v>208</v>
      </c>
      <c r="C20" s="4">
        <f>SUM(C17:C19)</f>
        <v>2490000</v>
      </c>
    </row>
    <row r="21" spans="2:6" x14ac:dyDescent="0.5">
      <c r="B21" t="s">
        <v>1</v>
      </c>
      <c r="C21" s="4">
        <f>+'Fig. 9.14'!C18</f>
        <v>180000</v>
      </c>
    </row>
    <row r="22" spans="2:6" x14ac:dyDescent="0.5">
      <c r="B22" t="s">
        <v>524</v>
      </c>
      <c r="C22" s="38">
        <f>+C20/C21</f>
        <v>13.833333333333334</v>
      </c>
    </row>
    <row r="24" spans="2:6" x14ac:dyDescent="0.5">
      <c r="F24" s="10" t="s">
        <v>505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A01B-75B2-4AD2-AF29-F199A7A48586}">
  <dimension ref="A1:L27"/>
  <sheetViews>
    <sheetView showGridLines="0" workbookViewId="0">
      <selection activeCell="I28" sqref="I28"/>
    </sheetView>
  </sheetViews>
  <sheetFormatPr defaultRowHeight="14.35" x14ac:dyDescent="0.5"/>
  <cols>
    <col min="1" max="1" width="4.8203125" customWidth="1"/>
    <col min="2" max="2" width="38" customWidth="1"/>
    <col min="3" max="3" width="10.87890625" customWidth="1"/>
    <col min="5" max="5" width="10.9375" customWidth="1"/>
    <col min="6" max="6" width="11.17578125" customWidth="1"/>
    <col min="9" max="9" width="11.46875" customWidth="1"/>
  </cols>
  <sheetData>
    <row r="1" spans="1:12" ht="20" x14ac:dyDescent="0.6">
      <c r="A1" s="14"/>
      <c r="B1" s="15" t="s">
        <v>529</v>
      </c>
      <c r="C1" s="16"/>
    </row>
    <row r="2" spans="1:12" x14ac:dyDescent="0.5">
      <c r="A2" s="14"/>
      <c r="B2" s="17" t="s">
        <v>6</v>
      </c>
      <c r="C2" s="16"/>
    </row>
    <row r="3" spans="1:12" x14ac:dyDescent="0.5">
      <c r="A3" s="14"/>
      <c r="B3" s="17"/>
      <c r="C3" s="16"/>
    </row>
    <row r="4" spans="1:12" ht="15.35" x14ac:dyDescent="0.5">
      <c r="A4" s="14"/>
      <c r="B4" s="222" t="s">
        <v>209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20" x14ac:dyDescent="0.6">
      <c r="A5" s="14"/>
      <c r="B5" s="223"/>
    </row>
    <row r="6" spans="1:12" x14ac:dyDescent="0.5">
      <c r="A6" s="14"/>
      <c r="B6" s="3"/>
      <c r="D6" s="445" t="s">
        <v>180</v>
      </c>
      <c r="E6" s="445" t="s">
        <v>181</v>
      </c>
      <c r="F6" s="445" t="s">
        <v>182</v>
      </c>
      <c r="G6" s="445" t="s">
        <v>183</v>
      </c>
      <c r="H6" s="445" t="s">
        <v>184</v>
      </c>
      <c r="I6" s="446" t="s">
        <v>185</v>
      </c>
      <c r="J6" s="445" t="s">
        <v>186</v>
      </c>
      <c r="K6" s="445" t="s">
        <v>187</v>
      </c>
    </row>
    <row r="7" spans="1:12" ht="9.4499999999999993" customHeight="1" thickBot="1" x14ac:dyDescent="0.55000000000000004">
      <c r="A7" s="14"/>
      <c r="B7" s="3"/>
      <c r="D7" s="14"/>
      <c r="E7" s="14"/>
      <c r="F7" s="14"/>
      <c r="G7" s="14"/>
      <c r="H7" s="14"/>
    </row>
    <row r="8" spans="1:12" ht="51.7" thickBot="1" x14ac:dyDescent="0.55000000000000004">
      <c r="A8" s="14"/>
      <c r="B8" s="226" t="s">
        <v>188</v>
      </c>
      <c r="C8" s="227" t="s">
        <v>189</v>
      </c>
      <c r="D8" s="228" t="s">
        <v>506</v>
      </c>
      <c r="E8" s="228" t="s">
        <v>190</v>
      </c>
      <c r="F8" s="228" t="s">
        <v>191</v>
      </c>
      <c r="G8" s="229" t="s">
        <v>192</v>
      </c>
      <c r="H8" s="230" t="s">
        <v>193</v>
      </c>
      <c r="I8" s="231" t="s">
        <v>194</v>
      </c>
      <c r="J8" s="229" t="s">
        <v>195</v>
      </c>
      <c r="K8" s="232" t="s">
        <v>196</v>
      </c>
      <c r="L8" s="233" t="s">
        <v>197</v>
      </c>
    </row>
    <row r="9" spans="1:12" x14ac:dyDescent="0.5">
      <c r="A9" s="14"/>
      <c r="B9" s="234" t="s">
        <v>464</v>
      </c>
      <c r="C9" s="235" t="s">
        <v>465</v>
      </c>
      <c r="D9" s="421">
        <v>83.2</v>
      </c>
      <c r="E9" s="422">
        <f>4390000/77.6</f>
        <v>56572.16494845361</v>
      </c>
      <c r="F9" s="236">
        <f t="shared" ref="F9:F16" si="0">+E9*D9</f>
        <v>4706804.1237113401</v>
      </c>
      <c r="G9" s="423">
        <v>796200</v>
      </c>
      <c r="H9" s="424">
        <v>37150</v>
      </c>
      <c r="I9" s="237">
        <f>+F9+G9-H9</f>
        <v>5465854.1237113401</v>
      </c>
      <c r="J9" s="423">
        <v>335560</v>
      </c>
      <c r="K9" s="238">
        <f t="shared" ref="K9:K16" si="1">+I9/J9</f>
        <v>16.288753497768923</v>
      </c>
      <c r="L9" s="425">
        <v>1.1299999999999999</v>
      </c>
    </row>
    <row r="10" spans="1:12" x14ac:dyDescent="0.5">
      <c r="A10" s="14"/>
      <c r="B10" s="234" t="s">
        <v>466</v>
      </c>
      <c r="C10" s="235" t="s">
        <v>467</v>
      </c>
      <c r="D10" s="421">
        <v>80.959999999999994</v>
      </c>
      <c r="E10" s="422">
        <v>298190</v>
      </c>
      <c r="F10" s="236">
        <f t="shared" si="0"/>
        <v>24141462.399999999</v>
      </c>
      <c r="G10" s="423">
        <v>7580000</v>
      </c>
      <c r="H10" s="424">
        <v>423000</v>
      </c>
      <c r="I10" s="237">
        <f>+F10+G10-H10</f>
        <v>31298462.399999999</v>
      </c>
      <c r="J10" s="423">
        <v>1760000</v>
      </c>
      <c r="K10" s="238">
        <f t="shared" si="1"/>
        <v>17.783217272727271</v>
      </c>
      <c r="L10" s="425">
        <v>1.45</v>
      </c>
    </row>
    <row r="11" spans="1:12" x14ac:dyDescent="0.5">
      <c r="A11" s="14"/>
      <c r="B11" s="239" t="s">
        <v>478</v>
      </c>
      <c r="C11" s="241" t="s">
        <v>479</v>
      </c>
      <c r="D11" s="426">
        <f>+'[2]Fig.17.1'!D17</f>
        <v>77.930000000000007</v>
      </c>
      <c r="E11" s="427">
        <f>+'[2]Fig.17.1'!E17</f>
        <v>117448.32000000001</v>
      </c>
      <c r="F11" s="236">
        <f t="shared" si="0"/>
        <v>9152747.5776000004</v>
      </c>
      <c r="G11" s="428">
        <f>+'[2]Fig.17.1'!G17</f>
        <v>1440000</v>
      </c>
      <c r="H11" s="429">
        <f>+'[2]Fig.17.1'!H17</f>
        <v>879000</v>
      </c>
      <c r="I11" s="237">
        <f>+G11+F11-H11</f>
        <v>9713747.5776000004</v>
      </c>
      <c r="J11" s="428">
        <f>+'[2]Fig. 17.6'!E19</f>
        <v>657000</v>
      </c>
      <c r="K11" s="238">
        <f t="shared" si="1"/>
        <v>14.785003923287672</v>
      </c>
      <c r="L11" s="425">
        <v>1.18</v>
      </c>
    </row>
    <row r="12" spans="1:12" x14ac:dyDescent="0.5">
      <c r="A12" s="14"/>
      <c r="B12" s="239" t="s">
        <v>468</v>
      </c>
      <c r="C12" s="240" t="s">
        <v>469</v>
      </c>
      <c r="D12" s="426">
        <v>62.58</v>
      </c>
      <c r="E12" s="427">
        <v>190000</v>
      </c>
      <c r="F12" s="236">
        <f t="shared" si="0"/>
        <v>11890200</v>
      </c>
      <c r="G12" s="428">
        <v>2040000</v>
      </c>
      <c r="H12" s="429">
        <v>233000</v>
      </c>
      <c r="I12" s="237">
        <f>+F12+G12-H12</f>
        <v>13697200</v>
      </c>
      <c r="J12" s="428">
        <v>843000</v>
      </c>
      <c r="K12" s="238">
        <f t="shared" si="1"/>
        <v>16.248161328588374</v>
      </c>
      <c r="L12" s="425">
        <v>1.59</v>
      </c>
    </row>
    <row r="13" spans="1:12" x14ac:dyDescent="0.5">
      <c r="A13" s="14"/>
      <c r="B13" s="239" t="s">
        <v>470</v>
      </c>
      <c r="C13" s="241" t="s">
        <v>471</v>
      </c>
      <c r="D13" s="426">
        <v>40.799999999999997</v>
      </c>
      <c r="E13" s="427">
        <v>19680</v>
      </c>
      <c r="F13" s="236">
        <f t="shared" si="0"/>
        <v>802944</v>
      </c>
      <c r="G13" s="428">
        <v>317420</v>
      </c>
      <c r="H13" s="429">
        <v>18070</v>
      </c>
      <c r="I13" s="237">
        <f>+F13+G13-H13</f>
        <v>1102294</v>
      </c>
      <c r="J13" s="428">
        <v>139930</v>
      </c>
      <c r="K13" s="238">
        <f t="shared" si="1"/>
        <v>7.8774673050811117</v>
      </c>
      <c r="L13" s="425">
        <v>0.32</v>
      </c>
    </row>
    <row r="14" spans="1:12" x14ac:dyDescent="0.5">
      <c r="A14" s="14"/>
      <c r="B14" s="239" t="s">
        <v>472</v>
      </c>
      <c r="C14" s="241" t="s">
        <v>473</v>
      </c>
      <c r="D14" s="426">
        <v>130.9</v>
      </c>
      <c r="E14" s="427">
        <v>346990</v>
      </c>
      <c r="F14" s="236">
        <f t="shared" si="0"/>
        <v>45420991</v>
      </c>
      <c r="G14" s="428">
        <v>8990000</v>
      </c>
      <c r="H14" s="429">
        <v>366000</v>
      </c>
      <c r="I14" s="237">
        <f>+F14+G14-H14</f>
        <v>54044991</v>
      </c>
      <c r="J14" s="428">
        <v>2850000</v>
      </c>
      <c r="K14" s="238">
        <f t="shared" si="1"/>
        <v>18.963154736842107</v>
      </c>
      <c r="L14" s="425">
        <v>1.36</v>
      </c>
    </row>
    <row r="15" spans="1:12" x14ac:dyDescent="0.5">
      <c r="A15" s="14"/>
      <c r="B15" s="239" t="s">
        <v>474</v>
      </c>
      <c r="C15" s="241" t="s">
        <v>475</v>
      </c>
      <c r="D15" s="426">
        <v>32.89</v>
      </c>
      <c r="E15" s="427">
        <v>201180</v>
      </c>
      <c r="F15" s="236">
        <f t="shared" si="0"/>
        <v>6616810.2000000002</v>
      </c>
      <c r="G15" s="428">
        <v>3080000</v>
      </c>
      <c r="H15" s="429">
        <v>421000</v>
      </c>
      <c r="I15" s="237">
        <f>+F15+G15-H15</f>
        <v>9275810.1999999993</v>
      </c>
      <c r="J15" s="428">
        <v>734000</v>
      </c>
      <c r="K15" s="238">
        <f t="shared" si="1"/>
        <v>12.637343596730243</v>
      </c>
      <c r="L15" s="425"/>
    </row>
    <row r="16" spans="1:12" x14ac:dyDescent="0.5">
      <c r="A16" s="14"/>
      <c r="B16" s="239" t="s">
        <v>476</v>
      </c>
      <c r="C16" s="241" t="s">
        <v>477</v>
      </c>
      <c r="D16" s="426">
        <v>136.72999999999999</v>
      </c>
      <c r="E16" s="427">
        <v>108640</v>
      </c>
      <c r="F16" s="236">
        <f t="shared" si="0"/>
        <v>14854347.199999999</v>
      </c>
      <c r="G16" s="428">
        <v>8310000</v>
      </c>
      <c r="H16" s="429">
        <v>1500000</v>
      </c>
      <c r="I16" s="237">
        <f>+F16+G16-H16</f>
        <v>21664347.199999999</v>
      </c>
      <c r="J16" s="428">
        <v>1790000</v>
      </c>
      <c r="K16" s="238">
        <f t="shared" si="1"/>
        <v>12.102987262569831</v>
      </c>
      <c r="L16" s="425">
        <v>1.33</v>
      </c>
    </row>
    <row r="17" spans="1:12" x14ac:dyDescent="0.5">
      <c r="A17" s="14"/>
      <c r="B17" s="3"/>
      <c r="D17" s="4"/>
      <c r="E17" s="4"/>
      <c r="K17" s="249"/>
    </row>
    <row r="18" spans="1:12" x14ac:dyDescent="0.5">
      <c r="A18" s="14"/>
      <c r="B18" s="3" t="s">
        <v>207</v>
      </c>
      <c r="C18" s="13">
        <f>+'Fig. 9.16'!E10</f>
        <v>180000</v>
      </c>
      <c r="D18" s="38">
        <f>+K18</f>
        <v>14.585761115449442</v>
      </c>
      <c r="J18" s="3" t="s">
        <v>28</v>
      </c>
      <c r="K18" s="250">
        <f>AVERAGE(K9:K16)</f>
        <v>14.585761115449442</v>
      </c>
      <c r="L18" s="250">
        <f>AVERAGE(L9:L16)</f>
        <v>1.1942857142857142</v>
      </c>
    </row>
    <row r="19" spans="1:12" x14ac:dyDescent="0.5">
      <c r="A19" s="14"/>
      <c r="B19" s="3"/>
      <c r="F19" s="3"/>
      <c r="G19" s="250"/>
      <c r="H19" s="250"/>
      <c r="K19" s="250"/>
    </row>
    <row r="20" spans="1:12" ht="14" customHeight="1" x14ac:dyDescent="0.5">
      <c r="A20" s="14"/>
      <c r="B20" s="269" t="s">
        <v>504</v>
      </c>
      <c r="C20" s="270">
        <f>+C18*D18</f>
        <v>2625437.0007808995</v>
      </c>
      <c r="F20" s="3"/>
      <c r="G20" s="250"/>
      <c r="H20" s="250"/>
      <c r="K20" s="251"/>
    </row>
    <row r="21" spans="1:12" x14ac:dyDescent="0.5">
      <c r="B21" s="3" t="s">
        <v>509</v>
      </c>
      <c r="C21" s="4">
        <v>-2100000</v>
      </c>
    </row>
    <row r="22" spans="1:12" x14ac:dyDescent="0.5">
      <c r="B22" s="3" t="s">
        <v>211</v>
      </c>
      <c r="C22" s="4">
        <v>250000</v>
      </c>
    </row>
    <row r="23" spans="1:12" ht="14.7" thickBot="1" x14ac:dyDescent="0.55000000000000004">
      <c r="B23" s="3" t="s">
        <v>510</v>
      </c>
      <c r="C23" s="444">
        <f>SUM(C20:C22)</f>
        <v>775437.00078089954</v>
      </c>
    </row>
    <row r="24" spans="1:12" x14ac:dyDescent="0.5">
      <c r="B24" s="3" t="s">
        <v>530</v>
      </c>
      <c r="C24" s="4">
        <f>+'Fig. 9.13'!E6</f>
        <v>40000</v>
      </c>
    </row>
    <row r="25" spans="1:12" ht="14.7" thickBot="1" x14ac:dyDescent="0.55000000000000004">
      <c r="B25" s="3" t="s">
        <v>531</v>
      </c>
      <c r="C25" s="462">
        <f>+C23/C24</f>
        <v>19.385925019522489</v>
      </c>
    </row>
    <row r="26" spans="1:12" ht="14.7" thickTop="1" x14ac:dyDescent="0.5"/>
    <row r="27" spans="1:12" x14ac:dyDescent="0.5">
      <c r="L27" s="10" t="s">
        <v>511</v>
      </c>
    </row>
  </sheetData>
  <sortState xmlns:xlrd2="http://schemas.microsoft.com/office/spreadsheetml/2017/richdata2" ref="B9:L16">
    <sortCondition ref="B9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1B6B-8F36-421B-8D55-FB8CEB7DE25A}">
  <dimension ref="A1:N31"/>
  <sheetViews>
    <sheetView showGridLines="0" workbookViewId="0">
      <selection activeCell="B2" sqref="B2"/>
    </sheetView>
  </sheetViews>
  <sheetFormatPr defaultRowHeight="14.35" x14ac:dyDescent="0.5"/>
  <cols>
    <col min="1" max="1" width="5.52734375" customWidth="1"/>
    <col min="2" max="2" width="22.29296875" customWidth="1"/>
    <col min="3" max="3" width="19.29296875" customWidth="1"/>
    <col min="4" max="4" width="10.64453125" customWidth="1"/>
    <col min="5" max="5" width="11.703125" customWidth="1"/>
    <col min="6" max="6" width="10.703125" customWidth="1"/>
    <col min="8" max="8" width="10.29296875" customWidth="1"/>
    <col min="9" max="9" width="11.87890625" customWidth="1"/>
    <col min="11" max="11" width="3.41015625" customWidth="1"/>
  </cols>
  <sheetData>
    <row r="1" spans="1:14" ht="20" x14ac:dyDescent="0.6">
      <c r="A1" s="14"/>
      <c r="B1" s="15" t="s">
        <v>529</v>
      </c>
      <c r="C1" s="16"/>
    </row>
    <row r="2" spans="1:14" ht="10.5" customHeight="1" x14ac:dyDescent="0.5">
      <c r="A2" s="14"/>
      <c r="B2" s="17" t="s">
        <v>6</v>
      </c>
      <c r="C2" s="16"/>
    </row>
    <row r="4" spans="1:14" ht="15.35" x14ac:dyDescent="0.5">
      <c r="A4" s="14"/>
      <c r="B4" s="34" t="s">
        <v>241</v>
      </c>
      <c r="C4" s="273"/>
      <c r="D4" s="273"/>
      <c r="E4" s="273"/>
      <c r="F4" s="273"/>
      <c r="G4" s="273"/>
      <c r="H4" s="273"/>
      <c r="I4" s="273"/>
      <c r="J4" s="273"/>
    </row>
    <row r="5" spans="1:14" ht="4.5" customHeight="1" x14ac:dyDescent="0.5">
      <c r="A5" s="14"/>
    </row>
    <row r="6" spans="1:14" ht="16.5" customHeight="1" x14ac:dyDescent="0.5">
      <c r="A6" s="14"/>
      <c r="C6" t="s">
        <v>217</v>
      </c>
      <c r="D6" s="224" t="s">
        <v>218</v>
      </c>
      <c r="E6" s="224" t="s">
        <v>181</v>
      </c>
      <c r="F6" s="224" t="s">
        <v>219</v>
      </c>
      <c r="G6" s="224" t="s">
        <v>220</v>
      </c>
      <c r="H6" s="224" t="s">
        <v>221</v>
      </c>
      <c r="I6" s="224" t="s">
        <v>186</v>
      </c>
      <c r="J6" s="224" t="s">
        <v>187</v>
      </c>
      <c r="M6" s="14"/>
      <c r="N6" s="14"/>
    </row>
    <row r="7" spans="1:14" ht="14.7" thickBot="1" x14ac:dyDescent="0.55000000000000004">
      <c r="A7" s="14"/>
      <c r="D7" s="14"/>
      <c r="E7" s="14"/>
      <c r="F7" s="14"/>
      <c r="G7" s="14"/>
      <c r="H7" s="14"/>
      <c r="I7" s="274"/>
      <c r="J7" s="14"/>
      <c r="M7" s="14"/>
      <c r="N7" s="14"/>
    </row>
    <row r="8" spans="1:14" ht="39" thickBot="1" x14ac:dyDescent="0.55000000000000004">
      <c r="A8" s="14"/>
      <c r="B8" s="447" t="s">
        <v>222</v>
      </c>
      <c r="C8" s="228" t="s">
        <v>223</v>
      </c>
      <c r="D8" s="228" t="s">
        <v>224</v>
      </c>
      <c r="E8" s="228" t="s">
        <v>213</v>
      </c>
      <c r="F8" s="228" t="s">
        <v>480</v>
      </c>
      <c r="G8" s="228" t="s">
        <v>481</v>
      </c>
      <c r="H8" s="228" t="s">
        <v>227</v>
      </c>
      <c r="I8" s="228" t="s">
        <v>482</v>
      </c>
      <c r="J8" s="275" t="s">
        <v>196</v>
      </c>
    </row>
    <row r="9" spans="1:14" s="251" customFormat="1" x14ac:dyDescent="0.5">
      <c r="A9" s="14"/>
      <c r="B9" s="448" t="s">
        <v>483</v>
      </c>
      <c r="C9" s="276" t="s">
        <v>484</v>
      </c>
      <c r="D9" s="277">
        <v>47.5</v>
      </c>
      <c r="E9" s="278">
        <v>390400000</v>
      </c>
      <c r="F9" s="279">
        <f>+E9*D9/1000000</f>
        <v>18544</v>
      </c>
      <c r="G9" s="280">
        <v>6180</v>
      </c>
      <c r="H9" s="279">
        <f>+F9+G9</f>
        <v>24724</v>
      </c>
      <c r="I9" s="279">
        <v>1680</v>
      </c>
      <c r="J9" s="281">
        <f t="shared" ref="J9:J21" si="0">+H9/I9</f>
        <v>14.716666666666667</v>
      </c>
    </row>
    <row r="10" spans="1:14" s="251" customFormat="1" ht="20.7" x14ac:dyDescent="0.5">
      <c r="A10" s="14"/>
      <c r="B10" s="448" t="s">
        <v>485</v>
      </c>
      <c r="C10" s="276" t="s">
        <v>486</v>
      </c>
      <c r="D10" s="277">
        <v>82</v>
      </c>
      <c r="E10" s="278">
        <v>33078000</v>
      </c>
      <c r="F10" s="279">
        <f>+E10*D10/1000000</f>
        <v>2712.3960000000002</v>
      </c>
      <c r="G10" s="280">
        <f>273.825+4.853</f>
        <v>278.678</v>
      </c>
      <c r="H10" s="279">
        <f t="shared" ref="H10:H16" si="1">+F10+G10</f>
        <v>2991.0740000000001</v>
      </c>
      <c r="I10" s="279">
        <f>+H10/31.9</f>
        <v>93.764075235109729</v>
      </c>
      <c r="J10" s="281">
        <f t="shared" si="0"/>
        <v>31.9</v>
      </c>
    </row>
    <row r="11" spans="1:14" s="251" customFormat="1" ht="12" customHeight="1" x14ac:dyDescent="0.5">
      <c r="A11" s="14"/>
      <c r="B11" s="449" t="s">
        <v>487</v>
      </c>
      <c r="C11" s="282" t="s">
        <v>488</v>
      </c>
      <c r="D11" s="430">
        <v>45</v>
      </c>
      <c r="E11" s="236">
        <v>73335000</v>
      </c>
      <c r="F11" s="279">
        <f>+E11*D11/1000000</f>
        <v>3300.0749999999998</v>
      </c>
      <c r="G11" s="431">
        <v>123.5</v>
      </c>
      <c r="H11" s="279">
        <f t="shared" si="1"/>
        <v>3423.5749999999998</v>
      </c>
      <c r="I11" s="432">
        <v>187.2</v>
      </c>
      <c r="J11" s="433">
        <f t="shared" si="0"/>
        <v>18.288327991452991</v>
      </c>
    </row>
    <row r="12" spans="1:14" s="251" customFormat="1" ht="12" customHeight="1" x14ac:dyDescent="0.5">
      <c r="A12" s="14"/>
      <c r="B12" s="449" t="s">
        <v>489</v>
      </c>
      <c r="C12" s="282" t="s">
        <v>490</v>
      </c>
      <c r="D12" s="430"/>
      <c r="E12" s="236"/>
      <c r="F12" s="432">
        <v>5578</v>
      </c>
      <c r="G12" s="431">
        <v>0</v>
      </c>
      <c r="H12" s="279">
        <f t="shared" si="1"/>
        <v>5578</v>
      </c>
      <c r="I12" s="432">
        <v>504</v>
      </c>
      <c r="J12" s="433">
        <f t="shared" si="0"/>
        <v>11.067460317460318</v>
      </c>
    </row>
    <row r="13" spans="1:14" s="251" customFormat="1" ht="12" customHeight="1" x14ac:dyDescent="0.5">
      <c r="A13" s="14"/>
      <c r="B13" s="450" t="s">
        <v>491</v>
      </c>
      <c r="C13" s="282" t="s">
        <v>492</v>
      </c>
      <c r="D13" s="430"/>
      <c r="E13" s="236"/>
      <c r="F13" s="432"/>
      <c r="G13" s="431"/>
      <c r="H13" s="432">
        <v>4096</v>
      </c>
      <c r="I13" s="432">
        <f>+H13/13</f>
        <v>315.07692307692309</v>
      </c>
      <c r="J13" s="433">
        <f t="shared" si="0"/>
        <v>13</v>
      </c>
    </row>
    <row r="14" spans="1:14" s="251" customFormat="1" x14ac:dyDescent="0.5">
      <c r="A14" s="14"/>
      <c r="B14" s="450" t="s">
        <v>493</v>
      </c>
      <c r="C14" s="276" t="s">
        <v>484</v>
      </c>
      <c r="D14" s="430">
        <v>12.22</v>
      </c>
      <c r="E14" s="236">
        <v>203000000</v>
      </c>
      <c r="F14" s="279">
        <f t="shared" ref="F14:F16" si="2">+E14*D14/1000000</f>
        <v>2480.66</v>
      </c>
      <c r="G14" s="431">
        <v>925.71</v>
      </c>
      <c r="H14" s="279">
        <f t="shared" si="1"/>
        <v>3406.37</v>
      </c>
      <c r="I14" s="432">
        <v>229.7</v>
      </c>
      <c r="J14" s="433">
        <f t="shared" si="0"/>
        <v>14.829647366129734</v>
      </c>
    </row>
    <row r="15" spans="1:14" s="251" customFormat="1" ht="12" customHeight="1" x14ac:dyDescent="0.5">
      <c r="A15" s="14"/>
      <c r="B15" s="449" t="s">
        <v>494</v>
      </c>
      <c r="C15" s="282" t="s">
        <v>484</v>
      </c>
      <c r="D15" s="430">
        <v>1.1499999999999999</v>
      </c>
      <c r="E15" s="236">
        <v>172053000</v>
      </c>
      <c r="F15" s="279">
        <f t="shared" si="2"/>
        <v>197.86094999999997</v>
      </c>
      <c r="G15" s="431">
        <v>2681.96</v>
      </c>
      <c r="H15" s="279">
        <f t="shared" si="1"/>
        <v>2879.8209499999998</v>
      </c>
      <c r="I15" s="432">
        <v>275.18</v>
      </c>
      <c r="J15" s="433">
        <f t="shared" si="0"/>
        <v>10.465226215567991</v>
      </c>
    </row>
    <row r="16" spans="1:14" s="251" customFormat="1" ht="12" customHeight="1" x14ac:dyDescent="0.5">
      <c r="A16" s="14"/>
      <c r="B16" s="449" t="s">
        <v>495</v>
      </c>
      <c r="C16" s="282" t="s">
        <v>496</v>
      </c>
      <c r="D16" s="430">
        <v>24</v>
      </c>
      <c r="E16" s="236">
        <v>19583000</v>
      </c>
      <c r="F16" s="279">
        <f t="shared" si="2"/>
        <v>469.99200000000002</v>
      </c>
      <c r="G16" s="431">
        <v>765.2</v>
      </c>
      <c r="H16" s="279">
        <f t="shared" si="1"/>
        <v>1235.192</v>
      </c>
      <c r="I16" s="432">
        <v>123.07</v>
      </c>
      <c r="J16" s="433">
        <f t="shared" si="0"/>
        <v>10.036499553099862</v>
      </c>
    </row>
    <row r="17" spans="1:11" s="251" customFormat="1" ht="12" customHeight="1" x14ac:dyDescent="0.5">
      <c r="A17" s="14"/>
      <c r="B17" s="449" t="s">
        <v>497</v>
      </c>
      <c r="C17" s="282" t="s">
        <v>498</v>
      </c>
      <c r="D17" s="430"/>
      <c r="E17" s="236"/>
      <c r="F17" s="432"/>
      <c r="G17" s="431"/>
      <c r="H17" s="432">
        <v>1028.9000000000001</v>
      </c>
      <c r="I17" s="432">
        <f>+H17/11.3</f>
        <v>91.053097345132741</v>
      </c>
      <c r="J17" s="433">
        <f t="shared" si="0"/>
        <v>11.3</v>
      </c>
    </row>
    <row r="18" spans="1:11" s="251" customFormat="1" ht="12" customHeight="1" x14ac:dyDescent="0.5">
      <c r="A18" s="14"/>
      <c r="B18" s="449" t="s">
        <v>499</v>
      </c>
      <c r="C18" s="282" t="s">
        <v>500</v>
      </c>
      <c r="D18" s="430"/>
      <c r="E18" s="236"/>
      <c r="F18" s="432"/>
      <c r="G18" s="431"/>
      <c r="H18" s="432">
        <v>981</v>
      </c>
      <c r="I18" s="432">
        <f>+H18/9.2</f>
        <v>106.6304347826087</v>
      </c>
      <c r="J18" s="433">
        <f t="shared" si="0"/>
        <v>9.1999999999999993</v>
      </c>
    </row>
    <row r="19" spans="1:11" s="251" customFormat="1" ht="12" customHeight="1" x14ac:dyDescent="0.5">
      <c r="A19" s="14"/>
      <c r="B19" s="449" t="s">
        <v>501</v>
      </c>
      <c r="C19" s="282" t="s">
        <v>484</v>
      </c>
      <c r="D19" s="430">
        <v>24</v>
      </c>
      <c r="E19" s="236">
        <v>40284000</v>
      </c>
      <c r="F19" s="432">
        <f>+E19*D19/1000000</f>
        <v>966.81600000000003</v>
      </c>
      <c r="G19" s="431">
        <v>217.29</v>
      </c>
      <c r="H19" s="279">
        <f t="shared" ref="H19:H21" si="3">+F19+G19</f>
        <v>1184.106</v>
      </c>
      <c r="I19" s="432">
        <v>90.07</v>
      </c>
      <c r="J19" s="433">
        <f t="shared" si="0"/>
        <v>13.14650827134451</v>
      </c>
    </row>
    <row r="20" spans="1:11" s="251" customFormat="1" ht="12" customHeight="1" x14ac:dyDescent="0.5">
      <c r="A20" s="14"/>
      <c r="B20" s="451" t="s">
        <v>502</v>
      </c>
      <c r="C20" s="434" t="s">
        <v>484</v>
      </c>
      <c r="D20" s="435">
        <v>12.25</v>
      </c>
      <c r="E20" s="256">
        <v>44808000</v>
      </c>
      <c r="F20" s="436">
        <f>+E20*D20/1000000</f>
        <v>548.89800000000002</v>
      </c>
      <c r="G20" s="437">
        <v>243.6</v>
      </c>
      <c r="H20" s="279">
        <f t="shared" si="3"/>
        <v>792.49800000000005</v>
      </c>
      <c r="I20" s="436">
        <v>55.12</v>
      </c>
      <c r="J20" s="438">
        <f t="shared" si="0"/>
        <v>14.377685050798259</v>
      </c>
    </row>
    <row r="21" spans="1:11" s="251" customFormat="1" ht="14.7" thickBot="1" x14ac:dyDescent="0.55000000000000004">
      <c r="A21" s="14"/>
      <c r="B21" s="452" t="s">
        <v>503</v>
      </c>
      <c r="C21" s="284" t="s">
        <v>484</v>
      </c>
      <c r="D21" s="439">
        <v>19.93</v>
      </c>
      <c r="E21" s="440">
        <v>95077000</v>
      </c>
      <c r="F21" s="441">
        <f>+E21*D21/1000000</f>
        <v>1894.8846100000001</v>
      </c>
      <c r="G21" s="442">
        <v>1231.5</v>
      </c>
      <c r="H21" s="453">
        <f t="shared" si="3"/>
        <v>3126.3846100000001</v>
      </c>
      <c r="I21" s="441">
        <v>224.85</v>
      </c>
      <c r="J21" s="443">
        <f t="shared" si="0"/>
        <v>13.904312252612854</v>
      </c>
    </row>
    <row r="22" spans="1:11" x14ac:dyDescent="0.5">
      <c r="A22" s="14"/>
      <c r="I22" s="3" t="s">
        <v>28</v>
      </c>
      <c r="J22" s="250">
        <f>AVERAGE(J9:J21)</f>
        <v>14.325564129625631</v>
      </c>
      <c r="K22" s="285"/>
    </row>
    <row r="23" spans="1:11" x14ac:dyDescent="0.5">
      <c r="A23" s="14"/>
      <c r="B23" s="3" t="s">
        <v>207</v>
      </c>
      <c r="D23" s="13">
        <f>+'Fig. 9.14'!C18</f>
        <v>180000</v>
      </c>
      <c r="E23" s="38">
        <f>+J22</f>
        <v>14.325564129625631</v>
      </c>
      <c r="F23" s="13"/>
      <c r="G23" s="38"/>
    </row>
    <row r="24" spans="1:11" x14ac:dyDescent="0.5">
      <c r="B24" s="3"/>
    </row>
    <row r="25" spans="1:11" ht="13" customHeight="1" x14ac:dyDescent="0.5">
      <c r="B25" s="454" t="s">
        <v>504</v>
      </c>
      <c r="D25" s="270">
        <f>+D23*E23</f>
        <v>2578601.5433326135</v>
      </c>
    </row>
    <row r="26" spans="1:11" x14ac:dyDescent="0.5">
      <c r="B26" s="3" t="s">
        <v>509</v>
      </c>
      <c r="D26" s="4">
        <v>-2100000</v>
      </c>
    </row>
    <row r="27" spans="1:11" x14ac:dyDescent="0.5">
      <c r="B27" s="3" t="s">
        <v>211</v>
      </c>
      <c r="D27" s="4">
        <v>250000</v>
      </c>
    </row>
    <row r="28" spans="1:11" ht="14.7" thickBot="1" x14ac:dyDescent="0.55000000000000004">
      <c r="B28" s="3" t="s">
        <v>510</v>
      </c>
      <c r="D28" s="444">
        <f>SUM(D25:D27)</f>
        <v>728601.54333261354</v>
      </c>
    </row>
    <row r="29" spans="1:11" x14ac:dyDescent="0.5">
      <c r="B29" s="3" t="s">
        <v>530</v>
      </c>
      <c r="D29" s="4">
        <f>+'Fig. 9.13'!E7</f>
        <v>40000</v>
      </c>
    </row>
    <row r="30" spans="1:11" ht="14.7" thickBot="1" x14ac:dyDescent="0.55000000000000004">
      <c r="B30" s="3" t="s">
        <v>531</v>
      </c>
      <c r="D30" s="462">
        <f>+D28/D29</f>
        <v>18.215038583315337</v>
      </c>
    </row>
    <row r="31" spans="1:11" ht="14.7" thickTop="1" x14ac:dyDescent="0.5">
      <c r="J31" s="10" t="s">
        <v>532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A4AA-8A3D-45B4-8AF1-F10F768C4BAF}">
  <dimension ref="B1:U86"/>
  <sheetViews>
    <sheetView showGridLines="0" topLeftCell="A17" workbookViewId="0">
      <selection activeCell="F40" sqref="F40"/>
    </sheetView>
  </sheetViews>
  <sheetFormatPr defaultRowHeight="14.35" x14ac:dyDescent="0.5"/>
  <cols>
    <col min="1" max="1" width="3" customWidth="1"/>
    <col min="2" max="2" width="39.703125" customWidth="1"/>
    <col min="3" max="3" width="10.41015625" customWidth="1"/>
    <col min="4" max="4" width="13.703125" customWidth="1"/>
    <col min="5" max="5" width="13.5859375" customWidth="1"/>
    <col min="6" max="6" width="13.41015625" customWidth="1"/>
    <col min="7" max="8" width="13.5859375" customWidth="1"/>
    <col min="9" max="9" width="13.703125" customWidth="1"/>
    <col min="10" max="10" width="13.41015625" customWidth="1"/>
    <col min="11" max="11" width="16.41015625" customWidth="1"/>
    <col min="12" max="12" width="12.29296875" customWidth="1"/>
    <col min="13" max="13" width="13.41015625" customWidth="1"/>
    <col min="14" max="15" width="12.29296875" customWidth="1"/>
    <col min="16" max="16" width="12.703125" customWidth="1"/>
    <col min="17" max="17" width="11" customWidth="1"/>
    <col min="18" max="22" width="12.41015625" customWidth="1"/>
    <col min="255" max="255" width="3" customWidth="1"/>
    <col min="256" max="256" width="1.1171875" customWidth="1"/>
    <col min="257" max="257" width="46.5859375" customWidth="1"/>
    <col min="258" max="258" width="10.41015625" customWidth="1"/>
    <col min="259" max="259" width="13.703125" customWidth="1"/>
    <col min="260" max="260" width="13.5859375" customWidth="1"/>
    <col min="261" max="261" width="13.41015625" customWidth="1"/>
    <col min="262" max="263" width="13.5859375" customWidth="1"/>
    <col min="264" max="264" width="13.703125" customWidth="1"/>
    <col min="265" max="265" width="3" customWidth="1"/>
    <col min="266" max="266" width="13.41015625" customWidth="1"/>
    <col min="267" max="267" width="16.41015625" customWidth="1"/>
    <col min="268" max="268" width="12.29296875" customWidth="1"/>
    <col min="269" max="269" width="13.41015625" customWidth="1"/>
    <col min="270" max="271" width="12.29296875" customWidth="1"/>
    <col min="272" max="272" width="12.703125" customWidth="1"/>
    <col min="273" max="273" width="11" customWidth="1"/>
    <col min="274" max="278" width="12.41015625" customWidth="1"/>
    <col min="511" max="511" width="3" customWidth="1"/>
    <col min="512" max="512" width="1.1171875" customWidth="1"/>
    <col min="513" max="513" width="46.5859375" customWidth="1"/>
    <col min="514" max="514" width="10.41015625" customWidth="1"/>
    <col min="515" max="515" width="13.703125" customWidth="1"/>
    <col min="516" max="516" width="13.5859375" customWidth="1"/>
    <col min="517" max="517" width="13.41015625" customWidth="1"/>
    <col min="518" max="519" width="13.5859375" customWidth="1"/>
    <col min="520" max="520" width="13.703125" customWidth="1"/>
    <col min="521" max="521" width="3" customWidth="1"/>
    <col min="522" max="522" width="13.41015625" customWidth="1"/>
    <col min="523" max="523" width="16.41015625" customWidth="1"/>
    <col min="524" max="524" width="12.29296875" customWidth="1"/>
    <col min="525" max="525" width="13.41015625" customWidth="1"/>
    <col min="526" max="527" width="12.29296875" customWidth="1"/>
    <col min="528" max="528" width="12.703125" customWidth="1"/>
    <col min="529" max="529" width="11" customWidth="1"/>
    <col min="530" max="534" width="12.41015625" customWidth="1"/>
    <col min="767" max="767" width="3" customWidth="1"/>
    <col min="768" max="768" width="1.1171875" customWidth="1"/>
    <col min="769" max="769" width="46.5859375" customWidth="1"/>
    <col min="770" max="770" width="10.41015625" customWidth="1"/>
    <col min="771" max="771" width="13.703125" customWidth="1"/>
    <col min="772" max="772" width="13.5859375" customWidth="1"/>
    <col min="773" max="773" width="13.41015625" customWidth="1"/>
    <col min="774" max="775" width="13.5859375" customWidth="1"/>
    <col min="776" max="776" width="13.703125" customWidth="1"/>
    <col min="777" max="777" width="3" customWidth="1"/>
    <col min="778" max="778" width="13.41015625" customWidth="1"/>
    <col min="779" max="779" width="16.41015625" customWidth="1"/>
    <col min="780" max="780" width="12.29296875" customWidth="1"/>
    <col min="781" max="781" width="13.41015625" customWidth="1"/>
    <col min="782" max="783" width="12.29296875" customWidth="1"/>
    <col min="784" max="784" width="12.703125" customWidth="1"/>
    <col min="785" max="785" width="11" customWidth="1"/>
    <col min="786" max="790" width="12.41015625" customWidth="1"/>
    <col min="1023" max="1023" width="3" customWidth="1"/>
    <col min="1024" max="1024" width="1.1171875" customWidth="1"/>
    <col min="1025" max="1025" width="46.5859375" customWidth="1"/>
    <col min="1026" max="1026" width="10.41015625" customWidth="1"/>
    <col min="1027" max="1027" width="13.703125" customWidth="1"/>
    <col min="1028" max="1028" width="13.5859375" customWidth="1"/>
    <col min="1029" max="1029" width="13.41015625" customWidth="1"/>
    <col min="1030" max="1031" width="13.5859375" customWidth="1"/>
    <col min="1032" max="1032" width="13.703125" customWidth="1"/>
    <col min="1033" max="1033" width="3" customWidth="1"/>
    <col min="1034" max="1034" width="13.41015625" customWidth="1"/>
    <col min="1035" max="1035" width="16.41015625" customWidth="1"/>
    <col min="1036" max="1036" width="12.29296875" customWidth="1"/>
    <col min="1037" max="1037" width="13.41015625" customWidth="1"/>
    <col min="1038" max="1039" width="12.29296875" customWidth="1"/>
    <col min="1040" max="1040" width="12.703125" customWidth="1"/>
    <col min="1041" max="1041" width="11" customWidth="1"/>
    <col min="1042" max="1046" width="12.41015625" customWidth="1"/>
    <col min="1279" max="1279" width="3" customWidth="1"/>
    <col min="1280" max="1280" width="1.1171875" customWidth="1"/>
    <col min="1281" max="1281" width="46.5859375" customWidth="1"/>
    <col min="1282" max="1282" width="10.41015625" customWidth="1"/>
    <col min="1283" max="1283" width="13.703125" customWidth="1"/>
    <col min="1284" max="1284" width="13.5859375" customWidth="1"/>
    <col min="1285" max="1285" width="13.41015625" customWidth="1"/>
    <col min="1286" max="1287" width="13.5859375" customWidth="1"/>
    <col min="1288" max="1288" width="13.703125" customWidth="1"/>
    <col min="1289" max="1289" width="3" customWidth="1"/>
    <col min="1290" max="1290" width="13.41015625" customWidth="1"/>
    <col min="1291" max="1291" width="16.41015625" customWidth="1"/>
    <col min="1292" max="1292" width="12.29296875" customWidth="1"/>
    <col min="1293" max="1293" width="13.41015625" customWidth="1"/>
    <col min="1294" max="1295" width="12.29296875" customWidth="1"/>
    <col min="1296" max="1296" width="12.703125" customWidth="1"/>
    <col min="1297" max="1297" width="11" customWidth="1"/>
    <col min="1298" max="1302" width="12.41015625" customWidth="1"/>
    <col min="1535" max="1535" width="3" customWidth="1"/>
    <col min="1536" max="1536" width="1.1171875" customWidth="1"/>
    <col min="1537" max="1537" width="46.5859375" customWidth="1"/>
    <col min="1538" max="1538" width="10.41015625" customWidth="1"/>
    <col min="1539" max="1539" width="13.703125" customWidth="1"/>
    <col min="1540" max="1540" width="13.5859375" customWidth="1"/>
    <col min="1541" max="1541" width="13.41015625" customWidth="1"/>
    <col min="1542" max="1543" width="13.5859375" customWidth="1"/>
    <col min="1544" max="1544" width="13.703125" customWidth="1"/>
    <col min="1545" max="1545" width="3" customWidth="1"/>
    <col min="1546" max="1546" width="13.41015625" customWidth="1"/>
    <col min="1547" max="1547" width="16.41015625" customWidth="1"/>
    <col min="1548" max="1548" width="12.29296875" customWidth="1"/>
    <col min="1549" max="1549" width="13.41015625" customWidth="1"/>
    <col min="1550" max="1551" width="12.29296875" customWidth="1"/>
    <col min="1552" max="1552" width="12.703125" customWidth="1"/>
    <col min="1553" max="1553" width="11" customWidth="1"/>
    <col min="1554" max="1558" width="12.41015625" customWidth="1"/>
    <col min="1791" max="1791" width="3" customWidth="1"/>
    <col min="1792" max="1792" width="1.1171875" customWidth="1"/>
    <col min="1793" max="1793" width="46.5859375" customWidth="1"/>
    <col min="1794" max="1794" width="10.41015625" customWidth="1"/>
    <col min="1795" max="1795" width="13.703125" customWidth="1"/>
    <col min="1796" max="1796" width="13.5859375" customWidth="1"/>
    <col min="1797" max="1797" width="13.41015625" customWidth="1"/>
    <col min="1798" max="1799" width="13.5859375" customWidth="1"/>
    <col min="1800" max="1800" width="13.703125" customWidth="1"/>
    <col min="1801" max="1801" width="3" customWidth="1"/>
    <col min="1802" max="1802" width="13.41015625" customWidth="1"/>
    <col min="1803" max="1803" width="16.41015625" customWidth="1"/>
    <col min="1804" max="1804" width="12.29296875" customWidth="1"/>
    <col min="1805" max="1805" width="13.41015625" customWidth="1"/>
    <col min="1806" max="1807" width="12.29296875" customWidth="1"/>
    <col min="1808" max="1808" width="12.703125" customWidth="1"/>
    <col min="1809" max="1809" width="11" customWidth="1"/>
    <col min="1810" max="1814" width="12.41015625" customWidth="1"/>
    <col min="2047" max="2047" width="3" customWidth="1"/>
    <col min="2048" max="2048" width="1.1171875" customWidth="1"/>
    <col min="2049" max="2049" width="46.5859375" customWidth="1"/>
    <col min="2050" max="2050" width="10.41015625" customWidth="1"/>
    <col min="2051" max="2051" width="13.703125" customWidth="1"/>
    <col min="2052" max="2052" width="13.5859375" customWidth="1"/>
    <col min="2053" max="2053" width="13.41015625" customWidth="1"/>
    <col min="2054" max="2055" width="13.5859375" customWidth="1"/>
    <col min="2056" max="2056" width="13.703125" customWidth="1"/>
    <col min="2057" max="2057" width="3" customWidth="1"/>
    <col min="2058" max="2058" width="13.41015625" customWidth="1"/>
    <col min="2059" max="2059" width="16.41015625" customWidth="1"/>
    <col min="2060" max="2060" width="12.29296875" customWidth="1"/>
    <col min="2061" max="2061" width="13.41015625" customWidth="1"/>
    <col min="2062" max="2063" width="12.29296875" customWidth="1"/>
    <col min="2064" max="2064" width="12.703125" customWidth="1"/>
    <col min="2065" max="2065" width="11" customWidth="1"/>
    <col min="2066" max="2070" width="12.41015625" customWidth="1"/>
    <col min="2303" max="2303" width="3" customWidth="1"/>
    <col min="2304" max="2304" width="1.1171875" customWidth="1"/>
    <col min="2305" max="2305" width="46.5859375" customWidth="1"/>
    <col min="2306" max="2306" width="10.41015625" customWidth="1"/>
    <col min="2307" max="2307" width="13.703125" customWidth="1"/>
    <col min="2308" max="2308" width="13.5859375" customWidth="1"/>
    <col min="2309" max="2309" width="13.41015625" customWidth="1"/>
    <col min="2310" max="2311" width="13.5859375" customWidth="1"/>
    <col min="2312" max="2312" width="13.703125" customWidth="1"/>
    <col min="2313" max="2313" width="3" customWidth="1"/>
    <col min="2314" max="2314" width="13.41015625" customWidth="1"/>
    <col min="2315" max="2315" width="16.41015625" customWidth="1"/>
    <col min="2316" max="2316" width="12.29296875" customWidth="1"/>
    <col min="2317" max="2317" width="13.41015625" customWidth="1"/>
    <col min="2318" max="2319" width="12.29296875" customWidth="1"/>
    <col min="2320" max="2320" width="12.703125" customWidth="1"/>
    <col min="2321" max="2321" width="11" customWidth="1"/>
    <col min="2322" max="2326" width="12.41015625" customWidth="1"/>
    <col min="2559" max="2559" width="3" customWidth="1"/>
    <col min="2560" max="2560" width="1.1171875" customWidth="1"/>
    <col min="2561" max="2561" width="46.5859375" customWidth="1"/>
    <col min="2562" max="2562" width="10.41015625" customWidth="1"/>
    <col min="2563" max="2563" width="13.703125" customWidth="1"/>
    <col min="2564" max="2564" width="13.5859375" customWidth="1"/>
    <col min="2565" max="2565" width="13.41015625" customWidth="1"/>
    <col min="2566" max="2567" width="13.5859375" customWidth="1"/>
    <col min="2568" max="2568" width="13.703125" customWidth="1"/>
    <col min="2569" max="2569" width="3" customWidth="1"/>
    <col min="2570" max="2570" width="13.41015625" customWidth="1"/>
    <col min="2571" max="2571" width="16.41015625" customWidth="1"/>
    <col min="2572" max="2572" width="12.29296875" customWidth="1"/>
    <col min="2573" max="2573" width="13.41015625" customWidth="1"/>
    <col min="2574" max="2575" width="12.29296875" customWidth="1"/>
    <col min="2576" max="2576" width="12.703125" customWidth="1"/>
    <col min="2577" max="2577" width="11" customWidth="1"/>
    <col min="2578" max="2582" width="12.41015625" customWidth="1"/>
    <col min="2815" max="2815" width="3" customWidth="1"/>
    <col min="2816" max="2816" width="1.1171875" customWidth="1"/>
    <col min="2817" max="2817" width="46.5859375" customWidth="1"/>
    <col min="2818" max="2818" width="10.41015625" customWidth="1"/>
    <col min="2819" max="2819" width="13.703125" customWidth="1"/>
    <col min="2820" max="2820" width="13.5859375" customWidth="1"/>
    <col min="2821" max="2821" width="13.41015625" customWidth="1"/>
    <col min="2822" max="2823" width="13.5859375" customWidth="1"/>
    <col min="2824" max="2824" width="13.703125" customWidth="1"/>
    <col min="2825" max="2825" width="3" customWidth="1"/>
    <col min="2826" max="2826" width="13.41015625" customWidth="1"/>
    <col min="2827" max="2827" width="16.41015625" customWidth="1"/>
    <col min="2828" max="2828" width="12.29296875" customWidth="1"/>
    <col min="2829" max="2829" width="13.41015625" customWidth="1"/>
    <col min="2830" max="2831" width="12.29296875" customWidth="1"/>
    <col min="2832" max="2832" width="12.703125" customWidth="1"/>
    <col min="2833" max="2833" width="11" customWidth="1"/>
    <col min="2834" max="2838" width="12.41015625" customWidth="1"/>
    <col min="3071" max="3071" width="3" customWidth="1"/>
    <col min="3072" max="3072" width="1.1171875" customWidth="1"/>
    <col min="3073" max="3073" width="46.5859375" customWidth="1"/>
    <col min="3074" max="3074" width="10.41015625" customWidth="1"/>
    <col min="3075" max="3075" width="13.703125" customWidth="1"/>
    <col min="3076" max="3076" width="13.5859375" customWidth="1"/>
    <col min="3077" max="3077" width="13.41015625" customWidth="1"/>
    <col min="3078" max="3079" width="13.5859375" customWidth="1"/>
    <col min="3080" max="3080" width="13.703125" customWidth="1"/>
    <col min="3081" max="3081" width="3" customWidth="1"/>
    <col min="3082" max="3082" width="13.41015625" customWidth="1"/>
    <col min="3083" max="3083" width="16.41015625" customWidth="1"/>
    <col min="3084" max="3084" width="12.29296875" customWidth="1"/>
    <col min="3085" max="3085" width="13.41015625" customWidth="1"/>
    <col min="3086" max="3087" width="12.29296875" customWidth="1"/>
    <col min="3088" max="3088" width="12.703125" customWidth="1"/>
    <col min="3089" max="3089" width="11" customWidth="1"/>
    <col min="3090" max="3094" width="12.41015625" customWidth="1"/>
    <col min="3327" max="3327" width="3" customWidth="1"/>
    <col min="3328" max="3328" width="1.1171875" customWidth="1"/>
    <col min="3329" max="3329" width="46.5859375" customWidth="1"/>
    <col min="3330" max="3330" width="10.41015625" customWidth="1"/>
    <col min="3331" max="3331" width="13.703125" customWidth="1"/>
    <col min="3332" max="3332" width="13.5859375" customWidth="1"/>
    <col min="3333" max="3333" width="13.41015625" customWidth="1"/>
    <col min="3334" max="3335" width="13.5859375" customWidth="1"/>
    <col min="3336" max="3336" width="13.703125" customWidth="1"/>
    <col min="3337" max="3337" width="3" customWidth="1"/>
    <col min="3338" max="3338" width="13.41015625" customWidth="1"/>
    <col min="3339" max="3339" width="16.41015625" customWidth="1"/>
    <col min="3340" max="3340" width="12.29296875" customWidth="1"/>
    <col min="3341" max="3341" width="13.41015625" customWidth="1"/>
    <col min="3342" max="3343" width="12.29296875" customWidth="1"/>
    <col min="3344" max="3344" width="12.703125" customWidth="1"/>
    <col min="3345" max="3345" width="11" customWidth="1"/>
    <col min="3346" max="3350" width="12.41015625" customWidth="1"/>
    <col min="3583" max="3583" width="3" customWidth="1"/>
    <col min="3584" max="3584" width="1.1171875" customWidth="1"/>
    <col min="3585" max="3585" width="46.5859375" customWidth="1"/>
    <col min="3586" max="3586" width="10.41015625" customWidth="1"/>
    <col min="3587" max="3587" width="13.703125" customWidth="1"/>
    <col min="3588" max="3588" width="13.5859375" customWidth="1"/>
    <col min="3589" max="3589" width="13.41015625" customWidth="1"/>
    <col min="3590" max="3591" width="13.5859375" customWidth="1"/>
    <col min="3592" max="3592" width="13.703125" customWidth="1"/>
    <col min="3593" max="3593" width="3" customWidth="1"/>
    <col min="3594" max="3594" width="13.41015625" customWidth="1"/>
    <col min="3595" max="3595" width="16.41015625" customWidth="1"/>
    <col min="3596" max="3596" width="12.29296875" customWidth="1"/>
    <col min="3597" max="3597" width="13.41015625" customWidth="1"/>
    <col min="3598" max="3599" width="12.29296875" customWidth="1"/>
    <col min="3600" max="3600" width="12.703125" customWidth="1"/>
    <col min="3601" max="3601" width="11" customWidth="1"/>
    <col min="3602" max="3606" width="12.41015625" customWidth="1"/>
    <col min="3839" max="3839" width="3" customWidth="1"/>
    <col min="3840" max="3840" width="1.1171875" customWidth="1"/>
    <col min="3841" max="3841" width="46.5859375" customWidth="1"/>
    <col min="3842" max="3842" width="10.41015625" customWidth="1"/>
    <col min="3843" max="3843" width="13.703125" customWidth="1"/>
    <col min="3844" max="3844" width="13.5859375" customWidth="1"/>
    <col min="3845" max="3845" width="13.41015625" customWidth="1"/>
    <col min="3846" max="3847" width="13.5859375" customWidth="1"/>
    <col min="3848" max="3848" width="13.703125" customWidth="1"/>
    <col min="3849" max="3849" width="3" customWidth="1"/>
    <col min="3850" max="3850" width="13.41015625" customWidth="1"/>
    <col min="3851" max="3851" width="16.41015625" customWidth="1"/>
    <col min="3852" max="3852" width="12.29296875" customWidth="1"/>
    <col min="3853" max="3853" width="13.41015625" customWidth="1"/>
    <col min="3854" max="3855" width="12.29296875" customWidth="1"/>
    <col min="3856" max="3856" width="12.703125" customWidth="1"/>
    <col min="3857" max="3857" width="11" customWidth="1"/>
    <col min="3858" max="3862" width="12.41015625" customWidth="1"/>
    <col min="4095" max="4095" width="3" customWidth="1"/>
    <col min="4096" max="4096" width="1.1171875" customWidth="1"/>
    <col min="4097" max="4097" width="46.5859375" customWidth="1"/>
    <col min="4098" max="4098" width="10.41015625" customWidth="1"/>
    <col min="4099" max="4099" width="13.703125" customWidth="1"/>
    <col min="4100" max="4100" width="13.5859375" customWidth="1"/>
    <col min="4101" max="4101" width="13.41015625" customWidth="1"/>
    <col min="4102" max="4103" width="13.5859375" customWidth="1"/>
    <col min="4104" max="4104" width="13.703125" customWidth="1"/>
    <col min="4105" max="4105" width="3" customWidth="1"/>
    <col min="4106" max="4106" width="13.41015625" customWidth="1"/>
    <col min="4107" max="4107" width="16.41015625" customWidth="1"/>
    <col min="4108" max="4108" width="12.29296875" customWidth="1"/>
    <col min="4109" max="4109" width="13.41015625" customWidth="1"/>
    <col min="4110" max="4111" width="12.29296875" customWidth="1"/>
    <col min="4112" max="4112" width="12.703125" customWidth="1"/>
    <col min="4113" max="4113" width="11" customWidth="1"/>
    <col min="4114" max="4118" width="12.41015625" customWidth="1"/>
    <col min="4351" max="4351" width="3" customWidth="1"/>
    <col min="4352" max="4352" width="1.1171875" customWidth="1"/>
    <col min="4353" max="4353" width="46.5859375" customWidth="1"/>
    <col min="4354" max="4354" width="10.41015625" customWidth="1"/>
    <col min="4355" max="4355" width="13.703125" customWidth="1"/>
    <col min="4356" max="4356" width="13.5859375" customWidth="1"/>
    <col min="4357" max="4357" width="13.41015625" customWidth="1"/>
    <col min="4358" max="4359" width="13.5859375" customWidth="1"/>
    <col min="4360" max="4360" width="13.703125" customWidth="1"/>
    <col min="4361" max="4361" width="3" customWidth="1"/>
    <col min="4362" max="4362" width="13.41015625" customWidth="1"/>
    <col min="4363" max="4363" width="16.41015625" customWidth="1"/>
    <col min="4364" max="4364" width="12.29296875" customWidth="1"/>
    <col min="4365" max="4365" width="13.41015625" customWidth="1"/>
    <col min="4366" max="4367" width="12.29296875" customWidth="1"/>
    <col min="4368" max="4368" width="12.703125" customWidth="1"/>
    <col min="4369" max="4369" width="11" customWidth="1"/>
    <col min="4370" max="4374" width="12.41015625" customWidth="1"/>
    <col min="4607" max="4607" width="3" customWidth="1"/>
    <col min="4608" max="4608" width="1.1171875" customWidth="1"/>
    <col min="4609" max="4609" width="46.5859375" customWidth="1"/>
    <col min="4610" max="4610" width="10.41015625" customWidth="1"/>
    <col min="4611" max="4611" width="13.703125" customWidth="1"/>
    <col min="4612" max="4612" width="13.5859375" customWidth="1"/>
    <col min="4613" max="4613" width="13.41015625" customWidth="1"/>
    <col min="4614" max="4615" width="13.5859375" customWidth="1"/>
    <col min="4616" max="4616" width="13.703125" customWidth="1"/>
    <col min="4617" max="4617" width="3" customWidth="1"/>
    <col min="4618" max="4618" width="13.41015625" customWidth="1"/>
    <col min="4619" max="4619" width="16.41015625" customWidth="1"/>
    <col min="4620" max="4620" width="12.29296875" customWidth="1"/>
    <col min="4621" max="4621" width="13.41015625" customWidth="1"/>
    <col min="4622" max="4623" width="12.29296875" customWidth="1"/>
    <col min="4624" max="4624" width="12.703125" customWidth="1"/>
    <col min="4625" max="4625" width="11" customWidth="1"/>
    <col min="4626" max="4630" width="12.41015625" customWidth="1"/>
    <col min="4863" max="4863" width="3" customWidth="1"/>
    <col min="4864" max="4864" width="1.1171875" customWidth="1"/>
    <col min="4865" max="4865" width="46.5859375" customWidth="1"/>
    <col min="4866" max="4866" width="10.41015625" customWidth="1"/>
    <col min="4867" max="4867" width="13.703125" customWidth="1"/>
    <col min="4868" max="4868" width="13.5859375" customWidth="1"/>
    <col min="4869" max="4869" width="13.41015625" customWidth="1"/>
    <col min="4870" max="4871" width="13.5859375" customWidth="1"/>
    <col min="4872" max="4872" width="13.703125" customWidth="1"/>
    <col min="4873" max="4873" width="3" customWidth="1"/>
    <col min="4874" max="4874" width="13.41015625" customWidth="1"/>
    <col min="4875" max="4875" width="16.41015625" customWidth="1"/>
    <col min="4876" max="4876" width="12.29296875" customWidth="1"/>
    <col min="4877" max="4877" width="13.41015625" customWidth="1"/>
    <col min="4878" max="4879" width="12.29296875" customWidth="1"/>
    <col min="4880" max="4880" width="12.703125" customWidth="1"/>
    <col min="4881" max="4881" width="11" customWidth="1"/>
    <col min="4882" max="4886" width="12.41015625" customWidth="1"/>
    <col min="5119" max="5119" width="3" customWidth="1"/>
    <col min="5120" max="5120" width="1.1171875" customWidth="1"/>
    <col min="5121" max="5121" width="46.5859375" customWidth="1"/>
    <col min="5122" max="5122" width="10.41015625" customWidth="1"/>
    <col min="5123" max="5123" width="13.703125" customWidth="1"/>
    <col min="5124" max="5124" width="13.5859375" customWidth="1"/>
    <col min="5125" max="5125" width="13.41015625" customWidth="1"/>
    <col min="5126" max="5127" width="13.5859375" customWidth="1"/>
    <col min="5128" max="5128" width="13.703125" customWidth="1"/>
    <col min="5129" max="5129" width="3" customWidth="1"/>
    <col min="5130" max="5130" width="13.41015625" customWidth="1"/>
    <col min="5131" max="5131" width="16.41015625" customWidth="1"/>
    <col min="5132" max="5132" width="12.29296875" customWidth="1"/>
    <col min="5133" max="5133" width="13.41015625" customWidth="1"/>
    <col min="5134" max="5135" width="12.29296875" customWidth="1"/>
    <col min="5136" max="5136" width="12.703125" customWidth="1"/>
    <col min="5137" max="5137" width="11" customWidth="1"/>
    <col min="5138" max="5142" width="12.41015625" customWidth="1"/>
    <col min="5375" max="5375" width="3" customWidth="1"/>
    <col min="5376" max="5376" width="1.1171875" customWidth="1"/>
    <col min="5377" max="5377" width="46.5859375" customWidth="1"/>
    <col min="5378" max="5378" width="10.41015625" customWidth="1"/>
    <col min="5379" max="5379" width="13.703125" customWidth="1"/>
    <col min="5380" max="5380" width="13.5859375" customWidth="1"/>
    <col min="5381" max="5381" width="13.41015625" customWidth="1"/>
    <col min="5382" max="5383" width="13.5859375" customWidth="1"/>
    <col min="5384" max="5384" width="13.703125" customWidth="1"/>
    <col min="5385" max="5385" width="3" customWidth="1"/>
    <col min="5386" max="5386" width="13.41015625" customWidth="1"/>
    <col min="5387" max="5387" width="16.41015625" customWidth="1"/>
    <col min="5388" max="5388" width="12.29296875" customWidth="1"/>
    <col min="5389" max="5389" width="13.41015625" customWidth="1"/>
    <col min="5390" max="5391" width="12.29296875" customWidth="1"/>
    <col min="5392" max="5392" width="12.703125" customWidth="1"/>
    <col min="5393" max="5393" width="11" customWidth="1"/>
    <col min="5394" max="5398" width="12.41015625" customWidth="1"/>
    <col min="5631" max="5631" width="3" customWidth="1"/>
    <col min="5632" max="5632" width="1.1171875" customWidth="1"/>
    <col min="5633" max="5633" width="46.5859375" customWidth="1"/>
    <col min="5634" max="5634" width="10.41015625" customWidth="1"/>
    <col min="5635" max="5635" width="13.703125" customWidth="1"/>
    <col min="5636" max="5636" width="13.5859375" customWidth="1"/>
    <col min="5637" max="5637" width="13.41015625" customWidth="1"/>
    <col min="5638" max="5639" width="13.5859375" customWidth="1"/>
    <col min="5640" max="5640" width="13.703125" customWidth="1"/>
    <col min="5641" max="5641" width="3" customWidth="1"/>
    <col min="5642" max="5642" width="13.41015625" customWidth="1"/>
    <col min="5643" max="5643" width="16.41015625" customWidth="1"/>
    <col min="5644" max="5644" width="12.29296875" customWidth="1"/>
    <col min="5645" max="5645" width="13.41015625" customWidth="1"/>
    <col min="5646" max="5647" width="12.29296875" customWidth="1"/>
    <col min="5648" max="5648" width="12.703125" customWidth="1"/>
    <col min="5649" max="5649" width="11" customWidth="1"/>
    <col min="5650" max="5654" width="12.41015625" customWidth="1"/>
    <col min="5887" max="5887" width="3" customWidth="1"/>
    <col min="5888" max="5888" width="1.1171875" customWidth="1"/>
    <col min="5889" max="5889" width="46.5859375" customWidth="1"/>
    <col min="5890" max="5890" width="10.41015625" customWidth="1"/>
    <col min="5891" max="5891" width="13.703125" customWidth="1"/>
    <col min="5892" max="5892" width="13.5859375" customWidth="1"/>
    <col min="5893" max="5893" width="13.41015625" customWidth="1"/>
    <col min="5894" max="5895" width="13.5859375" customWidth="1"/>
    <col min="5896" max="5896" width="13.703125" customWidth="1"/>
    <col min="5897" max="5897" width="3" customWidth="1"/>
    <col min="5898" max="5898" width="13.41015625" customWidth="1"/>
    <col min="5899" max="5899" width="16.41015625" customWidth="1"/>
    <col min="5900" max="5900" width="12.29296875" customWidth="1"/>
    <col min="5901" max="5901" width="13.41015625" customWidth="1"/>
    <col min="5902" max="5903" width="12.29296875" customWidth="1"/>
    <col min="5904" max="5904" width="12.703125" customWidth="1"/>
    <col min="5905" max="5905" width="11" customWidth="1"/>
    <col min="5906" max="5910" width="12.41015625" customWidth="1"/>
    <col min="6143" max="6143" width="3" customWidth="1"/>
    <col min="6144" max="6144" width="1.1171875" customWidth="1"/>
    <col min="6145" max="6145" width="46.5859375" customWidth="1"/>
    <col min="6146" max="6146" width="10.41015625" customWidth="1"/>
    <col min="6147" max="6147" width="13.703125" customWidth="1"/>
    <col min="6148" max="6148" width="13.5859375" customWidth="1"/>
    <col min="6149" max="6149" width="13.41015625" customWidth="1"/>
    <col min="6150" max="6151" width="13.5859375" customWidth="1"/>
    <col min="6152" max="6152" width="13.703125" customWidth="1"/>
    <col min="6153" max="6153" width="3" customWidth="1"/>
    <col min="6154" max="6154" width="13.41015625" customWidth="1"/>
    <col min="6155" max="6155" width="16.41015625" customWidth="1"/>
    <col min="6156" max="6156" width="12.29296875" customWidth="1"/>
    <col min="6157" max="6157" width="13.41015625" customWidth="1"/>
    <col min="6158" max="6159" width="12.29296875" customWidth="1"/>
    <col min="6160" max="6160" width="12.703125" customWidth="1"/>
    <col min="6161" max="6161" width="11" customWidth="1"/>
    <col min="6162" max="6166" width="12.41015625" customWidth="1"/>
    <col min="6399" max="6399" width="3" customWidth="1"/>
    <col min="6400" max="6400" width="1.1171875" customWidth="1"/>
    <col min="6401" max="6401" width="46.5859375" customWidth="1"/>
    <col min="6402" max="6402" width="10.41015625" customWidth="1"/>
    <col min="6403" max="6403" width="13.703125" customWidth="1"/>
    <col min="6404" max="6404" width="13.5859375" customWidth="1"/>
    <col min="6405" max="6405" width="13.41015625" customWidth="1"/>
    <col min="6406" max="6407" width="13.5859375" customWidth="1"/>
    <col min="6408" max="6408" width="13.703125" customWidth="1"/>
    <col min="6409" max="6409" width="3" customWidth="1"/>
    <col min="6410" max="6410" width="13.41015625" customWidth="1"/>
    <col min="6411" max="6411" width="16.41015625" customWidth="1"/>
    <col min="6412" max="6412" width="12.29296875" customWidth="1"/>
    <col min="6413" max="6413" width="13.41015625" customWidth="1"/>
    <col min="6414" max="6415" width="12.29296875" customWidth="1"/>
    <col min="6416" max="6416" width="12.703125" customWidth="1"/>
    <col min="6417" max="6417" width="11" customWidth="1"/>
    <col min="6418" max="6422" width="12.41015625" customWidth="1"/>
    <col min="6655" max="6655" width="3" customWidth="1"/>
    <col min="6656" max="6656" width="1.1171875" customWidth="1"/>
    <col min="6657" max="6657" width="46.5859375" customWidth="1"/>
    <col min="6658" max="6658" width="10.41015625" customWidth="1"/>
    <col min="6659" max="6659" width="13.703125" customWidth="1"/>
    <col min="6660" max="6660" width="13.5859375" customWidth="1"/>
    <col min="6661" max="6661" width="13.41015625" customWidth="1"/>
    <col min="6662" max="6663" width="13.5859375" customWidth="1"/>
    <col min="6664" max="6664" width="13.703125" customWidth="1"/>
    <col min="6665" max="6665" width="3" customWidth="1"/>
    <col min="6666" max="6666" width="13.41015625" customWidth="1"/>
    <col min="6667" max="6667" width="16.41015625" customWidth="1"/>
    <col min="6668" max="6668" width="12.29296875" customWidth="1"/>
    <col min="6669" max="6669" width="13.41015625" customWidth="1"/>
    <col min="6670" max="6671" width="12.29296875" customWidth="1"/>
    <col min="6672" max="6672" width="12.703125" customWidth="1"/>
    <col min="6673" max="6673" width="11" customWidth="1"/>
    <col min="6674" max="6678" width="12.41015625" customWidth="1"/>
    <col min="6911" max="6911" width="3" customWidth="1"/>
    <col min="6912" max="6912" width="1.1171875" customWidth="1"/>
    <col min="6913" max="6913" width="46.5859375" customWidth="1"/>
    <col min="6914" max="6914" width="10.41015625" customWidth="1"/>
    <col min="6915" max="6915" width="13.703125" customWidth="1"/>
    <col min="6916" max="6916" width="13.5859375" customWidth="1"/>
    <col min="6917" max="6917" width="13.41015625" customWidth="1"/>
    <col min="6918" max="6919" width="13.5859375" customWidth="1"/>
    <col min="6920" max="6920" width="13.703125" customWidth="1"/>
    <col min="6921" max="6921" width="3" customWidth="1"/>
    <col min="6922" max="6922" width="13.41015625" customWidth="1"/>
    <col min="6923" max="6923" width="16.41015625" customWidth="1"/>
    <col min="6924" max="6924" width="12.29296875" customWidth="1"/>
    <col min="6925" max="6925" width="13.41015625" customWidth="1"/>
    <col min="6926" max="6927" width="12.29296875" customWidth="1"/>
    <col min="6928" max="6928" width="12.703125" customWidth="1"/>
    <col min="6929" max="6929" width="11" customWidth="1"/>
    <col min="6930" max="6934" width="12.41015625" customWidth="1"/>
    <col min="7167" max="7167" width="3" customWidth="1"/>
    <col min="7168" max="7168" width="1.1171875" customWidth="1"/>
    <col min="7169" max="7169" width="46.5859375" customWidth="1"/>
    <col min="7170" max="7170" width="10.41015625" customWidth="1"/>
    <col min="7171" max="7171" width="13.703125" customWidth="1"/>
    <col min="7172" max="7172" width="13.5859375" customWidth="1"/>
    <col min="7173" max="7173" width="13.41015625" customWidth="1"/>
    <col min="7174" max="7175" width="13.5859375" customWidth="1"/>
    <col min="7176" max="7176" width="13.703125" customWidth="1"/>
    <col min="7177" max="7177" width="3" customWidth="1"/>
    <col min="7178" max="7178" width="13.41015625" customWidth="1"/>
    <col min="7179" max="7179" width="16.41015625" customWidth="1"/>
    <col min="7180" max="7180" width="12.29296875" customWidth="1"/>
    <col min="7181" max="7181" width="13.41015625" customWidth="1"/>
    <col min="7182" max="7183" width="12.29296875" customWidth="1"/>
    <col min="7184" max="7184" width="12.703125" customWidth="1"/>
    <col min="7185" max="7185" width="11" customWidth="1"/>
    <col min="7186" max="7190" width="12.41015625" customWidth="1"/>
    <col min="7423" max="7423" width="3" customWidth="1"/>
    <col min="7424" max="7424" width="1.1171875" customWidth="1"/>
    <col min="7425" max="7425" width="46.5859375" customWidth="1"/>
    <col min="7426" max="7426" width="10.41015625" customWidth="1"/>
    <col min="7427" max="7427" width="13.703125" customWidth="1"/>
    <col min="7428" max="7428" width="13.5859375" customWidth="1"/>
    <col min="7429" max="7429" width="13.41015625" customWidth="1"/>
    <col min="7430" max="7431" width="13.5859375" customWidth="1"/>
    <col min="7432" max="7432" width="13.703125" customWidth="1"/>
    <col min="7433" max="7433" width="3" customWidth="1"/>
    <col min="7434" max="7434" width="13.41015625" customWidth="1"/>
    <col min="7435" max="7435" width="16.41015625" customWidth="1"/>
    <col min="7436" max="7436" width="12.29296875" customWidth="1"/>
    <col min="7437" max="7437" width="13.41015625" customWidth="1"/>
    <col min="7438" max="7439" width="12.29296875" customWidth="1"/>
    <col min="7440" max="7440" width="12.703125" customWidth="1"/>
    <col min="7441" max="7441" width="11" customWidth="1"/>
    <col min="7442" max="7446" width="12.41015625" customWidth="1"/>
    <col min="7679" max="7679" width="3" customWidth="1"/>
    <col min="7680" max="7680" width="1.1171875" customWidth="1"/>
    <col min="7681" max="7681" width="46.5859375" customWidth="1"/>
    <col min="7682" max="7682" width="10.41015625" customWidth="1"/>
    <col min="7683" max="7683" width="13.703125" customWidth="1"/>
    <col min="7684" max="7684" width="13.5859375" customWidth="1"/>
    <col min="7685" max="7685" width="13.41015625" customWidth="1"/>
    <col min="7686" max="7687" width="13.5859375" customWidth="1"/>
    <col min="7688" max="7688" width="13.703125" customWidth="1"/>
    <col min="7689" max="7689" width="3" customWidth="1"/>
    <col min="7690" max="7690" width="13.41015625" customWidth="1"/>
    <col min="7691" max="7691" width="16.41015625" customWidth="1"/>
    <col min="7692" max="7692" width="12.29296875" customWidth="1"/>
    <col min="7693" max="7693" width="13.41015625" customWidth="1"/>
    <col min="7694" max="7695" width="12.29296875" customWidth="1"/>
    <col min="7696" max="7696" width="12.703125" customWidth="1"/>
    <col min="7697" max="7697" width="11" customWidth="1"/>
    <col min="7698" max="7702" width="12.41015625" customWidth="1"/>
    <col min="7935" max="7935" width="3" customWidth="1"/>
    <col min="7936" max="7936" width="1.1171875" customWidth="1"/>
    <col min="7937" max="7937" width="46.5859375" customWidth="1"/>
    <col min="7938" max="7938" width="10.41015625" customWidth="1"/>
    <col min="7939" max="7939" width="13.703125" customWidth="1"/>
    <col min="7940" max="7940" width="13.5859375" customWidth="1"/>
    <col min="7941" max="7941" width="13.41015625" customWidth="1"/>
    <col min="7942" max="7943" width="13.5859375" customWidth="1"/>
    <col min="7944" max="7944" width="13.703125" customWidth="1"/>
    <col min="7945" max="7945" width="3" customWidth="1"/>
    <col min="7946" max="7946" width="13.41015625" customWidth="1"/>
    <col min="7947" max="7947" width="16.41015625" customWidth="1"/>
    <col min="7948" max="7948" width="12.29296875" customWidth="1"/>
    <col min="7949" max="7949" width="13.41015625" customWidth="1"/>
    <col min="7950" max="7951" width="12.29296875" customWidth="1"/>
    <col min="7952" max="7952" width="12.703125" customWidth="1"/>
    <col min="7953" max="7953" width="11" customWidth="1"/>
    <col min="7954" max="7958" width="12.41015625" customWidth="1"/>
    <col min="8191" max="8191" width="3" customWidth="1"/>
    <col min="8192" max="8192" width="1.1171875" customWidth="1"/>
    <col min="8193" max="8193" width="46.5859375" customWidth="1"/>
    <col min="8194" max="8194" width="10.41015625" customWidth="1"/>
    <col min="8195" max="8195" width="13.703125" customWidth="1"/>
    <col min="8196" max="8196" width="13.5859375" customWidth="1"/>
    <col min="8197" max="8197" width="13.41015625" customWidth="1"/>
    <col min="8198" max="8199" width="13.5859375" customWidth="1"/>
    <col min="8200" max="8200" width="13.703125" customWidth="1"/>
    <col min="8201" max="8201" width="3" customWidth="1"/>
    <col min="8202" max="8202" width="13.41015625" customWidth="1"/>
    <col min="8203" max="8203" width="16.41015625" customWidth="1"/>
    <col min="8204" max="8204" width="12.29296875" customWidth="1"/>
    <col min="8205" max="8205" width="13.41015625" customWidth="1"/>
    <col min="8206" max="8207" width="12.29296875" customWidth="1"/>
    <col min="8208" max="8208" width="12.703125" customWidth="1"/>
    <col min="8209" max="8209" width="11" customWidth="1"/>
    <col min="8210" max="8214" width="12.41015625" customWidth="1"/>
    <col min="8447" max="8447" width="3" customWidth="1"/>
    <col min="8448" max="8448" width="1.1171875" customWidth="1"/>
    <col min="8449" max="8449" width="46.5859375" customWidth="1"/>
    <col min="8450" max="8450" width="10.41015625" customWidth="1"/>
    <col min="8451" max="8451" width="13.703125" customWidth="1"/>
    <col min="8452" max="8452" width="13.5859375" customWidth="1"/>
    <col min="8453" max="8453" width="13.41015625" customWidth="1"/>
    <col min="8454" max="8455" width="13.5859375" customWidth="1"/>
    <col min="8456" max="8456" width="13.703125" customWidth="1"/>
    <col min="8457" max="8457" width="3" customWidth="1"/>
    <col min="8458" max="8458" width="13.41015625" customWidth="1"/>
    <col min="8459" max="8459" width="16.41015625" customWidth="1"/>
    <col min="8460" max="8460" width="12.29296875" customWidth="1"/>
    <col min="8461" max="8461" width="13.41015625" customWidth="1"/>
    <col min="8462" max="8463" width="12.29296875" customWidth="1"/>
    <col min="8464" max="8464" width="12.703125" customWidth="1"/>
    <col min="8465" max="8465" width="11" customWidth="1"/>
    <col min="8466" max="8470" width="12.41015625" customWidth="1"/>
    <col min="8703" max="8703" width="3" customWidth="1"/>
    <col min="8704" max="8704" width="1.1171875" customWidth="1"/>
    <col min="8705" max="8705" width="46.5859375" customWidth="1"/>
    <col min="8706" max="8706" width="10.41015625" customWidth="1"/>
    <col min="8707" max="8707" width="13.703125" customWidth="1"/>
    <col min="8708" max="8708" width="13.5859375" customWidth="1"/>
    <col min="8709" max="8709" width="13.41015625" customWidth="1"/>
    <col min="8710" max="8711" width="13.5859375" customWidth="1"/>
    <col min="8712" max="8712" width="13.703125" customWidth="1"/>
    <col min="8713" max="8713" width="3" customWidth="1"/>
    <col min="8714" max="8714" width="13.41015625" customWidth="1"/>
    <col min="8715" max="8715" width="16.41015625" customWidth="1"/>
    <col min="8716" max="8716" width="12.29296875" customWidth="1"/>
    <col min="8717" max="8717" width="13.41015625" customWidth="1"/>
    <col min="8718" max="8719" width="12.29296875" customWidth="1"/>
    <col min="8720" max="8720" width="12.703125" customWidth="1"/>
    <col min="8721" max="8721" width="11" customWidth="1"/>
    <col min="8722" max="8726" width="12.41015625" customWidth="1"/>
    <col min="8959" max="8959" width="3" customWidth="1"/>
    <col min="8960" max="8960" width="1.1171875" customWidth="1"/>
    <col min="8961" max="8961" width="46.5859375" customWidth="1"/>
    <col min="8962" max="8962" width="10.41015625" customWidth="1"/>
    <col min="8963" max="8963" width="13.703125" customWidth="1"/>
    <col min="8964" max="8964" width="13.5859375" customWidth="1"/>
    <col min="8965" max="8965" width="13.41015625" customWidth="1"/>
    <col min="8966" max="8967" width="13.5859375" customWidth="1"/>
    <col min="8968" max="8968" width="13.703125" customWidth="1"/>
    <col min="8969" max="8969" width="3" customWidth="1"/>
    <col min="8970" max="8970" width="13.41015625" customWidth="1"/>
    <col min="8971" max="8971" width="16.41015625" customWidth="1"/>
    <col min="8972" max="8972" width="12.29296875" customWidth="1"/>
    <col min="8973" max="8973" width="13.41015625" customWidth="1"/>
    <col min="8974" max="8975" width="12.29296875" customWidth="1"/>
    <col min="8976" max="8976" width="12.703125" customWidth="1"/>
    <col min="8977" max="8977" width="11" customWidth="1"/>
    <col min="8978" max="8982" width="12.41015625" customWidth="1"/>
    <col min="9215" max="9215" width="3" customWidth="1"/>
    <col min="9216" max="9216" width="1.1171875" customWidth="1"/>
    <col min="9217" max="9217" width="46.5859375" customWidth="1"/>
    <col min="9218" max="9218" width="10.41015625" customWidth="1"/>
    <col min="9219" max="9219" width="13.703125" customWidth="1"/>
    <col min="9220" max="9220" width="13.5859375" customWidth="1"/>
    <col min="9221" max="9221" width="13.41015625" customWidth="1"/>
    <col min="9222" max="9223" width="13.5859375" customWidth="1"/>
    <col min="9224" max="9224" width="13.703125" customWidth="1"/>
    <col min="9225" max="9225" width="3" customWidth="1"/>
    <col min="9226" max="9226" width="13.41015625" customWidth="1"/>
    <col min="9227" max="9227" width="16.41015625" customWidth="1"/>
    <col min="9228" max="9228" width="12.29296875" customWidth="1"/>
    <col min="9229" max="9229" width="13.41015625" customWidth="1"/>
    <col min="9230" max="9231" width="12.29296875" customWidth="1"/>
    <col min="9232" max="9232" width="12.703125" customWidth="1"/>
    <col min="9233" max="9233" width="11" customWidth="1"/>
    <col min="9234" max="9238" width="12.41015625" customWidth="1"/>
    <col min="9471" max="9471" width="3" customWidth="1"/>
    <col min="9472" max="9472" width="1.1171875" customWidth="1"/>
    <col min="9473" max="9473" width="46.5859375" customWidth="1"/>
    <col min="9474" max="9474" width="10.41015625" customWidth="1"/>
    <col min="9475" max="9475" width="13.703125" customWidth="1"/>
    <col min="9476" max="9476" width="13.5859375" customWidth="1"/>
    <col min="9477" max="9477" width="13.41015625" customWidth="1"/>
    <col min="9478" max="9479" width="13.5859375" customWidth="1"/>
    <col min="9480" max="9480" width="13.703125" customWidth="1"/>
    <col min="9481" max="9481" width="3" customWidth="1"/>
    <col min="9482" max="9482" width="13.41015625" customWidth="1"/>
    <col min="9483" max="9483" width="16.41015625" customWidth="1"/>
    <col min="9484" max="9484" width="12.29296875" customWidth="1"/>
    <col min="9485" max="9485" width="13.41015625" customWidth="1"/>
    <col min="9486" max="9487" width="12.29296875" customWidth="1"/>
    <col min="9488" max="9488" width="12.703125" customWidth="1"/>
    <col min="9489" max="9489" width="11" customWidth="1"/>
    <col min="9490" max="9494" width="12.41015625" customWidth="1"/>
    <col min="9727" max="9727" width="3" customWidth="1"/>
    <col min="9728" max="9728" width="1.1171875" customWidth="1"/>
    <col min="9729" max="9729" width="46.5859375" customWidth="1"/>
    <col min="9730" max="9730" width="10.41015625" customWidth="1"/>
    <col min="9731" max="9731" width="13.703125" customWidth="1"/>
    <col min="9732" max="9732" width="13.5859375" customWidth="1"/>
    <col min="9733" max="9733" width="13.41015625" customWidth="1"/>
    <col min="9734" max="9735" width="13.5859375" customWidth="1"/>
    <col min="9736" max="9736" width="13.703125" customWidth="1"/>
    <col min="9737" max="9737" width="3" customWidth="1"/>
    <col min="9738" max="9738" width="13.41015625" customWidth="1"/>
    <col min="9739" max="9739" width="16.41015625" customWidth="1"/>
    <col min="9740" max="9740" width="12.29296875" customWidth="1"/>
    <col min="9741" max="9741" width="13.41015625" customWidth="1"/>
    <col min="9742" max="9743" width="12.29296875" customWidth="1"/>
    <col min="9744" max="9744" width="12.703125" customWidth="1"/>
    <col min="9745" max="9745" width="11" customWidth="1"/>
    <col min="9746" max="9750" width="12.41015625" customWidth="1"/>
    <col min="9983" max="9983" width="3" customWidth="1"/>
    <col min="9984" max="9984" width="1.1171875" customWidth="1"/>
    <col min="9985" max="9985" width="46.5859375" customWidth="1"/>
    <col min="9986" max="9986" width="10.41015625" customWidth="1"/>
    <col min="9987" max="9987" width="13.703125" customWidth="1"/>
    <col min="9988" max="9988" width="13.5859375" customWidth="1"/>
    <col min="9989" max="9989" width="13.41015625" customWidth="1"/>
    <col min="9990" max="9991" width="13.5859375" customWidth="1"/>
    <col min="9992" max="9992" width="13.703125" customWidth="1"/>
    <col min="9993" max="9993" width="3" customWidth="1"/>
    <col min="9994" max="9994" width="13.41015625" customWidth="1"/>
    <col min="9995" max="9995" width="16.41015625" customWidth="1"/>
    <col min="9996" max="9996" width="12.29296875" customWidth="1"/>
    <col min="9997" max="9997" width="13.41015625" customWidth="1"/>
    <col min="9998" max="9999" width="12.29296875" customWidth="1"/>
    <col min="10000" max="10000" width="12.703125" customWidth="1"/>
    <col min="10001" max="10001" width="11" customWidth="1"/>
    <col min="10002" max="10006" width="12.41015625" customWidth="1"/>
    <col min="10239" max="10239" width="3" customWidth="1"/>
    <col min="10240" max="10240" width="1.1171875" customWidth="1"/>
    <col min="10241" max="10241" width="46.5859375" customWidth="1"/>
    <col min="10242" max="10242" width="10.41015625" customWidth="1"/>
    <col min="10243" max="10243" width="13.703125" customWidth="1"/>
    <col min="10244" max="10244" width="13.5859375" customWidth="1"/>
    <col min="10245" max="10245" width="13.41015625" customWidth="1"/>
    <col min="10246" max="10247" width="13.5859375" customWidth="1"/>
    <col min="10248" max="10248" width="13.703125" customWidth="1"/>
    <col min="10249" max="10249" width="3" customWidth="1"/>
    <col min="10250" max="10250" width="13.41015625" customWidth="1"/>
    <col min="10251" max="10251" width="16.41015625" customWidth="1"/>
    <col min="10252" max="10252" width="12.29296875" customWidth="1"/>
    <col min="10253" max="10253" width="13.41015625" customWidth="1"/>
    <col min="10254" max="10255" width="12.29296875" customWidth="1"/>
    <col min="10256" max="10256" width="12.703125" customWidth="1"/>
    <col min="10257" max="10257" width="11" customWidth="1"/>
    <col min="10258" max="10262" width="12.41015625" customWidth="1"/>
    <col min="10495" max="10495" width="3" customWidth="1"/>
    <col min="10496" max="10496" width="1.1171875" customWidth="1"/>
    <col min="10497" max="10497" width="46.5859375" customWidth="1"/>
    <col min="10498" max="10498" width="10.41015625" customWidth="1"/>
    <col min="10499" max="10499" width="13.703125" customWidth="1"/>
    <col min="10500" max="10500" width="13.5859375" customWidth="1"/>
    <col min="10501" max="10501" width="13.41015625" customWidth="1"/>
    <col min="10502" max="10503" width="13.5859375" customWidth="1"/>
    <col min="10504" max="10504" width="13.703125" customWidth="1"/>
    <col min="10505" max="10505" width="3" customWidth="1"/>
    <col min="10506" max="10506" width="13.41015625" customWidth="1"/>
    <col min="10507" max="10507" width="16.41015625" customWidth="1"/>
    <col min="10508" max="10508" width="12.29296875" customWidth="1"/>
    <col min="10509" max="10509" width="13.41015625" customWidth="1"/>
    <col min="10510" max="10511" width="12.29296875" customWidth="1"/>
    <col min="10512" max="10512" width="12.703125" customWidth="1"/>
    <col min="10513" max="10513" width="11" customWidth="1"/>
    <col min="10514" max="10518" width="12.41015625" customWidth="1"/>
    <col min="10751" max="10751" width="3" customWidth="1"/>
    <col min="10752" max="10752" width="1.1171875" customWidth="1"/>
    <col min="10753" max="10753" width="46.5859375" customWidth="1"/>
    <col min="10754" max="10754" width="10.41015625" customWidth="1"/>
    <col min="10755" max="10755" width="13.703125" customWidth="1"/>
    <col min="10756" max="10756" width="13.5859375" customWidth="1"/>
    <col min="10757" max="10757" width="13.41015625" customWidth="1"/>
    <col min="10758" max="10759" width="13.5859375" customWidth="1"/>
    <col min="10760" max="10760" width="13.703125" customWidth="1"/>
    <col min="10761" max="10761" width="3" customWidth="1"/>
    <col min="10762" max="10762" width="13.41015625" customWidth="1"/>
    <col min="10763" max="10763" width="16.41015625" customWidth="1"/>
    <col min="10764" max="10764" width="12.29296875" customWidth="1"/>
    <col min="10765" max="10765" width="13.41015625" customWidth="1"/>
    <col min="10766" max="10767" width="12.29296875" customWidth="1"/>
    <col min="10768" max="10768" width="12.703125" customWidth="1"/>
    <col min="10769" max="10769" width="11" customWidth="1"/>
    <col min="10770" max="10774" width="12.41015625" customWidth="1"/>
    <col min="11007" max="11007" width="3" customWidth="1"/>
    <col min="11008" max="11008" width="1.1171875" customWidth="1"/>
    <col min="11009" max="11009" width="46.5859375" customWidth="1"/>
    <col min="11010" max="11010" width="10.41015625" customWidth="1"/>
    <col min="11011" max="11011" width="13.703125" customWidth="1"/>
    <col min="11012" max="11012" width="13.5859375" customWidth="1"/>
    <col min="11013" max="11013" width="13.41015625" customWidth="1"/>
    <col min="11014" max="11015" width="13.5859375" customWidth="1"/>
    <col min="11016" max="11016" width="13.703125" customWidth="1"/>
    <col min="11017" max="11017" width="3" customWidth="1"/>
    <col min="11018" max="11018" width="13.41015625" customWidth="1"/>
    <col min="11019" max="11019" width="16.41015625" customWidth="1"/>
    <col min="11020" max="11020" width="12.29296875" customWidth="1"/>
    <col min="11021" max="11021" width="13.41015625" customWidth="1"/>
    <col min="11022" max="11023" width="12.29296875" customWidth="1"/>
    <col min="11024" max="11024" width="12.703125" customWidth="1"/>
    <col min="11025" max="11025" width="11" customWidth="1"/>
    <col min="11026" max="11030" width="12.41015625" customWidth="1"/>
    <col min="11263" max="11263" width="3" customWidth="1"/>
    <col min="11264" max="11264" width="1.1171875" customWidth="1"/>
    <col min="11265" max="11265" width="46.5859375" customWidth="1"/>
    <col min="11266" max="11266" width="10.41015625" customWidth="1"/>
    <col min="11267" max="11267" width="13.703125" customWidth="1"/>
    <col min="11268" max="11268" width="13.5859375" customWidth="1"/>
    <col min="11269" max="11269" width="13.41015625" customWidth="1"/>
    <col min="11270" max="11271" width="13.5859375" customWidth="1"/>
    <col min="11272" max="11272" width="13.703125" customWidth="1"/>
    <col min="11273" max="11273" width="3" customWidth="1"/>
    <col min="11274" max="11274" width="13.41015625" customWidth="1"/>
    <col min="11275" max="11275" width="16.41015625" customWidth="1"/>
    <col min="11276" max="11276" width="12.29296875" customWidth="1"/>
    <col min="11277" max="11277" width="13.41015625" customWidth="1"/>
    <col min="11278" max="11279" width="12.29296875" customWidth="1"/>
    <col min="11280" max="11280" width="12.703125" customWidth="1"/>
    <col min="11281" max="11281" width="11" customWidth="1"/>
    <col min="11282" max="11286" width="12.41015625" customWidth="1"/>
    <col min="11519" max="11519" width="3" customWidth="1"/>
    <col min="11520" max="11520" width="1.1171875" customWidth="1"/>
    <col min="11521" max="11521" width="46.5859375" customWidth="1"/>
    <col min="11522" max="11522" width="10.41015625" customWidth="1"/>
    <col min="11523" max="11523" width="13.703125" customWidth="1"/>
    <col min="11524" max="11524" width="13.5859375" customWidth="1"/>
    <col min="11525" max="11525" width="13.41015625" customWidth="1"/>
    <col min="11526" max="11527" width="13.5859375" customWidth="1"/>
    <col min="11528" max="11528" width="13.703125" customWidth="1"/>
    <col min="11529" max="11529" width="3" customWidth="1"/>
    <col min="11530" max="11530" width="13.41015625" customWidth="1"/>
    <col min="11531" max="11531" width="16.41015625" customWidth="1"/>
    <col min="11532" max="11532" width="12.29296875" customWidth="1"/>
    <col min="11533" max="11533" width="13.41015625" customWidth="1"/>
    <col min="11534" max="11535" width="12.29296875" customWidth="1"/>
    <col min="11536" max="11536" width="12.703125" customWidth="1"/>
    <col min="11537" max="11537" width="11" customWidth="1"/>
    <col min="11538" max="11542" width="12.41015625" customWidth="1"/>
    <col min="11775" max="11775" width="3" customWidth="1"/>
    <col min="11776" max="11776" width="1.1171875" customWidth="1"/>
    <col min="11777" max="11777" width="46.5859375" customWidth="1"/>
    <col min="11778" max="11778" width="10.41015625" customWidth="1"/>
    <col min="11779" max="11779" width="13.703125" customWidth="1"/>
    <col min="11780" max="11780" width="13.5859375" customWidth="1"/>
    <col min="11781" max="11781" width="13.41015625" customWidth="1"/>
    <col min="11782" max="11783" width="13.5859375" customWidth="1"/>
    <col min="11784" max="11784" width="13.703125" customWidth="1"/>
    <col min="11785" max="11785" width="3" customWidth="1"/>
    <col min="11786" max="11786" width="13.41015625" customWidth="1"/>
    <col min="11787" max="11787" width="16.41015625" customWidth="1"/>
    <col min="11788" max="11788" width="12.29296875" customWidth="1"/>
    <col min="11789" max="11789" width="13.41015625" customWidth="1"/>
    <col min="11790" max="11791" width="12.29296875" customWidth="1"/>
    <col min="11792" max="11792" width="12.703125" customWidth="1"/>
    <col min="11793" max="11793" width="11" customWidth="1"/>
    <col min="11794" max="11798" width="12.41015625" customWidth="1"/>
    <col min="12031" max="12031" width="3" customWidth="1"/>
    <col min="12032" max="12032" width="1.1171875" customWidth="1"/>
    <col min="12033" max="12033" width="46.5859375" customWidth="1"/>
    <col min="12034" max="12034" width="10.41015625" customWidth="1"/>
    <col min="12035" max="12035" width="13.703125" customWidth="1"/>
    <col min="12036" max="12036" width="13.5859375" customWidth="1"/>
    <col min="12037" max="12037" width="13.41015625" customWidth="1"/>
    <col min="12038" max="12039" width="13.5859375" customWidth="1"/>
    <col min="12040" max="12040" width="13.703125" customWidth="1"/>
    <col min="12041" max="12041" width="3" customWidth="1"/>
    <col min="12042" max="12042" width="13.41015625" customWidth="1"/>
    <col min="12043" max="12043" width="16.41015625" customWidth="1"/>
    <col min="12044" max="12044" width="12.29296875" customWidth="1"/>
    <col min="12045" max="12045" width="13.41015625" customWidth="1"/>
    <col min="12046" max="12047" width="12.29296875" customWidth="1"/>
    <col min="12048" max="12048" width="12.703125" customWidth="1"/>
    <col min="12049" max="12049" width="11" customWidth="1"/>
    <col min="12050" max="12054" width="12.41015625" customWidth="1"/>
    <col min="12287" max="12287" width="3" customWidth="1"/>
    <col min="12288" max="12288" width="1.1171875" customWidth="1"/>
    <col min="12289" max="12289" width="46.5859375" customWidth="1"/>
    <col min="12290" max="12290" width="10.41015625" customWidth="1"/>
    <col min="12291" max="12291" width="13.703125" customWidth="1"/>
    <col min="12292" max="12292" width="13.5859375" customWidth="1"/>
    <col min="12293" max="12293" width="13.41015625" customWidth="1"/>
    <col min="12294" max="12295" width="13.5859375" customWidth="1"/>
    <col min="12296" max="12296" width="13.703125" customWidth="1"/>
    <col min="12297" max="12297" width="3" customWidth="1"/>
    <col min="12298" max="12298" width="13.41015625" customWidth="1"/>
    <col min="12299" max="12299" width="16.41015625" customWidth="1"/>
    <col min="12300" max="12300" width="12.29296875" customWidth="1"/>
    <col min="12301" max="12301" width="13.41015625" customWidth="1"/>
    <col min="12302" max="12303" width="12.29296875" customWidth="1"/>
    <col min="12304" max="12304" width="12.703125" customWidth="1"/>
    <col min="12305" max="12305" width="11" customWidth="1"/>
    <col min="12306" max="12310" width="12.41015625" customWidth="1"/>
    <col min="12543" max="12543" width="3" customWidth="1"/>
    <col min="12544" max="12544" width="1.1171875" customWidth="1"/>
    <col min="12545" max="12545" width="46.5859375" customWidth="1"/>
    <col min="12546" max="12546" width="10.41015625" customWidth="1"/>
    <col min="12547" max="12547" width="13.703125" customWidth="1"/>
    <col min="12548" max="12548" width="13.5859375" customWidth="1"/>
    <col min="12549" max="12549" width="13.41015625" customWidth="1"/>
    <col min="12550" max="12551" width="13.5859375" customWidth="1"/>
    <col min="12552" max="12552" width="13.703125" customWidth="1"/>
    <col min="12553" max="12553" width="3" customWidth="1"/>
    <col min="12554" max="12554" width="13.41015625" customWidth="1"/>
    <col min="12555" max="12555" width="16.41015625" customWidth="1"/>
    <col min="12556" max="12556" width="12.29296875" customWidth="1"/>
    <col min="12557" max="12557" width="13.41015625" customWidth="1"/>
    <col min="12558" max="12559" width="12.29296875" customWidth="1"/>
    <col min="12560" max="12560" width="12.703125" customWidth="1"/>
    <col min="12561" max="12561" width="11" customWidth="1"/>
    <col min="12562" max="12566" width="12.41015625" customWidth="1"/>
    <col min="12799" max="12799" width="3" customWidth="1"/>
    <col min="12800" max="12800" width="1.1171875" customWidth="1"/>
    <col min="12801" max="12801" width="46.5859375" customWidth="1"/>
    <col min="12802" max="12802" width="10.41015625" customWidth="1"/>
    <col min="12803" max="12803" width="13.703125" customWidth="1"/>
    <col min="12804" max="12804" width="13.5859375" customWidth="1"/>
    <col min="12805" max="12805" width="13.41015625" customWidth="1"/>
    <col min="12806" max="12807" width="13.5859375" customWidth="1"/>
    <col min="12808" max="12808" width="13.703125" customWidth="1"/>
    <col min="12809" max="12809" width="3" customWidth="1"/>
    <col min="12810" max="12810" width="13.41015625" customWidth="1"/>
    <col min="12811" max="12811" width="16.41015625" customWidth="1"/>
    <col min="12812" max="12812" width="12.29296875" customWidth="1"/>
    <col min="12813" max="12813" width="13.41015625" customWidth="1"/>
    <col min="12814" max="12815" width="12.29296875" customWidth="1"/>
    <col min="12816" max="12816" width="12.703125" customWidth="1"/>
    <col min="12817" max="12817" width="11" customWidth="1"/>
    <col min="12818" max="12822" width="12.41015625" customWidth="1"/>
    <col min="13055" max="13055" width="3" customWidth="1"/>
    <col min="13056" max="13056" width="1.1171875" customWidth="1"/>
    <col min="13057" max="13057" width="46.5859375" customWidth="1"/>
    <col min="13058" max="13058" width="10.41015625" customWidth="1"/>
    <col min="13059" max="13059" width="13.703125" customWidth="1"/>
    <col min="13060" max="13060" width="13.5859375" customWidth="1"/>
    <col min="13061" max="13061" width="13.41015625" customWidth="1"/>
    <col min="13062" max="13063" width="13.5859375" customWidth="1"/>
    <col min="13064" max="13064" width="13.703125" customWidth="1"/>
    <col min="13065" max="13065" width="3" customWidth="1"/>
    <col min="13066" max="13066" width="13.41015625" customWidth="1"/>
    <col min="13067" max="13067" width="16.41015625" customWidth="1"/>
    <col min="13068" max="13068" width="12.29296875" customWidth="1"/>
    <col min="13069" max="13069" width="13.41015625" customWidth="1"/>
    <col min="13070" max="13071" width="12.29296875" customWidth="1"/>
    <col min="13072" max="13072" width="12.703125" customWidth="1"/>
    <col min="13073" max="13073" width="11" customWidth="1"/>
    <col min="13074" max="13078" width="12.41015625" customWidth="1"/>
    <col min="13311" max="13311" width="3" customWidth="1"/>
    <col min="13312" max="13312" width="1.1171875" customWidth="1"/>
    <col min="13313" max="13313" width="46.5859375" customWidth="1"/>
    <col min="13314" max="13314" width="10.41015625" customWidth="1"/>
    <col min="13315" max="13315" width="13.703125" customWidth="1"/>
    <col min="13316" max="13316" width="13.5859375" customWidth="1"/>
    <col min="13317" max="13317" width="13.41015625" customWidth="1"/>
    <col min="13318" max="13319" width="13.5859375" customWidth="1"/>
    <col min="13320" max="13320" width="13.703125" customWidth="1"/>
    <col min="13321" max="13321" width="3" customWidth="1"/>
    <col min="13322" max="13322" width="13.41015625" customWidth="1"/>
    <col min="13323" max="13323" width="16.41015625" customWidth="1"/>
    <col min="13324" max="13324" width="12.29296875" customWidth="1"/>
    <col min="13325" max="13325" width="13.41015625" customWidth="1"/>
    <col min="13326" max="13327" width="12.29296875" customWidth="1"/>
    <col min="13328" max="13328" width="12.703125" customWidth="1"/>
    <col min="13329" max="13329" width="11" customWidth="1"/>
    <col min="13330" max="13334" width="12.41015625" customWidth="1"/>
    <col min="13567" max="13567" width="3" customWidth="1"/>
    <col min="13568" max="13568" width="1.1171875" customWidth="1"/>
    <col min="13569" max="13569" width="46.5859375" customWidth="1"/>
    <col min="13570" max="13570" width="10.41015625" customWidth="1"/>
    <col min="13571" max="13571" width="13.703125" customWidth="1"/>
    <col min="13572" max="13572" width="13.5859375" customWidth="1"/>
    <col min="13573" max="13573" width="13.41015625" customWidth="1"/>
    <col min="13574" max="13575" width="13.5859375" customWidth="1"/>
    <col min="13576" max="13576" width="13.703125" customWidth="1"/>
    <col min="13577" max="13577" width="3" customWidth="1"/>
    <col min="13578" max="13578" width="13.41015625" customWidth="1"/>
    <col min="13579" max="13579" width="16.41015625" customWidth="1"/>
    <col min="13580" max="13580" width="12.29296875" customWidth="1"/>
    <col min="13581" max="13581" width="13.41015625" customWidth="1"/>
    <col min="13582" max="13583" width="12.29296875" customWidth="1"/>
    <col min="13584" max="13584" width="12.703125" customWidth="1"/>
    <col min="13585" max="13585" width="11" customWidth="1"/>
    <col min="13586" max="13590" width="12.41015625" customWidth="1"/>
    <col min="13823" max="13823" width="3" customWidth="1"/>
    <col min="13824" max="13824" width="1.1171875" customWidth="1"/>
    <col min="13825" max="13825" width="46.5859375" customWidth="1"/>
    <col min="13826" max="13826" width="10.41015625" customWidth="1"/>
    <col min="13827" max="13827" width="13.703125" customWidth="1"/>
    <col min="13828" max="13828" width="13.5859375" customWidth="1"/>
    <col min="13829" max="13829" width="13.41015625" customWidth="1"/>
    <col min="13830" max="13831" width="13.5859375" customWidth="1"/>
    <col min="13832" max="13832" width="13.703125" customWidth="1"/>
    <col min="13833" max="13833" width="3" customWidth="1"/>
    <col min="13834" max="13834" width="13.41015625" customWidth="1"/>
    <col min="13835" max="13835" width="16.41015625" customWidth="1"/>
    <col min="13836" max="13836" width="12.29296875" customWidth="1"/>
    <col min="13837" max="13837" width="13.41015625" customWidth="1"/>
    <col min="13838" max="13839" width="12.29296875" customWidth="1"/>
    <col min="13840" max="13840" width="12.703125" customWidth="1"/>
    <col min="13841" max="13841" width="11" customWidth="1"/>
    <col min="13842" max="13846" width="12.41015625" customWidth="1"/>
    <col min="14079" max="14079" width="3" customWidth="1"/>
    <col min="14080" max="14080" width="1.1171875" customWidth="1"/>
    <col min="14081" max="14081" width="46.5859375" customWidth="1"/>
    <col min="14082" max="14082" width="10.41015625" customWidth="1"/>
    <col min="14083" max="14083" width="13.703125" customWidth="1"/>
    <col min="14084" max="14084" width="13.5859375" customWidth="1"/>
    <col min="14085" max="14085" width="13.41015625" customWidth="1"/>
    <col min="14086" max="14087" width="13.5859375" customWidth="1"/>
    <col min="14088" max="14088" width="13.703125" customWidth="1"/>
    <col min="14089" max="14089" width="3" customWidth="1"/>
    <col min="14090" max="14090" width="13.41015625" customWidth="1"/>
    <col min="14091" max="14091" width="16.41015625" customWidth="1"/>
    <col min="14092" max="14092" width="12.29296875" customWidth="1"/>
    <col min="14093" max="14093" width="13.41015625" customWidth="1"/>
    <col min="14094" max="14095" width="12.29296875" customWidth="1"/>
    <col min="14096" max="14096" width="12.703125" customWidth="1"/>
    <col min="14097" max="14097" width="11" customWidth="1"/>
    <col min="14098" max="14102" width="12.41015625" customWidth="1"/>
    <col min="14335" max="14335" width="3" customWidth="1"/>
    <col min="14336" max="14336" width="1.1171875" customWidth="1"/>
    <col min="14337" max="14337" width="46.5859375" customWidth="1"/>
    <col min="14338" max="14338" width="10.41015625" customWidth="1"/>
    <col min="14339" max="14339" width="13.703125" customWidth="1"/>
    <col min="14340" max="14340" width="13.5859375" customWidth="1"/>
    <col min="14341" max="14341" width="13.41015625" customWidth="1"/>
    <col min="14342" max="14343" width="13.5859375" customWidth="1"/>
    <col min="14344" max="14344" width="13.703125" customWidth="1"/>
    <col min="14345" max="14345" width="3" customWidth="1"/>
    <col min="14346" max="14346" width="13.41015625" customWidth="1"/>
    <col min="14347" max="14347" width="16.41015625" customWidth="1"/>
    <col min="14348" max="14348" width="12.29296875" customWidth="1"/>
    <col min="14349" max="14349" width="13.41015625" customWidth="1"/>
    <col min="14350" max="14351" width="12.29296875" customWidth="1"/>
    <col min="14352" max="14352" width="12.703125" customWidth="1"/>
    <col min="14353" max="14353" width="11" customWidth="1"/>
    <col min="14354" max="14358" width="12.41015625" customWidth="1"/>
    <col min="14591" max="14591" width="3" customWidth="1"/>
    <col min="14592" max="14592" width="1.1171875" customWidth="1"/>
    <col min="14593" max="14593" width="46.5859375" customWidth="1"/>
    <col min="14594" max="14594" width="10.41015625" customWidth="1"/>
    <col min="14595" max="14595" width="13.703125" customWidth="1"/>
    <col min="14596" max="14596" width="13.5859375" customWidth="1"/>
    <col min="14597" max="14597" width="13.41015625" customWidth="1"/>
    <col min="14598" max="14599" width="13.5859375" customWidth="1"/>
    <col min="14600" max="14600" width="13.703125" customWidth="1"/>
    <col min="14601" max="14601" width="3" customWidth="1"/>
    <col min="14602" max="14602" width="13.41015625" customWidth="1"/>
    <col min="14603" max="14603" width="16.41015625" customWidth="1"/>
    <col min="14604" max="14604" width="12.29296875" customWidth="1"/>
    <col min="14605" max="14605" width="13.41015625" customWidth="1"/>
    <col min="14606" max="14607" width="12.29296875" customWidth="1"/>
    <col min="14608" max="14608" width="12.703125" customWidth="1"/>
    <col min="14609" max="14609" width="11" customWidth="1"/>
    <col min="14610" max="14614" width="12.41015625" customWidth="1"/>
    <col min="14847" max="14847" width="3" customWidth="1"/>
    <col min="14848" max="14848" width="1.1171875" customWidth="1"/>
    <col min="14849" max="14849" width="46.5859375" customWidth="1"/>
    <col min="14850" max="14850" width="10.41015625" customWidth="1"/>
    <col min="14851" max="14851" width="13.703125" customWidth="1"/>
    <col min="14852" max="14852" width="13.5859375" customWidth="1"/>
    <col min="14853" max="14853" width="13.41015625" customWidth="1"/>
    <col min="14854" max="14855" width="13.5859375" customWidth="1"/>
    <col min="14856" max="14856" width="13.703125" customWidth="1"/>
    <col min="14857" max="14857" width="3" customWidth="1"/>
    <col min="14858" max="14858" width="13.41015625" customWidth="1"/>
    <col min="14859" max="14859" width="16.41015625" customWidth="1"/>
    <col min="14860" max="14860" width="12.29296875" customWidth="1"/>
    <col min="14861" max="14861" width="13.41015625" customWidth="1"/>
    <col min="14862" max="14863" width="12.29296875" customWidth="1"/>
    <col min="14864" max="14864" width="12.703125" customWidth="1"/>
    <col min="14865" max="14865" width="11" customWidth="1"/>
    <col min="14866" max="14870" width="12.41015625" customWidth="1"/>
    <col min="15103" max="15103" width="3" customWidth="1"/>
    <col min="15104" max="15104" width="1.1171875" customWidth="1"/>
    <col min="15105" max="15105" width="46.5859375" customWidth="1"/>
    <col min="15106" max="15106" width="10.41015625" customWidth="1"/>
    <col min="15107" max="15107" width="13.703125" customWidth="1"/>
    <col min="15108" max="15108" width="13.5859375" customWidth="1"/>
    <col min="15109" max="15109" width="13.41015625" customWidth="1"/>
    <col min="15110" max="15111" width="13.5859375" customWidth="1"/>
    <col min="15112" max="15112" width="13.703125" customWidth="1"/>
    <col min="15113" max="15113" width="3" customWidth="1"/>
    <col min="15114" max="15114" width="13.41015625" customWidth="1"/>
    <col min="15115" max="15115" width="16.41015625" customWidth="1"/>
    <col min="15116" max="15116" width="12.29296875" customWidth="1"/>
    <col min="15117" max="15117" width="13.41015625" customWidth="1"/>
    <col min="15118" max="15119" width="12.29296875" customWidth="1"/>
    <col min="15120" max="15120" width="12.703125" customWidth="1"/>
    <col min="15121" max="15121" width="11" customWidth="1"/>
    <col min="15122" max="15126" width="12.41015625" customWidth="1"/>
    <col min="15359" max="15359" width="3" customWidth="1"/>
    <col min="15360" max="15360" width="1.1171875" customWidth="1"/>
    <col min="15361" max="15361" width="46.5859375" customWidth="1"/>
    <col min="15362" max="15362" width="10.41015625" customWidth="1"/>
    <col min="15363" max="15363" width="13.703125" customWidth="1"/>
    <col min="15364" max="15364" width="13.5859375" customWidth="1"/>
    <col min="15365" max="15365" width="13.41015625" customWidth="1"/>
    <col min="15366" max="15367" width="13.5859375" customWidth="1"/>
    <col min="15368" max="15368" width="13.703125" customWidth="1"/>
    <col min="15369" max="15369" width="3" customWidth="1"/>
    <col min="15370" max="15370" width="13.41015625" customWidth="1"/>
    <col min="15371" max="15371" width="16.41015625" customWidth="1"/>
    <col min="15372" max="15372" width="12.29296875" customWidth="1"/>
    <col min="15373" max="15373" width="13.41015625" customWidth="1"/>
    <col min="15374" max="15375" width="12.29296875" customWidth="1"/>
    <col min="15376" max="15376" width="12.703125" customWidth="1"/>
    <col min="15377" max="15377" width="11" customWidth="1"/>
    <col min="15378" max="15382" width="12.41015625" customWidth="1"/>
    <col min="15615" max="15615" width="3" customWidth="1"/>
    <col min="15616" max="15616" width="1.1171875" customWidth="1"/>
    <col min="15617" max="15617" width="46.5859375" customWidth="1"/>
    <col min="15618" max="15618" width="10.41015625" customWidth="1"/>
    <col min="15619" max="15619" width="13.703125" customWidth="1"/>
    <col min="15620" max="15620" width="13.5859375" customWidth="1"/>
    <col min="15621" max="15621" width="13.41015625" customWidth="1"/>
    <col min="15622" max="15623" width="13.5859375" customWidth="1"/>
    <col min="15624" max="15624" width="13.703125" customWidth="1"/>
    <col min="15625" max="15625" width="3" customWidth="1"/>
    <col min="15626" max="15626" width="13.41015625" customWidth="1"/>
    <col min="15627" max="15627" width="16.41015625" customWidth="1"/>
    <col min="15628" max="15628" width="12.29296875" customWidth="1"/>
    <col min="15629" max="15629" width="13.41015625" customWidth="1"/>
    <col min="15630" max="15631" width="12.29296875" customWidth="1"/>
    <col min="15632" max="15632" width="12.703125" customWidth="1"/>
    <col min="15633" max="15633" width="11" customWidth="1"/>
    <col min="15634" max="15638" width="12.41015625" customWidth="1"/>
    <col min="15871" max="15871" width="3" customWidth="1"/>
    <col min="15872" max="15872" width="1.1171875" customWidth="1"/>
    <col min="15873" max="15873" width="46.5859375" customWidth="1"/>
    <col min="15874" max="15874" width="10.41015625" customWidth="1"/>
    <col min="15875" max="15875" width="13.703125" customWidth="1"/>
    <col min="15876" max="15876" width="13.5859375" customWidth="1"/>
    <col min="15877" max="15877" width="13.41015625" customWidth="1"/>
    <col min="15878" max="15879" width="13.5859375" customWidth="1"/>
    <col min="15880" max="15880" width="13.703125" customWidth="1"/>
    <col min="15881" max="15881" width="3" customWidth="1"/>
    <col min="15882" max="15882" width="13.41015625" customWidth="1"/>
    <col min="15883" max="15883" width="16.41015625" customWidth="1"/>
    <col min="15884" max="15884" width="12.29296875" customWidth="1"/>
    <col min="15885" max="15885" width="13.41015625" customWidth="1"/>
    <col min="15886" max="15887" width="12.29296875" customWidth="1"/>
    <col min="15888" max="15888" width="12.703125" customWidth="1"/>
    <col min="15889" max="15889" width="11" customWidth="1"/>
    <col min="15890" max="15894" width="12.41015625" customWidth="1"/>
    <col min="16127" max="16127" width="3" customWidth="1"/>
    <col min="16128" max="16128" width="1.1171875" customWidth="1"/>
    <col min="16129" max="16129" width="46.5859375" customWidth="1"/>
    <col min="16130" max="16130" width="10.41015625" customWidth="1"/>
    <col min="16131" max="16131" width="13.703125" customWidth="1"/>
    <col min="16132" max="16132" width="13.5859375" customWidth="1"/>
    <col min="16133" max="16133" width="13.41015625" customWidth="1"/>
    <col min="16134" max="16135" width="13.5859375" customWidth="1"/>
    <col min="16136" max="16136" width="13.703125" customWidth="1"/>
    <col min="16137" max="16137" width="3" customWidth="1"/>
    <col min="16138" max="16138" width="13.41015625" customWidth="1"/>
    <col min="16139" max="16139" width="16.41015625" customWidth="1"/>
    <col min="16140" max="16140" width="12.29296875" customWidth="1"/>
    <col min="16141" max="16141" width="13.41015625" customWidth="1"/>
    <col min="16142" max="16143" width="12.29296875" customWidth="1"/>
    <col min="16144" max="16144" width="12.703125" customWidth="1"/>
    <col min="16145" max="16145" width="11" customWidth="1"/>
    <col min="16146" max="16150" width="12.41015625" customWidth="1"/>
  </cols>
  <sheetData>
    <row r="1" spans="2:17" ht="22.7" x14ac:dyDescent="0.7">
      <c r="B1" s="391" t="s">
        <v>529</v>
      </c>
      <c r="C1" s="391"/>
    </row>
    <row r="2" spans="2:17" ht="12" customHeight="1" x14ac:dyDescent="0.5">
      <c r="B2" s="17" t="s">
        <v>6</v>
      </c>
      <c r="E2" s="4"/>
      <c r="F2" s="4"/>
      <c r="G2" s="4"/>
      <c r="H2" s="4"/>
      <c r="I2" s="4"/>
      <c r="J2" s="4"/>
      <c r="K2" s="4"/>
    </row>
    <row r="3" spans="2:17" ht="12" customHeight="1" x14ac:dyDescent="0.5">
      <c r="B3" s="17"/>
      <c r="E3" s="4"/>
      <c r="F3" s="4"/>
      <c r="G3" s="4"/>
      <c r="H3" s="4"/>
      <c r="I3" s="4"/>
      <c r="J3" s="4"/>
      <c r="K3" s="4"/>
    </row>
    <row r="4" spans="2:17" ht="15" customHeight="1" thickBot="1" x14ac:dyDescent="0.55000000000000004">
      <c r="B4" s="34" t="s">
        <v>507</v>
      </c>
      <c r="C4" s="273"/>
      <c r="D4" s="273"/>
      <c r="E4" s="273"/>
      <c r="F4" s="273"/>
      <c r="G4" s="273"/>
      <c r="H4" s="273"/>
      <c r="I4" s="273"/>
      <c r="J4" s="273"/>
      <c r="K4" s="34"/>
    </row>
    <row r="5" spans="2:17" ht="16.5" customHeight="1" x14ac:dyDescent="0.5">
      <c r="B5" s="3" t="s">
        <v>508</v>
      </c>
      <c r="C5" s="395" t="s">
        <v>439</v>
      </c>
      <c r="D5" s="396" t="s">
        <v>440</v>
      </c>
      <c r="E5" s="397" t="s">
        <v>161</v>
      </c>
      <c r="F5" s="397" t="s">
        <v>162</v>
      </c>
      <c r="G5" s="397" t="s">
        <v>163</v>
      </c>
      <c r="H5" s="397" t="s">
        <v>164</v>
      </c>
      <c r="I5" s="397" t="s">
        <v>407</v>
      </c>
      <c r="J5" s="396" t="s">
        <v>441</v>
      </c>
      <c r="K5" s="397" t="s">
        <v>430</v>
      </c>
    </row>
    <row r="6" spans="2:17" ht="14.7" thickBot="1" x14ac:dyDescent="0.55000000000000004">
      <c r="C6" s="398" t="s">
        <v>442</v>
      </c>
      <c r="D6" s="400">
        <v>2018</v>
      </c>
      <c r="E6" s="399">
        <f>+D6+1</f>
        <v>2019</v>
      </c>
      <c r="F6" s="399">
        <f t="shared" ref="F6:K6" si="0">+E6+1</f>
        <v>2020</v>
      </c>
      <c r="G6" s="399">
        <f t="shared" si="0"/>
        <v>2021</v>
      </c>
      <c r="H6" s="399">
        <f t="shared" si="0"/>
        <v>2022</v>
      </c>
      <c r="I6" s="399">
        <f>+H6+1</f>
        <v>2023</v>
      </c>
      <c r="J6" s="400">
        <f>+I6+1</f>
        <v>2024</v>
      </c>
      <c r="K6" s="399">
        <f t="shared" si="0"/>
        <v>2025</v>
      </c>
    </row>
    <row r="7" spans="2:17" x14ac:dyDescent="0.5">
      <c r="B7" t="s">
        <v>326</v>
      </c>
      <c r="C7" s="416">
        <v>0.05</v>
      </c>
      <c r="D7" s="417" t="s">
        <v>443</v>
      </c>
      <c r="E7" s="22">
        <v>400000</v>
      </c>
      <c r="F7" s="13">
        <f t="shared" ref="F7:K7" si="1">+E7*(1+$C$7)</f>
        <v>420000</v>
      </c>
      <c r="G7" s="13">
        <f t="shared" si="1"/>
        <v>441000</v>
      </c>
      <c r="H7" s="13">
        <f t="shared" si="1"/>
        <v>463050</v>
      </c>
      <c r="I7" s="13">
        <f t="shared" si="1"/>
        <v>486202.5</v>
      </c>
      <c r="J7" s="11">
        <f t="shared" si="1"/>
        <v>510512.625</v>
      </c>
      <c r="K7" s="13">
        <f t="shared" si="1"/>
        <v>536038.25624999998</v>
      </c>
    </row>
    <row r="8" spans="2:17" x14ac:dyDescent="0.5">
      <c r="B8" t="s">
        <v>327</v>
      </c>
      <c r="C8" s="416">
        <v>0.35</v>
      </c>
      <c r="D8" s="418" t="s">
        <v>444</v>
      </c>
      <c r="E8" s="261">
        <f t="shared" ref="E8:K8" si="2">-E7*$C$8</f>
        <v>-140000</v>
      </c>
      <c r="F8" s="13">
        <f t="shared" si="2"/>
        <v>-147000</v>
      </c>
      <c r="G8" s="13">
        <f t="shared" si="2"/>
        <v>-154350</v>
      </c>
      <c r="H8" s="13">
        <f t="shared" si="2"/>
        <v>-162067.5</v>
      </c>
      <c r="I8" s="13">
        <f t="shared" si="2"/>
        <v>-170170.875</v>
      </c>
      <c r="J8" s="11">
        <f t="shared" si="2"/>
        <v>-178679.41874999998</v>
      </c>
      <c r="K8" s="13">
        <f t="shared" si="2"/>
        <v>-187613.38968749999</v>
      </c>
    </row>
    <row r="9" spans="2:17" x14ac:dyDescent="0.5">
      <c r="B9" t="s">
        <v>445</v>
      </c>
      <c r="C9" s="416">
        <v>0.2</v>
      </c>
      <c r="D9" s="418" t="s">
        <v>444</v>
      </c>
      <c r="E9" s="22">
        <f>-C9*E7</f>
        <v>-80000</v>
      </c>
      <c r="F9" s="13">
        <f t="shared" ref="F9:K9" si="3">-$C$9*F7</f>
        <v>-84000</v>
      </c>
      <c r="G9" s="13">
        <f t="shared" si="3"/>
        <v>-88200</v>
      </c>
      <c r="H9" s="13">
        <f t="shared" si="3"/>
        <v>-92610</v>
      </c>
      <c r="I9" s="13">
        <f t="shared" si="3"/>
        <v>-97240.5</v>
      </c>
      <c r="J9" s="11">
        <f t="shared" si="3"/>
        <v>-102102.52500000001</v>
      </c>
      <c r="K9" s="13">
        <f t="shared" si="3"/>
        <v>-107207.65125</v>
      </c>
    </row>
    <row r="10" spans="2:17" x14ac:dyDescent="0.5">
      <c r="B10" t="s">
        <v>446</v>
      </c>
      <c r="C10" s="419">
        <f>+E10/E7</f>
        <v>0.45</v>
      </c>
      <c r="D10" s="417"/>
      <c r="E10" s="401">
        <f t="shared" ref="E10:K10" si="4">SUM(E7:E9)</f>
        <v>180000</v>
      </c>
      <c r="F10" s="402">
        <f t="shared" si="4"/>
        <v>189000</v>
      </c>
      <c r="G10" s="402">
        <f t="shared" si="4"/>
        <v>198450</v>
      </c>
      <c r="H10" s="402">
        <f t="shared" si="4"/>
        <v>208372.5</v>
      </c>
      <c r="I10" s="402">
        <f t="shared" si="4"/>
        <v>218791.125</v>
      </c>
      <c r="J10" s="403">
        <f t="shared" si="4"/>
        <v>229730.68125000002</v>
      </c>
      <c r="K10" s="402">
        <f t="shared" si="4"/>
        <v>241217.21531250002</v>
      </c>
    </row>
    <row r="11" spans="2:17" x14ac:dyDescent="0.5">
      <c r="B11" t="s">
        <v>376</v>
      </c>
      <c r="C11" s="24">
        <v>0.03</v>
      </c>
      <c r="D11" s="418" t="s">
        <v>444</v>
      </c>
      <c r="E11" s="261">
        <f t="shared" ref="E11:K11" si="5">-$C$11*E7</f>
        <v>-12000</v>
      </c>
      <c r="F11" s="13">
        <f t="shared" si="5"/>
        <v>-12600</v>
      </c>
      <c r="G11" s="13">
        <f t="shared" si="5"/>
        <v>-13230</v>
      </c>
      <c r="H11" s="13">
        <f t="shared" si="5"/>
        <v>-13891.5</v>
      </c>
      <c r="I11" s="13">
        <f t="shared" si="5"/>
        <v>-14586.074999999999</v>
      </c>
      <c r="J11" s="11">
        <f t="shared" si="5"/>
        <v>-15315.37875</v>
      </c>
      <c r="K11" s="13">
        <f t="shared" si="5"/>
        <v>-16081.147687499999</v>
      </c>
    </row>
    <row r="12" spans="2:17" x14ac:dyDescent="0.5">
      <c r="B12" t="s">
        <v>460</v>
      </c>
      <c r="C12" s="100"/>
      <c r="D12" s="417"/>
      <c r="E12" s="420">
        <v>0</v>
      </c>
      <c r="F12" s="321">
        <v>0</v>
      </c>
      <c r="G12" s="321">
        <v>0</v>
      </c>
      <c r="H12" s="321">
        <v>0</v>
      </c>
      <c r="I12" s="321">
        <v>0</v>
      </c>
      <c r="J12" s="12">
        <v>0</v>
      </c>
      <c r="K12" s="321"/>
    </row>
    <row r="13" spans="2:17" x14ac:dyDescent="0.5">
      <c r="B13" t="s">
        <v>2</v>
      </c>
      <c r="C13" s="1"/>
      <c r="D13" s="417"/>
      <c r="E13" s="261">
        <f>SUM(E10:E12)</f>
        <v>168000</v>
      </c>
      <c r="F13" s="13">
        <f t="shared" ref="F13:K13" si="6">SUM(F10:F12)</f>
        <v>176400</v>
      </c>
      <c r="G13" s="13">
        <f t="shared" si="6"/>
        <v>185220</v>
      </c>
      <c r="H13" s="13">
        <f t="shared" si="6"/>
        <v>194481</v>
      </c>
      <c r="I13" s="13">
        <f t="shared" si="6"/>
        <v>204205.05</v>
      </c>
      <c r="J13" s="11">
        <f t="shared" si="6"/>
        <v>214415.30250000002</v>
      </c>
      <c r="K13" s="13">
        <f t="shared" si="6"/>
        <v>225136.06762500003</v>
      </c>
    </row>
    <row r="14" spans="2:17" x14ac:dyDescent="0.5">
      <c r="B14" t="s">
        <v>461</v>
      </c>
      <c r="C14" s="1"/>
      <c r="D14" s="417"/>
      <c r="E14" s="420">
        <v>-30000</v>
      </c>
      <c r="F14" s="321">
        <f>+E14*0.95</f>
        <v>-28500</v>
      </c>
      <c r="G14" s="321">
        <f t="shared" ref="G14:J14" si="7">+F14*0.95</f>
        <v>-27075</v>
      </c>
      <c r="H14" s="321">
        <f t="shared" si="7"/>
        <v>-25721.25</v>
      </c>
      <c r="I14" s="321">
        <f t="shared" si="7"/>
        <v>-24435.1875</v>
      </c>
      <c r="J14" s="12">
        <f t="shared" si="7"/>
        <v>-23213.428124999999</v>
      </c>
      <c r="K14" s="321"/>
      <c r="Q14" s="13"/>
    </row>
    <row r="15" spans="2:17" x14ac:dyDescent="0.5">
      <c r="B15" t="s">
        <v>65</v>
      </c>
      <c r="C15" s="1"/>
      <c r="D15" s="417"/>
      <c r="E15" s="261">
        <f>+E13+E14</f>
        <v>138000</v>
      </c>
      <c r="F15" s="13">
        <f t="shared" ref="F15:K15" si="8">+F13+F14</f>
        <v>147900</v>
      </c>
      <c r="G15" s="13">
        <f t="shared" si="8"/>
        <v>158145</v>
      </c>
      <c r="H15" s="13">
        <f t="shared" si="8"/>
        <v>168759.75</v>
      </c>
      <c r="I15" s="13">
        <f t="shared" si="8"/>
        <v>179769.86249999999</v>
      </c>
      <c r="J15" s="11">
        <f t="shared" si="8"/>
        <v>191201.87437500001</v>
      </c>
      <c r="K15" s="13">
        <f t="shared" si="8"/>
        <v>225136.06762500003</v>
      </c>
      <c r="Q15" s="13"/>
    </row>
    <row r="16" spans="2:17" x14ac:dyDescent="0.5">
      <c r="B16" t="s">
        <v>447</v>
      </c>
      <c r="C16" s="416">
        <v>0.36</v>
      </c>
      <c r="D16" s="418" t="s">
        <v>448</v>
      </c>
      <c r="E16" s="261">
        <f t="shared" ref="E16:K16" si="9">-$C$16*E13</f>
        <v>-60480</v>
      </c>
      <c r="F16" s="13">
        <f t="shared" si="9"/>
        <v>-63504</v>
      </c>
      <c r="G16" s="13">
        <f t="shared" si="9"/>
        <v>-66679.199999999997</v>
      </c>
      <c r="H16" s="13">
        <f t="shared" si="9"/>
        <v>-70013.16</v>
      </c>
      <c r="I16" s="13">
        <f t="shared" si="9"/>
        <v>-73513.817999999999</v>
      </c>
      <c r="J16" s="11">
        <f t="shared" si="9"/>
        <v>-77189.508900000001</v>
      </c>
      <c r="K16" s="13">
        <f t="shared" si="9"/>
        <v>-81048.984345000004</v>
      </c>
    </row>
    <row r="17" spans="2:21" x14ac:dyDescent="0.5">
      <c r="B17" t="s">
        <v>449</v>
      </c>
      <c r="C17" s="416"/>
      <c r="D17" s="417"/>
      <c r="E17" s="261">
        <f>-E11-E12</f>
        <v>12000</v>
      </c>
      <c r="F17" s="13">
        <f t="shared" ref="F17:K17" si="10">-F11-F12</f>
        <v>12600</v>
      </c>
      <c r="G17" s="13">
        <f t="shared" si="10"/>
        <v>13230</v>
      </c>
      <c r="H17" s="13">
        <f t="shared" si="10"/>
        <v>13891.5</v>
      </c>
      <c r="I17" s="13">
        <f t="shared" si="10"/>
        <v>14586.074999999999</v>
      </c>
      <c r="J17" s="11">
        <f t="shared" si="10"/>
        <v>15315.37875</v>
      </c>
      <c r="K17" s="13">
        <f t="shared" si="10"/>
        <v>16081.147687499999</v>
      </c>
    </row>
    <row r="18" spans="2:21" x14ac:dyDescent="0.5">
      <c r="B18" t="s">
        <v>450</v>
      </c>
      <c r="C18" s="24">
        <v>0.01</v>
      </c>
      <c r="D18" s="418" t="s">
        <v>444</v>
      </c>
      <c r="E18" s="261">
        <f t="shared" ref="E18:K18" si="11">-$C$18*E7</f>
        <v>-4000</v>
      </c>
      <c r="F18" s="13">
        <f t="shared" si="11"/>
        <v>-4200</v>
      </c>
      <c r="G18" s="13">
        <f t="shared" si="11"/>
        <v>-4410</v>
      </c>
      <c r="H18" s="13">
        <f t="shared" si="11"/>
        <v>-4630.5</v>
      </c>
      <c r="I18" s="13">
        <f t="shared" si="11"/>
        <v>-4862.0250000000005</v>
      </c>
      <c r="J18" s="11">
        <f t="shared" si="11"/>
        <v>-5105.1262500000003</v>
      </c>
      <c r="K18" s="13">
        <f t="shared" si="11"/>
        <v>-5360.3825624999999</v>
      </c>
    </row>
    <row r="19" spans="2:21" x14ac:dyDescent="0.5">
      <c r="B19" t="s">
        <v>451</v>
      </c>
      <c r="C19" s="24">
        <v>0.03</v>
      </c>
      <c r="D19" s="418" t="s">
        <v>444</v>
      </c>
      <c r="E19" s="261">
        <f t="shared" ref="E19:K19" si="12">-$C$19*E7</f>
        <v>-12000</v>
      </c>
      <c r="F19" s="13">
        <f t="shared" si="12"/>
        <v>-12600</v>
      </c>
      <c r="G19" s="13">
        <f t="shared" si="12"/>
        <v>-13230</v>
      </c>
      <c r="H19" s="13">
        <f t="shared" si="12"/>
        <v>-13891.5</v>
      </c>
      <c r="I19" s="13">
        <f t="shared" si="12"/>
        <v>-14586.074999999999</v>
      </c>
      <c r="J19" s="11">
        <f t="shared" si="12"/>
        <v>-15315.37875</v>
      </c>
      <c r="K19" s="13">
        <f t="shared" si="12"/>
        <v>-16081.147687499999</v>
      </c>
    </row>
    <row r="20" spans="2:21" ht="14.7" thickBot="1" x14ac:dyDescent="0.55000000000000004">
      <c r="B20" t="s">
        <v>452</v>
      </c>
      <c r="C20" s="1"/>
      <c r="D20" s="417"/>
      <c r="E20" s="37">
        <f>SUM(E15:E19)</f>
        <v>73520</v>
      </c>
      <c r="F20" s="37">
        <f t="shared" ref="F20:K20" si="13">SUM(F15:F19)</f>
        <v>80196</v>
      </c>
      <c r="G20" s="37">
        <f t="shared" si="13"/>
        <v>87055.8</v>
      </c>
      <c r="H20" s="37">
        <f t="shared" si="13"/>
        <v>94116.09</v>
      </c>
      <c r="I20" s="37">
        <f t="shared" si="13"/>
        <v>101394.01949999999</v>
      </c>
      <c r="J20" s="404">
        <f t="shared" si="13"/>
        <v>108907.23922500001</v>
      </c>
      <c r="K20" s="37">
        <f t="shared" si="13"/>
        <v>138726.70071750003</v>
      </c>
    </row>
    <row r="21" spans="2:21" ht="7.5" customHeight="1" thickTop="1" x14ac:dyDescent="0.5">
      <c r="C21" s="1"/>
      <c r="D21" s="417"/>
      <c r="E21" s="261"/>
      <c r="F21" s="13"/>
      <c r="G21" s="13"/>
      <c r="H21" s="13"/>
      <c r="I21" s="13"/>
      <c r="J21" s="11"/>
      <c r="K21" s="13"/>
    </row>
    <row r="22" spans="2:21" x14ac:dyDescent="0.5">
      <c r="B22" t="s">
        <v>463</v>
      </c>
      <c r="C22" s="1"/>
      <c r="D22" s="417"/>
      <c r="E22" s="261">
        <v>-20000</v>
      </c>
      <c r="F22" s="13">
        <f t="shared" ref="F22:K22" si="14">+E22-15000</f>
        <v>-35000</v>
      </c>
      <c r="G22" s="13">
        <f t="shared" si="14"/>
        <v>-50000</v>
      </c>
      <c r="H22" s="13">
        <f t="shared" si="14"/>
        <v>-65000</v>
      </c>
      <c r="I22" s="13">
        <f t="shared" si="14"/>
        <v>-80000</v>
      </c>
      <c r="J22" s="11">
        <f t="shared" si="14"/>
        <v>-95000</v>
      </c>
      <c r="K22" s="13">
        <f t="shared" si="14"/>
        <v>-110000</v>
      </c>
    </row>
    <row r="23" spans="2:21" ht="14.7" thickBot="1" x14ac:dyDescent="0.55000000000000004">
      <c r="B23" t="s">
        <v>5</v>
      </c>
      <c r="C23" s="1"/>
      <c r="D23" s="417"/>
      <c r="E23" s="334">
        <f>+E20+E22</f>
        <v>53520</v>
      </c>
      <c r="F23" s="292">
        <f t="shared" ref="F23:K23" si="15">+F20+F22</f>
        <v>45196</v>
      </c>
      <c r="G23" s="292">
        <f t="shared" si="15"/>
        <v>37055.800000000003</v>
      </c>
      <c r="H23" s="292">
        <f t="shared" si="15"/>
        <v>29116.089999999997</v>
      </c>
      <c r="I23" s="292">
        <f t="shared" si="15"/>
        <v>21394.019499999995</v>
      </c>
      <c r="J23" s="394">
        <f t="shared" si="15"/>
        <v>13907.239225000012</v>
      </c>
      <c r="K23" s="292">
        <f t="shared" si="15"/>
        <v>28726.700717500033</v>
      </c>
    </row>
    <row r="24" spans="2:21" ht="9" customHeight="1" thickTop="1" x14ac:dyDescent="0.5">
      <c r="C24" s="1"/>
      <c r="D24" s="417"/>
      <c r="E24" s="1"/>
      <c r="J24" s="9"/>
    </row>
    <row r="25" spans="2:21" ht="14.7" thickBot="1" x14ac:dyDescent="0.55000000000000004">
      <c r="B25" s="392" t="s">
        <v>36</v>
      </c>
      <c r="C25" s="45"/>
      <c r="D25" s="417"/>
      <c r="E25" s="1"/>
      <c r="J25" s="9"/>
    </row>
    <row r="26" spans="2:21" x14ac:dyDescent="0.5">
      <c r="B26" t="s">
        <v>462</v>
      </c>
      <c r="C26" s="405" t="s">
        <v>37</v>
      </c>
      <c r="D26" s="406">
        <v>8</v>
      </c>
      <c r="E26" s="1"/>
      <c r="J26" s="11">
        <f>+D26*J10</f>
        <v>1837845.4500000002</v>
      </c>
    </row>
    <row r="27" spans="2:21" ht="17.25" customHeight="1" thickBot="1" x14ac:dyDescent="0.55000000000000004">
      <c r="B27" t="s">
        <v>453</v>
      </c>
      <c r="C27" s="393">
        <v>3.5000000000000003E-2</v>
      </c>
      <c r="D27" s="407">
        <v>0.12</v>
      </c>
      <c r="E27" s="1"/>
      <c r="J27" s="5">
        <f>+K20/($D$27-$C$27)</f>
        <v>1632078.8319705888</v>
      </c>
    </row>
    <row r="28" spans="2:21" ht="16.5" customHeight="1" thickBot="1" x14ac:dyDescent="0.55000000000000004">
      <c r="B28" s="45" t="s">
        <v>454</v>
      </c>
      <c r="D28" s="9"/>
      <c r="J28" s="408">
        <f>+(J26+J27)/2</f>
        <v>1734962.1409852945</v>
      </c>
    </row>
    <row r="29" spans="2:21" ht="15" thickTop="1" thickBot="1" x14ac:dyDescent="0.55000000000000004">
      <c r="B29" t="s">
        <v>455</v>
      </c>
      <c r="D29" s="9"/>
      <c r="J29" s="409">
        <v>-750000</v>
      </c>
    </row>
    <row r="30" spans="2:21" x14ac:dyDescent="0.5">
      <c r="B30" t="s">
        <v>456</v>
      </c>
      <c r="D30" s="11"/>
      <c r="J30" s="11">
        <f>+J28+J29</f>
        <v>984962.14098529448</v>
      </c>
    </row>
    <row r="31" spans="2:21" ht="13.5" customHeight="1" x14ac:dyDescent="0.5">
      <c r="D31" s="9"/>
      <c r="J31" s="9"/>
      <c r="U31" t="s">
        <v>533</v>
      </c>
    </row>
    <row r="32" spans="2:21" ht="14.7" thickBot="1" x14ac:dyDescent="0.55000000000000004">
      <c r="B32" t="s">
        <v>5</v>
      </c>
      <c r="D32" s="410"/>
      <c r="E32" s="411">
        <f>+E23+E28-E29</f>
        <v>53520</v>
      </c>
      <c r="F32" s="411">
        <f>+F23+F28-F29</f>
        <v>45196</v>
      </c>
      <c r="G32" s="411">
        <f>+G23+G28-G29</f>
        <v>37055.800000000003</v>
      </c>
      <c r="H32" s="411">
        <f>+H23+H28-H29</f>
        <v>29116.089999999997</v>
      </c>
      <c r="I32" s="411">
        <f>+I23+I28-I29</f>
        <v>21394.019499999995</v>
      </c>
      <c r="J32" s="410">
        <f>+J30+J23</f>
        <v>998869.3802102945</v>
      </c>
    </row>
    <row r="33" spans="2:11" ht="14.7" thickTop="1" x14ac:dyDescent="0.5">
      <c r="D33" s="13"/>
      <c r="E33" s="414" t="s">
        <v>457</v>
      </c>
      <c r="F33" s="414" t="s">
        <v>457</v>
      </c>
      <c r="G33" s="414" t="s">
        <v>457</v>
      </c>
      <c r="H33" s="414" t="s">
        <v>457</v>
      </c>
      <c r="I33" s="414" t="s">
        <v>457</v>
      </c>
      <c r="J33" s="415" t="s">
        <v>457</v>
      </c>
    </row>
    <row r="34" spans="2:11" ht="14.7" thickBot="1" x14ac:dyDescent="0.55000000000000004">
      <c r="B34" s="286" t="s">
        <v>458</v>
      </c>
      <c r="C34" s="286"/>
      <c r="D34" s="412">
        <f>+D27</f>
        <v>0.12</v>
      </c>
      <c r="E34" s="413">
        <f>(1/(1+$D34))^1</f>
        <v>0.89285714285714279</v>
      </c>
      <c r="F34" s="413">
        <f>(1/(1+$D34))^2</f>
        <v>0.79719387755102034</v>
      </c>
      <c r="G34" s="413">
        <f>(1/(1+$D34))^3</f>
        <v>0.71178024781341098</v>
      </c>
      <c r="H34" s="413">
        <f>(1/(1+$D34))^4</f>
        <v>0.63551807840483121</v>
      </c>
      <c r="I34" s="413">
        <f>(1/(1+$D34))^5</f>
        <v>0.5674268557185993</v>
      </c>
      <c r="J34" s="413">
        <f>(1/(1+$D34))^6</f>
        <v>0.50663112117732079</v>
      </c>
    </row>
    <row r="35" spans="2:11" ht="14.7" thickBot="1" x14ac:dyDescent="0.55000000000000004">
      <c r="B35" s="286" t="s">
        <v>459</v>
      </c>
      <c r="C35" s="286"/>
      <c r="D35" s="463">
        <f>SUM(E35:J35)</f>
        <v>646892.93207160092</v>
      </c>
      <c r="E35" s="100">
        <f t="shared" ref="E35:J35" si="16">+E34*E32</f>
        <v>47785.714285714283</v>
      </c>
      <c r="F35" s="100">
        <f t="shared" si="16"/>
        <v>36029.974489795917</v>
      </c>
      <c r="G35" s="100">
        <f t="shared" si="16"/>
        <v>26375.586506924195</v>
      </c>
      <c r="H35" s="100">
        <f t="shared" si="16"/>
        <v>18503.80156746212</v>
      </c>
      <c r="I35" s="100">
        <f t="shared" si="16"/>
        <v>12139.541216067397</v>
      </c>
      <c r="J35" s="100">
        <f t="shared" si="16"/>
        <v>506058.31400563702</v>
      </c>
    </row>
    <row r="36" spans="2:11" ht="12.75" customHeight="1" x14ac:dyDescent="0.5">
      <c r="B36" s="286" t="s">
        <v>530</v>
      </c>
      <c r="C36" s="286"/>
      <c r="D36" s="4">
        <f>+'Fig. 9.13'!E8</f>
        <v>40000</v>
      </c>
      <c r="E36" s="100"/>
      <c r="F36" s="100"/>
      <c r="G36" s="100"/>
      <c r="H36" s="100"/>
      <c r="I36" s="100"/>
      <c r="J36" s="100"/>
    </row>
    <row r="37" spans="2:11" ht="14.25" customHeight="1" thickBot="1" x14ac:dyDescent="0.55000000000000004">
      <c r="B37" s="286" t="s">
        <v>531</v>
      </c>
      <c r="C37" s="286"/>
      <c r="D37" s="462">
        <f>+D35/D36</f>
        <v>16.172323301790023</v>
      </c>
      <c r="E37" s="26"/>
      <c r="G37" s="100"/>
      <c r="H37" s="100"/>
      <c r="I37" s="100"/>
      <c r="J37" s="100"/>
    </row>
    <row r="38" spans="2:11" ht="12.75" customHeight="1" thickTop="1" x14ac:dyDescent="0.5">
      <c r="B38" s="286"/>
      <c r="C38" s="286"/>
      <c r="D38" s="54"/>
      <c r="E38" s="26"/>
      <c r="G38" s="100"/>
      <c r="H38" s="100"/>
      <c r="I38" s="100"/>
      <c r="J38" s="100"/>
    </row>
    <row r="39" spans="2:11" x14ac:dyDescent="0.5">
      <c r="B39" s="286"/>
      <c r="C39" s="286"/>
      <c r="D39" s="54"/>
      <c r="E39" s="26"/>
      <c r="G39" s="100"/>
      <c r="H39" s="100"/>
      <c r="I39" s="100"/>
      <c r="J39" s="100"/>
      <c r="K39" s="10" t="s">
        <v>519</v>
      </c>
    </row>
    <row r="51" spans="5:11" x14ac:dyDescent="0.5">
      <c r="E51" s="4"/>
      <c r="G51" s="4"/>
      <c r="H51" s="4"/>
      <c r="I51" s="4"/>
      <c r="J51" s="4"/>
      <c r="K51" s="4"/>
    </row>
    <row r="52" spans="5:11" x14ac:dyDescent="0.5">
      <c r="E52" s="4"/>
      <c r="G52" s="4"/>
      <c r="H52" s="4"/>
      <c r="I52" s="4"/>
      <c r="J52" s="4"/>
      <c r="K52" s="4"/>
    </row>
    <row r="53" spans="5:11" x14ac:dyDescent="0.5">
      <c r="E53" s="4"/>
      <c r="G53" s="4"/>
      <c r="H53" s="4"/>
      <c r="I53" s="4"/>
      <c r="J53" s="4"/>
      <c r="K53" s="4"/>
    </row>
    <row r="54" spans="5:11" x14ac:dyDescent="0.5">
      <c r="E54" s="4"/>
      <c r="G54" s="4"/>
      <c r="H54" s="4"/>
      <c r="I54" s="4"/>
      <c r="J54" s="4"/>
      <c r="K54" s="4"/>
    </row>
    <row r="55" spans="5:11" x14ac:dyDescent="0.5">
      <c r="E55" s="4"/>
      <c r="G55" s="4"/>
      <c r="H55" s="4"/>
      <c r="I55" s="4"/>
      <c r="J55" s="4"/>
      <c r="K55" s="4"/>
    </row>
    <row r="56" spans="5:11" x14ac:dyDescent="0.5">
      <c r="E56" s="4"/>
      <c r="G56" s="4"/>
    </row>
    <row r="57" spans="5:11" x14ac:dyDescent="0.5">
      <c r="E57" s="4"/>
    </row>
    <row r="58" spans="5:11" x14ac:dyDescent="0.5">
      <c r="E58" s="4"/>
    </row>
    <row r="59" spans="5:11" x14ac:dyDescent="0.5">
      <c r="E59" s="4"/>
    </row>
    <row r="60" spans="5:11" x14ac:dyDescent="0.5">
      <c r="E60" s="4"/>
    </row>
    <row r="61" spans="5:11" x14ac:dyDescent="0.5">
      <c r="E61" s="4"/>
    </row>
    <row r="62" spans="5:11" x14ac:dyDescent="0.5">
      <c r="E62" s="4"/>
    </row>
    <row r="63" spans="5:11" x14ac:dyDescent="0.5">
      <c r="E63" s="4"/>
    </row>
    <row r="64" spans="5:11" x14ac:dyDescent="0.5">
      <c r="E64" s="4"/>
    </row>
    <row r="65" spans="5:5" x14ac:dyDescent="0.5">
      <c r="E65" s="4"/>
    </row>
    <row r="66" spans="5:5" x14ac:dyDescent="0.5">
      <c r="E66" s="4"/>
    </row>
    <row r="67" spans="5:5" x14ac:dyDescent="0.5">
      <c r="E67" s="4"/>
    </row>
    <row r="68" spans="5:5" x14ac:dyDescent="0.5">
      <c r="E68" s="4"/>
    </row>
    <row r="69" spans="5:5" x14ac:dyDescent="0.5">
      <c r="E69" s="4"/>
    </row>
    <row r="70" spans="5:5" x14ac:dyDescent="0.5">
      <c r="E70" s="4"/>
    </row>
    <row r="71" spans="5:5" x14ac:dyDescent="0.5">
      <c r="E71" s="4"/>
    </row>
    <row r="72" spans="5:5" x14ac:dyDescent="0.5">
      <c r="E72" s="4"/>
    </row>
    <row r="73" spans="5:5" x14ac:dyDescent="0.5">
      <c r="E73" s="4"/>
    </row>
    <row r="74" spans="5:5" x14ac:dyDescent="0.5">
      <c r="E74" s="4"/>
    </row>
    <row r="75" spans="5:5" x14ac:dyDescent="0.5">
      <c r="E75" s="4"/>
    </row>
    <row r="76" spans="5:5" x14ac:dyDescent="0.5">
      <c r="E76" s="4"/>
    </row>
    <row r="77" spans="5:5" x14ac:dyDescent="0.5">
      <c r="E77" s="4"/>
    </row>
    <row r="78" spans="5:5" x14ac:dyDescent="0.5">
      <c r="E78" s="4"/>
    </row>
    <row r="79" spans="5:5" x14ac:dyDescent="0.5">
      <c r="E79" s="4"/>
    </row>
    <row r="80" spans="5:5" x14ac:dyDescent="0.5">
      <c r="E80" s="4"/>
    </row>
    <row r="81" spans="5:5" x14ac:dyDescent="0.5">
      <c r="E81" s="4"/>
    </row>
    <row r="82" spans="5:5" x14ac:dyDescent="0.5">
      <c r="E82" s="4"/>
    </row>
    <row r="83" spans="5:5" x14ac:dyDescent="0.5">
      <c r="E83" s="4"/>
    </row>
    <row r="84" spans="5:5" x14ac:dyDescent="0.5">
      <c r="E84" s="4"/>
    </row>
    <row r="85" spans="5:5" x14ac:dyDescent="0.5">
      <c r="E85" s="4"/>
    </row>
    <row r="86" spans="5:5" x14ac:dyDescent="0.5">
      <c r="E86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7B64-1C08-4FE0-A609-1154408E0B50}">
  <dimension ref="A1:L66"/>
  <sheetViews>
    <sheetView tabSelected="1" workbookViewId="0">
      <selection activeCell="N13" sqref="N13"/>
    </sheetView>
  </sheetViews>
  <sheetFormatPr defaultRowHeight="14.35" x14ac:dyDescent="0.5"/>
  <cols>
    <col min="1" max="1" width="3.5859375" customWidth="1"/>
    <col min="2" max="2" width="33.76171875" customWidth="1"/>
    <col min="3" max="3" width="10.76171875" customWidth="1"/>
    <col min="4" max="4" width="9.3515625" customWidth="1"/>
    <col min="5" max="5" width="8.703125" customWidth="1"/>
    <col min="6" max="6" width="10.703125" customWidth="1"/>
    <col min="7" max="7" width="10.703125" style="14" customWidth="1"/>
    <col min="8" max="8" width="10.05859375" customWidth="1"/>
    <col min="9" max="9" width="9.76171875" style="14" customWidth="1"/>
    <col min="10" max="11" width="10.29296875" style="14" customWidth="1"/>
    <col min="12" max="12" width="11.5859375" customWidth="1"/>
    <col min="13" max="13" width="11.05859375" customWidth="1"/>
  </cols>
  <sheetData>
    <row r="1" spans="1:12" ht="18" x14ac:dyDescent="0.6">
      <c r="A1" s="14"/>
      <c r="B1" s="85" t="s">
        <v>105</v>
      </c>
      <c r="C1" s="16"/>
    </row>
    <row r="3" spans="1:12" ht="15.35" x14ac:dyDescent="0.5">
      <c r="A3" s="14"/>
      <c r="B3" s="34" t="s">
        <v>125</v>
      </c>
      <c r="C3" s="35"/>
      <c r="D3" s="35"/>
      <c r="E3" s="35"/>
      <c r="F3" s="35"/>
      <c r="G3" s="96"/>
      <c r="H3" s="35"/>
      <c r="I3" s="96"/>
      <c r="J3" s="96"/>
    </row>
    <row r="4" spans="1:12" s="1" customFormat="1" ht="15.35" x14ac:dyDescent="0.5">
      <c r="A4" s="57"/>
      <c r="B4" s="58"/>
      <c r="C4" s="18"/>
      <c r="D4" s="18"/>
      <c r="E4" s="18"/>
      <c r="F4" s="18"/>
      <c r="G4" s="66"/>
      <c r="H4" s="18"/>
      <c r="I4" s="66"/>
      <c r="J4" s="66"/>
      <c r="K4" s="14"/>
      <c r="L4"/>
    </row>
    <row r="5" spans="1:12" s="1" customFormat="1" ht="71.349999999999994" customHeight="1" thickBot="1" x14ac:dyDescent="0.55000000000000004">
      <c r="A5" s="57"/>
      <c r="B5" s="36" t="s">
        <v>51</v>
      </c>
      <c r="C5" s="92" t="s">
        <v>116</v>
      </c>
      <c r="D5" s="82" t="s">
        <v>115</v>
      </c>
      <c r="E5" s="92" t="s">
        <v>114</v>
      </c>
      <c r="F5" s="92" t="s">
        <v>53</v>
      </c>
      <c r="G5" s="82" t="s">
        <v>112</v>
      </c>
      <c r="H5" s="82" t="s">
        <v>64</v>
      </c>
      <c r="I5" s="82" t="s">
        <v>79</v>
      </c>
      <c r="K5" s="14"/>
      <c r="L5"/>
    </row>
    <row r="6" spans="1:12" s="1" customFormat="1" x14ac:dyDescent="0.5">
      <c r="A6" s="57"/>
      <c r="B6" t="s">
        <v>52</v>
      </c>
      <c r="C6" s="93">
        <v>3</v>
      </c>
      <c r="D6" s="59">
        <v>0.33333299999999999</v>
      </c>
      <c r="E6" s="93">
        <f>+C6*(1+D6)</f>
        <v>3.9999990000000003</v>
      </c>
      <c r="F6" s="101">
        <v>316.31</v>
      </c>
      <c r="G6" s="97">
        <f>+F6*E6</f>
        <v>1265.23968369</v>
      </c>
      <c r="H6" s="64">
        <f>+G6/$G$11</f>
        <v>0.3247492134297989</v>
      </c>
      <c r="I6" s="72"/>
      <c r="K6" s="14"/>
      <c r="L6"/>
    </row>
    <row r="7" spans="1:12" s="1" customFormat="1" x14ac:dyDescent="0.5">
      <c r="A7" s="57"/>
      <c r="B7" t="s">
        <v>537</v>
      </c>
      <c r="C7" s="93"/>
      <c r="D7" s="59"/>
      <c r="E7" s="93"/>
      <c r="F7" s="101"/>
      <c r="G7" s="97">
        <v>50</v>
      </c>
      <c r="H7" s="64"/>
      <c r="I7" s="72"/>
      <c r="K7" s="14"/>
      <c r="L7"/>
    </row>
    <row r="8" spans="1:12" s="1" customFormat="1" x14ac:dyDescent="0.5">
      <c r="A8" s="57"/>
      <c r="B8" t="s">
        <v>538</v>
      </c>
      <c r="C8" s="93"/>
      <c r="D8" s="59"/>
      <c r="E8" s="93"/>
      <c r="F8" s="101"/>
      <c r="G8" s="97">
        <v>100</v>
      </c>
      <c r="H8" s="64"/>
      <c r="I8" s="72"/>
      <c r="K8" s="14"/>
      <c r="L8"/>
    </row>
    <row r="9" spans="1:12" s="1" customFormat="1" x14ac:dyDescent="0.5">
      <c r="A9" s="57"/>
      <c r="B9" t="s">
        <v>54</v>
      </c>
      <c r="C9" s="18"/>
      <c r="D9" s="18"/>
      <c r="E9" s="66"/>
      <c r="F9" s="18"/>
      <c r="G9" s="97">
        <f>+'Fig. 9.1'!G21</f>
        <v>2354.1</v>
      </c>
      <c r="H9" s="64">
        <f>+G9/$G$11</f>
        <v>0.60422711458550804</v>
      </c>
      <c r="I9" s="72"/>
      <c r="K9" s="14"/>
      <c r="L9"/>
    </row>
    <row r="10" spans="1:12" s="1" customFormat="1" x14ac:dyDescent="0.5">
      <c r="A10" s="57"/>
      <c r="B10" t="s">
        <v>93</v>
      </c>
      <c r="C10" s="24">
        <v>3.5000000000000003E-2</v>
      </c>
      <c r="D10" s="18"/>
      <c r="E10" s="66"/>
      <c r="F10" s="18"/>
      <c r="G10" s="98">
        <f>+C10*(1+G6+G9)</f>
        <v>126.71188892915002</v>
      </c>
      <c r="H10" s="64">
        <f>+G10/$G$11</f>
        <v>3.2523154934514124E-2</v>
      </c>
      <c r="I10" s="72"/>
      <c r="K10" s="14"/>
      <c r="L10"/>
    </row>
    <row r="11" spans="1:12" s="1" customFormat="1" ht="14.7" thickBot="1" x14ac:dyDescent="0.55000000000000004">
      <c r="A11" s="57"/>
      <c r="B11" t="s">
        <v>61</v>
      </c>
      <c r="C11" s="18"/>
      <c r="D11" s="18"/>
      <c r="E11" s="66"/>
      <c r="F11" s="18"/>
      <c r="G11" s="105">
        <f>SUM(G6:G10)</f>
        <v>3896.0515726191502</v>
      </c>
      <c r="H11" s="106">
        <f>+G11/$G$11</f>
        <v>1</v>
      </c>
      <c r="I11" s="102">
        <f>+G11/J19</f>
        <v>6.3186045614971631</v>
      </c>
      <c r="K11" s="14"/>
      <c r="L11"/>
    </row>
    <row r="12" spans="1:12" s="1" customFormat="1" ht="14.7" thickTop="1" x14ac:dyDescent="0.5">
      <c r="A12" s="57"/>
      <c r="B12"/>
      <c r="C12" s="18"/>
      <c r="D12" s="18"/>
      <c r="E12" s="66"/>
      <c r="F12" s="18"/>
      <c r="G12" s="66"/>
      <c r="J12" s="66"/>
      <c r="K12" s="14"/>
      <c r="L12"/>
    </row>
    <row r="13" spans="1:12" s="1" customFormat="1" ht="51.7" thickBot="1" x14ac:dyDescent="0.55000000000000004">
      <c r="A13" s="57"/>
      <c r="B13" s="36" t="s">
        <v>55</v>
      </c>
      <c r="C13" s="82" t="s">
        <v>63</v>
      </c>
      <c r="D13" s="92" t="s">
        <v>57</v>
      </c>
      <c r="E13" s="82" t="s">
        <v>58</v>
      </c>
      <c r="F13" s="36" t="s">
        <v>56</v>
      </c>
      <c r="G13" s="57"/>
      <c r="I13" s="57"/>
      <c r="J13" s="66"/>
      <c r="K13" s="14"/>
      <c r="L13"/>
    </row>
    <row r="14" spans="1:12" s="1" customFormat="1" ht="14.7" thickBot="1" x14ac:dyDescent="0.55000000000000004">
      <c r="A14" s="57"/>
      <c r="B14" s="298" t="s">
        <v>293</v>
      </c>
      <c r="C14" s="71">
        <v>0</v>
      </c>
      <c r="D14" s="68" t="s">
        <v>122</v>
      </c>
      <c r="E14" s="98">
        <f>ROUND(+C14*$J$19,0)</f>
        <v>0</v>
      </c>
      <c r="F14" s="61">
        <f t="shared" ref="F14:F19" si="0">+E14/$E$19</f>
        <v>0</v>
      </c>
      <c r="G14" s="57"/>
      <c r="H14" s="57"/>
      <c r="I14" s="57"/>
      <c r="J14" s="57"/>
      <c r="K14" s="57"/>
      <c r="L14" s="57"/>
    </row>
    <row r="15" spans="1:12" s="1" customFormat="1" ht="14.7" thickBot="1" x14ac:dyDescent="0.55000000000000004">
      <c r="A15" s="57"/>
      <c r="B15" t="s">
        <v>291</v>
      </c>
      <c r="C15" s="71">
        <v>2</v>
      </c>
      <c r="D15" s="68" t="s">
        <v>122</v>
      </c>
      <c r="E15" s="98">
        <f>ROUND(+C15*$J$19,0)</f>
        <v>1233</v>
      </c>
      <c r="F15" s="61">
        <f t="shared" si="0"/>
        <v>0.31647425015247077</v>
      </c>
      <c r="G15" s="57"/>
      <c r="H15" s="118" t="s">
        <v>81</v>
      </c>
      <c r="I15" s="119"/>
      <c r="J15" s="120">
        <v>0.36</v>
      </c>
      <c r="L15"/>
    </row>
    <row r="16" spans="1:12" s="1" customFormat="1" ht="14.7" thickBot="1" x14ac:dyDescent="0.55000000000000004">
      <c r="A16" s="57"/>
      <c r="B16" t="s">
        <v>59</v>
      </c>
      <c r="C16" s="94">
        <v>1</v>
      </c>
      <c r="D16" s="42">
        <v>8.5000000000000006E-2</v>
      </c>
      <c r="E16" s="103">
        <f>ROUND(+C16*$J$19,0)</f>
        <v>617</v>
      </c>
      <c r="F16" s="70">
        <f t="shared" si="0"/>
        <v>0.15836546013306929</v>
      </c>
      <c r="G16" s="57"/>
      <c r="L16"/>
    </row>
    <row r="17" spans="1:12" s="1" customFormat="1" x14ac:dyDescent="0.5">
      <c r="A17" s="57"/>
      <c r="B17" t="s">
        <v>78</v>
      </c>
      <c r="C17" s="95">
        <f>+E17/J19</f>
        <v>3.0003243593902047</v>
      </c>
      <c r="D17" s="42"/>
      <c r="E17" s="104">
        <f>+E16+E15</f>
        <v>1850</v>
      </c>
      <c r="F17" s="70">
        <f t="shared" si="0"/>
        <v>0.47483971028554006</v>
      </c>
      <c r="G17" s="57"/>
      <c r="H17" s="110" t="s">
        <v>118</v>
      </c>
      <c r="I17" s="111"/>
      <c r="J17" s="112">
        <f>+'Fig. 9.1'!G12</f>
        <v>364.4</v>
      </c>
      <c r="L17"/>
    </row>
    <row r="18" spans="1:12" s="1" customFormat="1" x14ac:dyDescent="0.5">
      <c r="A18" s="57"/>
      <c r="B18" t="s">
        <v>60</v>
      </c>
      <c r="C18" s="72">
        <f>+E18/J19</f>
        <v>3.3182802021069584</v>
      </c>
      <c r="D18" s="63"/>
      <c r="E18" s="98">
        <f>+E19-E16-E15</f>
        <v>2046.0515726191502</v>
      </c>
      <c r="F18" s="61">
        <f t="shared" si="0"/>
        <v>0.52516028971445994</v>
      </c>
      <c r="G18" s="57"/>
      <c r="H18" s="113" t="s">
        <v>119</v>
      </c>
      <c r="I18" s="109"/>
      <c r="J18" s="114">
        <f>+'Fig. 9.1'!G17</f>
        <v>252.2</v>
      </c>
      <c r="L18"/>
    </row>
    <row r="19" spans="1:12" s="1" customFormat="1" ht="14.7" thickBot="1" x14ac:dyDescent="0.55000000000000004">
      <c r="A19" s="57"/>
      <c r="B19" t="s">
        <v>62</v>
      </c>
      <c r="C19" s="73">
        <f>+E19/J19</f>
        <v>6.3186045614971631</v>
      </c>
      <c r="D19" s="18"/>
      <c r="E19" s="99">
        <f>+G11</f>
        <v>3896.0515726191502</v>
      </c>
      <c r="F19" s="62">
        <f t="shared" si="0"/>
        <v>1</v>
      </c>
      <c r="G19" s="57"/>
      <c r="H19" s="115" t="s">
        <v>97</v>
      </c>
      <c r="I19" s="116"/>
      <c r="J19" s="117">
        <f>+J18+J17</f>
        <v>616.59999999999991</v>
      </c>
      <c r="L19"/>
    </row>
    <row r="20" spans="1:12" s="1" customFormat="1" x14ac:dyDescent="0.5">
      <c r="A20" s="57"/>
      <c r="B20"/>
      <c r="C20" s="18"/>
      <c r="D20" s="18"/>
      <c r="E20" s="18"/>
      <c r="F20" s="18"/>
      <c r="G20" s="66"/>
      <c r="H20" s="66"/>
      <c r="I20" s="66"/>
      <c r="J20" s="66"/>
      <c r="L20"/>
    </row>
    <row r="21" spans="1:12" s="1" customFormat="1" x14ac:dyDescent="0.5">
      <c r="B21"/>
      <c r="C21" s="18"/>
      <c r="D21" s="18"/>
      <c r="E21"/>
      <c r="G21" s="57"/>
      <c r="H21" s="57"/>
      <c r="I21" s="66"/>
      <c r="J21" s="66"/>
      <c r="L21" s="18"/>
    </row>
    <row r="22" spans="1:12" s="1" customFormat="1" ht="20.7" x14ac:dyDescent="0.7">
      <c r="A22"/>
      <c r="B22" s="182" t="s">
        <v>534</v>
      </c>
      <c r="C22"/>
      <c r="D22"/>
      <c r="E22"/>
      <c r="F22"/>
      <c r="G22"/>
      <c r="H22"/>
      <c r="I22" s="57"/>
      <c r="J22" s="57"/>
      <c r="K22" s="57"/>
    </row>
    <row r="23" spans="1:12" s="1" customFormat="1" x14ac:dyDescent="0.5">
      <c r="A23"/>
      <c r="B23"/>
      <c r="C23"/>
      <c r="D23"/>
      <c r="E23"/>
      <c r="F23"/>
      <c r="G23"/>
      <c r="H23" s="465" t="s">
        <v>284</v>
      </c>
      <c r="I23" s="57"/>
      <c r="J23" s="57"/>
      <c r="K23" s="57"/>
    </row>
    <row r="24" spans="1:12" s="1" customFormat="1" ht="43" x14ac:dyDescent="0.5">
      <c r="A24"/>
      <c r="B24" s="8" t="s">
        <v>263</v>
      </c>
      <c r="C24" s="464" t="s">
        <v>281</v>
      </c>
      <c r="D24" s="296"/>
      <c r="E24" s="467" t="s">
        <v>287</v>
      </c>
      <c r="F24" s="468"/>
      <c r="G24" s="293"/>
      <c r="H24" s="464" t="s">
        <v>282</v>
      </c>
      <c r="I24" s="57"/>
      <c r="J24" s="57"/>
      <c r="K24" s="57"/>
    </row>
    <row r="25" spans="1:12" s="1" customFormat="1" x14ac:dyDescent="0.5">
      <c r="A25"/>
      <c r="B25"/>
      <c r="C25" s="294">
        <v>2018</v>
      </c>
      <c r="D25" s="14"/>
      <c r="E25" s="294" t="s">
        <v>279</v>
      </c>
      <c r="F25" s="294" t="s">
        <v>280</v>
      </c>
      <c r="G25" s="14"/>
      <c r="H25" s="294">
        <f>+C25</f>
        <v>2018</v>
      </c>
      <c r="I25" s="57"/>
      <c r="J25" s="57"/>
      <c r="K25" s="57"/>
    </row>
    <row r="26" spans="1:12" x14ac:dyDescent="0.5">
      <c r="F26" s="4"/>
      <c r="G26"/>
    </row>
    <row r="27" spans="1:12" x14ac:dyDescent="0.5">
      <c r="B27" s="8" t="s">
        <v>262</v>
      </c>
      <c r="F27" s="4"/>
      <c r="G27"/>
      <c r="I27" s="466" t="s">
        <v>535</v>
      </c>
    </row>
    <row r="28" spans="1:12" x14ac:dyDescent="0.5">
      <c r="B28" s="4" t="s">
        <v>252</v>
      </c>
      <c r="C28" s="4">
        <v>48.6</v>
      </c>
      <c r="D28" s="4"/>
      <c r="E28" s="13">
        <f>G7</f>
        <v>50</v>
      </c>
      <c r="F28" s="4"/>
      <c r="G28"/>
      <c r="H28" s="13">
        <f>C28+E28-F28</f>
        <v>98.6</v>
      </c>
    </row>
    <row r="29" spans="1:12" x14ac:dyDescent="0.5">
      <c r="B29" s="4" t="s">
        <v>253</v>
      </c>
      <c r="C29" s="4">
        <v>635.79999999999995</v>
      </c>
      <c r="D29" s="4"/>
      <c r="E29" s="4"/>
      <c r="F29" s="4"/>
      <c r="G29"/>
      <c r="H29" s="13">
        <f t="shared" ref="H29:H31" si="1">C29+E29-F29</f>
        <v>635.79999999999995</v>
      </c>
    </row>
    <row r="30" spans="1:12" x14ac:dyDescent="0.5">
      <c r="B30" s="4" t="s">
        <v>254</v>
      </c>
      <c r="C30" s="4">
        <v>1419.9</v>
      </c>
      <c r="D30" s="4"/>
      <c r="E30" s="4"/>
      <c r="F30" s="4"/>
      <c r="G30"/>
      <c r="H30" s="13">
        <f t="shared" si="1"/>
        <v>1419.9</v>
      </c>
    </row>
    <row r="31" spans="1:12" x14ac:dyDescent="0.5">
      <c r="B31" s="4" t="s">
        <v>255</v>
      </c>
      <c r="C31" s="6">
        <v>97</v>
      </c>
      <c r="D31" s="4"/>
      <c r="E31" s="4"/>
      <c r="F31" s="4"/>
      <c r="G31"/>
      <c r="H31" s="13">
        <f t="shared" si="1"/>
        <v>97</v>
      </c>
    </row>
    <row r="32" spans="1:12" x14ac:dyDescent="0.5">
      <c r="B32" s="4" t="s">
        <v>256</v>
      </c>
      <c r="C32" s="197">
        <f>SUM(C28:C31)</f>
        <v>2201.3000000000002</v>
      </c>
      <c r="D32" s="4"/>
      <c r="E32" s="4"/>
      <c r="F32" s="4"/>
      <c r="G32"/>
      <c r="H32" s="197">
        <f>SUM(H28:H31)</f>
        <v>2251.3000000000002</v>
      </c>
    </row>
    <row r="33" spans="2:9" x14ac:dyDescent="0.5">
      <c r="B33" s="4"/>
      <c r="C33" s="4"/>
      <c r="D33" s="4"/>
      <c r="E33" s="4"/>
      <c r="F33" s="4"/>
      <c r="G33"/>
    </row>
    <row r="34" spans="2:9" x14ac:dyDescent="0.5">
      <c r="B34" s="4" t="s">
        <v>257</v>
      </c>
      <c r="C34" s="4">
        <v>1911.6</v>
      </c>
      <c r="D34" s="4"/>
      <c r="E34" s="4">
        <f>G8</f>
        <v>100</v>
      </c>
      <c r="F34" s="4"/>
      <c r="G34"/>
      <c r="H34" s="13">
        <f>C34+E34-F34</f>
        <v>2011.6</v>
      </c>
    </row>
    <row r="35" spans="2:9" x14ac:dyDescent="0.5">
      <c r="B35" s="4" t="s">
        <v>258</v>
      </c>
      <c r="C35" s="4">
        <v>80.5</v>
      </c>
      <c r="D35" s="4"/>
      <c r="E35" s="4"/>
      <c r="F35" s="4"/>
      <c r="G35"/>
      <c r="H35" s="13">
        <f>C35+E35-F35</f>
        <v>80.5</v>
      </c>
    </row>
    <row r="36" spans="2:9" x14ac:dyDescent="0.5">
      <c r="B36" s="4" t="s">
        <v>259</v>
      </c>
      <c r="C36" s="4">
        <v>255</v>
      </c>
      <c r="D36" s="4"/>
      <c r="E36" s="4">
        <f>G6-C63</f>
        <v>1213.2396836899995</v>
      </c>
      <c r="F36" s="4"/>
      <c r="G36"/>
      <c r="H36" s="13">
        <f>C36+E36-F36</f>
        <v>1468.2396836899995</v>
      </c>
    </row>
    <row r="37" spans="2:9" x14ac:dyDescent="0.5">
      <c r="B37" s="4" t="s">
        <v>299</v>
      </c>
      <c r="C37" s="4">
        <v>0</v>
      </c>
      <c r="D37" s="4"/>
      <c r="E37" s="4">
        <f>G10</f>
        <v>126.71188892915002</v>
      </c>
      <c r="F37" s="4"/>
      <c r="G37"/>
      <c r="H37" s="13">
        <f>C37+E37-F37</f>
        <v>126.71188892915002</v>
      </c>
    </row>
    <row r="38" spans="2:9" x14ac:dyDescent="0.5">
      <c r="B38" s="4" t="s">
        <v>286</v>
      </c>
      <c r="C38" s="4">
        <v>43.9</v>
      </c>
      <c r="D38" s="4"/>
      <c r="E38" s="4"/>
      <c r="F38" s="4"/>
      <c r="G38"/>
      <c r="H38" s="13">
        <f t="shared" ref="H38:H39" si="2">C38+E38-F38</f>
        <v>43.9</v>
      </c>
    </row>
    <row r="39" spans="2:9" x14ac:dyDescent="0.5">
      <c r="B39" s="4" t="s">
        <v>260</v>
      </c>
      <c r="C39" s="4">
        <v>23.4</v>
      </c>
      <c r="D39" s="4"/>
      <c r="E39" s="4"/>
      <c r="F39" s="4"/>
      <c r="G39"/>
      <c r="H39" s="13">
        <f t="shared" si="2"/>
        <v>23.4</v>
      </c>
    </row>
    <row r="40" spans="2:9" ht="14.7" thickBot="1" x14ac:dyDescent="0.55000000000000004">
      <c r="B40" s="4" t="s">
        <v>261</v>
      </c>
      <c r="C40" s="177">
        <f>SUM(C32:C39)</f>
        <v>4515.6999999999989</v>
      </c>
      <c r="D40" s="4"/>
      <c r="E40" s="4"/>
      <c r="F40" s="4"/>
      <c r="G40"/>
      <c r="H40" s="177">
        <f>SUM(H32:H39)</f>
        <v>6005.6515726191483</v>
      </c>
    </row>
    <row r="41" spans="2:9" ht="14.7" thickTop="1" x14ac:dyDescent="0.5">
      <c r="B41" s="4"/>
      <c r="C41" s="4"/>
      <c r="D41" s="4"/>
      <c r="E41" s="4"/>
      <c r="F41" s="4"/>
      <c r="G41"/>
    </row>
    <row r="42" spans="2:9" x14ac:dyDescent="0.5">
      <c r="B42" s="291" t="s">
        <v>264</v>
      </c>
      <c r="C42" s="4"/>
      <c r="D42" s="4"/>
      <c r="E42" s="4"/>
      <c r="F42" s="4"/>
      <c r="G42"/>
    </row>
    <row r="43" spans="2:9" x14ac:dyDescent="0.5">
      <c r="B43" s="4" t="s">
        <v>265</v>
      </c>
      <c r="C43" s="4">
        <v>801</v>
      </c>
      <c r="D43" s="4"/>
      <c r="E43" s="4"/>
      <c r="F43" s="4"/>
      <c r="G43"/>
      <c r="H43" s="13">
        <f>+C43+F43-E43</f>
        <v>801</v>
      </c>
      <c r="I43" s="466" t="s">
        <v>536</v>
      </c>
    </row>
    <row r="44" spans="2:9" x14ac:dyDescent="0.5">
      <c r="B44" s="4" t="s">
        <v>266</v>
      </c>
      <c r="C44" s="4">
        <v>15.1</v>
      </c>
      <c r="D44" s="4"/>
      <c r="E44" s="4"/>
      <c r="F44" s="4"/>
      <c r="G44"/>
      <c r="H44" s="13">
        <f t="shared" ref="H44:H45" si="3">+C44+F44-E44</f>
        <v>15.1</v>
      </c>
    </row>
    <row r="45" spans="2:9" x14ac:dyDescent="0.5">
      <c r="B45" s="4" t="s">
        <v>267</v>
      </c>
      <c r="C45" s="6">
        <v>0</v>
      </c>
      <c r="D45" s="4"/>
      <c r="E45" s="4"/>
      <c r="F45" s="4"/>
      <c r="G45"/>
      <c r="H45" s="13">
        <f t="shared" si="3"/>
        <v>0</v>
      </c>
    </row>
    <row r="46" spans="2:9" x14ac:dyDescent="0.5">
      <c r="B46" s="4" t="s">
        <v>268</v>
      </c>
      <c r="C46" s="197">
        <f>SUM(C43:C45)</f>
        <v>816.1</v>
      </c>
      <c r="D46" s="4"/>
      <c r="E46" s="4"/>
      <c r="F46" s="4"/>
      <c r="G46"/>
      <c r="H46" s="197">
        <f>SUM(H43:H45)</f>
        <v>816.1</v>
      </c>
    </row>
    <row r="47" spans="2:9" x14ac:dyDescent="0.5">
      <c r="B47" s="4"/>
      <c r="C47" s="4"/>
      <c r="D47" s="4"/>
      <c r="E47" s="4"/>
      <c r="F47" s="4"/>
      <c r="G47"/>
    </row>
    <row r="48" spans="2:9" x14ac:dyDescent="0.5">
      <c r="B48" s="4" t="s">
        <v>288</v>
      </c>
      <c r="C48" s="4">
        <f>+G9</f>
        <v>2354.1</v>
      </c>
      <c r="D48" s="4"/>
      <c r="E48" s="4">
        <f>G9</f>
        <v>2354.1</v>
      </c>
      <c r="F48" s="4"/>
      <c r="G48"/>
      <c r="H48" s="13">
        <f>+C48+F48-E48</f>
        <v>0</v>
      </c>
    </row>
    <row r="49" spans="2:8" x14ac:dyDescent="0.5">
      <c r="B49" s="4" t="s">
        <v>292</v>
      </c>
      <c r="C49" s="4"/>
      <c r="D49" s="4"/>
      <c r="E49" s="4"/>
      <c r="F49" s="4">
        <f>E14</f>
        <v>0</v>
      </c>
      <c r="G49"/>
      <c r="H49" s="13">
        <f t="shared" ref="H49:H51" si="4">+C49+F49-E49</f>
        <v>0</v>
      </c>
    </row>
    <row r="50" spans="2:8" x14ac:dyDescent="0.5">
      <c r="B50" s="4" t="s">
        <v>291</v>
      </c>
      <c r="C50" s="4"/>
      <c r="D50" s="4"/>
      <c r="E50" s="4"/>
      <c r="F50" s="4">
        <f>+E15</f>
        <v>1233</v>
      </c>
      <c r="G50"/>
      <c r="H50" s="13">
        <f t="shared" si="4"/>
        <v>1233</v>
      </c>
    </row>
    <row r="51" spans="2:8" x14ac:dyDescent="0.5">
      <c r="B51" s="4" t="s">
        <v>289</v>
      </c>
      <c r="C51" s="4"/>
      <c r="D51" s="4"/>
      <c r="E51" s="4"/>
      <c r="F51" s="4">
        <f t="shared" ref="F51" si="5">E16</f>
        <v>617</v>
      </c>
      <c r="G51"/>
      <c r="H51" s="13">
        <f t="shared" si="4"/>
        <v>617</v>
      </c>
    </row>
    <row r="52" spans="2:8" x14ac:dyDescent="0.5">
      <c r="B52" s="4" t="s">
        <v>290</v>
      </c>
      <c r="C52" s="197">
        <f>SUM(C48:C51)</f>
        <v>2354.1</v>
      </c>
      <c r="D52" s="4"/>
      <c r="E52" s="4"/>
      <c r="F52" s="4"/>
      <c r="G52"/>
      <c r="H52" s="197">
        <f>SUM(H48:H51)</f>
        <v>1850</v>
      </c>
    </row>
    <row r="53" spans="2:8" x14ac:dyDescent="0.5">
      <c r="B53" s="4"/>
      <c r="C53" s="4"/>
      <c r="D53" s="4"/>
      <c r="E53" s="4"/>
      <c r="F53" s="4"/>
      <c r="G53"/>
      <c r="H53" s="13"/>
    </row>
    <row r="54" spans="2:8" x14ac:dyDescent="0.5">
      <c r="B54" s="4" t="s">
        <v>269</v>
      </c>
      <c r="C54" s="4">
        <v>963.9</v>
      </c>
      <c r="D54" s="4"/>
      <c r="E54" s="4"/>
      <c r="F54" s="4"/>
      <c r="G54"/>
      <c r="H54" s="13">
        <f t="shared" ref="H54:H55" si="6">+C54+F54-E54</f>
        <v>963.9</v>
      </c>
    </row>
    <row r="55" spans="2:8" x14ac:dyDescent="0.5">
      <c r="B55" s="4" t="s">
        <v>270</v>
      </c>
      <c r="C55" s="6">
        <v>329.6</v>
      </c>
      <c r="D55" s="4"/>
      <c r="E55" s="4"/>
      <c r="F55" s="4"/>
      <c r="G55"/>
      <c r="H55" s="13">
        <f t="shared" si="6"/>
        <v>329.6</v>
      </c>
    </row>
    <row r="56" spans="2:8" x14ac:dyDescent="0.5">
      <c r="B56" s="4" t="s">
        <v>271</v>
      </c>
      <c r="C56" s="197">
        <f>SUM(C52:C55)+C46</f>
        <v>4463.7</v>
      </c>
      <c r="D56" s="4"/>
      <c r="E56" s="4"/>
      <c r="F56" s="4"/>
      <c r="G56"/>
      <c r="H56" s="197">
        <f>SUM(H52:H55)+H46</f>
        <v>3959.6</v>
      </c>
    </row>
    <row r="57" spans="2:8" x14ac:dyDescent="0.5">
      <c r="B57" s="4"/>
      <c r="C57" s="4"/>
      <c r="D57" s="4"/>
      <c r="E57" s="4"/>
      <c r="F57" s="4"/>
      <c r="G57"/>
    </row>
    <row r="58" spans="2:8" x14ac:dyDescent="0.5">
      <c r="B58" s="291" t="s">
        <v>272</v>
      </c>
      <c r="F58" s="4"/>
      <c r="G58"/>
    </row>
    <row r="59" spans="2:8" x14ac:dyDescent="0.5">
      <c r="B59" s="4" t="s">
        <v>273</v>
      </c>
      <c r="C59" s="4">
        <v>3.2</v>
      </c>
      <c r="E59" s="13">
        <f>C59</f>
        <v>3.2</v>
      </c>
      <c r="F59" s="4">
        <f>+E18</f>
        <v>2046.0515726191502</v>
      </c>
      <c r="G59"/>
      <c r="H59" s="13">
        <f>+C59+F59-E59</f>
        <v>2046.05157261915</v>
      </c>
    </row>
    <row r="60" spans="2:8" x14ac:dyDescent="0.5">
      <c r="B60" s="4" t="s">
        <v>274</v>
      </c>
      <c r="C60" s="4">
        <v>-106.4</v>
      </c>
      <c r="E60" s="13">
        <f t="shared" ref="E60:E62" si="7">C60</f>
        <v>-106.4</v>
      </c>
      <c r="F60" s="4"/>
      <c r="G60"/>
      <c r="H60" s="13">
        <f t="shared" ref="H60:H62" si="8">+C60+F60-E60</f>
        <v>0</v>
      </c>
    </row>
    <row r="61" spans="2:8" x14ac:dyDescent="0.5">
      <c r="B61" s="4" t="s">
        <v>275</v>
      </c>
      <c r="C61" s="4">
        <v>2894.9</v>
      </c>
      <c r="E61" s="13">
        <f t="shared" si="7"/>
        <v>2894.9</v>
      </c>
      <c r="F61" s="4"/>
      <c r="G61"/>
      <c r="H61" s="13">
        <f t="shared" si="8"/>
        <v>0</v>
      </c>
    </row>
    <row r="62" spans="2:8" x14ac:dyDescent="0.5">
      <c r="B62" s="4" t="s">
        <v>276</v>
      </c>
      <c r="C62" s="6">
        <v>-2739.7</v>
      </c>
      <c r="D62" s="13"/>
      <c r="E62" s="13">
        <f t="shared" si="7"/>
        <v>-2739.7</v>
      </c>
      <c r="F62" s="4"/>
      <c r="G62"/>
      <c r="H62" s="13">
        <f t="shared" si="8"/>
        <v>0</v>
      </c>
    </row>
    <row r="63" spans="2:8" x14ac:dyDescent="0.5">
      <c r="B63" s="4" t="s">
        <v>277</v>
      </c>
      <c r="C63" s="197">
        <f>SUM(C59:C62)</f>
        <v>52.000000000000455</v>
      </c>
      <c r="F63" s="4"/>
      <c r="G63"/>
      <c r="H63" s="197">
        <f>SUM(H59:H62)</f>
        <v>2046.05157261915</v>
      </c>
    </row>
    <row r="64" spans="2:8" x14ac:dyDescent="0.5">
      <c r="F64" s="4"/>
      <c r="G64"/>
    </row>
    <row r="65" spans="2:8" ht="14.7" thickBot="1" x14ac:dyDescent="0.55000000000000004">
      <c r="B65" s="4" t="s">
        <v>278</v>
      </c>
      <c r="C65" s="292">
        <f>+C63+C56</f>
        <v>4515.7000000000007</v>
      </c>
      <c r="E65" s="177">
        <f>SUM(E26:E64)</f>
        <v>3896.0515726191497</v>
      </c>
      <c r="F65" s="177">
        <f>SUM(F27:F64)</f>
        <v>3896.0515726191502</v>
      </c>
      <c r="G65"/>
      <c r="H65" s="292">
        <f>+H63+H56</f>
        <v>6005.6515726191501</v>
      </c>
    </row>
    <row r="66" spans="2:8" ht="14.7" thickTop="1" x14ac:dyDescent="0.5"/>
  </sheetData>
  <mergeCells count="1">
    <mergeCell ref="E24:F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DB5CA-FF6A-43B0-8075-4BFCCD724776}">
  <dimension ref="B1:L46"/>
  <sheetViews>
    <sheetView workbookViewId="0">
      <selection activeCell="E16" sqref="E16"/>
    </sheetView>
  </sheetViews>
  <sheetFormatPr defaultRowHeight="14.35" x14ac:dyDescent="0.5"/>
  <cols>
    <col min="2" max="2" width="31.5859375" customWidth="1"/>
    <col min="3" max="3" width="11.1171875" customWidth="1"/>
    <col min="4" max="4" width="4.8203125" customWidth="1"/>
    <col min="5" max="5" width="11.1171875" customWidth="1"/>
    <col min="6" max="6" width="11.234375" customWidth="1"/>
    <col min="7" max="7" width="4.8203125" customWidth="1"/>
    <col min="8" max="8" width="11.703125" customWidth="1"/>
    <col min="9" max="9" width="4.17578125" customWidth="1"/>
    <col min="10" max="10" width="11.64453125" customWidth="1"/>
    <col min="11" max="11" width="4.52734375" customWidth="1"/>
    <col min="12" max="12" width="12.1171875" customWidth="1"/>
  </cols>
  <sheetData>
    <row r="1" spans="2:12" ht="20.7" x14ac:dyDescent="0.7">
      <c r="B1" s="182" t="s">
        <v>177</v>
      </c>
    </row>
    <row r="2" spans="2:12" x14ac:dyDescent="0.5">
      <c r="B2" t="s">
        <v>285</v>
      </c>
    </row>
    <row r="3" spans="2:12" x14ac:dyDescent="0.5">
      <c r="H3" s="474" t="s">
        <v>284</v>
      </c>
      <c r="I3" s="474"/>
      <c r="J3" s="474"/>
      <c r="K3" s="474"/>
      <c r="L3" s="474"/>
    </row>
    <row r="4" spans="2:12" ht="43" customHeight="1" x14ac:dyDescent="0.5">
      <c r="B4" s="8" t="s">
        <v>263</v>
      </c>
      <c r="C4" s="295" t="s">
        <v>281</v>
      </c>
      <c r="D4" s="296"/>
      <c r="E4" s="467" t="s">
        <v>287</v>
      </c>
      <c r="F4" s="468"/>
      <c r="G4" s="293"/>
      <c r="H4" s="295" t="s">
        <v>282</v>
      </c>
      <c r="I4" s="296"/>
      <c r="J4" s="295" t="s">
        <v>200</v>
      </c>
      <c r="L4" s="295" t="s">
        <v>283</v>
      </c>
    </row>
    <row r="5" spans="2:12" x14ac:dyDescent="0.5">
      <c r="C5" s="294">
        <v>2018</v>
      </c>
      <c r="D5" s="14"/>
      <c r="E5" s="294" t="s">
        <v>279</v>
      </c>
      <c r="F5" s="294" t="s">
        <v>280</v>
      </c>
      <c r="G5" s="14"/>
      <c r="H5" s="294">
        <f>+C5</f>
        <v>2018</v>
      </c>
      <c r="I5" s="14"/>
      <c r="J5" s="294">
        <v>2018</v>
      </c>
      <c r="K5" s="14"/>
      <c r="L5" s="294">
        <v>2018</v>
      </c>
    </row>
    <row r="6" spans="2:12" x14ac:dyDescent="0.5">
      <c r="F6" s="4"/>
    </row>
    <row r="7" spans="2:12" x14ac:dyDescent="0.5">
      <c r="B7" s="8" t="s">
        <v>262</v>
      </c>
      <c r="F7" s="4"/>
    </row>
    <row r="8" spans="2:12" x14ac:dyDescent="0.5">
      <c r="B8" s="4" t="s">
        <v>252</v>
      </c>
      <c r="C8" s="4">
        <v>48.6</v>
      </c>
      <c r="D8" s="4"/>
      <c r="E8" s="13"/>
      <c r="F8" s="4"/>
      <c r="H8" s="13">
        <f>+C8+E8-F8</f>
        <v>48.6</v>
      </c>
      <c r="J8" s="4">
        <v>1057.0029999999999</v>
      </c>
      <c r="L8" s="4">
        <f>+J8+H8</f>
        <v>1105.6029999999998</v>
      </c>
    </row>
    <row r="9" spans="2:12" x14ac:dyDescent="0.5">
      <c r="B9" s="4" t="s">
        <v>253</v>
      </c>
      <c r="C9" s="4">
        <v>635.79999999999995</v>
      </c>
      <c r="D9" s="4"/>
      <c r="E9" s="4"/>
      <c r="F9" s="4"/>
      <c r="H9" s="13">
        <f t="shared" ref="H9:H11" si="0">+C9+E9-F9</f>
        <v>635.79999999999995</v>
      </c>
      <c r="J9" s="4">
        <v>1043.7560000000001</v>
      </c>
      <c r="L9" s="4">
        <f t="shared" ref="L9:L11" si="1">+J9+H9</f>
        <v>1679.556</v>
      </c>
    </row>
    <row r="10" spans="2:12" x14ac:dyDescent="0.5">
      <c r="B10" s="4" t="s">
        <v>254</v>
      </c>
      <c r="C10" s="4">
        <v>1419.9</v>
      </c>
      <c r="D10" s="4"/>
      <c r="E10" s="4"/>
      <c r="F10" s="4"/>
      <c r="H10" s="13">
        <f t="shared" si="0"/>
        <v>1419.9</v>
      </c>
      <c r="J10" s="4">
        <v>1859.1679999999999</v>
      </c>
      <c r="L10" s="4">
        <f t="shared" si="1"/>
        <v>3279.0680000000002</v>
      </c>
    </row>
    <row r="11" spans="2:12" x14ac:dyDescent="0.5">
      <c r="B11" s="4" t="s">
        <v>255</v>
      </c>
      <c r="C11" s="6">
        <v>97</v>
      </c>
      <c r="D11" s="4"/>
      <c r="E11" s="4"/>
      <c r="F11" s="4"/>
      <c r="H11" s="13">
        <f t="shared" si="0"/>
        <v>97</v>
      </c>
      <c r="J11" s="6">
        <v>72.73</v>
      </c>
      <c r="L11" s="4">
        <f t="shared" si="1"/>
        <v>169.73000000000002</v>
      </c>
    </row>
    <row r="12" spans="2:12" x14ac:dyDescent="0.5">
      <c r="B12" s="4" t="s">
        <v>256</v>
      </c>
      <c r="C12" s="197">
        <f>SUM(C8:C11)</f>
        <v>2201.3000000000002</v>
      </c>
      <c r="D12" s="4"/>
      <c r="E12" s="4"/>
      <c r="F12" s="4"/>
      <c r="H12" s="197">
        <f>SUM(H8:H11)</f>
        <v>2201.3000000000002</v>
      </c>
      <c r="J12" s="197">
        <f>SUM(J8:J11)</f>
        <v>4032.6569999999997</v>
      </c>
      <c r="L12" s="197">
        <f>SUM(L8:L11)</f>
        <v>6233.9570000000003</v>
      </c>
    </row>
    <row r="13" spans="2:12" x14ac:dyDescent="0.5">
      <c r="B13" s="4"/>
      <c r="C13" s="4"/>
      <c r="D13" s="4"/>
      <c r="E13" s="4"/>
      <c r="F13" s="4"/>
      <c r="J13" s="4"/>
      <c r="L13" s="4"/>
    </row>
    <row r="14" spans="2:12" x14ac:dyDescent="0.5">
      <c r="B14" s="4" t="s">
        <v>257</v>
      </c>
      <c r="C14" s="4">
        <v>1911.6</v>
      </c>
      <c r="D14" s="4"/>
      <c r="E14" s="4"/>
      <c r="F14" s="4"/>
      <c r="H14" s="13">
        <f t="shared" ref="H14:H19" si="2">+C14+E14-F14</f>
        <v>1911.6</v>
      </c>
      <c r="J14" s="4">
        <v>2945.7669999999998</v>
      </c>
      <c r="L14" s="4">
        <f t="shared" ref="L14:L19" si="3">+J14+H14</f>
        <v>4857.3670000000002</v>
      </c>
    </row>
    <row r="15" spans="2:12" x14ac:dyDescent="0.5">
      <c r="B15" s="4" t="s">
        <v>258</v>
      </c>
      <c r="C15" s="4">
        <v>80.5</v>
      </c>
      <c r="D15" s="4"/>
      <c r="E15" s="4"/>
      <c r="F15" s="4"/>
      <c r="H15" s="13">
        <f t="shared" si="2"/>
        <v>80.5</v>
      </c>
      <c r="J15" s="4">
        <v>0</v>
      </c>
      <c r="L15" s="4">
        <f t="shared" si="3"/>
        <v>80.5</v>
      </c>
    </row>
    <row r="16" spans="2:12" x14ac:dyDescent="0.5">
      <c r="B16" s="4" t="s">
        <v>259</v>
      </c>
      <c r="C16" s="4">
        <v>255</v>
      </c>
      <c r="D16" s="4"/>
      <c r="E16" s="4">
        <f>+'Fig. 9.2'!G6-'Fig 9.3'!C43</f>
        <v>1213.2396836900004</v>
      </c>
      <c r="F16" s="4"/>
      <c r="H16" s="13">
        <f t="shared" si="2"/>
        <v>1468.2396836900004</v>
      </c>
      <c r="J16" s="4">
        <v>429.64499999999998</v>
      </c>
      <c r="L16" s="4">
        <f t="shared" si="3"/>
        <v>1897.8846836900004</v>
      </c>
    </row>
    <row r="17" spans="2:12" x14ac:dyDescent="0.5">
      <c r="B17" s="4" t="s">
        <v>294</v>
      </c>
      <c r="C17" s="4">
        <v>0</v>
      </c>
      <c r="D17" s="4"/>
      <c r="E17" s="4">
        <f>+'Fig. 9.2'!G8</f>
        <v>126.71188892915002</v>
      </c>
      <c r="F17" s="4"/>
      <c r="H17" s="13"/>
      <c r="J17" s="4"/>
      <c r="L17" s="4"/>
    </row>
    <row r="18" spans="2:12" x14ac:dyDescent="0.5">
      <c r="B18" s="4" t="s">
        <v>286</v>
      </c>
      <c r="C18" s="4">
        <v>43.9</v>
      </c>
      <c r="D18" s="4"/>
      <c r="E18" s="4"/>
      <c r="F18" s="4"/>
      <c r="H18" s="13">
        <f t="shared" si="2"/>
        <v>43.9</v>
      </c>
      <c r="J18" s="4">
        <v>270.32799999999997</v>
      </c>
      <c r="L18" s="4">
        <f t="shared" si="3"/>
        <v>314.22799999999995</v>
      </c>
    </row>
    <row r="19" spans="2:12" x14ac:dyDescent="0.5">
      <c r="B19" s="4" t="s">
        <v>260</v>
      </c>
      <c r="C19" s="4">
        <v>23.4</v>
      </c>
      <c r="D19" s="4"/>
      <c r="E19" s="4"/>
      <c r="F19" s="4"/>
      <c r="H19" s="13">
        <f t="shared" si="2"/>
        <v>23.4</v>
      </c>
      <c r="J19" s="4">
        <v>25.166</v>
      </c>
      <c r="L19" s="4">
        <f t="shared" si="3"/>
        <v>48.566000000000003</v>
      </c>
    </row>
    <row r="20" spans="2:12" ht="14.7" thickBot="1" x14ac:dyDescent="0.55000000000000004">
      <c r="B20" s="4" t="s">
        <v>261</v>
      </c>
      <c r="C20" s="177">
        <f>SUM(C12:C19)</f>
        <v>4515.6999999999989</v>
      </c>
      <c r="D20" s="4"/>
      <c r="E20" s="4"/>
      <c r="F20" s="4"/>
      <c r="H20" s="177">
        <f>SUM(H12:H19)</f>
        <v>5728.9396836899996</v>
      </c>
      <c r="J20" s="177">
        <f>SUM(J12:J19)</f>
        <v>7703.5629999999992</v>
      </c>
      <c r="L20" s="177">
        <f>SUM(L12:L19)</f>
        <v>13432.502683690002</v>
      </c>
    </row>
    <row r="21" spans="2:12" ht="14.7" thickTop="1" x14ac:dyDescent="0.5">
      <c r="B21" s="4"/>
      <c r="C21" s="4"/>
      <c r="D21" s="4"/>
      <c r="E21" s="4"/>
      <c r="F21" s="4"/>
      <c r="J21" s="4"/>
      <c r="L21" s="4"/>
    </row>
    <row r="22" spans="2:12" x14ac:dyDescent="0.5">
      <c r="B22" s="291" t="s">
        <v>264</v>
      </c>
      <c r="C22" s="4"/>
      <c r="D22" s="4"/>
      <c r="E22" s="4"/>
      <c r="F22" s="4"/>
      <c r="J22" s="4"/>
      <c r="L22" s="4"/>
    </row>
    <row r="23" spans="2:12" x14ac:dyDescent="0.5">
      <c r="B23" s="4" t="s">
        <v>265</v>
      </c>
      <c r="C23" s="4">
        <v>801</v>
      </c>
      <c r="D23" s="4"/>
      <c r="E23" s="4"/>
      <c r="F23" s="4"/>
      <c r="H23" s="13">
        <f>+C23-E23+F23</f>
        <v>801</v>
      </c>
      <c r="J23" s="4">
        <v>550.75400000000002</v>
      </c>
      <c r="L23" s="4">
        <f t="shared" ref="L23:L25" si="4">+J23+H23</f>
        <v>1351.7539999999999</v>
      </c>
    </row>
    <row r="24" spans="2:12" x14ac:dyDescent="0.5">
      <c r="B24" s="4" t="s">
        <v>266</v>
      </c>
      <c r="C24" s="4">
        <v>15.1</v>
      </c>
      <c r="D24" s="4"/>
      <c r="E24" s="4"/>
      <c r="F24" s="4"/>
      <c r="H24" s="13">
        <f t="shared" ref="H24:H25" si="5">+C24-E24+F24</f>
        <v>15.1</v>
      </c>
      <c r="J24" s="4">
        <v>444.149</v>
      </c>
      <c r="L24" s="4">
        <f t="shared" si="4"/>
        <v>459.24900000000002</v>
      </c>
    </row>
    <row r="25" spans="2:12" x14ac:dyDescent="0.5">
      <c r="B25" s="4" t="s">
        <v>267</v>
      </c>
      <c r="C25" s="6">
        <v>0</v>
      </c>
      <c r="D25" s="4"/>
      <c r="E25" s="4"/>
      <c r="F25" s="4"/>
      <c r="H25" s="13">
        <f t="shared" si="5"/>
        <v>0</v>
      </c>
      <c r="J25" s="6">
        <v>24.234000000000002</v>
      </c>
      <c r="L25" s="4">
        <f t="shared" si="4"/>
        <v>24.234000000000002</v>
      </c>
    </row>
    <row r="26" spans="2:12" x14ac:dyDescent="0.5">
      <c r="B26" s="4" t="s">
        <v>268</v>
      </c>
      <c r="C26" s="197">
        <f>SUM(C23:C25)</f>
        <v>816.1</v>
      </c>
      <c r="D26" s="4"/>
      <c r="E26" s="4"/>
      <c r="F26" s="4"/>
      <c r="H26" s="197">
        <f>SUM(H23:H25)</f>
        <v>816.1</v>
      </c>
      <c r="J26" s="197">
        <f>SUM(J23:J25)</f>
        <v>1019.1370000000001</v>
      </c>
      <c r="L26" s="197">
        <f>SUM(L23:L25)</f>
        <v>1835.2369999999999</v>
      </c>
    </row>
    <row r="27" spans="2:12" x14ac:dyDescent="0.5">
      <c r="B27" s="4"/>
      <c r="C27" s="4"/>
      <c r="D27" s="4"/>
      <c r="E27" s="4"/>
      <c r="F27" s="4"/>
      <c r="J27" s="4"/>
      <c r="L27" s="4"/>
    </row>
    <row r="28" spans="2:12" x14ac:dyDescent="0.5">
      <c r="B28" s="4" t="s">
        <v>288</v>
      </c>
      <c r="C28" s="4">
        <f>+'Fig. 9.2'!G7</f>
        <v>2354.1</v>
      </c>
      <c r="D28" s="4"/>
      <c r="E28" s="4">
        <f>+C28</f>
        <v>2354.1</v>
      </c>
      <c r="F28" s="4"/>
      <c r="H28" s="13">
        <f t="shared" ref="H28:H35" si="6">+C28-E28+F28</f>
        <v>0</v>
      </c>
      <c r="J28" s="4">
        <v>2352.489</v>
      </c>
      <c r="L28" s="4">
        <f t="shared" ref="L28:L35" si="7">+J28+H28</f>
        <v>2352.489</v>
      </c>
    </row>
    <row r="29" spans="2:12" x14ac:dyDescent="0.5">
      <c r="B29" s="4" t="s">
        <v>292</v>
      </c>
      <c r="C29" s="4"/>
      <c r="D29" s="4"/>
      <c r="E29" s="4"/>
      <c r="F29" s="4">
        <f>+'Fig. 9.2'!E12</f>
        <v>0</v>
      </c>
      <c r="H29" s="13">
        <f t="shared" si="6"/>
        <v>0</v>
      </c>
      <c r="J29" s="4"/>
      <c r="L29" s="4">
        <f t="shared" si="7"/>
        <v>0</v>
      </c>
    </row>
    <row r="30" spans="2:12" x14ac:dyDescent="0.5">
      <c r="B30" s="4" t="s">
        <v>291</v>
      </c>
      <c r="C30" s="4"/>
      <c r="D30" s="4"/>
      <c r="E30" s="4"/>
      <c r="F30" s="4">
        <f>+'Fig. 9.2'!E13</f>
        <v>1233</v>
      </c>
      <c r="H30" s="13">
        <f t="shared" si="6"/>
        <v>1233</v>
      </c>
      <c r="J30" s="4"/>
      <c r="L30" s="4">
        <f t="shared" si="7"/>
        <v>1233</v>
      </c>
    </row>
    <row r="31" spans="2:12" x14ac:dyDescent="0.5">
      <c r="B31" s="4" t="s">
        <v>289</v>
      </c>
      <c r="C31" s="4"/>
      <c r="D31" s="4"/>
      <c r="E31" s="4"/>
      <c r="F31" s="4">
        <f>+'Fig. 9.2'!E14</f>
        <v>617</v>
      </c>
      <c r="H31" s="13">
        <f t="shared" si="6"/>
        <v>617</v>
      </c>
      <c r="J31" s="4"/>
      <c r="L31" s="4">
        <f t="shared" si="7"/>
        <v>617</v>
      </c>
    </row>
    <row r="32" spans="2:12" x14ac:dyDescent="0.5">
      <c r="B32" s="4" t="s">
        <v>290</v>
      </c>
      <c r="C32" s="197">
        <f>SUM(C28:C31)</f>
        <v>2354.1</v>
      </c>
      <c r="D32" s="4"/>
      <c r="E32" s="4"/>
      <c r="F32" s="4"/>
      <c r="H32" s="197">
        <f>SUM(H28:H31)</f>
        <v>1850</v>
      </c>
      <c r="J32" s="197">
        <f>SUM(J28:J31)</f>
        <v>2352.489</v>
      </c>
      <c r="L32" s="197">
        <f>SUM(L28:L31)</f>
        <v>4202.4889999999996</v>
      </c>
    </row>
    <row r="33" spans="2:12" x14ac:dyDescent="0.5">
      <c r="B33" s="4"/>
      <c r="C33" s="4"/>
      <c r="D33" s="4"/>
      <c r="E33" s="4"/>
      <c r="F33" s="4"/>
      <c r="H33" s="13"/>
      <c r="J33" s="4"/>
      <c r="L33" s="4"/>
    </row>
    <row r="34" spans="2:12" x14ac:dyDescent="0.5">
      <c r="B34" s="4" t="s">
        <v>269</v>
      </c>
      <c r="C34" s="4">
        <v>963.9</v>
      </c>
      <c r="D34" s="4"/>
      <c r="E34" s="4"/>
      <c r="F34" s="4"/>
      <c r="H34" s="13">
        <f t="shared" si="6"/>
        <v>963.9</v>
      </c>
      <c r="J34" s="4">
        <v>444.70800000000003</v>
      </c>
      <c r="L34" s="4">
        <f t="shared" si="7"/>
        <v>1408.6079999999999</v>
      </c>
    </row>
    <row r="35" spans="2:12" x14ac:dyDescent="0.5">
      <c r="B35" s="4" t="s">
        <v>270</v>
      </c>
      <c r="C35" s="6">
        <v>329.6</v>
      </c>
      <c r="D35" s="4"/>
      <c r="E35" s="4"/>
      <c r="F35" s="4"/>
      <c r="H35" s="13">
        <f t="shared" si="6"/>
        <v>329.6</v>
      </c>
      <c r="J35" s="6">
        <v>-47.841999999999999</v>
      </c>
      <c r="L35" s="4">
        <f t="shared" si="7"/>
        <v>281.75800000000004</v>
      </c>
    </row>
    <row r="36" spans="2:12" x14ac:dyDescent="0.5">
      <c r="B36" s="4" t="s">
        <v>271</v>
      </c>
      <c r="C36" s="197">
        <f>SUM(C32:C35)+C26</f>
        <v>4463.7</v>
      </c>
      <c r="D36" s="4"/>
      <c r="E36" s="4"/>
      <c r="F36" s="4"/>
      <c r="H36" s="197">
        <f>SUM(H32:H35)+H26</f>
        <v>3959.6</v>
      </c>
      <c r="J36" s="197">
        <f>SUM(J32:J35)+J26</f>
        <v>3768.4920000000002</v>
      </c>
      <c r="L36" s="197">
        <f>SUM(L32:L35)+L26</f>
        <v>7728.0919999999996</v>
      </c>
    </row>
    <row r="37" spans="2:12" x14ac:dyDescent="0.5">
      <c r="B37" s="4"/>
      <c r="C37" s="4"/>
      <c r="D37" s="4"/>
      <c r="E37" s="4"/>
      <c r="F37" s="4"/>
      <c r="J37" s="4"/>
      <c r="L37" s="4"/>
    </row>
    <row r="38" spans="2:12" x14ac:dyDescent="0.5">
      <c r="B38" s="291" t="s">
        <v>272</v>
      </c>
      <c r="F38" s="4"/>
    </row>
    <row r="39" spans="2:12" x14ac:dyDescent="0.5">
      <c r="B39" s="4" t="s">
        <v>273</v>
      </c>
      <c r="C39" s="4">
        <v>3.2</v>
      </c>
      <c r="E39" s="13">
        <f>+C39</f>
        <v>3.2</v>
      </c>
      <c r="F39" s="4">
        <f>+'Fig. 9.2'!E16</f>
        <v>1896.0515726191502</v>
      </c>
      <c r="H39" s="13">
        <f t="shared" ref="H39:H42" si="8">+C39-E39+F39</f>
        <v>1896.0515726191502</v>
      </c>
      <c r="J39" s="4">
        <v>0.64500000000000002</v>
      </c>
      <c r="L39" s="4">
        <f t="shared" ref="L39:L42" si="9">+J39+H39</f>
        <v>1896.6965726191502</v>
      </c>
    </row>
    <row r="40" spans="2:12" x14ac:dyDescent="0.5">
      <c r="B40" s="4" t="s">
        <v>274</v>
      </c>
      <c r="C40" s="4">
        <v>-106.4</v>
      </c>
      <c r="E40" s="13">
        <f>+C40</f>
        <v>-106.4</v>
      </c>
      <c r="F40" s="4"/>
      <c r="H40" s="13">
        <f t="shared" si="8"/>
        <v>0</v>
      </c>
      <c r="J40" s="4">
        <v>-1183.942</v>
      </c>
      <c r="L40" s="4">
        <f t="shared" si="9"/>
        <v>-1183.942</v>
      </c>
    </row>
    <row r="41" spans="2:12" x14ac:dyDescent="0.5">
      <c r="B41" s="4" t="s">
        <v>275</v>
      </c>
      <c r="C41" s="4">
        <v>2894.9</v>
      </c>
      <c r="E41" s="13">
        <f>+C41</f>
        <v>2894.9</v>
      </c>
      <c r="F41" s="4"/>
      <c r="H41" s="13">
        <f t="shared" si="8"/>
        <v>0</v>
      </c>
      <c r="J41" s="4">
        <v>1160.048</v>
      </c>
      <c r="L41" s="4">
        <f t="shared" si="9"/>
        <v>1160.048</v>
      </c>
    </row>
    <row r="42" spans="2:12" x14ac:dyDescent="0.5">
      <c r="B42" s="4" t="s">
        <v>276</v>
      </c>
      <c r="C42" s="6">
        <v>-2536</v>
      </c>
      <c r="E42" s="13">
        <f>+C42</f>
        <v>-2536</v>
      </c>
      <c r="F42" s="4"/>
      <c r="H42" s="13">
        <f t="shared" si="8"/>
        <v>0</v>
      </c>
      <c r="J42" s="6">
        <v>3958.32</v>
      </c>
      <c r="L42" s="4">
        <f t="shared" si="9"/>
        <v>3958.32</v>
      </c>
    </row>
    <row r="43" spans="2:12" x14ac:dyDescent="0.5">
      <c r="B43" s="4" t="s">
        <v>277</v>
      </c>
      <c r="C43" s="197">
        <f>SUM(C39:C42)</f>
        <v>255.70000000000027</v>
      </c>
      <c r="F43" s="4"/>
      <c r="H43" s="197">
        <f>SUM(H39:H42)</f>
        <v>1896.0515726191502</v>
      </c>
      <c r="J43" s="197">
        <f>SUM(J39:J42)</f>
        <v>3935.0709999999999</v>
      </c>
      <c r="L43" s="197">
        <f>SUM(L39:L42)</f>
        <v>5831.1225726191506</v>
      </c>
    </row>
    <row r="44" spans="2:12" x14ac:dyDescent="0.5">
      <c r="F44" s="4"/>
    </row>
    <row r="45" spans="2:12" ht="14.7" thickBot="1" x14ac:dyDescent="0.55000000000000004">
      <c r="B45" s="4" t="s">
        <v>278</v>
      </c>
      <c r="C45" s="292">
        <f>+C43+C36</f>
        <v>4719.3999999999996</v>
      </c>
      <c r="E45" s="177">
        <f>SUM(E6:E44)</f>
        <v>3949.7515726191505</v>
      </c>
      <c r="F45" s="177">
        <f>SUM(F6:F44)</f>
        <v>3746.0515726191502</v>
      </c>
      <c r="H45" s="292">
        <f>+H43+H36</f>
        <v>5855.6515726191501</v>
      </c>
      <c r="J45" s="292">
        <f>+J43+J36</f>
        <v>7703.5630000000001</v>
      </c>
      <c r="L45" s="292">
        <f>+L43+L36</f>
        <v>13559.21457261915</v>
      </c>
    </row>
    <row r="46" spans="2:12" ht="14.7" thickTop="1" x14ac:dyDescent="0.5"/>
  </sheetData>
  <mergeCells count="2">
    <mergeCell ref="E4:F4"/>
    <mergeCell ref="H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8600-10FD-4272-A93A-A8DDD2C0A158}">
  <dimension ref="B1:G23"/>
  <sheetViews>
    <sheetView showGridLines="0" workbookViewId="0">
      <selection activeCell="I16" sqref="I16"/>
    </sheetView>
  </sheetViews>
  <sheetFormatPr defaultRowHeight="14.35" x14ac:dyDescent="0.5"/>
  <cols>
    <col min="2" max="2" width="24.3515625" customWidth="1"/>
    <col min="3" max="3" width="2.8203125" customWidth="1"/>
    <col min="8" max="8" width="3.234375" customWidth="1"/>
  </cols>
  <sheetData>
    <row r="1" spans="2:7" ht="18" x14ac:dyDescent="0.6">
      <c r="B1" s="85" t="s">
        <v>105</v>
      </c>
    </row>
    <row r="2" spans="2:7" ht="19" customHeight="1" x14ac:dyDescent="0.5">
      <c r="B2" s="87" t="s">
        <v>99</v>
      </c>
    </row>
    <row r="3" spans="2:7" ht="21.7" customHeight="1" thickBot="1" x14ac:dyDescent="0.55000000000000004">
      <c r="B3" s="88"/>
      <c r="C3" s="89"/>
      <c r="D3" s="86">
        <v>2015</v>
      </c>
      <c r="E3" s="86">
        <v>2016</v>
      </c>
      <c r="F3" s="86">
        <v>2017</v>
      </c>
      <c r="G3" s="86">
        <v>2018</v>
      </c>
    </row>
    <row r="4" spans="2:7" ht="16.7" customHeight="1" thickTop="1" thickBot="1" x14ac:dyDescent="0.55000000000000004">
      <c r="B4" s="91" t="s">
        <v>107</v>
      </c>
    </row>
    <row r="5" spans="2:7" ht="14.7" thickTop="1" x14ac:dyDescent="0.5">
      <c r="B5" s="8" t="s">
        <v>98</v>
      </c>
      <c r="D5" s="75">
        <v>6692.9</v>
      </c>
      <c r="E5" s="75">
        <v>5882.5</v>
      </c>
      <c r="F5" s="75">
        <v>6080.5</v>
      </c>
      <c r="G5" s="75">
        <v>6818.2</v>
      </c>
    </row>
    <row r="6" spans="2:7" x14ac:dyDescent="0.5">
      <c r="B6" s="83" t="s">
        <v>100</v>
      </c>
      <c r="C6" s="83"/>
      <c r="D6" s="83"/>
      <c r="E6" s="84">
        <f>+E5/D5-1</f>
        <v>-0.12108353628471957</v>
      </c>
      <c r="F6" s="84">
        <f>+F5/E5-1</f>
        <v>3.3659158521037069E-2</v>
      </c>
      <c r="G6" s="84">
        <f>+G5/F5-1</f>
        <v>0.1213222596825918</v>
      </c>
    </row>
    <row r="7" spans="2:7" ht="9.6999999999999993" customHeight="1" x14ac:dyDescent="0.5"/>
    <row r="8" spans="2:7" x14ac:dyDescent="0.5">
      <c r="B8" t="s">
        <v>101</v>
      </c>
      <c r="D8" s="76">
        <v>6032</v>
      </c>
      <c r="E8" s="76">
        <v>5064.7</v>
      </c>
      <c r="F8" s="76">
        <v>5359.7</v>
      </c>
      <c r="G8" s="76">
        <v>5911</v>
      </c>
    </row>
    <row r="9" spans="2:7" x14ac:dyDescent="0.5">
      <c r="B9" t="s">
        <v>102</v>
      </c>
      <c r="D9" s="75">
        <f>+D5-D8</f>
        <v>660.89999999999964</v>
      </c>
      <c r="E9" s="75">
        <f t="shared" ref="E9:G9" si="0">+E5-E8</f>
        <v>817.80000000000018</v>
      </c>
      <c r="F9" s="75">
        <f t="shared" si="0"/>
        <v>720.80000000000018</v>
      </c>
      <c r="G9" s="75">
        <f t="shared" si="0"/>
        <v>907.19999999999982</v>
      </c>
    </row>
    <row r="10" spans="2:7" x14ac:dyDescent="0.5">
      <c r="B10" t="s">
        <v>103</v>
      </c>
      <c r="D10" s="74">
        <f>+D9/D5</f>
        <v>9.8746432786983168E-2</v>
      </c>
      <c r="E10" s="74">
        <f t="shared" ref="E10:G10" si="1">+E9/E5</f>
        <v>0.13902252443688912</v>
      </c>
      <c r="F10" s="74">
        <f t="shared" si="1"/>
        <v>0.11854288298659653</v>
      </c>
      <c r="G10" s="74">
        <f t="shared" si="1"/>
        <v>0.13305564518494614</v>
      </c>
    </row>
    <row r="12" spans="2:7" x14ac:dyDescent="0.5">
      <c r="B12" t="s">
        <v>2</v>
      </c>
      <c r="D12" s="76">
        <v>86.7</v>
      </c>
      <c r="E12" s="76">
        <v>230.2</v>
      </c>
      <c r="F12" s="76">
        <v>220</v>
      </c>
      <c r="G12" s="76">
        <v>364.4</v>
      </c>
    </row>
    <row r="13" spans="2:7" x14ac:dyDescent="0.5">
      <c r="B13" t="s">
        <v>104</v>
      </c>
      <c r="D13" s="74">
        <f>+D12/D5</f>
        <v>1.2954025908051817E-2</v>
      </c>
      <c r="E13" s="74">
        <f t="shared" ref="E13:G13" si="2">+E12/E5</f>
        <v>3.9133021674458139E-2</v>
      </c>
      <c r="F13" s="74">
        <f t="shared" si="2"/>
        <v>3.6181235095798042E-2</v>
      </c>
      <c r="G13" s="74">
        <f t="shared" si="2"/>
        <v>5.3445190812824499E-2</v>
      </c>
    </row>
    <row r="15" spans="2:7" ht="18" customHeight="1" thickBot="1" x14ac:dyDescent="0.55000000000000004">
      <c r="B15" s="90" t="s">
        <v>106</v>
      </c>
    </row>
    <row r="16" spans="2:7" ht="6.7" customHeight="1" thickTop="1" x14ac:dyDescent="0.5"/>
    <row r="17" spans="2:7" x14ac:dyDescent="0.5">
      <c r="B17" t="s">
        <v>108</v>
      </c>
      <c r="D17" s="75">
        <f>201.7+14.3+21.2</f>
        <v>237.2</v>
      </c>
      <c r="E17" s="75">
        <f>201.7+14.9+18.4</f>
        <v>235</v>
      </c>
      <c r="F17" s="75">
        <f>209.8+16.2+24.1</f>
        <v>250.1</v>
      </c>
      <c r="G17" s="75">
        <v>252.2</v>
      </c>
    </row>
    <row r="18" spans="2:7" x14ac:dyDescent="0.5">
      <c r="B18" t="s">
        <v>109</v>
      </c>
      <c r="D18" s="75">
        <v>-99</v>
      </c>
      <c r="E18" s="75">
        <v>-127.6</v>
      </c>
      <c r="F18" s="75">
        <v>-152.5</v>
      </c>
      <c r="G18" s="75">
        <v>-152</v>
      </c>
    </row>
    <row r="20" spans="2:7" ht="14.7" thickBot="1" x14ac:dyDescent="0.55000000000000004">
      <c r="B20" s="90" t="s">
        <v>110</v>
      </c>
    </row>
    <row r="21" spans="2:7" ht="14.7" thickTop="1" x14ac:dyDescent="0.5">
      <c r="B21" t="s">
        <v>85</v>
      </c>
      <c r="E21" s="75">
        <f>41.3+1816.6</f>
        <v>1857.8999999999999</v>
      </c>
      <c r="F21" s="75">
        <f>40.1+2110.1</f>
        <v>2150.1999999999998</v>
      </c>
      <c r="G21" s="75">
        <v>2354.1</v>
      </c>
    </row>
    <row r="23" spans="2:7" x14ac:dyDescent="0.5">
      <c r="G23" s="10" t="s">
        <v>111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2B7B-C494-41F4-97BA-AB310CB90784}">
  <dimension ref="A1:L24"/>
  <sheetViews>
    <sheetView showGridLines="0" zoomScaleNormal="100" workbookViewId="0">
      <selection activeCell="O20" sqref="O20"/>
    </sheetView>
  </sheetViews>
  <sheetFormatPr defaultRowHeight="14.35" x14ac:dyDescent="0.5"/>
  <cols>
    <col min="1" max="1" width="3.5859375" customWidth="1"/>
    <col min="2" max="2" width="33.76171875" customWidth="1"/>
    <col min="3" max="3" width="10.76171875" customWidth="1"/>
    <col min="4" max="4" width="9.3515625" customWidth="1"/>
    <col min="5" max="5" width="8.703125" customWidth="1"/>
    <col min="6" max="6" width="10.703125" customWidth="1"/>
    <col min="7" max="7" width="10.703125" style="14" customWidth="1"/>
    <col min="8" max="8" width="10.05859375" customWidth="1"/>
    <col min="9" max="9" width="9.76171875" style="14" customWidth="1"/>
    <col min="10" max="11" width="10.29296875" style="14" customWidth="1"/>
    <col min="12" max="12" width="11.5859375" customWidth="1"/>
    <col min="13" max="13" width="11.05859375" customWidth="1"/>
  </cols>
  <sheetData>
    <row r="1" spans="1:12" ht="18" x14ac:dyDescent="0.6">
      <c r="A1" s="14"/>
      <c r="B1" s="85" t="s">
        <v>105</v>
      </c>
      <c r="C1" s="16"/>
    </row>
    <row r="3" spans="1:12" ht="15.35" x14ac:dyDescent="0.5">
      <c r="A3" s="14"/>
      <c r="B3" s="34" t="s">
        <v>125</v>
      </c>
      <c r="C3" s="35"/>
      <c r="D3" s="35"/>
      <c r="E3" s="35"/>
      <c r="F3" s="35"/>
      <c r="G3" s="96"/>
      <c r="H3" s="35"/>
      <c r="I3" s="96"/>
      <c r="J3" s="96"/>
    </row>
    <row r="4" spans="1:12" s="1" customFormat="1" ht="15.35" x14ac:dyDescent="0.5">
      <c r="A4" s="57"/>
      <c r="B4" s="58"/>
      <c r="C4" s="18"/>
      <c r="D4" s="18"/>
      <c r="E4" s="18"/>
      <c r="F4" s="18"/>
      <c r="G4" s="66"/>
      <c r="H4" s="18"/>
      <c r="I4" s="66"/>
      <c r="J4" s="66"/>
      <c r="K4" s="14"/>
      <c r="L4"/>
    </row>
    <row r="5" spans="1:12" s="1" customFormat="1" ht="71.349999999999994" customHeight="1" thickBot="1" x14ac:dyDescent="0.55000000000000004">
      <c r="A5" s="57"/>
      <c r="B5" s="36" t="s">
        <v>51</v>
      </c>
      <c r="C5" s="92" t="s">
        <v>116</v>
      </c>
      <c r="D5" s="82" t="s">
        <v>115</v>
      </c>
      <c r="E5" s="92" t="s">
        <v>114</v>
      </c>
      <c r="F5" s="92" t="s">
        <v>53</v>
      </c>
      <c r="G5" s="82" t="s">
        <v>112</v>
      </c>
      <c r="H5" s="82" t="s">
        <v>64</v>
      </c>
      <c r="I5" s="82" t="s">
        <v>79</v>
      </c>
      <c r="K5" s="14"/>
      <c r="L5"/>
    </row>
    <row r="6" spans="1:12" s="1" customFormat="1" x14ac:dyDescent="0.5">
      <c r="A6" s="57"/>
      <c r="B6" t="s">
        <v>52</v>
      </c>
      <c r="C6" s="93">
        <v>3</v>
      </c>
      <c r="D6" s="59">
        <v>0.33333299999999999</v>
      </c>
      <c r="E6" s="93">
        <f>+C6*(1+D6)</f>
        <v>3.9999990000000003</v>
      </c>
      <c r="F6" s="101">
        <v>316.31</v>
      </c>
      <c r="G6" s="97">
        <f>+F6*E6</f>
        <v>1265.23968369</v>
      </c>
      <c r="H6" s="64">
        <f>+G6/$G$9</f>
        <v>0.3377528737025301</v>
      </c>
      <c r="I6" s="72"/>
      <c r="K6" s="14"/>
      <c r="L6"/>
    </row>
    <row r="7" spans="1:12" s="1" customFormat="1" x14ac:dyDescent="0.5">
      <c r="A7" s="57"/>
      <c r="B7" t="s">
        <v>54</v>
      </c>
      <c r="C7" s="18"/>
      <c r="D7" s="18"/>
      <c r="E7" s="66"/>
      <c r="F7" s="18"/>
      <c r="G7" s="97">
        <f>+'Fig. 9.1'!G21</f>
        <v>2354.1</v>
      </c>
      <c r="H7" s="64">
        <f>+G7/$G$9</f>
        <v>0.62842167395844717</v>
      </c>
      <c r="I7" s="72"/>
      <c r="K7" s="14"/>
      <c r="L7"/>
    </row>
    <row r="8" spans="1:12" s="1" customFormat="1" x14ac:dyDescent="0.5">
      <c r="A8" s="57"/>
      <c r="B8" t="s">
        <v>93</v>
      </c>
      <c r="C8" s="24">
        <v>3.5000000000000003E-2</v>
      </c>
      <c r="D8" s="18"/>
      <c r="E8" s="66"/>
      <c r="F8" s="18"/>
      <c r="G8" s="98">
        <f>+C8*(1+G6+G7)</f>
        <v>126.71188892915002</v>
      </c>
      <c r="H8" s="64">
        <f>+G8/$G$9</f>
        <v>3.3825452339022677E-2</v>
      </c>
      <c r="I8" s="72"/>
      <c r="K8" s="14"/>
      <c r="L8"/>
    </row>
    <row r="9" spans="1:12" s="1" customFormat="1" ht="14.7" thickBot="1" x14ac:dyDescent="0.55000000000000004">
      <c r="A9" s="57"/>
      <c r="B9" t="s">
        <v>61</v>
      </c>
      <c r="C9" s="18"/>
      <c r="D9" s="18"/>
      <c r="E9" s="66"/>
      <c r="F9" s="18"/>
      <c r="G9" s="105">
        <f>SUM(G6:G8)</f>
        <v>3746.0515726191502</v>
      </c>
      <c r="H9" s="106">
        <f>+G9/$G$9</f>
        <v>1</v>
      </c>
      <c r="I9" s="102">
        <f>+G9/J17</f>
        <v>6.0753350188439033</v>
      </c>
      <c r="K9" s="14"/>
      <c r="L9"/>
    </row>
    <row r="10" spans="1:12" s="1" customFormat="1" ht="14.7" thickTop="1" x14ac:dyDescent="0.5">
      <c r="A10" s="57"/>
      <c r="B10"/>
      <c r="C10" s="18"/>
      <c r="D10" s="18"/>
      <c r="E10" s="66"/>
      <c r="F10" s="18"/>
      <c r="G10" s="66"/>
      <c r="J10" s="66"/>
      <c r="K10" s="14"/>
      <c r="L10"/>
    </row>
    <row r="11" spans="1:12" s="1" customFormat="1" ht="51.7" thickBot="1" x14ac:dyDescent="0.55000000000000004">
      <c r="A11" s="57"/>
      <c r="B11" s="36" t="s">
        <v>55</v>
      </c>
      <c r="C11" s="82" t="s">
        <v>63</v>
      </c>
      <c r="D11" s="92" t="s">
        <v>57</v>
      </c>
      <c r="E11" s="82" t="s">
        <v>58</v>
      </c>
      <c r="F11" s="36" t="s">
        <v>56</v>
      </c>
      <c r="G11" s="57"/>
      <c r="I11" s="57"/>
      <c r="J11" s="66"/>
      <c r="K11" s="14"/>
      <c r="L11"/>
    </row>
    <row r="12" spans="1:12" s="1" customFormat="1" ht="14.7" thickBot="1" x14ac:dyDescent="0.55000000000000004">
      <c r="A12" s="57"/>
      <c r="B12" s="298" t="s">
        <v>293</v>
      </c>
      <c r="C12" s="71">
        <v>0</v>
      </c>
      <c r="D12" s="68" t="s">
        <v>122</v>
      </c>
      <c r="E12" s="98">
        <f>ROUND(+C12*$J$17,0)</f>
        <v>0</v>
      </c>
      <c r="F12" s="61">
        <f t="shared" ref="F12:F17" si="0">+E12/$E$17</f>
        <v>0</v>
      </c>
      <c r="G12" s="57"/>
      <c r="H12" s="57"/>
      <c r="I12" s="57"/>
      <c r="J12" s="57"/>
      <c r="K12" s="57"/>
      <c r="L12" s="57"/>
    </row>
    <row r="13" spans="1:12" s="1" customFormat="1" ht="14.7" thickBot="1" x14ac:dyDescent="0.55000000000000004">
      <c r="A13" s="57"/>
      <c r="B13" t="s">
        <v>291</v>
      </c>
      <c r="C13" s="71">
        <v>2</v>
      </c>
      <c r="D13" s="68" t="s">
        <v>122</v>
      </c>
      <c r="E13" s="98">
        <f>ROUND(+C13*$J$17,0)</f>
        <v>1233</v>
      </c>
      <c r="F13" s="61">
        <f t="shared" si="0"/>
        <v>0.32914656301379103</v>
      </c>
      <c r="G13" s="57"/>
      <c r="H13" s="118" t="s">
        <v>81</v>
      </c>
      <c r="I13" s="119"/>
      <c r="J13" s="120">
        <v>0.36</v>
      </c>
      <c r="L13"/>
    </row>
    <row r="14" spans="1:12" s="1" customFormat="1" ht="14.7" thickBot="1" x14ac:dyDescent="0.55000000000000004">
      <c r="A14" s="57"/>
      <c r="B14" t="s">
        <v>59</v>
      </c>
      <c r="C14" s="94">
        <v>1</v>
      </c>
      <c r="D14" s="42">
        <v>8.5000000000000006E-2</v>
      </c>
      <c r="E14" s="103">
        <f>ROUND(+C14*$J$17,0)</f>
        <v>617</v>
      </c>
      <c r="F14" s="70">
        <f t="shared" si="0"/>
        <v>0.16470675537673077</v>
      </c>
      <c r="G14" s="57"/>
      <c r="L14"/>
    </row>
    <row r="15" spans="1:12" s="1" customFormat="1" x14ac:dyDescent="0.5">
      <c r="A15" s="57"/>
      <c r="B15" t="s">
        <v>78</v>
      </c>
      <c r="C15" s="95">
        <f>+E15/J17</f>
        <v>3.0003243593902047</v>
      </c>
      <c r="D15" s="42"/>
      <c r="E15" s="104">
        <f>+E14+E13</f>
        <v>1850</v>
      </c>
      <c r="F15" s="70">
        <f t="shared" si="0"/>
        <v>0.49385331839052177</v>
      </c>
      <c r="G15" s="57"/>
      <c r="H15" s="110" t="s">
        <v>118</v>
      </c>
      <c r="I15" s="111"/>
      <c r="J15" s="112">
        <f>+'Fig. 9.1'!G12</f>
        <v>364.4</v>
      </c>
      <c r="L15"/>
    </row>
    <row r="16" spans="1:12" s="1" customFormat="1" x14ac:dyDescent="0.5">
      <c r="A16" s="57"/>
      <c r="B16" t="s">
        <v>60</v>
      </c>
      <c r="C16" s="72">
        <f>+E16/J17</f>
        <v>3.0750106594536986</v>
      </c>
      <c r="D16" s="63"/>
      <c r="E16" s="98">
        <f>+E17-E14-E13</f>
        <v>1896.0515726191502</v>
      </c>
      <c r="F16" s="61">
        <f t="shared" si="0"/>
        <v>0.50614668160947818</v>
      </c>
      <c r="G16" s="57"/>
      <c r="H16" s="113" t="s">
        <v>119</v>
      </c>
      <c r="I16" s="109"/>
      <c r="J16" s="114">
        <f>+'Fig. 9.1'!G17</f>
        <v>252.2</v>
      </c>
      <c r="L16"/>
    </row>
    <row r="17" spans="1:12" s="1" customFormat="1" ht="14.7" thickBot="1" x14ac:dyDescent="0.55000000000000004">
      <c r="A17" s="57"/>
      <c r="B17" t="s">
        <v>62</v>
      </c>
      <c r="C17" s="73">
        <f>+E17/J17</f>
        <v>6.0753350188439033</v>
      </c>
      <c r="D17" s="18"/>
      <c r="E17" s="99">
        <f>+G9</f>
        <v>3746.0515726191502</v>
      </c>
      <c r="F17" s="62">
        <f t="shared" si="0"/>
        <v>1</v>
      </c>
      <c r="G17" s="57"/>
      <c r="H17" s="115" t="s">
        <v>97</v>
      </c>
      <c r="I17" s="116"/>
      <c r="J17" s="117">
        <f>+J16+J15</f>
        <v>616.59999999999991</v>
      </c>
      <c r="L17"/>
    </row>
    <row r="18" spans="1:12" s="1" customFormat="1" x14ac:dyDescent="0.5">
      <c r="A18" s="57"/>
      <c r="B18"/>
      <c r="C18" s="18"/>
      <c r="D18" s="18"/>
      <c r="E18" s="18"/>
      <c r="F18" s="18"/>
      <c r="G18" s="66"/>
      <c r="H18" s="66"/>
      <c r="I18" s="66"/>
      <c r="J18" s="66"/>
      <c r="L18"/>
    </row>
    <row r="19" spans="1:12" s="1" customFormat="1" x14ac:dyDescent="0.5">
      <c r="B19"/>
      <c r="C19" s="18"/>
      <c r="D19" s="18"/>
      <c r="E19"/>
      <c r="G19" s="57"/>
      <c r="H19" s="57"/>
      <c r="I19" s="66"/>
      <c r="J19" s="66" t="s">
        <v>117</v>
      </c>
      <c r="L19" s="18"/>
    </row>
    <row r="20" spans="1:12" s="1" customFormat="1" x14ac:dyDescent="0.5">
      <c r="B20"/>
      <c r="C20" s="18"/>
      <c r="D20" s="18"/>
      <c r="E20"/>
      <c r="G20" s="57"/>
      <c r="I20" s="57"/>
      <c r="J20" s="57"/>
      <c r="K20" s="57"/>
    </row>
    <row r="21" spans="1:12" s="1" customFormat="1" x14ac:dyDescent="0.5">
      <c r="B21"/>
      <c r="C21" s="18"/>
      <c r="D21" s="18"/>
      <c r="E21"/>
      <c r="G21" s="57"/>
      <c r="I21" s="57"/>
      <c r="J21" s="57"/>
      <c r="K21" s="57"/>
    </row>
    <row r="22" spans="1:12" s="1" customFormat="1" x14ac:dyDescent="0.5">
      <c r="B22"/>
      <c r="C22" s="18"/>
      <c r="D22" s="18"/>
      <c r="E22"/>
      <c r="G22" s="57"/>
      <c r="I22" s="57"/>
      <c r="J22" s="57"/>
      <c r="K22" s="57"/>
    </row>
    <row r="23" spans="1:12" s="1" customFormat="1" x14ac:dyDescent="0.5">
      <c r="B23"/>
      <c r="C23" s="18"/>
      <c r="D23" s="18"/>
      <c r="E23"/>
      <c r="F23"/>
      <c r="G23" s="14"/>
      <c r="I23" s="57"/>
      <c r="J23" s="57"/>
      <c r="K23" s="57"/>
    </row>
    <row r="24" spans="1:12" s="1" customFormat="1" x14ac:dyDescent="0.5">
      <c r="B24"/>
      <c r="C24" s="18"/>
      <c r="D24" s="18"/>
      <c r="E24"/>
      <c r="F24"/>
      <c r="G24" s="14"/>
      <c r="I24" s="57"/>
      <c r="J24" s="57"/>
      <c r="K24" s="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3489-0BAF-482E-BE8C-39E0835E8220}">
  <dimension ref="B1:H47"/>
  <sheetViews>
    <sheetView showGridLines="0" topLeftCell="A21" workbookViewId="0">
      <selection activeCell="C49" sqref="C49"/>
    </sheetView>
  </sheetViews>
  <sheetFormatPr defaultRowHeight="14.35" x14ac:dyDescent="0.5"/>
  <cols>
    <col min="1" max="1" width="6.703125" customWidth="1"/>
    <col min="2" max="2" width="31.5859375" customWidth="1"/>
    <col min="3" max="3" width="11.1171875" customWidth="1"/>
    <col min="4" max="4" width="4.8203125" customWidth="1"/>
    <col min="5" max="5" width="11.1171875" customWidth="1"/>
    <col min="6" max="6" width="11.234375" customWidth="1"/>
    <col min="7" max="7" width="4.8203125" customWidth="1"/>
    <col min="8" max="8" width="11.703125" customWidth="1"/>
  </cols>
  <sheetData>
    <row r="1" spans="2:8" ht="20.7" x14ac:dyDescent="0.7">
      <c r="B1" s="182" t="s">
        <v>534</v>
      </c>
    </row>
    <row r="3" spans="2:8" x14ac:dyDescent="0.5">
      <c r="H3" s="297" t="s">
        <v>284</v>
      </c>
    </row>
    <row r="4" spans="2:8" ht="43" customHeight="1" x14ac:dyDescent="0.5">
      <c r="B4" s="8" t="s">
        <v>263</v>
      </c>
      <c r="C4" s="295" t="s">
        <v>281</v>
      </c>
      <c r="D4" s="296"/>
      <c r="E4" s="467" t="s">
        <v>287</v>
      </c>
      <c r="F4" s="468"/>
      <c r="G4" s="293"/>
      <c r="H4" s="295" t="s">
        <v>282</v>
      </c>
    </row>
    <row r="5" spans="2:8" x14ac:dyDescent="0.5">
      <c r="C5" s="294">
        <v>2018</v>
      </c>
      <c r="D5" s="14"/>
      <c r="E5" s="294" t="s">
        <v>279</v>
      </c>
      <c r="F5" s="294" t="s">
        <v>280</v>
      </c>
      <c r="G5" s="14"/>
      <c r="H5" s="294">
        <f>+C5</f>
        <v>2018</v>
      </c>
    </row>
    <row r="6" spans="2:8" x14ac:dyDescent="0.5">
      <c r="F6" s="4"/>
    </row>
    <row r="7" spans="2:8" x14ac:dyDescent="0.5">
      <c r="B7" s="8" t="s">
        <v>262</v>
      </c>
      <c r="F7" s="4"/>
    </row>
    <row r="8" spans="2:8" x14ac:dyDescent="0.5">
      <c r="B8" s="4" t="s">
        <v>252</v>
      </c>
      <c r="C8" s="4">
        <v>48.6</v>
      </c>
      <c r="D8" s="4"/>
      <c r="E8" s="13"/>
      <c r="F8" s="4"/>
      <c r="H8" s="13">
        <f>+C8+E8-F8</f>
        <v>48.6</v>
      </c>
    </row>
    <row r="9" spans="2:8" x14ac:dyDescent="0.5">
      <c r="B9" s="4" t="s">
        <v>253</v>
      </c>
      <c r="C9" s="4">
        <v>635.79999999999995</v>
      </c>
      <c r="D9" s="4"/>
      <c r="E9" s="4"/>
      <c r="F9" s="4"/>
      <c r="H9" s="13">
        <f t="shared" ref="H9:H11" si="0">+C9+E9-F9</f>
        <v>635.79999999999995</v>
      </c>
    </row>
    <row r="10" spans="2:8" x14ac:dyDescent="0.5">
      <c r="B10" s="4" t="s">
        <v>254</v>
      </c>
      <c r="C10" s="4">
        <v>1419.9</v>
      </c>
      <c r="D10" s="4"/>
      <c r="E10" s="4"/>
      <c r="F10" s="4"/>
      <c r="H10" s="13">
        <f t="shared" si="0"/>
        <v>1419.9</v>
      </c>
    </row>
    <row r="11" spans="2:8" x14ac:dyDescent="0.5">
      <c r="B11" s="4" t="s">
        <v>255</v>
      </c>
      <c r="C11" s="6">
        <v>97</v>
      </c>
      <c r="D11" s="4"/>
      <c r="E11" s="4"/>
      <c r="F11" s="4"/>
      <c r="H11" s="13">
        <f t="shared" si="0"/>
        <v>97</v>
      </c>
    </row>
    <row r="12" spans="2:8" x14ac:dyDescent="0.5">
      <c r="B12" s="4" t="s">
        <v>256</v>
      </c>
      <c r="C12" s="197">
        <f>SUM(C8:C11)</f>
        <v>2201.3000000000002</v>
      </c>
      <c r="D12" s="4"/>
      <c r="E12" s="4"/>
      <c r="F12" s="4"/>
      <c r="H12" s="197">
        <f>SUM(H8:H11)</f>
        <v>2201.3000000000002</v>
      </c>
    </row>
    <row r="13" spans="2:8" x14ac:dyDescent="0.5">
      <c r="B13" s="4"/>
      <c r="C13" s="4"/>
      <c r="D13" s="4"/>
      <c r="E13" s="4"/>
      <c r="F13" s="4"/>
    </row>
    <row r="14" spans="2:8" x14ac:dyDescent="0.5">
      <c r="B14" s="4" t="s">
        <v>257</v>
      </c>
      <c r="C14" s="4">
        <v>1911.6</v>
      </c>
      <c r="D14" s="4"/>
      <c r="E14" s="4"/>
      <c r="F14" s="4"/>
      <c r="H14" s="13">
        <f t="shared" ref="H14:H19" si="1">+C14+E14-F14</f>
        <v>1911.6</v>
      </c>
    </row>
    <row r="15" spans="2:8" x14ac:dyDescent="0.5">
      <c r="B15" s="4" t="s">
        <v>258</v>
      </c>
      <c r="C15" s="4">
        <v>80.5</v>
      </c>
      <c r="D15" s="4"/>
      <c r="E15" s="4"/>
      <c r="F15" s="4"/>
      <c r="H15" s="13">
        <f t="shared" si="1"/>
        <v>80.5</v>
      </c>
    </row>
    <row r="16" spans="2:8" x14ac:dyDescent="0.5">
      <c r="B16" s="4" t="s">
        <v>259</v>
      </c>
      <c r="C16" s="4">
        <v>255</v>
      </c>
      <c r="D16" s="4"/>
      <c r="E16" s="4">
        <f>+'Fig. 9.2'!G6-'Fig 9.3'!C43</f>
        <v>1213.2396836900004</v>
      </c>
      <c r="F16" s="4"/>
      <c r="H16" s="13">
        <f t="shared" si="1"/>
        <v>1468.2396836900004</v>
      </c>
    </row>
    <row r="17" spans="2:8" x14ac:dyDescent="0.5">
      <c r="B17" s="4" t="s">
        <v>299</v>
      </c>
      <c r="C17" s="4">
        <v>0</v>
      </c>
      <c r="D17" s="4"/>
      <c r="E17" s="4">
        <f>+'Fig. 9.2'!G8</f>
        <v>126.71188892915002</v>
      </c>
      <c r="F17" s="4"/>
      <c r="H17" s="13"/>
    </row>
    <row r="18" spans="2:8" x14ac:dyDescent="0.5">
      <c r="B18" s="4" t="s">
        <v>286</v>
      </c>
      <c r="C18" s="4">
        <v>43.9</v>
      </c>
      <c r="D18" s="4"/>
      <c r="E18" s="4"/>
      <c r="F18" s="4"/>
      <c r="H18" s="13">
        <f t="shared" si="1"/>
        <v>43.9</v>
      </c>
    </row>
    <row r="19" spans="2:8" x14ac:dyDescent="0.5">
      <c r="B19" s="4" t="s">
        <v>260</v>
      </c>
      <c r="C19" s="4">
        <v>23.4</v>
      </c>
      <c r="D19" s="4"/>
      <c r="E19" s="4"/>
      <c r="F19" s="4"/>
      <c r="H19" s="13">
        <f t="shared" si="1"/>
        <v>23.4</v>
      </c>
    </row>
    <row r="20" spans="2:8" ht="14.7" thickBot="1" x14ac:dyDescent="0.55000000000000004">
      <c r="B20" s="4" t="s">
        <v>261</v>
      </c>
      <c r="C20" s="177">
        <f>SUM(C12:C19)</f>
        <v>4515.6999999999989</v>
      </c>
      <c r="D20" s="4"/>
      <c r="E20" s="4"/>
      <c r="F20" s="4"/>
      <c r="H20" s="177">
        <f>SUM(H12:H19)</f>
        <v>5728.9396836899996</v>
      </c>
    </row>
    <row r="21" spans="2:8" ht="14.7" thickTop="1" x14ac:dyDescent="0.5">
      <c r="B21" s="4"/>
      <c r="C21" s="4"/>
      <c r="D21" s="4"/>
      <c r="E21" s="4"/>
      <c r="F21" s="4"/>
    </row>
    <row r="22" spans="2:8" x14ac:dyDescent="0.5">
      <c r="B22" s="291" t="s">
        <v>264</v>
      </c>
      <c r="C22" s="4"/>
      <c r="D22" s="4"/>
      <c r="E22" s="4"/>
      <c r="F22" s="4"/>
    </row>
    <row r="23" spans="2:8" x14ac:dyDescent="0.5">
      <c r="B23" s="4" t="s">
        <v>265</v>
      </c>
      <c r="C23" s="4">
        <v>801</v>
      </c>
      <c r="D23" s="4"/>
      <c r="E23" s="4"/>
      <c r="F23" s="4"/>
      <c r="H23" s="13">
        <f>+C23-E23+F23</f>
        <v>801</v>
      </c>
    </row>
    <row r="24" spans="2:8" x14ac:dyDescent="0.5">
      <c r="B24" s="4" t="s">
        <v>266</v>
      </c>
      <c r="C24" s="4">
        <v>15.1</v>
      </c>
      <c r="D24" s="4"/>
      <c r="E24" s="4"/>
      <c r="F24" s="4"/>
      <c r="H24" s="13">
        <f t="shared" ref="H24:H25" si="2">+C24-E24+F24</f>
        <v>15.1</v>
      </c>
    </row>
    <row r="25" spans="2:8" x14ac:dyDescent="0.5">
      <c r="B25" s="4" t="s">
        <v>267</v>
      </c>
      <c r="C25" s="6">
        <v>0</v>
      </c>
      <c r="D25" s="4"/>
      <c r="E25" s="4"/>
      <c r="F25" s="4"/>
      <c r="H25" s="13">
        <f t="shared" si="2"/>
        <v>0</v>
      </c>
    </row>
    <row r="26" spans="2:8" x14ac:dyDescent="0.5">
      <c r="B26" s="4" t="s">
        <v>268</v>
      </c>
      <c r="C26" s="197">
        <f>SUM(C23:C25)</f>
        <v>816.1</v>
      </c>
      <c r="D26" s="4"/>
      <c r="E26" s="4"/>
      <c r="F26" s="4"/>
      <c r="H26" s="197">
        <f>SUM(H23:H25)</f>
        <v>816.1</v>
      </c>
    </row>
    <row r="27" spans="2:8" x14ac:dyDescent="0.5">
      <c r="B27" s="4"/>
      <c r="C27" s="4"/>
      <c r="D27" s="4"/>
      <c r="E27" s="4"/>
      <c r="F27" s="4"/>
    </row>
    <row r="28" spans="2:8" x14ac:dyDescent="0.5">
      <c r="B28" s="4" t="s">
        <v>288</v>
      </c>
      <c r="C28" s="4">
        <f>+'Fig. 9.2'!G7</f>
        <v>2354.1</v>
      </c>
      <c r="D28" s="4"/>
      <c r="E28" s="4">
        <f>+C28</f>
        <v>2354.1</v>
      </c>
      <c r="F28" s="4"/>
      <c r="H28" s="13">
        <f t="shared" ref="H28:H35" si="3">+C28-E28+F28</f>
        <v>0</v>
      </c>
    </row>
    <row r="29" spans="2:8" x14ac:dyDescent="0.5">
      <c r="B29" s="4" t="s">
        <v>292</v>
      </c>
      <c r="C29" s="4"/>
      <c r="D29" s="4"/>
      <c r="E29" s="4"/>
      <c r="F29" s="4">
        <f>+'Fig. 9.2'!E12</f>
        <v>0</v>
      </c>
      <c r="H29" s="13">
        <f t="shared" si="3"/>
        <v>0</v>
      </c>
    </row>
    <row r="30" spans="2:8" x14ac:dyDescent="0.5">
      <c r="B30" s="4" t="s">
        <v>291</v>
      </c>
      <c r="C30" s="4"/>
      <c r="D30" s="4"/>
      <c r="E30" s="4"/>
      <c r="F30" s="4">
        <f>+'Fig. 9.2'!E13</f>
        <v>1233</v>
      </c>
      <c r="H30" s="13">
        <f t="shared" si="3"/>
        <v>1233</v>
      </c>
    </row>
    <row r="31" spans="2:8" x14ac:dyDescent="0.5">
      <c r="B31" s="4" t="s">
        <v>289</v>
      </c>
      <c r="C31" s="4"/>
      <c r="D31" s="4"/>
      <c r="E31" s="4"/>
      <c r="F31" s="4">
        <f>+'Fig. 9.2'!E14</f>
        <v>617</v>
      </c>
      <c r="H31" s="13">
        <f t="shared" si="3"/>
        <v>617</v>
      </c>
    </row>
    <row r="32" spans="2:8" x14ac:dyDescent="0.5">
      <c r="B32" s="4" t="s">
        <v>290</v>
      </c>
      <c r="C32" s="197">
        <f>SUM(C28:C31)</f>
        <v>2354.1</v>
      </c>
      <c r="D32" s="4"/>
      <c r="E32" s="4"/>
      <c r="F32" s="4"/>
      <c r="H32" s="197">
        <f>SUM(H28:H31)</f>
        <v>1850</v>
      </c>
    </row>
    <row r="33" spans="2:8" x14ac:dyDescent="0.5">
      <c r="B33" s="4"/>
      <c r="C33" s="4"/>
      <c r="D33" s="4"/>
      <c r="E33" s="4"/>
      <c r="F33" s="4"/>
      <c r="H33" s="13"/>
    </row>
    <row r="34" spans="2:8" x14ac:dyDescent="0.5">
      <c r="B34" s="4" t="s">
        <v>269</v>
      </c>
      <c r="C34" s="4">
        <v>963.9</v>
      </c>
      <c r="D34" s="4"/>
      <c r="E34" s="4"/>
      <c r="F34" s="4"/>
      <c r="H34" s="13">
        <f t="shared" si="3"/>
        <v>963.9</v>
      </c>
    </row>
    <row r="35" spans="2:8" x14ac:dyDescent="0.5">
      <c r="B35" s="4" t="s">
        <v>270</v>
      </c>
      <c r="C35" s="6">
        <v>329.6</v>
      </c>
      <c r="D35" s="4"/>
      <c r="E35" s="4"/>
      <c r="F35" s="4"/>
      <c r="H35" s="13">
        <f t="shared" si="3"/>
        <v>329.6</v>
      </c>
    </row>
    <row r="36" spans="2:8" x14ac:dyDescent="0.5">
      <c r="B36" s="4" t="s">
        <v>271</v>
      </c>
      <c r="C36" s="197">
        <f>SUM(C32:C35)+C26</f>
        <v>4463.7</v>
      </c>
      <c r="D36" s="4"/>
      <c r="E36" s="4"/>
      <c r="F36" s="4"/>
      <c r="H36" s="197">
        <f>SUM(H32:H35)+H26</f>
        <v>3959.6</v>
      </c>
    </row>
    <row r="37" spans="2:8" x14ac:dyDescent="0.5">
      <c r="B37" s="4"/>
      <c r="C37" s="4"/>
      <c r="D37" s="4"/>
      <c r="E37" s="4"/>
      <c r="F37" s="4"/>
    </row>
    <row r="38" spans="2:8" x14ac:dyDescent="0.5">
      <c r="B38" s="291" t="s">
        <v>272</v>
      </c>
      <c r="F38" s="4"/>
    </row>
    <row r="39" spans="2:8" x14ac:dyDescent="0.5">
      <c r="B39" s="4" t="s">
        <v>273</v>
      </c>
      <c r="C39" s="4">
        <v>3.2</v>
      </c>
      <c r="E39" s="13">
        <f>+C39</f>
        <v>3.2</v>
      </c>
      <c r="F39" s="4">
        <f>+'Fig. 9.2'!E16</f>
        <v>1896.0515726191502</v>
      </c>
      <c r="H39" s="13">
        <f t="shared" ref="H39:H42" si="4">+C39-E39+F39</f>
        <v>1896.0515726191502</v>
      </c>
    </row>
    <row r="40" spans="2:8" x14ac:dyDescent="0.5">
      <c r="B40" s="4" t="s">
        <v>274</v>
      </c>
      <c r="C40" s="4">
        <v>-106.4</v>
      </c>
      <c r="E40" s="13">
        <f>+C40</f>
        <v>-106.4</v>
      </c>
      <c r="F40" s="4"/>
      <c r="H40" s="13">
        <f t="shared" si="4"/>
        <v>0</v>
      </c>
    </row>
    <row r="41" spans="2:8" x14ac:dyDescent="0.5">
      <c r="B41" s="4" t="s">
        <v>275</v>
      </c>
      <c r="C41" s="4">
        <v>2894.9</v>
      </c>
      <c r="E41" s="13">
        <f>+C41</f>
        <v>2894.9</v>
      </c>
      <c r="F41" s="4"/>
      <c r="H41" s="13">
        <f t="shared" si="4"/>
        <v>0</v>
      </c>
    </row>
    <row r="42" spans="2:8" x14ac:dyDescent="0.5">
      <c r="B42" s="4" t="s">
        <v>276</v>
      </c>
      <c r="C42" s="6">
        <v>-2739.7000000000007</v>
      </c>
      <c r="D42" s="13"/>
      <c r="E42" s="13">
        <f>+C42</f>
        <v>-2739.7000000000007</v>
      </c>
      <c r="F42" s="4"/>
      <c r="H42" s="13">
        <f t="shared" si="4"/>
        <v>0</v>
      </c>
    </row>
    <row r="43" spans="2:8" x14ac:dyDescent="0.5">
      <c r="B43" s="4" t="s">
        <v>277</v>
      </c>
      <c r="C43" s="197">
        <f>SUM(C39:C42)</f>
        <v>51.999999999999545</v>
      </c>
      <c r="F43" s="4"/>
      <c r="H43" s="197">
        <f>SUM(H39:H42)</f>
        <v>1896.0515726191502</v>
      </c>
    </row>
    <row r="44" spans="2:8" x14ac:dyDescent="0.5">
      <c r="F44" s="4"/>
    </row>
    <row r="45" spans="2:8" ht="14.7" thickBot="1" x14ac:dyDescent="0.55000000000000004">
      <c r="B45" s="4" t="s">
        <v>278</v>
      </c>
      <c r="C45" s="292">
        <f>+C43+C36</f>
        <v>4515.6999999999989</v>
      </c>
      <c r="E45" s="177">
        <f>SUM(E6:E44)</f>
        <v>3746.0515726191497</v>
      </c>
      <c r="F45" s="177">
        <f>SUM(F6:F44)</f>
        <v>3746.0515726191502</v>
      </c>
      <c r="H45" s="292">
        <f>+H43+H36</f>
        <v>5855.6515726191501</v>
      </c>
    </row>
    <row r="46" spans="2:8" ht="14.7" thickTop="1" x14ac:dyDescent="0.5"/>
    <row r="47" spans="2:8" x14ac:dyDescent="0.5">
      <c r="H47" s="10" t="s">
        <v>295</v>
      </c>
    </row>
  </sheetData>
  <mergeCells count="1">
    <mergeCell ref="E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F009-A2FD-40EE-99CA-749B1D9CB433}">
  <dimension ref="A1:M27"/>
  <sheetViews>
    <sheetView showGridLines="0" workbookViewId="0">
      <selection activeCell="P15" sqref="P15"/>
    </sheetView>
  </sheetViews>
  <sheetFormatPr defaultRowHeight="14.35" x14ac:dyDescent="0.5"/>
  <cols>
    <col min="1" max="1" width="3.5859375" customWidth="1"/>
    <col min="2" max="2" width="33.76171875" customWidth="1"/>
    <col min="3" max="3" width="10.76171875" customWidth="1"/>
    <col min="4" max="4" width="9.3515625" customWidth="1"/>
    <col min="5" max="5" width="10.41015625" customWidth="1"/>
    <col min="6" max="6" width="10.703125" customWidth="1"/>
    <col min="7" max="7" width="10.703125" style="14" customWidth="1"/>
    <col min="8" max="8" width="10.05859375" customWidth="1"/>
    <col min="9" max="9" width="9.76171875" style="14" customWidth="1"/>
    <col min="10" max="11" width="10.29296875" style="14" customWidth="1"/>
    <col min="12" max="12" width="11.5859375" customWidth="1"/>
    <col min="13" max="13" width="11.05859375" customWidth="1"/>
  </cols>
  <sheetData>
    <row r="1" spans="1:13" ht="18" x14ac:dyDescent="0.6">
      <c r="A1" s="14"/>
      <c r="B1" s="85" t="s">
        <v>105</v>
      </c>
      <c r="C1" s="16"/>
    </row>
    <row r="3" spans="1:13" ht="15.35" x14ac:dyDescent="0.5">
      <c r="A3" s="14"/>
      <c r="B3" s="34" t="s">
        <v>126</v>
      </c>
      <c r="C3" s="35"/>
      <c r="D3" s="35"/>
      <c r="E3" s="35"/>
      <c r="F3" s="35"/>
      <c r="G3" s="96"/>
      <c r="H3" s="35"/>
      <c r="I3" s="96"/>
      <c r="J3" s="96"/>
      <c r="K3" s="96"/>
      <c r="L3" s="96"/>
      <c r="M3" s="96"/>
    </row>
    <row r="4" spans="1:13" s="1" customFormat="1" ht="29" customHeight="1" thickBot="1" x14ac:dyDescent="0.55000000000000004">
      <c r="A4" s="57"/>
      <c r="B4" s="36" t="s">
        <v>69</v>
      </c>
      <c r="C4" s="36" t="s">
        <v>74</v>
      </c>
      <c r="D4" s="39" t="s">
        <v>44</v>
      </c>
      <c r="E4" s="131">
        <v>43465</v>
      </c>
      <c r="F4" s="40">
        <f>+E4+365</f>
        <v>43830</v>
      </c>
      <c r="G4" s="40">
        <f>+F4+366</f>
        <v>44196</v>
      </c>
      <c r="H4" s="40">
        <f t="shared" ref="H4:M4" si="0">+G4+365</f>
        <v>44561</v>
      </c>
      <c r="I4" s="40">
        <f t="shared" si="0"/>
        <v>44926</v>
      </c>
      <c r="J4" s="40">
        <f t="shared" si="0"/>
        <v>45291</v>
      </c>
      <c r="K4" s="40">
        <f>+J4+366</f>
        <v>45657</v>
      </c>
      <c r="L4" s="40">
        <f t="shared" si="0"/>
        <v>46022</v>
      </c>
      <c r="M4" s="40">
        <f t="shared" si="0"/>
        <v>46387</v>
      </c>
    </row>
    <row r="5" spans="1:13" s="1" customFormat="1" x14ac:dyDescent="0.5">
      <c r="A5" s="57"/>
      <c r="B5" s="8" t="s">
        <v>127</v>
      </c>
      <c r="C5" s="66">
        <v>7</v>
      </c>
      <c r="D5" s="136" t="s">
        <v>122</v>
      </c>
      <c r="E5" s="132"/>
      <c r="G5" s="57"/>
      <c r="I5" s="57"/>
      <c r="J5" s="57"/>
      <c r="K5" s="57"/>
    </row>
    <row r="6" spans="1:13" s="1" customFormat="1" x14ac:dyDescent="0.5">
      <c r="A6" s="57"/>
      <c r="B6" t="s">
        <v>70</v>
      </c>
      <c r="C6" s="66"/>
      <c r="D6" s="137"/>
      <c r="E6" s="133">
        <v>1233</v>
      </c>
      <c r="F6" s="122">
        <f t="shared" ref="F6:M6" si="1">+E6-F7</f>
        <v>1183</v>
      </c>
      <c r="G6" s="108">
        <f t="shared" si="1"/>
        <v>1108</v>
      </c>
      <c r="H6" s="122">
        <f t="shared" si="1"/>
        <v>1008</v>
      </c>
      <c r="I6" s="108">
        <f t="shared" si="1"/>
        <v>883</v>
      </c>
      <c r="J6" s="108">
        <f t="shared" si="1"/>
        <v>733</v>
      </c>
      <c r="K6" s="108">
        <f t="shared" si="1"/>
        <v>533</v>
      </c>
      <c r="L6" s="122">
        <f t="shared" si="1"/>
        <v>0</v>
      </c>
      <c r="M6" s="122">
        <f t="shared" si="1"/>
        <v>0</v>
      </c>
    </row>
    <row r="7" spans="1:13" s="1" customFormat="1" x14ac:dyDescent="0.5">
      <c r="A7" s="57"/>
      <c r="B7" t="s">
        <v>72</v>
      </c>
      <c r="C7" s="66"/>
      <c r="D7" s="137"/>
      <c r="E7" s="133"/>
      <c r="F7" s="77">
        <v>50</v>
      </c>
      <c r="G7" s="107">
        <v>75</v>
      </c>
      <c r="H7" s="77">
        <v>100</v>
      </c>
      <c r="I7" s="107">
        <v>125</v>
      </c>
      <c r="J7" s="107">
        <v>150</v>
      </c>
      <c r="K7" s="107">
        <v>200</v>
      </c>
      <c r="L7" s="77">
        <f>+K6</f>
        <v>533</v>
      </c>
      <c r="M7" s="77">
        <f>+L6</f>
        <v>0</v>
      </c>
    </row>
    <row r="8" spans="1:13" s="1" customFormat="1" x14ac:dyDescent="0.5">
      <c r="A8" s="57"/>
      <c r="B8" t="s">
        <v>73</v>
      </c>
      <c r="C8" s="66"/>
      <c r="D8" s="137"/>
      <c r="E8" s="134"/>
      <c r="F8" s="122">
        <f>+E6*F14</f>
        <v>83.227500000000006</v>
      </c>
      <c r="G8" s="122">
        <f t="shared" ref="G8:M8" si="2">+F6*G14</f>
        <v>85.767500000000013</v>
      </c>
      <c r="H8" s="122">
        <f t="shared" si="2"/>
        <v>91.410000000000011</v>
      </c>
      <c r="I8" s="122">
        <f t="shared" si="2"/>
        <v>83.160000000000011</v>
      </c>
      <c r="J8" s="122">
        <f t="shared" si="2"/>
        <v>72.847499999999997</v>
      </c>
      <c r="K8" s="122">
        <f t="shared" si="2"/>
        <v>60.472500000000004</v>
      </c>
      <c r="L8" s="122">
        <f t="shared" si="2"/>
        <v>43.972500000000004</v>
      </c>
      <c r="M8" s="122">
        <f t="shared" si="2"/>
        <v>0</v>
      </c>
    </row>
    <row r="9" spans="1:13" ht="14.7" thickBot="1" x14ac:dyDescent="0.55000000000000004">
      <c r="A9" s="57"/>
      <c r="B9" t="s">
        <v>71</v>
      </c>
      <c r="C9" s="66"/>
      <c r="D9" s="137"/>
      <c r="E9" s="133"/>
      <c r="F9" s="123">
        <f t="shared" ref="F9:M9" si="3">+F8+F7</f>
        <v>133.22750000000002</v>
      </c>
      <c r="G9" s="124">
        <f t="shared" si="3"/>
        <v>160.76750000000001</v>
      </c>
      <c r="H9" s="123">
        <f t="shared" si="3"/>
        <v>191.41000000000003</v>
      </c>
      <c r="I9" s="124">
        <f t="shared" si="3"/>
        <v>208.16000000000003</v>
      </c>
      <c r="J9" s="124">
        <f t="shared" si="3"/>
        <v>222.8475</v>
      </c>
      <c r="K9" s="124">
        <f t="shared" si="3"/>
        <v>260.47250000000003</v>
      </c>
      <c r="L9" s="123">
        <f t="shared" si="3"/>
        <v>576.97249999999997</v>
      </c>
      <c r="M9" s="123">
        <f t="shared" si="3"/>
        <v>0</v>
      </c>
    </row>
    <row r="10" spans="1:13" x14ac:dyDescent="0.5">
      <c r="A10" s="57"/>
      <c r="C10" s="66"/>
      <c r="D10" s="137"/>
      <c r="E10" s="121"/>
      <c r="F10" s="60"/>
      <c r="G10" s="100"/>
      <c r="H10" s="60"/>
      <c r="I10" s="100"/>
      <c r="J10" s="100"/>
      <c r="K10" s="100"/>
      <c r="L10" s="60"/>
      <c r="M10" s="60"/>
    </row>
    <row r="11" spans="1:13" x14ac:dyDescent="0.5">
      <c r="A11" s="57"/>
      <c r="B11" t="s">
        <v>120</v>
      </c>
      <c r="C11" s="66"/>
      <c r="D11" s="137"/>
      <c r="E11" s="135">
        <v>2.2499999999999999E-2</v>
      </c>
      <c r="F11" s="61">
        <f>+E11+F12</f>
        <v>2.75E-2</v>
      </c>
      <c r="G11" s="61">
        <f t="shared" ref="G11:M11" si="4">+F11+G12</f>
        <v>3.2500000000000001E-2</v>
      </c>
      <c r="H11" s="61">
        <f t="shared" si="4"/>
        <v>4.2500000000000003E-2</v>
      </c>
      <c r="I11" s="61">
        <f t="shared" si="4"/>
        <v>4.2500000000000003E-2</v>
      </c>
      <c r="J11" s="61">
        <f t="shared" si="4"/>
        <v>4.2500000000000003E-2</v>
      </c>
      <c r="K11" s="61">
        <f t="shared" si="4"/>
        <v>4.2500000000000003E-2</v>
      </c>
      <c r="L11" s="61">
        <f t="shared" si="4"/>
        <v>4.2500000000000003E-2</v>
      </c>
      <c r="M11" s="61">
        <f t="shared" si="4"/>
        <v>4.2500000000000003E-2</v>
      </c>
    </row>
    <row r="12" spans="1:13" x14ac:dyDescent="0.5">
      <c r="A12" s="57"/>
      <c r="B12" t="s">
        <v>121</v>
      </c>
      <c r="C12" s="66"/>
      <c r="D12" s="137"/>
      <c r="E12" s="121"/>
      <c r="F12" s="61">
        <v>5.0000000000000001E-3</v>
      </c>
      <c r="G12" s="61">
        <v>5.0000000000000001E-3</v>
      </c>
      <c r="H12" s="61">
        <v>0.01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</row>
    <row r="13" spans="1:13" x14ac:dyDescent="0.5">
      <c r="A13" s="57"/>
      <c r="B13" t="s">
        <v>123</v>
      </c>
      <c r="C13" s="66"/>
      <c r="D13" s="137"/>
      <c r="E13" s="121"/>
      <c r="F13" s="61">
        <v>0.04</v>
      </c>
      <c r="G13" s="61">
        <f>+F13</f>
        <v>0.04</v>
      </c>
      <c r="H13" s="61">
        <f t="shared" ref="H13:M13" si="5">+G13</f>
        <v>0.04</v>
      </c>
      <c r="I13" s="61">
        <f t="shared" si="5"/>
        <v>0.04</v>
      </c>
      <c r="J13" s="61">
        <f t="shared" si="5"/>
        <v>0.04</v>
      </c>
      <c r="K13" s="61">
        <f t="shared" si="5"/>
        <v>0.04</v>
      </c>
      <c r="L13" s="61">
        <f t="shared" si="5"/>
        <v>0.04</v>
      </c>
      <c r="M13" s="61">
        <f t="shared" si="5"/>
        <v>0.04</v>
      </c>
    </row>
    <row r="14" spans="1:13" x14ac:dyDescent="0.5">
      <c r="A14" s="57"/>
      <c r="B14" t="s">
        <v>124</v>
      </c>
      <c r="C14" s="66"/>
      <c r="D14" s="137"/>
      <c r="E14" s="121"/>
      <c r="F14" s="61">
        <f>+F13+F11</f>
        <v>6.7500000000000004E-2</v>
      </c>
      <c r="G14" s="61">
        <f t="shared" ref="G14:M14" si="6">+G13+G11</f>
        <v>7.2500000000000009E-2</v>
      </c>
      <c r="H14" s="61">
        <f t="shared" si="6"/>
        <v>8.2500000000000004E-2</v>
      </c>
      <c r="I14" s="61">
        <f t="shared" si="6"/>
        <v>8.2500000000000004E-2</v>
      </c>
      <c r="J14" s="61">
        <f t="shared" si="6"/>
        <v>8.2500000000000004E-2</v>
      </c>
      <c r="K14" s="61">
        <f t="shared" si="6"/>
        <v>8.2500000000000004E-2</v>
      </c>
      <c r="L14" s="61">
        <f t="shared" si="6"/>
        <v>8.2500000000000004E-2</v>
      </c>
      <c r="M14" s="61">
        <f t="shared" si="6"/>
        <v>8.2500000000000004E-2</v>
      </c>
    </row>
    <row r="15" spans="1:13" x14ac:dyDescent="0.5">
      <c r="A15" s="57"/>
      <c r="C15" s="66"/>
      <c r="D15" s="137"/>
      <c r="E15" s="121"/>
      <c r="F15" s="60"/>
      <c r="G15" s="100"/>
      <c r="H15" s="60"/>
      <c r="I15" s="100"/>
      <c r="J15" s="100"/>
      <c r="K15" s="100"/>
      <c r="L15" s="60"/>
      <c r="M15" s="60"/>
    </row>
    <row r="16" spans="1:13" x14ac:dyDescent="0.5">
      <c r="A16" s="57"/>
      <c r="B16" s="8" t="s">
        <v>59</v>
      </c>
      <c r="C16" s="66">
        <v>8</v>
      </c>
      <c r="D16" s="138">
        <v>8.5000000000000006E-2</v>
      </c>
      <c r="E16" s="132"/>
      <c r="F16" s="1"/>
      <c r="G16" s="57"/>
      <c r="H16" s="1"/>
      <c r="I16" s="57"/>
      <c r="J16" s="57"/>
      <c r="K16" s="57"/>
      <c r="L16" s="1"/>
      <c r="M16" s="1"/>
    </row>
    <row r="17" spans="1:13" x14ac:dyDescent="0.5">
      <c r="A17" s="57"/>
      <c r="B17" t="s">
        <v>70</v>
      </c>
      <c r="C17" s="66"/>
      <c r="D17" s="137"/>
      <c r="E17" s="133">
        <v>617</v>
      </c>
      <c r="F17" s="122">
        <f t="shared" ref="F17:M17" si="7">+E17-F18</f>
        <v>617</v>
      </c>
      <c r="G17" s="108">
        <f t="shared" si="7"/>
        <v>617</v>
      </c>
      <c r="H17" s="122">
        <f t="shared" si="7"/>
        <v>617</v>
      </c>
      <c r="I17" s="108">
        <f t="shared" si="7"/>
        <v>617</v>
      </c>
      <c r="J17" s="108">
        <f t="shared" si="7"/>
        <v>617</v>
      </c>
      <c r="K17" s="108">
        <f t="shared" si="7"/>
        <v>617</v>
      </c>
      <c r="L17" s="122">
        <f t="shared" si="7"/>
        <v>617</v>
      </c>
      <c r="M17" s="122">
        <f t="shared" si="7"/>
        <v>0</v>
      </c>
    </row>
    <row r="18" spans="1:13" x14ac:dyDescent="0.5">
      <c r="A18" s="57"/>
      <c r="B18" t="s">
        <v>72</v>
      </c>
      <c r="C18" s="66"/>
      <c r="D18" s="137"/>
      <c r="E18" s="133"/>
      <c r="F18" s="122">
        <v>0</v>
      </c>
      <c r="G18" s="108">
        <v>0</v>
      </c>
      <c r="H18" s="122">
        <v>0</v>
      </c>
      <c r="I18" s="108">
        <v>0</v>
      </c>
      <c r="J18" s="108">
        <v>0</v>
      </c>
      <c r="K18" s="108">
        <v>0</v>
      </c>
      <c r="L18" s="122">
        <v>0</v>
      </c>
      <c r="M18" s="122">
        <f>+L17</f>
        <v>617</v>
      </c>
    </row>
    <row r="19" spans="1:13" x14ac:dyDescent="0.5">
      <c r="A19" s="57"/>
      <c r="B19" t="s">
        <v>73</v>
      </c>
      <c r="C19" s="66"/>
      <c r="D19" s="137"/>
      <c r="E19" s="134"/>
      <c r="F19" s="122">
        <f>+E17*D16</f>
        <v>52.445</v>
      </c>
      <c r="G19" s="108">
        <f t="shared" ref="G19:M19" si="8">+F17*$D$16</f>
        <v>52.445</v>
      </c>
      <c r="H19" s="122">
        <f t="shared" si="8"/>
        <v>52.445</v>
      </c>
      <c r="I19" s="108">
        <f t="shared" si="8"/>
        <v>52.445</v>
      </c>
      <c r="J19" s="108">
        <f t="shared" si="8"/>
        <v>52.445</v>
      </c>
      <c r="K19" s="108">
        <f t="shared" si="8"/>
        <v>52.445</v>
      </c>
      <c r="L19" s="122">
        <f t="shared" si="8"/>
        <v>52.445</v>
      </c>
      <c r="M19" s="122">
        <f t="shared" si="8"/>
        <v>52.445</v>
      </c>
    </row>
    <row r="20" spans="1:13" ht="14.7" thickBot="1" x14ac:dyDescent="0.55000000000000004">
      <c r="A20" s="57"/>
      <c r="B20" t="s">
        <v>71</v>
      </c>
      <c r="C20" s="66"/>
      <c r="D20" s="137"/>
      <c r="E20" s="133"/>
      <c r="F20" s="125">
        <f t="shared" ref="F20:M20" si="9">+F19+F18</f>
        <v>52.445</v>
      </c>
      <c r="G20" s="126">
        <f t="shared" si="9"/>
        <v>52.445</v>
      </c>
      <c r="H20" s="125">
        <f t="shared" si="9"/>
        <v>52.445</v>
      </c>
      <c r="I20" s="126">
        <f t="shared" si="9"/>
        <v>52.445</v>
      </c>
      <c r="J20" s="126">
        <f t="shared" si="9"/>
        <v>52.445</v>
      </c>
      <c r="K20" s="126">
        <f t="shared" si="9"/>
        <v>52.445</v>
      </c>
      <c r="L20" s="125">
        <f t="shared" si="9"/>
        <v>52.445</v>
      </c>
      <c r="M20" s="125">
        <f t="shared" si="9"/>
        <v>669.44500000000005</v>
      </c>
    </row>
    <row r="21" spans="1:13" x14ac:dyDescent="0.5">
      <c r="A21" s="57"/>
      <c r="C21" s="18"/>
      <c r="D21" s="67"/>
      <c r="E21" s="121"/>
      <c r="F21" s="18"/>
      <c r="G21" s="66"/>
      <c r="H21" s="18"/>
      <c r="I21" s="66"/>
      <c r="J21" s="66"/>
      <c r="K21" s="66"/>
      <c r="L21" s="18"/>
      <c r="M21" s="18"/>
    </row>
    <row r="22" spans="1:13" x14ac:dyDescent="0.5">
      <c r="A22" s="57"/>
      <c r="B22" t="s">
        <v>95</v>
      </c>
      <c r="C22" s="18"/>
      <c r="D22" s="67"/>
      <c r="E22" s="121"/>
      <c r="F22" s="127">
        <f t="shared" ref="F22:M22" si="10">+F8+F19</f>
        <v>135.67250000000001</v>
      </c>
      <c r="G22" s="128">
        <f t="shared" si="10"/>
        <v>138.21250000000001</v>
      </c>
      <c r="H22" s="127">
        <f t="shared" si="10"/>
        <v>143.85500000000002</v>
      </c>
      <c r="I22" s="128">
        <f t="shared" si="10"/>
        <v>135.60500000000002</v>
      </c>
      <c r="J22" s="128">
        <f t="shared" si="10"/>
        <v>125.29249999999999</v>
      </c>
      <c r="K22" s="128">
        <f t="shared" si="10"/>
        <v>112.9175</v>
      </c>
      <c r="L22" s="127">
        <f t="shared" si="10"/>
        <v>96.417500000000004</v>
      </c>
      <c r="M22" s="127">
        <f t="shared" si="10"/>
        <v>52.445</v>
      </c>
    </row>
    <row r="23" spans="1:13" x14ac:dyDescent="0.5">
      <c r="A23" s="57"/>
      <c r="B23" t="s">
        <v>96</v>
      </c>
      <c r="C23" s="18"/>
      <c r="D23" s="67"/>
      <c r="E23" s="121"/>
      <c r="F23" s="127">
        <f t="shared" ref="F23:M23" si="11">+F7+F18</f>
        <v>50</v>
      </c>
      <c r="G23" s="128">
        <f t="shared" si="11"/>
        <v>75</v>
      </c>
      <c r="H23" s="127">
        <f t="shared" si="11"/>
        <v>100</v>
      </c>
      <c r="I23" s="128">
        <f t="shared" si="11"/>
        <v>125</v>
      </c>
      <c r="J23" s="128">
        <f t="shared" si="11"/>
        <v>150</v>
      </c>
      <c r="K23" s="128">
        <f t="shared" si="11"/>
        <v>200</v>
      </c>
      <c r="L23" s="127">
        <f t="shared" si="11"/>
        <v>533</v>
      </c>
      <c r="M23" s="127">
        <f t="shared" si="11"/>
        <v>617</v>
      </c>
    </row>
    <row r="24" spans="1:13" x14ac:dyDescent="0.5">
      <c r="A24" s="57"/>
      <c r="B24" t="s">
        <v>75</v>
      </c>
      <c r="C24" s="18"/>
      <c r="D24" s="67"/>
      <c r="E24" s="121"/>
      <c r="F24" s="129">
        <f>+F23+F22</f>
        <v>185.67250000000001</v>
      </c>
      <c r="G24" s="130">
        <f t="shared" ref="G24:M24" si="12">+G23+G22</f>
        <v>213.21250000000001</v>
      </c>
      <c r="H24" s="129">
        <f t="shared" si="12"/>
        <v>243.85500000000002</v>
      </c>
      <c r="I24" s="130">
        <f t="shared" si="12"/>
        <v>260.60500000000002</v>
      </c>
      <c r="J24" s="130">
        <f t="shared" si="12"/>
        <v>275.29250000000002</v>
      </c>
      <c r="K24" s="130">
        <f t="shared" si="12"/>
        <v>312.91750000000002</v>
      </c>
      <c r="L24" s="129">
        <f t="shared" si="12"/>
        <v>629.41750000000002</v>
      </c>
      <c r="M24" s="129">
        <f t="shared" si="12"/>
        <v>669.44500000000005</v>
      </c>
    </row>
    <row r="25" spans="1:13" x14ac:dyDescent="0.5">
      <c r="A25" s="57"/>
      <c r="B25" t="s">
        <v>76</v>
      </c>
      <c r="C25" s="18"/>
      <c r="D25" s="67"/>
      <c r="E25" s="121"/>
      <c r="F25" s="127">
        <f t="shared" ref="F25:M25" si="13">+F17+F6</f>
        <v>1800</v>
      </c>
      <c r="G25" s="128">
        <f t="shared" si="13"/>
        <v>1725</v>
      </c>
      <c r="H25" s="127">
        <f t="shared" si="13"/>
        <v>1625</v>
      </c>
      <c r="I25" s="128">
        <f t="shared" si="13"/>
        <v>1500</v>
      </c>
      <c r="J25" s="128">
        <f t="shared" si="13"/>
        <v>1350</v>
      </c>
      <c r="K25" s="128">
        <f t="shared" si="13"/>
        <v>1150</v>
      </c>
      <c r="L25" s="127">
        <f t="shared" si="13"/>
        <v>617</v>
      </c>
      <c r="M25" s="127">
        <f t="shared" si="13"/>
        <v>0</v>
      </c>
    </row>
    <row r="27" spans="1:13" x14ac:dyDescent="0.5">
      <c r="L27" s="10"/>
      <c r="M27" s="10" t="s">
        <v>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2D64-880B-4E8D-AC5E-4A6177DF0CD7}">
  <dimension ref="A1:O44"/>
  <sheetViews>
    <sheetView showGridLines="0" workbookViewId="0">
      <selection activeCell="D30" sqref="D30"/>
    </sheetView>
  </sheetViews>
  <sheetFormatPr defaultRowHeight="14.35" x14ac:dyDescent="0.5"/>
  <cols>
    <col min="1" max="1" width="8.8203125" customWidth="1"/>
    <col min="2" max="2" width="32.87890625" customWidth="1"/>
    <col min="3" max="6" width="10.46875" customWidth="1"/>
    <col min="7" max="7" width="11.9375" customWidth="1"/>
    <col min="8" max="8" width="12.76171875" customWidth="1"/>
    <col min="9" max="14" width="10.46875" customWidth="1"/>
  </cols>
  <sheetData>
    <row r="1" spans="1:15" ht="18" x14ac:dyDescent="0.6">
      <c r="A1" s="14"/>
      <c r="B1" s="85" t="s">
        <v>105</v>
      </c>
      <c r="G1" s="16"/>
    </row>
    <row r="2" spans="1:15" ht="10.5" customHeight="1" x14ac:dyDescent="0.5">
      <c r="A2" s="14"/>
      <c r="B2" s="17"/>
      <c r="G2" s="16"/>
    </row>
    <row r="3" spans="1:15" ht="15.7" thickBot="1" x14ac:dyDescent="0.55000000000000004">
      <c r="A3" s="14"/>
      <c r="B3" s="34" t="s">
        <v>128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181"/>
      <c r="N3" s="35"/>
    </row>
    <row r="4" spans="1:15" ht="11.5" customHeight="1" x14ac:dyDescent="0.6">
      <c r="A4" s="14"/>
      <c r="B4" s="15"/>
      <c r="F4" s="141" t="s">
        <v>29</v>
      </c>
      <c r="I4" s="142">
        <v>1</v>
      </c>
      <c r="J4" s="142">
        <v>2</v>
      </c>
      <c r="K4" s="142">
        <v>3</v>
      </c>
      <c r="L4" s="142">
        <v>4</v>
      </c>
      <c r="M4" s="169">
        <v>5</v>
      </c>
      <c r="N4" s="142">
        <v>6</v>
      </c>
    </row>
    <row r="5" spans="1:15" ht="14.7" thickBot="1" x14ac:dyDescent="0.55000000000000004">
      <c r="A5" s="14"/>
      <c r="B5" t="s">
        <v>141</v>
      </c>
      <c r="C5" s="471" t="s">
        <v>131</v>
      </c>
      <c r="D5" s="470"/>
      <c r="E5" s="470"/>
      <c r="F5" s="472"/>
      <c r="G5" s="146" t="s">
        <v>30</v>
      </c>
      <c r="H5" s="146" t="s">
        <v>132</v>
      </c>
      <c r="I5" s="469" t="s">
        <v>130</v>
      </c>
      <c r="J5" s="470"/>
      <c r="K5" s="470"/>
      <c r="L5" s="470"/>
      <c r="M5" s="2" t="s">
        <v>0</v>
      </c>
    </row>
    <row r="6" spans="1:15" ht="30" customHeight="1" thickBot="1" x14ac:dyDescent="0.55000000000000004">
      <c r="A6" s="14"/>
      <c r="C6" s="167">
        <v>42369</v>
      </c>
      <c r="D6" s="167">
        <v>42735</v>
      </c>
      <c r="E6" s="167">
        <v>43100</v>
      </c>
      <c r="F6" s="168">
        <v>43465</v>
      </c>
      <c r="G6" s="69" t="s">
        <v>129</v>
      </c>
      <c r="H6" s="69" t="s">
        <v>133</v>
      </c>
      <c r="I6" s="40">
        <f>+F6+365</f>
        <v>43830</v>
      </c>
      <c r="J6" s="40">
        <f>+I6+366</f>
        <v>44196</v>
      </c>
      <c r="K6" s="40">
        <f>+J6+365</f>
        <v>44561</v>
      </c>
      <c r="L6" s="40">
        <f>+K6+365</f>
        <v>44926</v>
      </c>
      <c r="M6" s="41">
        <f>+L6+365</f>
        <v>45291</v>
      </c>
      <c r="N6" s="40">
        <f>+M6+366</f>
        <v>45657</v>
      </c>
    </row>
    <row r="7" spans="1:15" x14ac:dyDescent="0.5">
      <c r="A7" s="14"/>
      <c r="B7" t="s">
        <v>98</v>
      </c>
      <c r="C7" s="4">
        <f>+'Fig. 9.1'!D5</f>
        <v>6692.9</v>
      </c>
      <c r="D7" s="4">
        <f>+'Fig. 9.1'!E5</f>
        <v>5882.5</v>
      </c>
      <c r="E7" s="4">
        <f>+'Fig. 9.1'!F5</f>
        <v>6080.5</v>
      </c>
      <c r="F7" s="161">
        <f>+'Fig. 9.1'!G5</f>
        <v>6818.2</v>
      </c>
      <c r="G7" s="147"/>
      <c r="H7" s="147"/>
      <c r="I7" s="4">
        <f>+F7*(1+I8)</f>
        <v>7090.9279999999999</v>
      </c>
      <c r="J7" s="4">
        <f t="shared" ref="J7:N7" si="0">+I7*(1+J8)</f>
        <v>7374.5651200000002</v>
      </c>
      <c r="K7" s="4">
        <f t="shared" si="0"/>
        <v>7669.5477248000007</v>
      </c>
      <c r="L7" s="4">
        <f t="shared" si="0"/>
        <v>7976.329633792001</v>
      </c>
      <c r="M7" s="5">
        <f t="shared" si="0"/>
        <v>8295.3828191436805</v>
      </c>
      <c r="N7" s="4">
        <f t="shared" si="0"/>
        <v>8627.1981319094284</v>
      </c>
    </row>
    <row r="8" spans="1:15" x14ac:dyDescent="0.5">
      <c r="A8" s="14"/>
      <c r="B8" t="s">
        <v>140</v>
      </c>
      <c r="C8" s="144"/>
      <c r="D8" s="145">
        <f>+D7/C7-1</f>
        <v>-0.12108353628471957</v>
      </c>
      <c r="E8" s="145">
        <f t="shared" ref="E8:F8" si="1">+E7/D7-1</f>
        <v>3.3659158521037069E-2</v>
      </c>
      <c r="F8" s="157">
        <f t="shared" si="1"/>
        <v>0.1213222596825918</v>
      </c>
      <c r="G8" s="153">
        <f>AVERAGE(C8:F8)</f>
        <v>1.1299293972969767E-2</v>
      </c>
      <c r="H8" s="148"/>
      <c r="I8" s="43">
        <v>0.04</v>
      </c>
      <c r="J8" s="43">
        <v>0.04</v>
      </c>
      <c r="K8" s="43">
        <v>0.04</v>
      </c>
      <c r="L8" s="43">
        <v>0.04</v>
      </c>
      <c r="M8" s="44">
        <v>0.04</v>
      </c>
      <c r="N8" s="43">
        <v>0.04</v>
      </c>
    </row>
    <row r="9" spans="1:15" x14ac:dyDescent="0.5">
      <c r="A9" s="14"/>
      <c r="B9" t="s">
        <v>101</v>
      </c>
      <c r="C9" s="4">
        <f>-'Fig. 9.1'!D8</f>
        <v>-6032</v>
      </c>
      <c r="D9" s="4">
        <f>-'Fig. 9.1'!E8</f>
        <v>-5064.7</v>
      </c>
      <c r="E9" s="4">
        <f>-'Fig. 9.1'!F8</f>
        <v>-5359.7</v>
      </c>
      <c r="F9" s="161">
        <f>-'Fig. 9.1'!G8</f>
        <v>-5911</v>
      </c>
      <c r="G9" s="154">
        <f>-SUM(C9:F9)/SUM(C7:F7)</f>
        <v>0.87804475918678182</v>
      </c>
      <c r="H9" s="148">
        <v>0.87</v>
      </c>
      <c r="I9" s="4">
        <f t="shared" ref="I9:N9" si="2">-$H$9*I7</f>
        <v>-6169.10736</v>
      </c>
      <c r="J9" s="4">
        <f t="shared" si="2"/>
        <v>-6415.8716543999999</v>
      </c>
      <c r="K9" s="4">
        <f t="shared" si="2"/>
        <v>-6672.5065205760002</v>
      </c>
      <c r="L9" s="4">
        <f t="shared" si="2"/>
        <v>-6939.4067813990405</v>
      </c>
      <c r="M9" s="5">
        <f t="shared" si="2"/>
        <v>-7216.9830526550022</v>
      </c>
      <c r="N9" s="4">
        <f t="shared" si="2"/>
        <v>-7505.662374761203</v>
      </c>
    </row>
    <row r="10" spans="1:15" x14ac:dyDescent="0.5">
      <c r="A10" s="14"/>
      <c r="B10" t="s">
        <v>32</v>
      </c>
      <c r="C10" s="6">
        <f>-(C7+C9-C11)</f>
        <v>-574.19999999999959</v>
      </c>
      <c r="D10" s="6">
        <f t="shared" ref="D10:F10" si="3">-(D7+D9-D11)</f>
        <v>-587.60000000000014</v>
      </c>
      <c r="E10" s="6">
        <f t="shared" si="3"/>
        <v>-500.80000000000018</v>
      </c>
      <c r="F10" s="166">
        <f t="shared" si="3"/>
        <v>-542.79999999999984</v>
      </c>
      <c r="G10" s="149">
        <f>-SUM(C10:F10)/SUM(C7:F7)</f>
        <v>8.657420674331967E-2</v>
      </c>
      <c r="H10" s="149">
        <v>0.08</v>
      </c>
      <c r="I10" s="6">
        <f t="shared" ref="I10:N10" si="4">-$H$10*I7</f>
        <v>-567.27423999999996</v>
      </c>
      <c r="J10" s="6">
        <f t="shared" si="4"/>
        <v>-589.96520959999998</v>
      </c>
      <c r="K10" s="6">
        <f t="shared" si="4"/>
        <v>-613.56381798400002</v>
      </c>
      <c r="L10" s="6">
        <f t="shared" si="4"/>
        <v>-638.10637070336008</v>
      </c>
      <c r="M10" s="7">
        <f t="shared" si="4"/>
        <v>-663.6306255314945</v>
      </c>
      <c r="N10" s="6">
        <f t="shared" si="4"/>
        <v>-690.17585055275424</v>
      </c>
    </row>
    <row r="11" spans="1:15" x14ac:dyDescent="0.5">
      <c r="A11" s="14"/>
      <c r="B11" t="s">
        <v>33</v>
      </c>
      <c r="C11" s="60">
        <f>+'Fig. 9.1'!D12</f>
        <v>86.7</v>
      </c>
      <c r="D11" s="60">
        <f>+'Fig. 9.1'!E12</f>
        <v>230.2</v>
      </c>
      <c r="E11" s="60">
        <f>+'Fig. 9.1'!F12</f>
        <v>220</v>
      </c>
      <c r="F11" s="158">
        <f>+'Fig. 9.1'!G12</f>
        <v>364.4</v>
      </c>
      <c r="G11" s="150"/>
      <c r="H11" s="150"/>
      <c r="I11" s="4">
        <f t="shared" ref="I11:N11" si="5">+I7+I9+I10</f>
        <v>354.54639999999995</v>
      </c>
      <c r="J11" s="4">
        <f t="shared" si="5"/>
        <v>368.72825600000033</v>
      </c>
      <c r="K11" s="4">
        <f t="shared" si="5"/>
        <v>383.47738624000044</v>
      </c>
      <c r="L11" s="4">
        <f t="shared" si="5"/>
        <v>398.81648168960044</v>
      </c>
      <c r="M11" s="5">
        <f t="shared" si="5"/>
        <v>414.76914095718382</v>
      </c>
      <c r="N11" s="4">
        <f t="shared" si="5"/>
        <v>431.35990659547122</v>
      </c>
      <c r="O11" s="13"/>
    </row>
    <row r="12" spans="1:15" x14ac:dyDescent="0.5">
      <c r="A12" s="14"/>
      <c r="B12" t="s">
        <v>3</v>
      </c>
      <c r="C12" s="60"/>
      <c r="D12" s="60"/>
      <c r="E12" s="60"/>
      <c r="F12" s="158"/>
      <c r="G12" s="150"/>
      <c r="H12" s="151"/>
      <c r="I12" s="6">
        <f>+'Fig. 9.4'!F22</f>
        <v>135.67250000000001</v>
      </c>
      <c r="J12" s="6">
        <f>+'Fig. 9.4'!G22</f>
        <v>138.21250000000001</v>
      </c>
      <c r="K12" s="6">
        <f>+'Fig. 9.4'!H22</f>
        <v>143.85500000000002</v>
      </c>
      <c r="L12" s="6">
        <f>+'Fig. 9.4'!I22</f>
        <v>135.60500000000002</v>
      </c>
      <c r="M12" s="7">
        <f>+'Fig. 9.4'!J22</f>
        <v>125.29249999999999</v>
      </c>
      <c r="N12" s="6">
        <f>+'Fig. 9.4'!K22</f>
        <v>112.9175</v>
      </c>
      <c r="O12" s="13"/>
    </row>
    <row r="13" spans="1:15" x14ac:dyDescent="0.5">
      <c r="A13" s="14"/>
      <c r="B13" t="s">
        <v>65</v>
      </c>
      <c r="C13" s="60"/>
      <c r="D13" s="60"/>
      <c r="E13" s="60"/>
      <c r="F13" s="158"/>
      <c r="G13" s="150"/>
      <c r="H13" s="150"/>
      <c r="I13" s="6">
        <f t="shared" ref="I13:N13" si="6">+I11+I12</f>
        <v>490.21889999999996</v>
      </c>
      <c r="J13" s="6">
        <f t="shared" si="6"/>
        <v>506.94075600000031</v>
      </c>
      <c r="K13" s="6">
        <f t="shared" si="6"/>
        <v>527.33238624000046</v>
      </c>
      <c r="L13" s="6">
        <f t="shared" si="6"/>
        <v>534.42148168960045</v>
      </c>
      <c r="M13" s="7">
        <f t="shared" si="6"/>
        <v>540.06164095718384</v>
      </c>
      <c r="N13" s="6">
        <f t="shared" si="6"/>
        <v>544.27740659547123</v>
      </c>
      <c r="O13" s="13"/>
    </row>
    <row r="14" spans="1:15" x14ac:dyDescent="0.5">
      <c r="A14" s="14"/>
      <c r="B14" t="s">
        <v>34</v>
      </c>
      <c r="C14" s="60"/>
      <c r="D14" s="60"/>
      <c r="E14" s="60"/>
      <c r="F14" s="158"/>
      <c r="G14" s="148"/>
      <c r="H14" s="148">
        <v>0.36</v>
      </c>
      <c r="I14" s="4">
        <f t="shared" ref="I14:N14" si="7">-$H$14*I13</f>
        <v>-176.47880399999997</v>
      </c>
      <c r="J14" s="4">
        <f t="shared" si="7"/>
        <v>-182.4986721600001</v>
      </c>
      <c r="K14" s="4">
        <f t="shared" si="7"/>
        <v>-189.83965904640016</v>
      </c>
      <c r="L14" s="4">
        <f t="shared" si="7"/>
        <v>-192.39173340825616</v>
      </c>
      <c r="M14" s="5">
        <f t="shared" si="7"/>
        <v>-194.42219074458617</v>
      </c>
      <c r="N14" s="4">
        <f t="shared" si="7"/>
        <v>-195.93986637436964</v>
      </c>
    </row>
    <row r="15" spans="1:15" x14ac:dyDescent="0.5">
      <c r="A15" s="14"/>
      <c r="B15" t="s">
        <v>66</v>
      </c>
      <c r="C15" s="60"/>
      <c r="D15" s="60"/>
      <c r="E15" s="60"/>
      <c r="F15" s="158"/>
      <c r="G15" s="148"/>
      <c r="H15" s="148"/>
      <c r="I15" s="4">
        <f t="shared" ref="I15:N15" si="8">+I13+I14</f>
        <v>313.74009599999999</v>
      </c>
      <c r="J15" s="4">
        <f t="shared" si="8"/>
        <v>324.44208384000024</v>
      </c>
      <c r="K15" s="4">
        <f t="shared" si="8"/>
        <v>337.49272719360033</v>
      </c>
      <c r="L15" s="4">
        <f t="shared" si="8"/>
        <v>342.02974828134427</v>
      </c>
      <c r="M15" s="5">
        <f t="shared" si="8"/>
        <v>345.63945021259769</v>
      </c>
      <c r="N15" s="4">
        <f t="shared" si="8"/>
        <v>348.33754022110156</v>
      </c>
    </row>
    <row r="16" spans="1:15" x14ac:dyDescent="0.5">
      <c r="A16" s="14"/>
      <c r="B16" t="s">
        <v>4</v>
      </c>
      <c r="C16" s="122">
        <f>+'Fig. 9.1'!D17</f>
        <v>237.2</v>
      </c>
      <c r="D16" s="122">
        <f>+'Fig. 9.1'!E17</f>
        <v>235</v>
      </c>
      <c r="E16" s="122">
        <f>+'Fig. 9.1'!F17</f>
        <v>250.1</v>
      </c>
      <c r="F16" s="156">
        <f>+'Fig. 9.1'!G17</f>
        <v>252.2</v>
      </c>
      <c r="G16" s="148">
        <f>SUM(C16:F16)/SUM(C7:F7)</f>
        <v>3.8254540886626019E-2</v>
      </c>
      <c r="H16" s="148">
        <f>+G16</f>
        <v>3.8254540886626019E-2</v>
      </c>
      <c r="I16" s="4">
        <f t="shared" ref="I16:N16" si="9">+$H$16*I7</f>
        <v>271.26019510012128</v>
      </c>
      <c r="J16" s="4">
        <f t="shared" si="9"/>
        <v>282.1106029041261</v>
      </c>
      <c r="K16" s="4">
        <f t="shared" si="9"/>
        <v>293.3950270202912</v>
      </c>
      <c r="L16" s="4">
        <f t="shared" si="9"/>
        <v>305.13082810110285</v>
      </c>
      <c r="M16" s="5">
        <f t="shared" si="9"/>
        <v>317.33606122514692</v>
      </c>
      <c r="N16" s="4">
        <f t="shared" si="9"/>
        <v>330.02950367415286</v>
      </c>
    </row>
    <row r="17" spans="1:14" x14ac:dyDescent="0.5">
      <c r="A17" s="14"/>
      <c r="B17" t="s">
        <v>113</v>
      </c>
      <c r="C17" s="143"/>
      <c r="D17" s="143"/>
      <c r="E17" s="143"/>
      <c r="F17" s="159"/>
      <c r="G17" s="148"/>
      <c r="H17" s="152" t="s">
        <v>77</v>
      </c>
      <c r="I17" s="4">
        <f>+'Fig. 9.2'!$G$8/7</f>
        <v>18.101698418450002</v>
      </c>
      <c r="J17" s="4">
        <f>+'Fig. 9.2'!$G$8/7</f>
        <v>18.101698418450002</v>
      </c>
      <c r="K17" s="4">
        <f>+'Fig. 9.2'!$G$8/7</f>
        <v>18.101698418450002</v>
      </c>
      <c r="L17" s="4">
        <f>+'Fig. 9.2'!$G$8/7</f>
        <v>18.101698418450002</v>
      </c>
      <c r="M17" s="5">
        <f>+'Fig. 9.2'!$G$8/7</f>
        <v>18.101698418450002</v>
      </c>
      <c r="N17" s="4">
        <f>+'Fig. 9.2'!$G$8/7</f>
        <v>18.101698418450002</v>
      </c>
    </row>
    <row r="18" spans="1:14" x14ac:dyDescent="0.5">
      <c r="A18" s="14"/>
      <c r="B18" t="s">
        <v>35</v>
      </c>
      <c r="C18" s="122">
        <f>+'Fig. 9.1'!D18</f>
        <v>-99</v>
      </c>
      <c r="D18" s="122">
        <f>+'Fig. 9.1'!E18</f>
        <v>-127.6</v>
      </c>
      <c r="E18" s="122">
        <f>+'Fig. 9.1'!F18</f>
        <v>-152.5</v>
      </c>
      <c r="F18" s="156">
        <f>+'Fig. 9.1'!G18</f>
        <v>-152</v>
      </c>
      <c r="G18" s="148">
        <f>-SUM(C18:F18)/SUM(C7:F7)</f>
        <v>2.0848626644317168E-2</v>
      </c>
      <c r="H18" s="148">
        <f>+G18</f>
        <v>2.0848626644317168E-2</v>
      </c>
      <c r="I18" s="175">
        <f t="shared" ref="I18:N18" si="10">-$H$18*I7</f>
        <v>-147.83611043373463</v>
      </c>
      <c r="J18" s="6">
        <f t="shared" si="10"/>
        <v>-153.74955485108404</v>
      </c>
      <c r="K18" s="6">
        <f t="shared" si="10"/>
        <v>-159.8995370451274</v>
      </c>
      <c r="L18" s="6">
        <f t="shared" si="10"/>
        <v>-166.29551852693251</v>
      </c>
      <c r="M18" s="7">
        <f t="shared" si="10"/>
        <v>-172.94733926800978</v>
      </c>
      <c r="N18" s="6">
        <f t="shared" si="10"/>
        <v>-179.86523283873021</v>
      </c>
    </row>
    <row r="19" spans="1:14" ht="15" customHeight="1" x14ac:dyDescent="0.5">
      <c r="A19" s="14"/>
      <c r="B19" t="s">
        <v>67</v>
      </c>
      <c r="C19" s="65"/>
      <c r="D19" s="65"/>
      <c r="E19" s="65"/>
      <c r="F19" s="160"/>
      <c r="G19" s="132"/>
      <c r="H19" s="132"/>
      <c r="I19" s="65">
        <f t="shared" ref="I19:N19" si="11">SUM(I15:I18)</f>
        <v>455.26587908483674</v>
      </c>
      <c r="J19" s="65">
        <f t="shared" si="11"/>
        <v>470.90483031149228</v>
      </c>
      <c r="K19" s="65">
        <f t="shared" si="11"/>
        <v>489.08991558721414</v>
      </c>
      <c r="L19" s="65">
        <f t="shared" si="11"/>
        <v>498.96675627396462</v>
      </c>
      <c r="M19" s="163">
        <f t="shared" si="11"/>
        <v>508.12987058818493</v>
      </c>
      <c r="N19" s="65">
        <f t="shared" si="11"/>
        <v>516.60350947497432</v>
      </c>
    </row>
    <row r="20" spans="1:14" ht="15" customHeight="1" x14ac:dyDescent="0.5">
      <c r="A20" s="14"/>
      <c r="B20" t="s">
        <v>68</v>
      </c>
      <c r="C20" s="4"/>
      <c r="D20" s="4"/>
      <c r="E20" s="4"/>
      <c r="F20" s="161"/>
      <c r="G20" s="132"/>
      <c r="H20" s="132"/>
      <c r="I20" s="175">
        <f>-'Fig. 9.4'!F23</f>
        <v>-50</v>
      </c>
      <c r="J20" s="6">
        <f>-'Fig. 9.4'!G23</f>
        <v>-75</v>
      </c>
      <c r="K20" s="6">
        <f>-'Fig. 9.4'!H23</f>
        <v>-100</v>
      </c>
      <c r="L20" s="6">
        <f>-'Fig. 9.4'!I23</f>
        <v>-125</v>
      </c>
      <c r="M20" s="7">
        <f>-'Fig. 9.4'!J23</f>
        <v>-150</v>
      </c>
      <c r="N20" s="6">
        <f>-'Fig. 9.4'!K23</f>
        <v>-200</v>
      </c>
    </row>
    <row r="21" spans="1:14" ht="15" customHeight="1" thickBot="1" x14ac:dyDescent="0.55000000000000004">
      <c r="A21" s="14"/>
      <c r="B21" t="s">
        <v>5</v>
      </c>
      <c r="C21" s="4"/>
      <c r="D21" s="4"/>
      <c r="E21" s="4"/>
      <c r="F21" s="161"/>
      <c r="G21" s="132"/>
      <c r="H21" s="132"/>
      <c r="I21" s="176">
        <f t="shared" ref="I21:N21" si="12">+I19+I20</f>
        <v>405.26587908483674</v>
      </c>
      <c r="J21" s="177">
        <f t="shared" si="12"/>
        <v>395.90483031149228</v>
      </c>
      <c r="K21" s="177">
        <f t="shared" si="12"/>
        <v>389.08991558721414</v>
      </c>
      <c r="L21" s="177">
        <f t="shared" si="12"/>
        <v>373.96675627396462</v>
      </c>
      <c r="M21" s="178">
        <f t="shared" si="12"/>
        <v>358.12987058818493</v>
      </c>
      <c r="N21" s="177">
        <f t="shared" si="12"/>
        <v>316.60350947497432</v>
      </c>
    </row>
    <row r="22" spans="1:14" ht="15" customHeight="1" thickTop="1" x14ac:dyDescent="0.5">
      <c r="A22" s="14"/>
      <c r="C22" s="4"/>
      <c r="D22" s="4"/>
      <c r="E22" s="4"/>
      <c r="F22" s="161"/>
      <c r="G22" s="132"/>
      <c r="H22" s="132"/>
      <c r="I22" s="4"/>
      <c r="J22" s="4"/>
      <c r="K22" s="4"/>
      <c r="L22" s="4"/>
      <c r="M22" s="5"/>
      <c r="N22" s="4"/>
    </row>
    <row r="23" spans="1:14" ht="15" customHeight="1" x14ac:dyDescent="0.5">
      <c r="A23" s="14"/>
      <c r="B23" t="s">
        <v>1</v>
      </c>
      <c r="F23" s="162">
        <f t="shared" ref="F23:N23" si="13">+F11+F16</f>
        <v>616.59999999999991</v>
      </c>
      <c r="G23" s="132"/>
      <c r="H23" s="132"/>
      <c r="I23" s="55">
        <f t="shared" si="13"/>
        <v>625.80659510012129</v>
      </c>
      <c r="J23" s="55">
        <f t="shared" si="13"/>
        <v>650.83885890412648</v>
      </c>
      <c r="K23" s="55">
        <f t="shared" si="13"/>
        <v>676.87241326029164</v>
      </c>
      <c r="L23" s="55">
        <f t="shared" si="13"/>
        <v>703.94730979070323</v>
      </c>
      <c r="M23" s="164">
        <f t="shared" si="13"/>
        <v>732.10520218233069</v>
      </c>
      <c r="N23" s="55">
        <f t="shared" si="13"/>
        <v>761.38941026962402</v>
      </c>
    </row>
    <row r="24" spans="1:14" ht="12" customHeight="1" x14ac:dyDescent="0.5">
      <c r="A24" s="14"/>
      <c r="B24" s="3" t="s">
        <v>80</v>
      </c>
      <c r="C24" s="3"/>
      <c r="D24" s="3"/>
      <c r="E24" s="3"/>
      <c r="F24" s="162"/>
      <c r="G24" s="155"/>
      <c r="H24" s="3"/>
      <c r="I24" s="55">
        <f>+'Fig. 9.4'!F25</f>
        <v>1800</v>
      </c>
      <c r="J24" s="55">
        <f>+'Fig. 9.4'!G25</f>
        <v>1725</v>
      </c>
      <c r="K24" s="55">
        <f>+'Fig. 9.4'!H25</f>
        <v>1625</v>
      </c>
      <c r="L24" s="55">
        <f>+'Fig. 9.4'!I25</f>
        <v>1500</v>
      </c>
      <c r="M24" s="164">
        <f>+'Fig. 9.4'!J25</f>
        <v>1350</v>
      </c>
      <c r="N24" s="55">
        <f>+'Fig. 9.4'!K25</f>
        <v>1150</v>
      </c>
    </row>
    <row r="25" spans="1:14" ht="7.5" customHeight="1" x14ac:dyDescent="0.5">
      <c r="A25" s="14"/>
      <c r="M25" s="9"/>
    </row>
    <row r="26" spans="1:14" ht="14.7" thickBot="1" x14ac:dyDescent="0.55000000000000004">
      <c r="A26" s="14"/>
      <c r="B26" s="45" t="s">
        <v>36</v>
      </c>
      <c r="F26" s="47" t="s">
        <v>37</v>
      </c>
      <c r="G26" s="46" t="s">
        <v>31</v>
      </c>
      <c r="M26" s="9"/>
    </row>
    <row r="27" spans="1:14" x14ac:dyDescent="0.5">
      <c r="A27" s="14"/>
      <c r="B27" t="s">
        <v>38</v>
      </c>
      <c r="F27" s="48"/>
      <c r="G27" s="38">
        <f>+'Fig. 9.2'!I9</f>
        <v>6.0753350188439033</v>
      </c>
      <c r="I27" s="26" t="s">
        <v>39</v>
      </c>
      <c r="M27" s="11">
        <f>+$G$27*M23</f>
        <v>4447.7843722961097</v>
      </c>
    </row>
    <row r="28" spans="1:14" ht="14.7" thickBot="1" x14ac:dyDescent="0.55000000000000004">
      <c r="A28" s="14"/>
      <c r="B28" t="s">
        <v>40</v>
      </c>
      <c r="F28" s="50">
        <f>+N8</f>
        <v>0.04</v>
      </c>
      <c r="G28" s="49">
        <v>0.1</v>
      </c>
      <c r="H28" s="26" t="s">
        <v>139</v>
      </c>
      <c r="I28" s="26" t="s">
        <v>134</v>
      </c>
      <c r="M28" s="165">
        <f>+(N19-N12)/(G28-F28)</f>
        <v>6728.1001579162375</v>
      </c>
    </row>
    <row r="29" spans="1:14" x14ac:dyDescent="0.5">
      <c r="A29" s="14"/>
      <c r="B29" t="s">
        <v>28</v>
      </c>
      <c r="F29" s="51"/>
      <c r="M29" s="5">
        <f>+(M27+M28)/2</f>
        <v>5587.9422651061741</v>
      </c>
    </row>
    <row r="30" spans="1:14" x14ac:dyDescent="0.5">
      <c r="A30" s="14"/>
      <c r="B30" t="s">
        <v>41</v>
      </c>
      <c r="F30" s="13"/>
      <c r="M30" s="11">
        <f>-M24</f>
        <v>-1350</v>
      </c>
    </row>
    <row r="31" spans="1:14" x14ac:dyDescent="0.5">
      <c r="A31" s="14"/>
      <c r="B31" t="s">
        <v>42</v>
      </c>
      <c r="F31" s="13"/>
      <c r="M31" s="12">
        <v>0</v>
      </c>
    </row>
    <row r="32" spans="1:14" x14ac:dyDescent="0.5">
      <c r="A32" s="14"/>
      <c r="B32" t="s">
        <v>43</v>
      </c>
      <c r="M32" s="11">
        <f>+M30+M29</f>
        <v>4237.9422651061741</v>
      </c>
    </row>
    <row r="33" spans="1:14" ht="14.7" thickBot="1" x14ac:dyDescent="0.55000000000000004">
      <c r="A33" s="14"/>
      <c r="M33" s="11"/>
    </row>
    <row r="34" spans="1:14" ht="14.7" thickBot="1" x14ac:dyDescent="0.55000000000000004">
      <c r="A34" s="14"/>
      <c r="B34" t="s">
        <v>94</v>
      </c>
      <c r="G34" s="81">
        <v>0.3</v>
      </c>
      <c r="M34" s="9"/>
    </row>
    <row r="35" spans="1:14" ht="14.7" thickBot="1" x14ac:dyDescent="0.55000000000000004">
      <c r="A35" s="14"/>
      <c r="B35" s="52" t="s">
        <v>5</v>
      </c>
      <c r="C35" s="139"/>
      <c r="D35" s="139"/>
      <c r="E35" s="139"/>
      <c r="F35" s="37"/>
      <c r="G35" s="53"/>
      <c r="H35" s="37">
        <f>-'Fig. 9.2'!E16</f>
        <v>-1896.0515726191502</v>
      </c>
      <c r="I35" s="37">
        <f>+I21</f>
        <v>405.26587908483674</v>
      </c>
      <c r="J35" s="37">
        <f>+J21</f>
        <v>395.90483031149228</v>
      </c>
      <c r="K35" s="37">
        <f>+K21</f>
        <v>389.08991558721414</v>
      </c>
      <c r="L35" s="37">
        <f>+L21</f>
        <v>373.96675627396462</v>
      </c>
      <c r="M35" s="170">
        <f>+M21+M32</f>
        <v>4596.0721356943586</v>
      </c>
    </row>
    <row r="36" spans="1:14" ht="14.7" thickTop="1" x14ac:dyDescent="0.5">
      <c r="A36" s="14"/>
      <c r="C36" s="140"/>
      <c r="D36" s="140"/>
      <c r="E36" s="140"/>
      <c r="F36" s="54"/>
      <c r="G36" s="54" t="s">
        <v>300</v>
      </c>
      <c r="H36" s="54"/>
      <c r="I36" s="65">
        <f>+I35/((1+$G$34)^I4)</f>
        <v>311.74298391141286</v>
      </c>
      <c r="J36" s="65">
        <f t="shared" ref="J36:M36" si="14">+J35/((1+$G$34)^J4)</f>
        <v>234.26321320206642</v>
      </c>
      <c r="K36" s="65">
        <f t="shared" si="14"/>
        <v>177.10055329413476</v>
      </c>
      <c r="L36" s="65">
        <f t="shared" si="14"/>
        <v>130.93615639297101</v>
      </c>
      <c r="M36" s="65">
        <f t="shared" si="14"/>
        <v>1237.855853919777</v>
      </c>
      <c r="N36" s="54"/>
    </row>
    <row r="37" spans="1:14" x14ac:dyDescent="0.5">
      <c r="A37" s="1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5">
      <c r="A38" s="14"/>
      <c r="F38" s="173" t="s">
        <v>135</v>
      </c>
      <c r="G38" s="171">
        <f>SUM(I36:M36)</f>
        <v>2091.8987607203621</v>
      </c>
      <c r="I38" s="20"/>
    </row>
    <row r="39" spans="1:14" x14ac:dyDescent="0.5">
      <c r="A39" s="14"/>
      <c r="F39" s="173" t="s">
        <v>136</v>
      </c>
      <c r="G39" s="172">
        <f>+H35</f>
        <v>-1896.0515726191502</v>
      </c>
    </row>
    <row r="40" spans="1:14" x14ac:dyDescent="0.5">
      <c r="A40" s="14"/>
      <c r="F40" s="171" t="s">
        <v>137</v>
      </c>
      <c r="G40" s="174">
        <f>+G38+G39</f>
        <v>195.84718810121194</v>
      </c>
    </row>
    <row r="41" spans="1:14" ht="14.7" thickBot="1" x14ac:dyDescent="0.55000000000000004">
      <c r="A41" s="14"/>
    </row>
    <row r="42" spans="1:14" ht="14.7" thickBot="1" x14ac:dyDescent="0.55000000000000004">
      <c r="A42" s="14"/>
      <c r="F42" s="179" t="s">
        <v>138</v>
      </c>
      <c r="G42" s="180">
        <f>IRR(H35:M35)</f>
        <v>0.33402931054821772</v>
      </c>
    </row>
    <row r="44" spans="1:14" x14ac:dyDescent="0.5">
      <c r="N44" s="10" t="s">
        <v>297</v>
      </c>
    </row>
  </sheetData>
  <mergeCells count="2">
    <mergeCell ref="I5:L5"/>
    <mergeCell ref="C5:F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5EAB3-53B4-48C7-B076-93CCA384AC6C}">
  <dimension ref="B2:K36"/>
  <sheetViews>
    <sheetView showGridLines="0" workbookViewId="0">
      <selection activeCell="O22" sqref="O22"/>
    </sheetView>
  </sheetViews>
  <sheetFormatPr defaultRowHeight="14.35" x14ac:dyDescent="0.5"/>
  <cols>
    <col min="1" max="1" width="4.5859375" customWidth="1"/>
    <col min="2" max="2" width="30.3515625" customWidth="1"/>
    <col min="4" max="4" width="12.703125" customWidth="1"/>
    <col min="5" max="5" width="12.234375" bestFit="1" customWidth="1"/>
    <col min="6" max="6" width="4.17578125" customWidth="1"/>
    <col min="7" max="9" width="10.234375" customWidth="1"/>
    <col min="10" max="10" width="12" customWidth="1"/>
    <col min="11" max="11" width="10.234375" customWidth="1"/>
    <col min="12" max="12" width="4" customWidth="1"/>
    <col min="13" max="13" width="2.46875" customWidth="1"/>
    <col min="15" max="15" width="9.76171875" bestFit="1" customWidth="1"/>
    <col min="17" max="17" width="9.76171875" bestFit="1" customWidth="1"/>
    <col min="19" max="23" width="9.76171875" bestFit="1" customWidth="1"/>
  </cols>
  <sheetData>
    <row r="2" spans="2:11" ht="20" x14ac:dyDescent="0.6">
      <c r="B2" s="15" t="s">
        <v>317</v>
      </c>
      <c r="C2" s="1"/>
      <c r="D2" s="1"/>
      <c r="E2" s="1"/>
    </row>
    <row r="3" spans="2:11" ht="15.35" x14ac:dyDescent="0.5">
      <c r="B3" s="58" t="s">
        <v>318</v>
      </c>
      <c r="C3" s="1"/>
      <c r="D3" s="1"/>
      <c r="E3" s="1"/>
    </row>
    <row r="4" spans="2:11" x14ac:dyDescent="0.5">
      <c r="B4" s="1"/>
      <c r="C4" s="1"/>
      <c r="D4" s="1"/>
      <c r="E4" s="1"/>
      <c r="G4" s="473" t="s">
        <v>319</v>
      </c>
      <c r="H4" s="473"/>
      <c r="I4" s="473"/>
      <c r="J4" s="473"/>
      <c r="K4" s="473"/>
    </row>
    <row r="5" spans="2:11" x14ac:dyDescent="0.5">
      <c r="B5" s="1"/>
      <c r="C5" s="1"/>
      <c r="D5" s="1"/>
      <c r="E5" s="1"/>
      <c r="G5" s="311"/>
      <c r="H5" s="311"/>
      <c r="I5" s="311"/>
      <c r="J5" s="2" t="s">
        <v>0</v>
      </c>
      <c r="K5" s="311"/>
    </row>
    <row r="6" spans="2:11" ht="15.35" x14ac:dyDescent="0.5">
      <c r="B6" s="58"/>
      <c r="C6" s="1"/>
      <c r="D6" s="312" t="s">
        <v>320</v>
      </c>
      <c r="E6" s="312" t="s">
        <v>160</v>
      </c>
      <c r="G6" s="313" t="s">
        <v>321</v>
      </c>
      <c r="H6" s="313" t="s">
        <v>322</v>
      </c>
      <c r="I6" s="313" t="s">
        <v>323</v>
      </c>
      <c r="J6" s="314" t="s">
        <v>324</v>
      </c>
      <c r="K6" s="313" t="s">
        <v>325</v>
      </c>
    </row>
    <row r="7" spans="2:11" x14ac:dyDescent="0.5">
      <c r="B7" t="s">
        <v>326</v>
      </c>
      <c r="D7" s="4">
        <v>960000</v>
      </c>
      <c r="E7" s="4">
        <v>1110000</v>
      </c>
      <c r="G7" s="4">
        <v>1228140</v>
      </c>
      <c r="H7" s="4">
        <v>1344199.848</v>
      </c>
      <c r="I7" s="4">
        <v>1442918.9540652002</v>
      </c>
      <c r="J7" s="5">
        <v>1529267.7156714478</v>
      </c>
      <c r="K7" s="4">
        <v>1605161.4860476251</v>
      </c>
    </row>
    <row r="8" spans="2:11" x14ac:dyDescent="0.5">
      <c r="B8" t="s">
        <v>327</v>
      </c>
      <c r="D8" s="4">
        <v>-345000</v>
      </c>
      <c r="E8" s="4">
        <v>-420000</v>
      </c>
      <c r="G8" s="4">
        <v>-463078.2</v>
      </c>
      <c r="H8" s="4">
        <v>-506823.33804</v>
      </c>
      <c r="I8" s="4">
        <v>-544053.13711893605</v>
      </c>
      <c r="J8" s="5">
        <v>-576709.25695468695</v>
      </c>
      <c r="K8" s="4">
        <v>-605474.36387137498</v>
      </c>
    </row>
    <row r="9" spans="2:11" x14ac:dyDescent="0.5">
      <c r="B9" t="s">
        <v>328</v>
      </c>
      <c r="D9" s="6">
        <v>-230000</v>
      </c>
      <c r="E9" s="6">
        <v>-257000</v>
      </c>
      <c r="G9" s="6">
        <v>-271501.2</v>
      </c>
      <c r="H9" s="6">
        <v>-289448.48784000002</v>
      </c>
      <c r="I9" s="6">
        <v>-306441.64132521598</v>
      </c>
      <c r="J9" s="7">
        <v>-322899.94850371598</v>
      </c>
      <c r="K9" s="6">
        <v>-338999.37669631001</v>
      </c>
    </row>
    <row r="10" spans="2:11" x14ac:dyDescent="0.5">
      <c r="B10" s="8" t="s">
        <v>1</v>
      </c>
      <c r="C10" s="8"/>
      <c r="D10" s="291">
        <f>SUM(D7:D9)</f>
        <v>385000</v>
      </c>
      <c r="E10" s="291">
        <f>SUM(E7:E9)</f>
        <v>433000</v>
      </c>
      <c r="F10" s="291"/>
      <c r="G10" s="291">
        <f t="shared" ref="G10:K10" si="0">SUM(G7:G9)</f>
        <v>493560.60000000003</v>
      </c>
      <c r="H10" s="291">
        <f t="shared" si="0"/>
        <v>547928.02211999986</v>
      </c>
      <c r="I10" s="291">
        <f t="shared" si="0"/>
        <v>592424.17562104808</v>
      </c>
      <c r="J10" s="315">
        <f t="shared" si="0"/>
        <v>629658.51021304494</v>
      </c>
      <c r="K10" s="291">
        <f t="shared" si="0"/>
        <v>660687.74547994009</v>
      </c>
    </row>
    <row r="11" spans="2:11" x14ac:dyDescent="0.5">
      <c r="B11" t="s">
        <v>329</v>
      </c>
      <c r="D11" s="6">
        <v>-60000</v>
      </c>
      <c r="E11" s="6">
        <v>-65000</v>
      </c>
      <c r="F11" s="4"/>
      <c r="G11" s="6">
        <v>-73688.399999999994</v>
      </c>
      <c r="H11" s="6">
        <v>-80651.990879999998</v>
      </c>
      <c r="I11" s="6">
        <v>-86575.137243912002</v>
      </c>
      <c r="J11" s="7">
        <v>-91756.062940286865</v>
      </c>
      <c r="K11" s="6">
        <v>-96309.689162857496</v>
      </c>
    </row>
    <row r="12" spans="2:11" x14ac:dyDescent="0.5">
      <c r="B12" s="8" t="s">
        <v>2</v>
      </c>
      <c r="C12" s="8"/>
      <c r="D12" s="4">
        <f>+D10+D11</f>
        <v>325000</v>
      </c>
      <c r="E12" s="4">
        <f>+E10+E11</f>
        <v>368000</v>
      </c>
      <c r="F12" s="291"/>
      <c r="G12" s="291">
        <f t="shared" ref="G12:K12" si="1">+G10+G11</f>
        <v>419872.20000000007</v>
      </c>
      <c r="H12" s="291">
        <f t="shared" si="1"/>
        <v>467276.03123999987</v>
      </c>
      <c r="I12" s="291">
        <f t="shared" si="1"/>
        <v>505849.03837713611</v>
      </c>
      <c r="J12" s="315">
        <f t="shared" si="1"/>
        <v>537902.44727275812</v>
      </c>
      <c r="K12" s="291">
        <f t="shared" si="1"/>
        <v>564378.05631708261</v>
      </c>
    </row>
    <row r="13" spans="2:11" x14ac:dyDescent="0.5">
      <c r="B13" t="s">
        <v>330</v>
      </c>
      <c r="D13" s="4"/>
      <c r="E13" s="4"/>
      <c r="F13" s="4"/>
      <c r="G13" s="6">
        <v>-129768.88</v>
      </c>
      <c r="H13" s="6">
        <v>-147070.412496</v>
      </c>
      <c r="I13" s="6">
        <v>-156959.615350854</v>
      </c>
      <c r="J13" s="7">
        <v>-158460.978909103</v>
      </c>
      <c r="K13" s="6">
        <v>-162851.22252683301</v>
      </c>
    </row>
    <row r="14" spans="2:11" x14ac:dyDescent="0.5">
      <c r="B14" s="8" t="s">
        <v>331</v>
      </c>
      <c r="C14" s="8"/>
      <c r="D14" s="4"/>
      <c r="E14" s="4"/>
      <c r="F14" s="291"/>
      <c r="G14" s="291">
        <f>+G12+G13</f>
        <v>290103.32000000007</v>
      </c>
      <c r="H14" s="291">
        <f t="shared" ref="H14:K14" si="2">+H12+H13</f>
        <v>320205.61874399986</v>
      </c>
      <c r="I14" s="291">
        <f t="shared" si="2"/>
        <v>348889.42302628211</v>
      </c>
      <c r="J14" s="315">
        <f t="shared" si="2"/>
        <v>379441.46836365515</v>
      </c>
      <c r="K14" s="291">
        <f t="shared" si="2"/>
        <v>401526.8337902496</v>
      </c>
    </row>
    <row r="15" spans="2:11" x14ac:dyDescent="0.5">
      <c r="B15" t="s">
        <v>4</v>
      </c>
      <c r="D15" s="4"/>
      <c r="E15" s="4"/>
      <c r="F15" s="4"/>
      <c r="G15" s="4">
        <f>-G11</f>
        <v>73688.399999999994</v>
      </c>
      <c r="H15" s="4">
        <f t="shared" ref="H15:K15" si="3">-H11</f>
        <v>80651.990879999998</v>
      </c>
      <c r="I15" s="4">
        <f t="shared" si="3"/>
        <v>86575.137243912002</v>
      </c>
      <c r="J15" s="5">
        <f t="shared" si="3"/>
        <v>91756.062940286865</v>
      </c>
      <c r="K15" s="4">
        <f t="shared" si="3"/>
        <v>96309.689162857496</v>
      </c>
    </row>
    <row r="16" spans="2:11" x14ac:dyDescent="0.5">
      <c r="B16" t="s">
        <v>332</v>
      </c>
      <c r="D16" s="4"/>
      <c r="E16" s="4"/>
      <c r="F16" s="4"/>
      <c r="G16" s="4">
        <v>2870.189189189201</v>
      </c>
      <c r="H16" s="4">
        <v>-4548.2913405405416</v>
      </c>
      <c r="I16" s="4">
        <v>-3868.7217241767667</v>
      </c>
      <c r="J16" s="5">
        <v>-3383.9379548394299</v>
      </c>
      <c r="K16" s="4">
        <v>-2974.2153255528992</v>
      </c>
    </row>
    <row r="17" spans="2:11" x14ac:dyDescent="0.5">
      <c r="B17" t="s">
        <v>333</v>
      </c>
      <c r="D17" s="4"/>
      <c r="E17" s="4"/>
      <c r="F17" s="4"/>
      <c r="G17" s="6">
        <v>-193625.67567567568</v>
      </c>
      <c r="H17" s="6">
        <v>-211923.39945945944</v>
      </c>
      <c r="I17" s="6">
        <v>-227487.22248775678</v>
      </c>
      <c r="J17" s="7">
        <v>-241100.76598423725</v>
      </c>
      <c r="K17" s="6">
        <v>-253066.00005255349</v>
      </c>
    </row>
    <row r="18" spans="2:11" x14ac:dyDescent="0.5">
      <c r="B18" s="8" t="s">
        <v>334</v>
      </c>
      <c r="C18" s="8"/>
      <c r="D18" s="4"/>
      <c r="E18" s="4"/>
      <c r="F18" s="291"/>
      <c r="G18" s="291">
        <f>SUM(G14:G17)</f>
        <v>173036.23351351364</v>
      </c>
      <c r="H18" s="291">
        <f t="shared" ref="H18:K18" si="4">SUM(H14:H17)</f>
        <v>184385.91882399985</v>
      </c>
      <c r="I18" s="291">
        <f t="shared" si="4"/>
        <v>204108.61605826052</v>
      </c>
      <c r="J18" s="315">
        <f t="shared" si="4"/>
        <v>226712.82736486534</v>
      </c>
      <c r="K18" s="291">
        <f t="shared" si="4"/>
        <v>241796.30757500068</v>
      </c>
    </row>
    <row r="19" spans="2:11" x14ac:dyDescent="0.5">
      <c r="B19" t="s">
        <v>335</v>
      </c>
      <c r="D19" s="4"/>
      <c r="E19" s="4"/>
      <c r="F19" s="4"/>
      <c r="G19" s="4">
        <v>-125450</v>
      </c>
      <c r="H19" s="4">
        <v>-129600</v>
      </c>
      <c r="I19" s="4">
        <v>-153450</v>
      </c>
      <c r="J19" s="5">
        <v>-201750</v>
      </c>
      <c r="K19" s="4">
        <v>-237250</v>
      </c>
    </row>
    <row r="20" spans="2:11" x14ac:dyDescent="0.5">
      <c r="B20" s="8" t="s">
        <v>336</v>
      </c>
      <c r="C20" s="8"/>
      <c r="D20" s="4"/>
      <c r="E20" s="4"/>
      <c r="F20" s="291"/>
      <c r="G20" s="316">
        <f>+G18+G19</f>
        <v>47586.233513513638</v>
      </c>
      <c r="H20" s="316">
        <f t="shared" ref="H20:K20" si="5">+H18+H19</f>
        <v>54785.918823999848</v>
      </c>
      <c r="I20" s="316">
        <f t="shared" si="5"/>
        <v>50658.616058260523</v>
      </c>
      <c r="J20" s="317">
        <f t="shared" si="5"/>
        <v>24962.827364865341</v>
      </c>
      <c r="K20" s="316">
        <f t="shared" si="5"/>
        <v>4546.3075750006828</v>
      </c>
    </row>
    <row r="21" spans="2:11" x14ac:dyDescent="0.5">
      <c r="J21" s="9"/>
    </row>
    <row r="22" spans="2:11" x14ac:dyDescent="0.5">
      <c r="B22" s="318" t="s">
        <v>337</v>
      </c>
      <c r="E22" s="318" t="s">
        <v>338</v>
      </c>
      <c r="J22" s="9"/>
    </row>
    <row r="23" spans="2:11" x14ac:dyDescent="0.5">
      <c r="B23" t="s">
        <v>339</v>
      </c>
      <c r="E23" s="10" t="s">
        <v>340</v>
      </c>
      <c r="F23" s="319">
        <v>7.5</v>
      </c>
      <c r="J23" s="11">
        <f>+F23*J10</f>
        <v>4722438.8265978368</v>
      </c>
    </row>
    <row r="24" spans="2:11" x14ac:dyDescent="0.5">
      <c r="B24" t="s">
        <v>341</v>
      </c>
      <c r="E24" s="10" t="s">
        <v>342</v>
      </c>
      <c r="F24" s="320">
        <v>0.1</v>
      </c>
      <c r="J24" s="7">
        <f>+K18/(F24-F25)</f>
        <v>4835926.1515000137</v>
      </c>
    </row>
    <row r="25" spans="2:11" x14ac:dyDescent="0.5">
      <c r="B25" t="s">
        <v>343</v>
      </c>
      <c r="E25" s="10" t="s">
        <v>344</v>
      </c>
      <c r="F25" s="320">
        <v>0.05</v>
      </c>
      <c r="J25" s="11">
        <f>AVERAGE(J23:J24)</f>
        <v>4779182.4890489252</v>
      </c>
    </row>
    <row r="26" spans="2:11" x14ac:dyDescent="0.5">
      <c r="B26" t="s">
        <v>210</v>
      </c>
      <c r="E26" s="10"/>
      <c r="J26" s="7">
        <v>-1030000</v>
      </c>
    </row>
    <row r="27" spans="2:11" x14ac:dyDescent="0.5">
      <c r="B27" t="s">
        <v>345</v>
      </c>
      <c r="E27" s="10"/>
      <c r="J27" s="11">
        <f>SUM(J25:J26)</f>
        <v>3749182.4890489252</v>
      </c>
    </row>
    <row r="28" spans="2:11" x14ac:dyDescent="0.5">
      <c r="E28" s="10"/>
      <c r="J28" s="9"/>
    </row>
    <row r="29" spans="2:11" x14ac:dyDescent="0.5">
      <c r="B29" t="s">
        <v>5</v>
      </c>
      <c r="E29" s="10" t="s">
        <v>346</v>
      </c>
      <c r="F29" s="320">
        <v>0.2</v>
      </c>
      <c r="G29" s="321">
        <f>+G20</f>
        <v>47586.233513513638</v>
      </c>
      <c r="H29" s="321">
        <f>+H20</f>
        <v>54785.918823999848</v>
      </c>
      <c r="I29" s="321">
        <f>+I20</f>
        <v>50658.616058260523</v>
      </c>
      <c r="J29" s="12">
        <f>+J27+J20</f>
        <v>3774145.3164137905</v>
      </c>
    </row>
    <row r="30" spans="2:11" x14ac:dyDescent="0.5">
      <c r="E30" s="10"/>
      <c r="F30" s="188"/>
      <c r="G30" s="13"/>
      <c r="H30" s="13"/>
      <c r="I30" s="13"/>
      <c r="J30" s="11"/>
    </row>
    <row r="31" spans="2:11" x14ac:dyDescent="0.5">
      <c r="B31" t="s">
        <v>347</v>
      </c>
      <c r="E31" s="13">
        <f>SUM(G31:J31)</f>
        <v>1927110.5277303311</v>
      </c>
      <c r="G31" s="4">
        <f>G29/(1+$F$29)^1</f>
        <v>39655.194594594701</v>
      </c>
      <c r="H31" s="4">
        <f>H29/(1+$F$29)^2</f>
        <v>38045.776961111005</v>
      </c>
      <c r="I31" s="4">
        <f>I29/(1+$F$29)^3</f>
        <v>29316.328737419284</v>
      </c>
      <c r="J31" s="5">
        <f>J29/(1+$F$29)^4</f>
        <v>1820093.2274372061</v>
      </c>
    </row>
    <row r="32" spans="2:11" x14ac:dyDescent="0.5">
      <c r="B32" t="s">
        <v>348</v>
      </c>
      <c r="E32" s="322">
        <f>1180000+10000</f>
        <v>1190000</v>
      </c>
      <c r="J32" s="9"/>
    </row>
    <row r="33" spans="2:11" x14ac:dyDescent="0.5">
      <c r="B33" t="s">
        <v>349</v>
      </c>
      <c r="E33" s="322">
        <v>-65800</v>
      </c>
      <c r="J33" s="9"/>
    </row>
    <row r="34" spans="2:11" ht="14.7" thickBot="1" x14ac:dyDescent="0.55000000000000004">
      <c r="B34" s="8" t="s">
        <v>350</v>
      </c>
      <c r="E34" s="323">
        <f>SUM(E31:E33)</f>
        <v>3051310.5277303308</v>
      </c>
      <c r="J34" s="324"/>
    </row>
    <row r="35" spans="2:11" x14ac:dyDescent="0.5">
      <c r="B35" t="s">
        <v>351</v>
      </c>
      <c r="E35" s="48">
        <f>+E34/E10</f>
        <v>7.0469065305550362</v>
      </c>
    </row>
    <row r="36" spans="2:11" x14ac:dyDescent="0.5">
      <c r="K36" t="s">
        <v>242</v>
      </c>
    </row>
  </sheetData>
  <mergeCells count="1">
    <mergeCell ref="G4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CCB0-D35F-4939-82EC-766B08962AD8}">
  <dimension ref="B2:K57"/>
  <sheetViews>
    <sheetView showGridLines="0" workbookViewId="0">
      <selection activeCell="E3" sqref="E3"/>
    </sheetView>
  </sheetViews>
  <sheetFormatPr defaultRowHeight="14.35" x14ac:dyDescent="0.5"/>
  <cols>
    <col min="1" max="1" width="4.5859375" customWidth="1"/>
    <col min="2" max="2" width="30.3515625" customWidth="1"/>
    <col min="4" max="4" width="12.703125" customWidth="1"/>
    <col min="5" max="5" width="10.52734375" customWidth="1"/>
    <col min="6" max="6" width="6.76171875" customWidth="1"/>
    <col min="7" max="9" width="10.234375" customWidth="1"/>
    <col min="10" max="10" width="11.3515625" customWidth="1"/>
    <col min="11" max="11" width="10.234375" customWidth="1"/>
    <col min="12" max="12" width="4" customWidth="1"/>
    <col min="13" max="13" width="2.8203125" customWidth="1"/>
    <col min="15" max="15" width="9.76171875" bestFit="1" customWidth="1"/>
    <col min="17" max="17" width="9.76171875" bestFit="1" customWidth="1"/>
    <col min="19" max="23" width="9.76171875" bestFit="1" customWidth="1"/>
  </cols>
  <sheetData>
    <row r="2" spans="2:11" ht="20" x14ac:dyDescent="0.6">
      <c r="B2" s="15" t="s">
        <v>317</v>
      </c>
      <c r="C2" s="1"/>
      <c r="D2" s="1"/>
      <c r="E2" s="1"/>
    </row>
    <row r="3" spans="2:11" ht="15.35" x14ac:dyDescent="0.5">
      <c r="B3" s="58" t="s">
        <v>352</v>
      </c>
      <c r="C3" s="1"/>
      <c r="D3" s="1"/>
      <c r="E3" s="1"/>
    </row>
    <row r="4" spans="2:11" ht="15.35" x14ac:dyDescent="0.5">
      <c r="B4" s="58"/>
      <c r="C4" s="1"/>
      <c r="D4" s="1"/>
      <c r="E4" s="1"/>
    </row>
    <row r="5" spans="2:11" x14ac:dyDescent="0.5">
      <c r="B5" s="8" t="s">
        <v>353</v>
      </c>
      <c r="C5" s="1"/>
      <c r="D5" s="1"/>
      <c r="E5" s="1"/>
    </row>
    <row r="6" spans="2:11" ht="38.700000000000003" x14ac:dyDescent="0.5">
      <c r="B6" s="325" t="s">
        <v>354</v>
      </c>
      <c r="C6" s="326" t="s">
        <v>355</v>
      </c>
      <c r="D6" s="313" t="s">
        <v>356</v>
      </c>
      <c r="E6" s="313" t="s">
        <v>357</v>
      </c>
      <c r="F6" s="326" t="s">
        <v>358</v>
      </c>
      <c r="G6" s="326" t="s">
        <v>359</v>
      </c>
      <c r="H6" s="325" t="s">
        <v>360</v>
      </c>
      <c r="I6" s="325"/>
      <c r="J6" s="326" t="s">
        <v>361</v>
      </c>
      <c r="K6" s="326" t="s">
        <v>356</v>
      </c>
    </row>
    <row r="7" spans="2:11" x14ac:dyDescent="0.5">
      <c r="B7" t="s">
        <v>362</v>
      </c>
      <c r="C7" s="327">
        <v>3.5</v>
      </c>
      <c r="D7" s="261">
        <f>+C7*E30</f>
        <v>1515500</v>
      </c>
      <c r="E7" s="33">
        <f>+D7/$D$11</f>
        <v>0.33816425120772947</v>
      </c>
      <c r="F7" s="328">
        <v>0.05</v>
      </c>
      <c r="G7" s="328">
        <f>+(F7*(1-$F$13))*E7</f>
        <v>1.0821256038647344E-2</v>
      </c>
      <c r="H7" t="s">
        <v>363</v>
      </c>
      <c r="J7" s="327">
        <v>10</v>
      </c>
      <c r="K7" s="13">
        <f>+J7*E30</f>
        <v>4330000</v>
      </c>
    </row>
    <row r="8" spans="2:11" x14ac:dyDescent="0.5">
      <c r="B8" t="s">
        <v>59</v>
      </c>
      <c r="C8" s="327">
        <v>2.5</v>
      </c>
      <c r="D8" s="329">
        <f>+C8*E30</f>
        <v>1082500</v>
      </c>
      <c r="E8" s="330">
        <f t="shared" ref="E8:E11" si="0">+D8/$D$11</f>
        <v>0.24154589371980675</v>
      </c>
      <c r="F8" s="331">
        <v>0.08</v>
      </c>
      <c r="G8" s="331">
        <f t="shared" ref="G8:G9" si="1">+(F8*(1-$F$13))*E8</f>
        <v>1.2367149758454106E-2</v>
      </c>
      <c r="H8" t="s">
        <v>364</v>
      </c>
      <c r="I8" s="50">
        <v>3.5000000000000003E-2</v>
      </c>
      <c r="J8" s="327"/>
      <c r="K8" s="13">
        <f>+I8*K7</f>
        <v>151550</v>
      </c>
    </row>
    <row r="9" spans="2:11" x14ac:dyDescent="0.5">
      <c r="B9" t="s">
        <v>365</v>
      </c>
      <c r="C9" s="327">
        <f>+D9/E30</f>
        <v>6</v>
      </c>
      <c r="D9" s="261">
        <f>SUM(D7:D8)</f>
        <v>2598000</v>
      </c>
      <c r="E9" s="33">
        <f t="shared" si="0"/>
        <v>0.57971014492753625</v>
      </c>
      <c r="F9" s="332"/>
      <c r="G9" s="328">
        <f t="shared" si="1"/>
        <v>0</v>
      </c>
    </row>
    <row r="10" spans="2:11" x14ac:dyDescent="0.5">
      <c r="B10" t="s">
        <v>60</v>
      </c>
      <c r="C10" s="1"/>
      <c r="D10" s="329">
        <f>+K11-D9</f>
        <v>1883550</v>
      </c>
      <c r="E10" s="33">
        <f t="shared" si="0"/>
        <v>0.42028985507246375</v>
      </c>
      <c r="F10" s="333">
        <v>0.25</v>
      </c>
      <c r="G10" s="330">
        <f>+E10*F10</f>
        <v>0.10507246376811594</v>
      </c>
    </row>
    <row r="11" spans="2:11" ht="14.7" thickBot="1" x14ac:dyDescent="0.55000000000000004">
      <c r="B11" t="s">
        <v>366</v>
      </c>
      <c r="C11" s="1"/>
      <c r="D11" s="334">
        <f>SUM(D9:D10)</f>
        <v>4481550</v>
      </c>
      <c r="E11" s="335">
        <f t="shared" si="0"/>
        <v>1</v>
      </c>
      <c r="F11" s="336"/>
      <c r="G11" s="337">
        <f>SUM(G9:G10)</f>
        <v>0.10507246376811594</v>
      </c>
      <c r="K11" s="334">
        <f>SUM(K7:K10)</f>
        <v>4481550</v>
      </c>
    </row>
    <row r="12" spans="2:11" ht="7.5" customHeight="1" thickTop="1" x14ac:dyDescent="0.5">
      <c r="C12" s="1"/>
      <c r="D12" s="1"/>
    </row>
    <row r="13" spans="2:11" x14ac:dyDescent="0.5">
      <c r="C13" s="1"/>
      <c r="D13" s="1"/>
      <c r="E13" s="263" t="s">
        <v>367</v>
      </c>
      <c r="F13" s="338">
        <v>0.36</v>
      </c>
    </row>
    <row r="14" spans="2:11" x14ac:dyDescent="0.5">
      <c r="B14" s="28"/>
      <c r="C14" s="339"/>
      <c r="D14" s="339"/>
      <c r="E14" s="340"/>
      <c r="F14" s="341"/>
      <c r="G14" s="28"/>
    </row>
    <row r="15" spans="2:11" x14ac:dyDescent="0.5">
      <c r="B15" s="8" t="s">
        <v>368</v>
      </c>
      <c r="C15" s="1"/>
      <c r="D15" s="1"/>
      <c r="E15" s="263"/>
      <c r="F15" s="338"/>
      <c r="G15" s="311"/>
      <c r="H15" s="342"/>
      <c r="I15" s="342"/>
      <c r="J15" s="343" t="s">
        <v>0</v>
      </c>
      <c r="K15" s="342"/>
    </row>
    <row r="16" spans="2:11" x14ac:dyDescent="0.5">
      <c r="B16" s="325"/>
      <c r="C16" s="313" t="s">
        <v>74</v>
      </c>
      <c r="D16" s="313" t="s">
        <v>147</v>
      </c>
      <c r="E16" s="313" t="s">
        <v>160</v>
      </c>
      <c r="F16" s="338"/>
      <c r="G16" s="313" t="s">
        <v>321</v>
      </c>
      <c r="H16" s="313" t="s">
        <v>322</v>
      </c>
      <c r="I16" s="313" t="s">
        <v>323</v>
      </c>
      <c r="J16" s="314" t="s">
        <v>324</v>
      </c>
      <c r="K16" s="313" t="s">
        <v>325</v>
      </c>
    </row>
    <row r="17" spans="2:11" x14ac:dyDescent="0.5">
      <c r="B17" t="s">
        <v>369</v>
      </c>
      <c r="C17" s="57">
        <v>5</v>
      </c>
      <c r="D17" s="344">
        <f>+F7</f>
        <v>0.05</v>
      </c>
      <c r="E17" s="345">
        <f>+D7</f>
        <v>1515500</v>
      </c>
      <c r="F17" s="338"/>
      <c r="G17" s="13">
        <f>+E17-G18</f>
        <v>1363950</v>
      </c>
      <c r="H17" s="13">
        <f>+G17-H18</f>
        <v>1212400</v>
      </c>
      <c r="I17" s="13">
        <f t="shared" ref="I17:K17" si="2">+H17-I18</f>
        <v>1060850</v>
      </c>
      <c r="J17" s="13">
        <f t="shared" si="2"/>
        <v>909300</v>
      </c>
      <c r="K17" s="13">
        <f t="shared" si="2"/>
        <v>0</v>
      </c>
    </row>
    <row r="18" spans="2:11" x14ac:dyDescent="0.5">
      <c r="B18" t="s">
        <v>370</v>
      </c>
      <c r="C18" s="1"/>
      <c r="D18" s="57"/>
      <c r="E18" s="263"/>
      <c r="F18" s="338"/>
      <c r="G18" s="4">
        <f>+$E$17*0.1</f>
        <v>151550</v>
      </c>
      <c r="H18" s="4">
        <f>+$E$17*0.1</f>
        <v>151550</v>
      </c>
      <c r="I18" s="4">
        <f>+$E$17*0.1</f>
        <v>151550</v>
      </c>
      <c r="J18" s="4">
        <f>+$E$17*0.1</f>
        <v>151550</v>
      </c>
      <c r="K18" s="4">
        <f>+J17</f>
        <v>909300</v>
      </c>
    </row>
    <row r="19" spans="2:11" x14ac:dyDescent="0.5">
      <c r="B19" t="s">
        <v>371</v>
      </c>
      <c r="C19" s="1"/>
      <c r="D19" s="57"/>
      <c r="E19" s="263"/>
      <c r="F19" s="338"/>
      <c r="G19" s="4">
        <f>+E17*$D$17</f>
        <v>75775</v>
      </c>
      <c r="H19" s="4">
        <f>+G17*$D$17</f>
        <v>68197.5</v>
      </c>
      <c r="I19" s="4">
        <f t="shared" ref="I19:K19" si="3">+H17*$D$17</f>
        <v>60620</v>
      </c>
      <c r="J19" s="4">
        <f t="shared" si="3"/>
        <v>53042.5</v>
      </c>
      <c r="K19" s="4">
        <f t="shared" si="3"/>
        <v>45465</v>
      </c>
    </row>
    <row r="20" spans="2:11" x14ac:dyDescent="0.5">
      <c r="C20" s="1"/>
      <c r="D20" s="57"/>
      <c r="E20" s="263"/>
      <c r="F20" s="338"/>
    </row>
    <row r="21" spans="2:11" x14ac:dyDescent="0.5">
      <c r="B21" t="s">
        <v>372</v>
      </c>
      <c r="C21" s="57">
        <v>10</v>
      </c>
      <c r="D21" s="344">
        <f>+F8</f>
        <v>0.08</v>
      </c>
      <c r="E21" s="345">
        <f>+D8</f>
        <v>1082500</v>
      </c>
      <c r="F21" s="338"/>
      <c r="G21" s="13">
        <f>+E21-G22</f>
        <v>1082500</v>
      </c>
      <c r="H21" s="13">
        <f>+G21-H22</f>
        <v>1082500</v>
      </c>
      <c r="I21" s="13">
        <f t="shared" ref="I21:K21" si="4">+H21-I22</f>
        <v>1082500</v>
      </c>
      <c r="J21" s="13">
        <f t="shared" si="4"/>
        <v>1082500</v>
      </c>
      <c r="K21" s="13">
        <f t="shared" si="4"/>
        <v>1082500</v>
      </c>
    </row>
    <row r="22" spans="2:11" x14ac:dyDescent="0.5">
      <c r="B22" t="s">
        <v>373</v>
      </c>
      <c r="C22" s="1"/>
      <c r="D22" s="1"/>
      <c r="E22" s="263"/>
      <c r="F22" s="338"/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spans="2:11" x14ac:dyDescent="0.5">
      <c r="B23" t="s">
        <v>374</v>
      </c>
      <c r="C23" s="1"/>
      <c r="D23" s="1"/>
      <c r="E23" s="263"/>
      <c r="F23" s="338"/>
      <c r="G23" s="4">
        <f>+E21*$D$21</f>
        <v>86600</v>
      </c>
      <c r="H23" s="4">
        <f>+G21*$D$21</f>
        <v>86600</v>
      </c>
      <c r="I23" s="4">
        <f t="shared" ref="I23:K23" si="5">+H21*$D$21</f>
        <v>86600</v>
      </c>
      <c r="J23" s="4">
        <f t="shared" si="5"/>
        <v>86600</v>
      </c>
      <c r="K23" s="4">
        <f t="shared" si="5"/>
        <v>86600</v>
      </c>
    </row>
    <row r="24" spans="2:11" x14ac:dyDescent="0.5">
      <c r="C24" s="1"/>
      <c r="D24" s="1"/>
      <c r="E24" s="263"/>
      <c r="F24" s="338"/>
    </row>
    <row r="25" spans="2:11" x14ac:dyDescent="0.5">
      <c r="B25" s="8" t="s">
        <v>375</v>
      </c>
      <c r="C25" s="1"/>
      <c r="D25" s="1"/>
      <c r="E25" s="1"/>
      <c r="G25" s="311"/>
      <c r="H25" s="311"/>
      <c r="I25" s="311"/>
      <c r="J25" s="348" t="s">
        <v>0</v>
      </c>
      <c r="K25" s="311"/>
    </row>
    <row r="26" spans="2:11" x14ac:dyDescent="0.5">
      <c r="B26" s="325"/>
      <c r="C26" s="325"/>
      <c r="D26" s="313" t="s">
        <v>320</v>
      </c>
      <c r="E26" s="313" t="s">
        <v>160</v>
      </c>
      <c r="G26" s="313" t="s">
        <v>321</v>
      </c>
      <c r="H26" s="313" t="s">
        <v>322</v>
      </c>
      <c r="I26" s="313" t="s">
        <v>323</v>
      </c>
      <c r="J26" s="349" t="s">
        <v>324</v>
      </c>
      <c r="K26" s="313" t="s">
        <v>325</v>
      </c>
    </row>
    <row r="27" spans="2:11" x14ac:dyDescent="0.5">
      <c r="B27" t="s">
        <v>326</v>
      </c>
      <c r="D27" s="4">
        <v>960000</v>
      </c>
      <c r="E27" s="4">
        <v>1110000</v>
      </c>
      <c r="G27" s="4">
        <v>1228140</v>
      </c>
      <c r="H27" s="4">
        <v>1344199.848</v>
      </c>
      <c r="I27" s="4">
        <v>1442918.9540652002</v>
      </c>
      <c r="J27" s="350">
        <v>1529267.7156714478</v>
      </c>
      <c r="K27" s="4">
        <v>1605161.4860476251</v>
      </c>
    </row>
    <row r="28" spans="2:11" x14ac:dyDescent="0.5">
      <c r="B28" t="s">
        <v>327</v>
      </c>
      <c r="D28" s="4">
        <v>-345000</v>
      </c>
      <c r="E28" s="4">
        <v>-420000</v>
      </c>
      <c r="G28" s="4">
        <v>-463078.2</v>
      </c>
      <c r="H28" s="4">
        <v>-506823.33804</v>
      </c>
      <c r="I28" s="4">
        <v>-544053.13711893605</v>
      </c>
      <c r="J28" s="350">
        <v>-576709.25695468695</v>
      </c>
      <c r="K28" s="4">
        <v>-605474.36387137498</v>
      </c>
    </row>
    <row r="29" spans="2:11" x14ac:dyDescent="0.5">
      <c r="B29" t="s">
        <v>328</v>
      </c>
      <c r="D29" s="6">
        <v>-230000</v>
      </c>
      <c r="E29" s="6">
        <v>-257000</v>
      </c>
      <c r="G29" s="6">
        <v>-271501.2</v>
      </c>
      <c r="H29" s="6">
        <v>-289448.48784000002</v>
      </c>
      <c r="I29" s="6">
        <v>-306441.64132521598</v>
      </c>
      <c r="J29" s="351">
        <v>-322899.94850371598</v>
      </c>
      <c r="K29" s="6">
        <v>-338999.37669631001</v>
      </c>
    </row>
    <row r="30" spans="2:11" x14ac:dyDescent="0.5">
      <c r="B30" s="8" t="s">
        <v>1</v>
      </c>
      <c r="C30" s="8"/>
      <c r="D30" s="291">
        <f>SUM(D27:D29)</f>
        <v>385000</v>
      </c>
      <c r="E30" s="291">
        <f>SUM(E27:E29)</f>
        <v>433000</v>
      </c>
      <c r="F30" s="291"/>
      <c r="G30" s="291">
        <f t="shared" ref="G30:K30" si="6">SUM(G27:G29)</f>
        <v>493560.60000000003</v>
      </c>
      <c r="H30" s="291">
        <f t="shared" si="6"/>
        <v>547928.02211999986</v>
      </c>
      <c r="I30" s="291">
        <f t="shared" si="6"/>
        <v>592424.17562104808</v>
      </c>
      <c r="J30" s="352">
        <f t="shared" si="6"/>
        <v>629658.51021304494</v>
      </c>
      <c r="K30" s="291">
        <f t="shared" si="6"/>
        <v>660687.74547994009</v>
      </c>
    </row>
    <row r="31" spans="2:11" x14ac:dyDescent="0.5">
      <c r="B31" t="s">
        <v>376</v>
      </c>
      <c r="D31" s="4">
        <v>-60000</v>
      </c>
      <c r="E31" s="4">
        <v>-65000</v>
      </c>
      <c r="F31" s="4"/>
      <c r="G31" s="4">
        <v>-73688.399999999994</v>
      </c>
      <c r="H31" s="4">
        <v>-80651.990879999998</v>
      </c>
      <c r="I31" s="4">
        <v>-86575.137243912002</v>
      </c>
      <c r="J31" s="350">
        <v>-91756.062940286865</v>
      </c>
      <c r="K31" s="4">
        <v>-96309.689162857496</v>
      </c>
    </row>
    <row r="32" spans="2:11" x14ac:dyDescent="0.5">
      <c r="B32" t="s">
        <v>377</v>
      </c>
      <c r="D32" s="4"/>
      <c r="E32" s="4"/>
      <c r="F32" s="4"/>
      <c r="G32" s="6">
        <f>-$K$8/$C$17</f>
        <v>-30310</v>
      </c>
      <c r="H32" s="6">
        <f>-$K$8/$C$17</f>
        <v>-30310</v>
      </c>
      <c r="I32" s="6">
        <f>-$K$8/$C$17</f>
        <v>-30310</v>
      </c>
      <c r="J32" s="351">
        <f>-$K$8/$C$17</f>
        <v>-30310</v>
      </c>
      <c r="K32" s="6">
        <f>-$K$8/$C$17</f>
        <v>-30310</v>
      </c>
    </row>
    <row r="33" spans="2:11" x14ac:dyDescent="0.5">
      <c r="B33" s="8" t="s">
        <v>2</v>
      </c>
      <c r="C33" s="8"/>
      <c r="D33" s="4">
        <f>+D30+D31</f>
        <v>325000</v>
      </c>
      <c r="E33" s="4">
        <f>+E30+E31</f>
        <v>368000</v>
      </c>
      <c r="F33" s="291"/>
      <c r="G33" s="291">
        <f>+G30+G31+G32</f>
        <v>389562.20000000007</v>
      </c>
      <c r="H33" s="291">
        <f t="shared" ref="H33:K33" si="7">+H30+H31+H32</f>
        <v>436966.03123999987</v>
      </c>
      <c r="I33" s="291">
        <f t="shared" si="7"/>
        <v>475539.03837713611</v>
      </c>
      <c r="J33" s="352">
        <f t="shared" si="7"/>
        <v>507592.44727275812</v>
      </c>
      <c r="K33" s="291">
        <f t="shared" si="7"/>
        <v>534068.05631708261</v>
      </c>
    </row>
    <row r="34" spans="2:11" x14ac:dyDescent="0.5">
      <c r="B34" t="s">
        <v>330</v>
      </c>
      <c r="D34" s="4"/>
      <c r="E34" s="4"/>
      <c r="F34" s="4"/>
      <c r="G34" s="6">
        <f>-G33*$F$13</f>
        <v>-140242.39200000002</v>
      </c>
      <c r="H34" s="6">
        <f t="shared" ref="H34:K34" si="8">-H33*$F$13</f>
        <v>-157307.77124639993</v>
      </c>
      <c r="I34" s="6">
        <f t="shared" si="8"/>
        <v>-171194.053815769</v>
      </c>
      <c r="J34" s="351">
        <f t="shared" si="8"/>
        <v>-182733.28101819291</v>
      </c>
      <c r="K34" s="6">
        <f t="shared" si="8"/>
        <v>-192264.50027414973</v>
      </c>
    </row>
    <row r="35" spans="2:11" x14ac:dyDescent="0.5">
      <c r="B35" s="8" t="s">
        <v>331</v>
      </c>
      <c r="C35" s="8"/>
      <c r="D35" s="4"/>
      <c r="E35" s="4"/>
      <c r="F35" s="291"/>
      <c r="G35" s="291">
        <f>+G33+G34</f>
        <v>249319.80800000005</v>
      </c>
      <c r="H35" s="291">
        <f t="shared" ref="H35:K35" si="9">+H33+H34</f>
        <v>279658.25999359996</v>
      </c>
      <c r="I35" s="291">
        <f t="shared" si="9"/>
        <v>304344.98456136708</v>
      </c>
      <c r="J35" s="352">
        <f t="shared" si="9"/>
        <v>324859.16625456524</v>
      </c>
      <c r="K35" s="291">
        <f t="shared" si="9"/>
        <v>341803.55604293291</v>
      </c>
    </row>
    <row r="36" spans="2:11" x14ac:dyDescent="0.5">
      <c r="B36" t="s">
        <v>4</v>
      </c>
      <c r="D36" s="4"/>
      <c r="E36" s="4"/>
      <c r="F36" s="4"/>
      <c r="G36" s="4">
        <f>-G31-G32</f>
        <v>103998.39999999999</v>
      </c>
      <c r="H36" s="4">
        <f t="shared" ref="H36:K36" si="10">-H31-H32</f>
        <v>110961.99088</v>
      </c>
      <c r="I36" s="4">
        <f t="shared" si="10"/>
        <v>116885.137243912</v>
      </c>
      <c r="J36" s="350">
        <f t="shared" si="10"/>
        <v>122066.06294028687</v>
      </c>
      <c r="K36" s="4">
        <f t="shared" si="10"/>
        <v>126619.6891628575</v>
      </c>
    </row>
    <row r="37" spans="2:11" x14ac:dyDescent="0.5">
      <c r="B37" t="s">
        <v>332</v>
      </c>
      <c r="D37" s="4"/>
      <c r="E37" s="4"/>
      <c r="F37" s="4"/>
      <c r="G37" s="4">
        <v>2870.189189189201</v>
      </c>
      <c r="H37" s="4">
        <v>-4548.2913405405416</v>
      </c>
      <c r="I37" s="4">
        <v>-3868.7217241767667</v>
      </c>
      <c r="J37" s="350">
        <v>-3383.9379548394299</v>
      </c>
      <c r="K37" s="4">
        <v>-2974.2153255528992</v>
      </c>
    </row>
    <row r="38" spans="2:11" x14ac:dyDescent="0.5">
      <c r="B38" t="s">
        <v>333</v>
      </c>
      <c r="D38" s="4"/>
      <c r="E38" s="4"/>
      <c r="F38" s="4"/>
      <c r="G38" s="6">
        <v>-193625.67567567568</v>
      </c>
      <c r="H38" s="6">
        <v>-211923.39945945944</v>
      </c>
      <c r="I38" s="6">
        <v>-227487.22248775678</v>
      </c>
      <c r="J38" s="351">
        <v>-241100.76598423725</v>
      </c>
      <c r="K38" s="6">
        <v>-253066.00005255349</v>
      </c>
    </row>
    <row r="39" spans="2:11" x14ac:dyDescent="0.5">
      <c r="B39" s="8" t="s">
        <v>334</v>
      </c>
      <c r="C39" s="8"/>
      <c r="D39" s="4"/>
      <c r="E39" s="4"/>
      <c r="F39" s="291"/>
      <c r="G39" s="291">
        <f>SUM(G35:G38)</f>
        <v>162562.72151351353</v>
      </c>
      <c r="H39" s="291">
        <f t="shared" ref="H39:K39" si="11">SUM(H35:H38)</f>
        <v>174148.56007359995</v>
      </c>
      <c r="I39" s="291">
        <f t="shared" si="11"/>
        <v>189874.17759334549</v>
      </c>
      <c r="J39" s="352">
        <f t="shared" si="11"/>
        <v>202440.52525577543</v>
      </c>
      <c r="K39" s="291">
        <f t="shared" si="11"/>
        <v>212383.02982768399</v>
      </c>
    </row>
    <row r="40" spans="2:11" x14ac:dyDescent="0.5">
      <c r="B40" t="s">
        <v>335</v>
      </c>
      <c r="D40" s="4"/>
      <c r="E40" s="4"/>
      <c r="F40" s="4"/>
      <c r="G40" s="4">
        <v>-125450</v>
      </c>
      <c r="H40" s="4">
        <v>-129600</v>
      </c>
      <c r="I40" s="4">
        <v>-153450</v>
      </c>
      <c r="J40" s="350">
        <v>-201750</v>
      </c>
      <c r="K40" s="4">
        <v>-237250</v>
      </c>
    </row>
    <row r="41" spans="2:11" x14ac:dyDescent="0.5">
      <c r="B41" s="8" t="s">
        <v>336</v>
      </c>
      <c r="C41" s="8"/>
      <c r="D41" s="4"/>
      <c r="E41" s="4"/>
      <c r="F41" s="291"/>
      <c r="G41" s="316">
        <f>+G39+G40</f>
        <v>37112.721513513534</v>
      </c>
      <c r="H41" s="316">
        <f t="shared" ref="H41:K41" si="12">+H39+H40</f>
        <v>44548.560073599947</v>
      </c>
      <c r="I41" s="316">
        <f t="shared" si="12"/>
        <v>36424.177593345492</v>
      </c>
      <c r="J41" s="353">
        <f t="shared" si="12"/>
        <v>690.52525577542838</v>
      </c>
      <c r="K41" s="316">
        <f t="shared" si="12"/>
        <v>-24866.970172316011</v>
      </c>
    </row>
    <row r="42" spans="2:11" x14ac:dyDescent="0.5">
      <c r="J42" s="354"/>
    </row>
    <row r="43" spans="2:11" x14ac:dyDescent="0.5">
      <c r="B43" s="318" t="s">
        <v>337</v>
      </c>
      <c r="E43" s="318" t="s">
        <v>338</v>
      </c>
      <c r="J43" s="354"/>
    </row>
    <row r="44" spans="2:11" x14ac:dyDescent="0.5">
      <c r="B44" t="s">
        <v>339</v>
      </c>
      <c r="E44" s="10" t="s">
        <v>340</v>
      </c>
      <c r="F44" s="319">
        <f>+J7</f>
        <v>10</v>
      </c>
      <c r="J44" s="355">
        <f>+F44*J30</f>
        <v>6296585.1021304494</v>
      </c>
    </row>
    <row r="45" spans="2:11" x14ac:dyDescent="0.5">
      <c r="B45" t="s">
        <v>341</v>
      </c>
      <c r="E45" s="10" t="s">
        <v>342</v>
      </c>
      <c r="F45" s="346">
        <f>+G11</f>
        <v>0.10507246376811594</v>
      </c>
      <c r="J45" s="351">
        <f>+K39/(F45-F46)</f>
        <v>3856428.6995026837</v>
      </c>
    </row>
    <row r="46" spans="2:11" x14ac:dyDescent="0.5">
      <c r="B46" t="s">
        <v>343</v>
      </c>
      <c r="E46" s="10" t="s">
        <v>344</v>
      </c>
      <c r="F46" s="347">
        <v>0.05</v>
      </c>
      <c r="J46" s="355">
        <f>AVERAGE(J44:J45)</f>
        <v>5076506.9008165663</v>
      </c>
    </row>
    <row r="47" spans="2:11" x14ac:dyDescent="0.5">
      <c r="B47" t="s">
        <v>210</v>
      </c>
      <c r="E47" s="10"/>
      <c r="J47" s="351">
        <v>-1030000</v>
      </c>
    </row>
    <row r="48" spans="2:11" x14ac:dyDescent="0.5">
      <c r="B48" t="s">
        <v>345</v>
      </c>
      <c r="E48" s="10"/>
      <c r="J48" s="355">
        <f>SUM(J46:J47)</f>
        <v>4046506.9008165663</v>
      </c>
    </row>
    <row r="49" spans="2:11" x14ac:dyDescent="0.5">
      <c r="E49" s="10"/>
      <c r="J49" s="354"/>
    </row>
    <row r="50" spans="2:11" x14ac:dyDescent="0.5">
      <c r="B50" t="s">
        <v>5</v>
      </c>
      <c r="E50" s="10" t="s">
        <v>346</v>
      </c>
      <c r="F50" s="320">
        <f>+F10</f>
        <v>0.25</v>
      </c>
      <c r="G50" s="321">
        <f>+G41</f>
        <v>37112.721513513534</v>
      </c>
      <c r="H50" s="321">
        <f>+H41</f>
        <v>44548.560073599947</v>
      </c>
      <c r="I50" s="321">
        <f>+I41</f>
        <v>36424.177593345492</v>
      </c>
      <c r="J50" s="356">
        <f>+J48+J41</f>
        <v>4047197.4260723419</v>
      </c>
    </row>
    <row r="51" spans="2:11" x14ac:dyDescent="0.5">
      <c r="E51" s="10"/>
      <c r="F51" s="188"/>
      <c r="G51" s="13"/>
      <c r="H51" s="13"/>
      <c r="I51" s="13"/>
      <c r="J51" s="355"/>
    </row>
    <row r="52" spans="2:11" x14ac:dyDescent="0.5">
      <c r="B52" t="s">
        <v>347</v>
      </c>
      <c r="E52" s="13">
        <f>SUM(G52:J52)</f>
        <v>1734582.500304939</v>
      </c>
      <c r="G52" s="4">
        <f>G50/(1+$F$50)^1</f>
        <v>29690.177210810827</v>
      </c>
      <c r="H52" s="4">
        <f>H50/(1+$F$50)^2</f>
        <v>28511.078447103966</v>
      </c>
      <c r="I52" s="4">
        <f>I50/(1+$F$50)^3</f>
        <v>18649.178927792891</v>
      </c>
      <c r="J52" s="350">
        <f>J50/(1+$F$50)^4</f>
        <v>1657732.0657192313</v>
      </c>
    </row>
    <row r="53" spans="2:11" x14ac:dyDescent="0.5">
      <c r="B53" t="s">
        <v>348</v>
      </c>
      <c r="E53" s="322">
        <f>+D9</f>
        <v>2598000</v>
      </c>
      <c r="J53" s="354"/>
    </row>
    <row r="54" spans="2:11" x14ac:dyDescent="0.5">
      <c r="B54" t="s">
        <v>349</v>
      </c>
      <c r="E54" s="322">
        <v>0</v>
      </c>
      <c r="J54" s="354"/>
    </row>
    <row r="55" spans="2:11" ht="14.7" thickBot="1" x14ac:dyDescent="0.55000000000000004">
      <c r="B55" s="8" t="s">
        <v>350</v>
      </c>
      <c r="E55" s="323">
        <f>SUM(E52:E54)</f>
        <v>4332582.5003049392</v>
      </c>
      <c r="J55" s="357"/>
    </row>
    <row r="56" spans="2:11" x14ac:dyDescent="0.5">
      <c r="B56" t="s">
        <v>351</v>
      </c>
      <c r="E56" s="48">
        <f>+E55/E30</f>
        <v>10.005964203937504</v>
      </c>
    </row>
    <row r="57" spans="2:11" x14ac:dyDescent="0.5">
      <c r="K57" s="10" t="s">
        <v>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B79E7-68EF-4FD8-ADC0-DB57B0DE0512}">
  <dimension ref="A1:L26"/>
  <sheetViews>
    <sheetView showGridLines="0" workbookViewId="0">
      <selection activeCell="O8" sqref="O8"/>
    </sheetView>
  </sheetViews>
  <sheetFormatPr defaultRowHeight="14.35" x14ac:dyDescent="0.5"/>
  <cols>
    <col min="1" max="1" width="5.234375" customWidth="1"/>
    <col min="2" max="2" width="28" customWidth="1"/>
    <col min="3" max="3" width="12.76171875" customWidth="1"/>
    <col min="4" max="4" width="10.52734375" customWidth="1"/>
    <col min="5" max="5" width="11.3515625" customWidth="1"/>
    <col min="6" max="6" width="11.17578125" customWidth="1"/>
    <col min="9" max="9" width="10.64453125" customWidth="1"/>
    <col min="13" max="13" width="2.17578125" customWidth="1"/>
  </cols>
  <sheetData>
    <row r="1" spans="1:12" ht="20" x14ac:dyDescent="0.6">
      <c r="A1" s="14"/>
      <c r="B1" s="15" t="str">
        <f>+'[1]Method #1'!B1</f>
        <v>AK Steel Holding Corp. (AKS)</v>
      </c>
      <c r="C1" s="16"/>
    </row>
    <row r="2" spans="1:12" ht="10.5" customHeight="1" x14ac:dyDescent="0.5">
      <c r="A2" s="14"/>
      <c r="B2" s="17" t="s">
        <v>6</v>
      </c>
      <c r="C2" s="16"/>
    </row>
    <row r="3" spans="1:12" ht="10.5" customHeight="1" x14ac:dyDescent="0.5">
      <c r="A3" s="14"/>
      <c r="B3" s="17"/>
      <c r="C3" s="16"/>
    </row>
    <row r="4" spans="1:12" ht="15.35" x14ac:dyDescent="0.5">
      <c r="A4" s="14"/>
      <c r="B4" s="222" t="s">
        <v>209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20" x14ac:dyDescent="0.6">
      <c r="A5" s="14"/>
      <c r="B5" s="223"/>
    </row>
    <row r="6" spans="1:12" ht="11.25" customHeight="1" x14ac:dyDescent="0.5">
      <c r="A6" s="14"/>
      <c r="B6" s="3"/>
      <c r="D6" s="224" t="s">
        <v>180</v>
      </c>
      <c r="E6" s="224" t="s">
        <v>181</v>
      </c>
      <c r="F6" s="224" t="s">
        <v>182</v>
      </c>
      <c r="G6" s="224" t="s">
        <v>183</v>
      </c>
      <c r="H6" s="224" t="s">
        <v>184</v>
      </c>
      <c r="I6" s="225" t="s">
        <v>185</v>
      </c>
      <c r="J6" s="224" t="s">
        <v>186</v>
      </c>
      <c r="K6" s="224" t="s">
        <v>187</v>
      </c>
    </row>
    <row r="7" spans="1:12" ht="14.7" thickBot="1" x14ac:dyDescent="0.55000000000000004">
      <c r="A7" s="14"/>
      <c r="B7" s="3"/>
      <c r="D7" s="14"/>
      <c r="E7" s="14"/>
      <c r="F7" s="14"/>
      <c r="G7" s="14"/>
      <c r="H7" s="14"/>
    </row>
    <row r="8" spans="1:12" ht="39" thickBot="1" x14ac:dyDescent="0.55000000000000004">
      <c r="A8" s="14"/>
      <c r="B8" s="226" t="s">
        <v>188</v>
      </c>
      <c r="C8" s="227" t="s">
        <v>189</v>
      </c>
      <c r="D8" s="228" t="str">
        <f>+'[1]Method #1'!D8</f>
        <v xml:space="preserve">Stock Price </v>
      </c>
      <c r="E8" s="228" t="s">
        <v>190</v>
      </c>
      <c r="F8" s="228" t="s">
        <v>191</v>
      </c>
      <c r="G8" s="229" t="s">
        <v>192</v>
      </c>
      <c r="H8" s="230" t="s">
        <v>193</v>
      </c>
      <c r="I8" s="231" t="s">
        <v>194</v>
      </c>
      <c r="J8" s="229" t="s">
        <v>195</v>
      </c>
      <c r="K8" s="232" t="s">
        <v>196</v>
      </c>
      <c r="L8" s="233" t="s">
        <v>197</v>
      </c>
    </row>
    <row r="9" spans="1:12" ht="15.6" customHeight="1" x14ac:dyDescent="0.5">
      <c r="A9" s="14"/>
      <c r="B9" s="234" t="s">
        <v>198</v>
      </c>
      <c r="C9" s="235" t="s">
        <v>199</v>
      </c>
      <c r="D9" s="264">
        <v>22.93</v>
      </c>
      <c r="E9" s="236">
        <v>177270</v>
      </c>
      <c r="F9" s="236">
        <f t="shared" ref="F9:F13" si="0">+E9*D9</f>
        <v>4064801.1</v>
      </c>
      <c r="G9" s="253">
        <v>2500000</v>
      </c>
      <c r="H9" s="254">
        <v>1340000</v>
      </c>
      <c r="I9" s="237">
        <f t="shared" ref="I9:I13" si="1">+F9+G9-H9</f>
        <v>5224801.0999999996</v>
      </c>
      <c r="J9" s="253">
        <v>1360000</v>
      </c>
      <c r="K9" s="238">
        <f t="shared" ref="K9:K13" si="2">+I9/J9</f>
        <v>3.841765514705882</v>
      </c>
      <c r="L9" s="255">
        <v>4.04</v>
      </c>
    </row>
    <row r="10" spans="1:12" x14ac:dyDescent="0.5">
      <c r="A10" s="14"/>
      <c r="B10" s="234" t="s">
        <v>178</v>
      </c>
      <c r="C10" s="235" t="s">
        <v>200</v>
      </c>
      <c r="D10" s="264">
        <v>35.119999999999997</v>
      </c>
      <c r="E10" s="236">
        <v>229550</v>
      </c>
      <c r="F10" s="236">
        <f t="shared" si="0"/>
        <v>8061795.9999999991</v>
      </c>
      <c r="G10" s="253">
        <v>2370000</v>
      </c>
      <c r="H10" s="254">
        <v>999320</v>
      </c>
      <c r="I10" s="237">
        <f t="shared" si="1"/>
        <v>9432476</v>
      </c>
      <c r="J10" s="253">
        <v>1860000</v>
      </c>
      <c r="K10" s="238">
        <f t="shared" si="2"/>
        <v>5.0712236559139781</v>
      </c>
      <c r="L10" s="255">
        <v>1.5</v>
      </c>
    </row>
    <row r="11" spans="1:12" x14ac:dyDescent="0.5">
      <c r="A11" s="14"/>
      <c r="B11" s="239" t="s">
        <v>201</v>
      </c>
      <c r="C11" s="240" t="s">
        <v>202</v>
      </c>
      <c r="D11" s="265">
        <v>79.989999999999995</v>
      </c>
      <c r="E11" s="256">
        <v>70430</v>
      </c>
      <c r="F11" s="236">
        <f t="shared" si="0"/>
        <v>5633695.6999999993</v>
      </c>
      <c r="G11" s="257">
        <v>2070000</v>
      </c>
      <c r="H11" s="258">
        <v>112100</v>
      </c>
      <c r="I11" s="237">
        <f t="shared" si="1"/>
        <v>7591595.6999999993</v>
      </c>
      <c r="J11" s="257">
        <v>1180000</v>
      </c>
      <c r="K11" s="238">
        <f t="shared" si="2"/>
        <v>6.4335556779661012</v>
      </c>
      <c r="L11" s="255">
        <v>1.08</v>
      </c>
    </row>
    <row r="12" spans="1:12" x14ac:dyDescent="0.5">
      <c r="A12" s="14"/>
      <c r="B12" s="239" t="s">
        <v>203</v>
      </c>
      <c r="C12" s="241" t="s">
        <v>204</v>
      </c>
      <c r="D12" s="265">
        <v>26.66</v>
      </c>
      <c r="E12" s="256">
        <v>25690</v>
      </c>
      <c r="F12" s="236">
        <f t="shared" si="0"/>
        <v>684895.4</v>
      </c>
      <c r="G12" s="257">
        <v>107380</v>
      </c>
      <c r="H12" s="258">
        <v>4700</v>
      </c>
      <c r="I12" s="237">
        <f t="shared" si="1"/>
        <v>787575.4</v>
      </c>
      <c r="J12" s="257">
        <v>195020</v>
      </c>
      <c r="K12" s="238">
        <f t="shared" si="2"/>
        <v>4.0384340067685365</v>
      </c>
      <c r="L12" s="255">
        <v>0.78</v>
      </c>
    </row>
    <row r="13" spans="1:12" x14ac:dyDescent="0.5">
      <c r="A13" s="14"/>
      <c r="B13" s="239" t="s">
        <v>205</v>
      </c>
      <c r="C13" s="241" t="s">
        <v>206</v>
      </c>
      <c r="D13" s="265">
        <v>18.190000000000001</v>
      </c>
      <c r="E13" s="256">
        <v>11010</v>
      </c>
      <c r="F13" s="236">
        <f t="shared" si="0"/>
        <v>200271.90000000002</v>
      </c>
      <c r="G13" s="257">
        <v>304480</v>
      </c>
      <c r="H13" s="258">
        <v>4270</v>
      </c>
      <c r="I13" s="237">
        <f t="shared" si="1"/>
        <v>500481.9</v>
      </c>
      <c r="J13" s="257">
        <v>70450</v>
      </c>
      <c r="K13" s="238">
        <f t="shared" si="2"/>
        <v>7.1040723917672111</v>
      </c>
      <c r="L13" s="255">
        <v>2.52</v>
      </c>
    </row>
    <row r="14" spans="1:12" ht="14.7" thickBot="1" x14ac:dyDescent="0.55000000000000004">
      <c r="A14" s="14"/>
      <c r="B14" s="1"/>
      <c r="C14" s="1"/>
      <c r="D14" s="266"/>
      <c r="E14" s="1"/>
      <c r="F14" s="1"/>
      <c r="G14" s="1"/>
      <c r="H14" s="1"/>
      <c r="I14" s="1"/>
      <c r="J14" s="1"/>
      <c r="K14" s="1"/>
      <c r="L14" s="57"/>
    </row>
    <row r="15" spans="1:12" ht="14.7" thickBot="1" x14ac:dyDescent="0.55000000000000004">
      <c r="A15" s="14"/>
      <c r="B15" s="242" t="str">
        <f>+B1</f>
        <v>AK Steel Holding Corp. (AKS)</v>
      </c>
      <c r="C15" s="243" t="s">
        <v>83</v>
      </c>
      <c r="D15" s="267">
        <v>3</v>
      </c>
      <c r="E15" s="244">
        <v>315540</v>
      </c>
      <c r="F15" s="244">
        <f>+E15*D15</f>
        <v>946620</v>
      </c>
      <c r="G15" s="245">
        <v>2354100</v>
      </c>
      <c r="H15" s="246">
        <v>48600</v>
      </c>
      <c r="I15" s="247">
        <f>+G15+F15-H15</f>
        <v>3252120</v>
      </c>
      <c r="J15" s="245">
        <v>616600</v>
      </c>
      <c r="K15" s="248">
        <f>+I15/J15</f>
        <v>5.2742783003567952</v>
      </c>
      <c r="L15" s="259">
        <f>+[1]INPUT!G14</f>
        <v>2.91</v>
      </c>
    </row>
    <row r="16" spans="1:12" x14ac:dyDescent="0.5">
      <c r="A16" s="14"/>
      <c r="B16" s="3"/>
      <c r="C16" s="1"/>
      <c r="D16" s="260"/>
      <c r="E16" s="260"/>
      <c r="F16" s="1"/>
      <c r="G16" s="1"/>
      <c r="H16" s="1"/>
      <c r="I16" s="1"/>
      <c r="J16" s="1"/>
      <c r="K16" s="249"/>
      <c r="L16" s="1"/>
    </row>
    <row r="17" spans="1:12" x14ac:dyDescent="0.5">
      <c r="A17" s="14"/>
      <c r="B17" s="3" t="s">
        <v>207</v>
      </c>
      <c r="C17" s="261">
        <f>+J15</f>
        <v>616600</v>
      </c>
      <c r="D17" s="262">
        <f>+K17</f>
        <v>5.2978102494243418</v>
      </c>
      <c r="E17" s="1"/>
      <c r="F17" s="1"/>
      <c r="G17" s="1"/>
      <c r="H17" s="1"/>
      <c r="I17" s="1"/>
      <c r="J17" s="3" t="s">
        <v>28</v>
      </c>
      <c r="K17" s="250">
        <f>AVERAGE(K9:K13)</f>
        <v>5.2978102494243418</v>
      </c>
      <c r="L17" s="250">
        <f>AVERAGE(L9:L15)</f>
        <v>2.1383333333333332</v>
      </c>
    </row>
    <row r="18" spans="1:12" x14ac:dyDescent="0.5">
      <c r="A18" s="14"/>
      <c r="B18" s="3"/>
      <c r="C18" s="1"/>
      <c r="D18" s="1"/>
      <c r="E18" s="1"/>
      <c r="F18" s="3"/>
      <c r="G18" s="250"/>
      <c r="H18" s="250"/>
      <c r="I18" s="1"/>
      <c r="J18" s="1"/>
      <c r="K18" s="250"/>
      <c r="L18" s="1"/>
    </row>
    <row r="19" spans="1:12" x14ac:dyDescent="0.5">
      <c r="A19" s="14"/>
      <c r="B19" s="269" t="s">
        <v>208</v>
      </c>
      <c r="C19" s="270">
        <f>+C17*D17</f>
        <v>3266629.7997950492</v>
      </c>
      <c r="D19" s="1"/>
      <c r="E19" s="1"/>
      <c r="F19" s="3"/>
      <c r="G19" s="250"/>
      <c r="H19" s="250"/>
      <c r="I19" s="1"/>
      <c r="J19" s="1"/>
      <c r="K19" s="251"/>
      <c r="L19" s="1"/>
    </row>
    <row r="20" spans="1:12" x14ac:dyDescent="0.5">
      <c r="A20" s="14"/>
      <c r="B20" s="269" t="s">
        <v>210</v>
      </c>
      <c r="C20" s="270">
        <f>-G15</f>
        <v>-2354100</v>
      </c>
      <c r="D20" s="1"/>
      <c r="E20" s="1"/>
      <c r="F20" s="3"/>
      <c r="G20" s="250"/>
      <c r="H20" s="250"/>
      <c r="I20" s="1"/>
      <c r="J20" s="1"/>
      <c r="K20" s="251"/>
      <c r="L20" s="1"/>
    </row>
    <row r="21" spans="1:12" x14ac:dyDescent="0.5">
      <c r="A21" s="14"/>
      <c r="B21" s="269" t="s">
        <v>211</v>
      </c>
      <c r="C21" s="270">
        <f>+H15</f>
        <v>48600</v>
      </c>
      <c r="D21" s="1"/>
      <c r="E21" s="1"/>
      <c r="F21" s="3"/>
      <c r="G21" s="250"/>
      <c r="H21" s="250"/>
      <c r="I21" s="1"/>
      <c r="J21" s="1"/>
      <c r="K21" s="251"/>
      <c r="L21" s="1"/>
    </row>
    <row r="22" spans="1:12" ht="14.7" thickBot="1" x14ac:dyDescent="0.55000000000000004">
      <c r="A22" s="14"/>
      <c r="B22" s="269" t="s">
        <v>212</v>
      </c>
      <c r="C22" s="271">
        <f>SUM(C19:C21)</f>
        <v>961129.79979504924</v>
      </c>
      <c r="D22" s="1"/>
      <c r="E22" s="1"/>
      <c r="F22" s="3"/>
      <c r="G22" s="250"/>
      <c r="H22" s="250"/>
      <c r="I22" s="1"/>
      <c r="J22" s="1"/>
      <c r="K22" s="251"/>
      <c r="L22" s="1"/>
    </row>
    <row r="23" spans="1:12" ht="14.7" thickTop="1" x14ac:dyDescent="0.5">
      <c r="B23" s="269" t="s">
        <v>215</v>
      </c>
      <c r="C23" s="270">
        <f>+E15</f>
        <v>315540</v>
      </c>
      <c r="D23" s="1"/>
      <c r="E23" s="1"/>
      <c r="F23" s="1"/>
      <c r="G23" s="1"/>
      <c r="H23" s="1"/>
      <c r="I23" s="1"/>
      <c r="J23" s="1"/>
      <c r="K23" s="1"/>
      <c r="L23" s="263" t="s">
        <v>298</v>
      </c>
    </row>
    <row r="24" spans="1:12" ht="14.7" thickBot="1" x14ac:dyDescent="0.55000000000000004">
      <c r="B24" s="252" t="s">
        <v>214</v>
      </c>
      <c r="C24" s="268">
        <f>+C22/C23</f>
        <v>3.0459840267321074</v>
      </c>
      <c r="D24" s="1"/>
      <c r="E24" s="1"/>
      <c r="F24" s="1"/>
      <c r="G24" s="1"/>
      <c r="H24" s="1"/>
      <c r="I24" s="1"/>
      <c r="J24" s="1"/>
      <c r="K24" s="1"/>
      <c r="L24" s="263"/>
    </row>
    <row r="25" spans="1:12" ht="15" thickTop="1" thickBot="1" x14ac:dyDescent="0.55000000000000004">
      <c r="B25" s="269" t="s">
        <v>216</v>
      </c>
      <c r="C25" s="272">
        <f>+C24/D15-1</f>
        <v>1.5328008910702406E-2</v>
      </c>
    </row>
    <row r="26" spans="1:12" ht="14.7" thickTop="1" x14ac:dyDescent="0.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INPUT</vt:lpstr>
      <vt:lpstr>Fig. 9.1</vt:lpstr>
      <vt:lpstr>Fig. 9.2</vt:lpstr>
      <vt:lpstr>Fig 9.3</vt:lpstr>
      <vt:lpstr>Fig. 9.4</vt:lpstr>
      <vt:lpstr>Fig. 9.5</vt:lpstr>
      <vt:lpstr>Fig. 9.6</vt:lpstr>
      <vt:lpstr>Fig. 9.7</vt:lpstr>
      <vt:lpstr>Fig. 9.8</vt:lpstr>
      <vt:lpstr>Fig. 9.9</vt:lpstr>
      <vt:lpstr>Fig. 9.10</vt:lpstr>
      <vt:lpstr>Fig. 9.11</vt:lpstr>
      <vt:lpstr>Fig. 9.12</vt:lpstr>
      <vt:lpstr>Fig. 9.13</vt:lpstr>
      <vt:lpstr>Fig. 9.14</vt:lpstr>
      <vt:lpstr>Fig. 9.15</vt:lpstr>
      <vt:lpstr>Fig. 9.16</vt:lpstr>
      <vt:lpstr>INSTRUCTION'S PAGE</vt:lpstr>
      <vt:lpstr>Fig. xxx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2018-09-23T13:46:11Z</dcterms:created>
  <dcterms:modified xsi:type="dcterms:W3CDTF">2021-03-16T14:53:21Z</dcterms:modified>
</cp:coreProperties>
</file>