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N 4241 FIN 7225 Mergers ^0 Acquisition/"/>
    </mc:Choice>
  </mc:AlternateContent>
  <xr:revisionPtr revIDLastSave="0" documentId="8_{0949ACA8-18ED-4503-A4B8-8A9297CB3BD3}" xr6:coauthVersionLast="47" xr6:coauthVersionMax="47" xr10:uidLastSave="{00000000-0000-0000-0000-000000000000}"/>
  <bookViews>
    <workbookView xWindow="-110" yWindow="-110" windowWidth="19420" windowHeight="10300" firstSheet="9" activeTab="11" xr2:uid="{C9B65557-6B9C-4AC8-A0C9-DA00E3B4A84B}"/>
  </bookViews>
  <sheets>
    <sheet name="INPUT" sheetId="2" r:id="rId1"/>
    <sheet name="Historical" sheetId="16" r:id="rId2"/>
    <sheet name="Transaction Sources &amp; Uses" sheetId="12" r:id="rId3"/>
    <sheet name="Proforma BS" sheetId="22" r:id="rId4"/>
    <sheet name="Debt Schedule" sheetId="17" r:id="rId5"/>
    <sheet name="Equity Return" sheetId="9" r:id="rId6"/>
    <sheet name="Method 2 DCF Val" sheetId="19" r:id="rId7"/>
    <sheet name="Method 3 Comp Val" sheetId="20" r:id="rId8"/>
    <sheet name="Method 4 DCF" sheetId="32" r:id="rId9"/>
    <sheet name="Method 5 LBO-A" sheetId="33" r:id="rId10"/>
    <sheet name="Method 5 LBO_B" sheetId="34" r:id="rId11"/>
    <sheet name="Accretion Dillution" sheetId="18" r:id="rId12"/>
    <sheet name="Merger Savings" sheetId="23" r:id="rId13"/>
    <sheet name="INSTRUCTION'S PAGE" sheetId="31" r:id="rId14"/>
    <sheet name="Combined Merger Proforma" sheetId="21" r:id="rId15"/>
  </sheets>
  <externalReferences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18" l="1"/>
  <c r="J25" i="18"/>
  <c r="K25" i="18"/>
  <c r="H25" i="18"/>
  <c r="J15" i="18"/>
  <c r="D12" i="18"/>
  <c r="H34" i="18"/>
  <c r="I34" i="18"/>
  <c r="J34" i="18"/>
  <c r="K34" i="18"/>
  <c r="L17" i="21"/>
  <c r="H17" i="21"/>
  <c r="E16" i="21"/>
  <c r="E42" i="21"/>
  <c r="E41" i="21"/>
  <c r="E40" i="21"/>
  <c r="E39" i="21"/>
  <c r="E28" i="21"/>
  <c r="E17" i="21"/>
  <c r="D20" i="34" l="1"/>
  <c r="D17" i="34"/>
  <c r="D15" i="34"/>
  <c r="D11" i="34"/>
  <c r="D10" i="34"/>
  <c r="K9" i="34"/>
  <c r="J9" i="34"/>
  <c r="I9" i="34"/>
  <c r="H9" i="34"/>
  <c r="G9" i="34"/>
  <c r="F9" i="34"/>
  <c r="K26" i="33"/>
  <c r="D22" i="33"/>
  <c r="D20" i="33"/>
  <c r="G14" i="33"/>
  <c r="G13" i="33"/>
  <c r="I14" i="33"/>
  <c r="E34" i="33" s="1"/>
  <c r="E17" i="34"/>
  <c r="E11" i="34"/>
  <c r="E10" i="34"/>
  <c r="E8" i="34"/>
  <c r="E48" i="34"/>
  <c r="E47" i="34"/>
  <c r="E26" i="34" s="1"/>
  <c r="D42" i="34"/>
  <c r="D41" i="34"/>
  <c r="D40" i="34"/>
  <c r="D39" i="34"/>
  <c r="B38" i="34"/>
  <c r="D38" i="34" s="1"/>
  <c r="C37" i="34"/>
  <c r="E30" i="34"/>
  <c r="C29" i="34"/>
  <c r="K26" i="34"/>
  <c r="J26" i="34"/>
  <c r="K22" i="34" s="1"/>
  <c r="I26" i="34"/>
  <c r="J22" i="34" s="1"/>
  <c r="H26" i="34"/>
  <c r="G26" i="34"/>
  <c r="F26" i="34"/>
  <c r="G22" i="34"/>
  <c r="E20" i="34"/>
  <c r="C20" i="34"/>
  <c r="I18" i="34"/>
  <c r="H18" i="34"/>
  <c r="G18" i="34"/>
  <c r="F18" i="34"/>
  <c r="C17" i="34"/>
  <c r="K13" i="34"/>
  <c r="J13" i="34"/>
  <c r="I13" i="34"/>
  <c r="H13" i="34"/>
  <c r="G13" i="34"/>
  <c r="F13" i="34"/>
  <c r="E12" i="34"/>
  <c r="C11" i="34"/>
  <c r="C10" i="34"/>
  <c r="F8" i="34"/>
  <c r="F11" i="34" s="1"/>
  <c r="K7" i="34"/>
  <c r="J7" i="34"/>
  <c r="J26" i="33" s="1"/>
  <c r="I7" i="34"/>
  <c r="I26" i="33" s="1"/>
  <c r="H7" i="34"/>
  <c r="H26" i="33" s="1"/>
  <c r="G7" i="34"/>
  <c r="G26" i="33" s="1"/>
  <c r="F7" i="34"/>
  <c r="F26" i="33" s="1"/>
  <c r="E7" i="34"/>
  <c r="B1" i="34"/>
  <c r="B1" i="31" s="1"/>
  <c r="I8" i="33"/>
  <c r="H7" i="33"/>
  <c r="E7" i="33"/>
  <c r="F40" i="33"/>
  <c r="D33" i="33"/>
  <c r="B33" i="33"/>
  <c r="D27" i="33"/>
  <c r="B27" i="33"/>
  <c r="E26" i="33"/>
  <c r="D21" i="33"/>
  <c r="F16" i="33"/>
  <c r="G16" i="33" s="1"/>
  <c r="K8" i="33"/>
  <c r="G7" i="33"/>
  <c r="I7" i="33" s="1"/>
  <c r="B1" i="33"/>
  <c r="E16" i="32"/>
  <c r="E14" i="32"/>
  <c r="E11" i="32"/>
  <c r="E10" i="32"/>
  <c r="E12" i="32"/>
  <c r="C10" i="2"/>
  <c r="C9" i="2"/>
  <c r="E8" i="32" s="1"/>
  <c r="H45" i="32"/>
  <c r="I44" i="32" s="1"/>
  <c r="H44" i="32"/>
  <c r="E42" i="32"/>
  <c r="E41" i="32"/>
  <c r="I41" i="32"/>
  <c r="K39" i="32"/>
  <c r="J44" i="32" s="1"/>
  <c r="B36" i="32"/>
  <c r="B35" i="32"/>
  <c r="B34" i="32"/>
  <c r="B33" i="32"/>
  <c r="B32" i="32"/>
  <c r="C23" i="32"/>
  <c r="E20" i="32"/>
  <c r="F20" i="32" s="1"/>
  <c r="G20" i="32" s="1"/>
  <c r="H20" i="32" s="1"/>
  <c r="I20" i="32" s="1"/>
  <c r="J20" i="32" s="1"/>
  <c r="E7" i="32"/>
  <c r="F7" i="32" s="1"/>
  <c r="G7" i="32" s="1"/>
  <c r="H7" i="32" s="1"/>
  <c r="I7" i="32" s="1"/>
  <c r="J7" i="32" s="1"/>
  <c r="K7" i="32" s="1"/>
  <c r="B1" i="32"/>
  <c r="E23" i="16"/>
  <c r="F23" i="16"/>
  <c r="G23" i="16"/>
  <c r="D23" i="16"/>
  <c r="G6" i="18"/>
  <c r="G5" i="18"/>
  <c r="B1" i="20"/>
  <c r="B1" i="19"/>
  <c r="N6" i="9"/>
  <c r="K6" i="9"/>
  <c r="J6" i="9"/>
  <c r="B1" i="9"/>
  <c r="L4" i="17"/>
  <c r="K4" i="17"/>
  <c r="H4" i="17"/>
  <c r="G4" i="17"/>
  <c r="B1" i="17"/>
  <c r="B1" i="12"/>
  <c r="B1" i="16"/>
  <c r="E28" i="31"/>
  <c r="H28" i="31" s="1"/>
  <c r="E34" i="31"/>
  <c r="H34" i="31" s="1"/>
  <c r="H60" i="31"/>
  <c r="H61" i="31"/>
  <c r="H62" i="31"/>
  <c r="H55" i="31"/>
  <c r="H54" i="31"/>
  <c r="H44" i="31"/>
  <c r="H45" i="31"/>
  <c r="H43" i="31"/>
  <c r="H38" i="31"/>
  <c r="H39" i="31"/>
  <c r="H36" i="31"/>
  <c r="H35" i="31"/>
  <c r="H29" i="31"/>
  <c r="H30" i="31"/>
  <c r="H31" i="31"/>
  <c r="E36" i="31"/>
  <c r="E60" i="31"/>
  <c r="E61" i="31"/>
  <c r="E62" i="31"/>
  <c r="E59" i="31"/>
  <c r="C32" i="31"/>
  <c r="C40" i="31"/>
  <c r="C46" i="31"/>
  <c r="C63" i="31"/>
  <c r="D23" i="33" l="1"/>
  <c r="B1" i="23"/>
  <c r="J18" i="34"/>
  <c r="H22" i="34"/>
  <c r="E25" i="34"/>
  <c r="I13" i="33" s="1"/>
  <c r="E28" i="33" s="1"/>
  <c r="F28" i="33" s="1"/>
  <c r="F20" i="34"/>
  <c r="F17" i="34"/>
  <c r="E14" i="34"/>
  <c r="E16" i="34" s="1"/>
  <c r="E21" i="34" s="1"/>
  <c r="E23" i="34" s="1"/>
  <c r="J32" i="34"/>
  <c r="G8" i="34"/>
  <c r="G20" i="34" s="1"/>
  <c r="F19" i="34"/>
  <c r="I22" i="34"/>
  <c r="F10" i="34"/>
  <c r="F12" i="34" s="1"/>
  <c r="K7" i="33"/>
  <c r="I9" i="33"/>
  <c r="I10" i="33" s="1"/>
  <c r="F36" i="33"/>
  <c r="F37" i="33" s="1"/>
  <c r="F34" i="33"/>
  <c r="E17" i="32"/>
  <c r="C14" i="32"/>
  <c r="C10" i="32"/>
  <c r="F8" i="32"/>
  <c r="F16" i="32" s="1"/>
  <c r="C11" i="32"/>
  <c r="K20" i="32"/>
  <c r="J26" i="32"/>
  <c r="F15" i="32"/>
  <c r="G8" i="32"/>
  <c r="J45" i="32"/>
  <c r="C31" i="32"/>
  <c r="K44" i="32"/>
  <c r="E19" i="32"/>
  <c r="I45" i="32"/>
  <c r="I46" i="32" s="1"/>
  <c r="C16" i="32"/>
  <c r="H46" i="31"/>
  <c r="H25" i="31"/>
  <c r="J18" i="31"/>
  <c r="J19" i="31" s="1"/>
  <c r="J17" i="31"/>
  <c r="G9" i="31"/>
  <c r="E48" i="31" s="1"/>
  <c r="E6" i="31"/>
  <c r="G6" i="31" s="1"/>
  <c r="K45" i="32" l="1"/>
  <c r="G29" i="33"/>
  <c r="G40" i="33" s="1"/>
  <c r="F30" i="33"/>
  <c r="I15" i="33"/>
  <c r="G11" i="34"/>
  <c r="G19" i="34"/>
  <c r="H8" i="34"/>
  <c r="G17" i="34"/>
  <c r="F25" i="34"/>
  <c r="F14" i="34"/>
  <c r="G10" i="34"/>
  <c r="G12" i="34" s="1"/>
  <c r="J10" i="33"/>
  <c r="I17" i="33"/>
  <c r="J15" i="33" s="1"/>
  <c r="K10" i="33"/>
  <c r="J8" i="33"/>
  <c r="J7" i="33"/>
  <c r="K9" i="33"/>
  <c r="J9" i="33"/>
  <c r="F31" i="33"/>
  <c r="F39" i="33"/>
  <c r="F41" i="33" s="1"/>
  <c r="E15" i="33"/>
  <c r="G36" i="33"/>
  <c r="G37" i="33" s="1"/>
  <c r="G34" i="33"/>
  <c r="F42" i="33"/>
  <c r="H29" i="33"/>
  <c r="H40" i="33" s="1"/>
  <c r="G28" i="33"/>
  <c r="G30" i="33"/>
  <c r="K46" i="32"/>
  <c r="C24" i="32" s="1"/>
  <c r="F10" i="32"/>
  <c r="F11" i="32"/>
  <c r="F14" i="32"/>
  <c r="G16" i="32"/>
  <c r="G15" i="32"/>
  <c r="H8" i="32"/>
  <c r="G11" i="32"/>
  <c r="G10" i="32"/>
  <c r="G14" i="32"/>
  <c r="D32" i="32"/>
  <c r="D35" i="32"/>
  <c r="D34" i="32"/>
  <c r="D36" i="32"/>
  <c r="D33" i="32"/>
  <c r="C48" i="31"/>
  <c r="H48" i="31" s="1"/>
  <c r="H32" i="31"/>
  <c r="G10" i="31"/>
  <c r="E37" i="31" s="1"/>
  <c r="H37" i="31" s="1"/>
  <c r="E16" i="31"/>
  <c r="F51" i="31" s="1"/>
  <c r="H51" i="31" s="1"/>
  <c r="E14" i="31"/>
  <c r="F49" i="31" s="1"/>
  <c r="E15" i="31"/>
  <c r="F50" i="31" s="1"/>
  <c r="H50" i="31" s="1"/>
  <c r="G25" i="34" l="1"/>
  <c r="G14" i="34"/>
  <c r="F15" i="34"/>
  <c r="F16" i="34" s="1"/>
  <c r="F21" i="34" s="1"/>
  <c r="F23" i="34" s="1"/>
  <c r="F37" i="34" s="1"/>
  <c r="E38" i="34" s="1"/>
  <c r="H10" i="34"/>
  <c r="H19" i="34"/>
  <c r="I8" i="34"/>
  <c r="H11" i="34"/>
  <c r="H17" i="34"/>
  <c r="H20" i="34"/>
  <c r="G31" i="33"/>
  <c r="G39" i="33"/>
  <c r="G41" i="33" s="1"/>
  <c r="J17" i="33"/>
  <c r="E17" i="33"/>
  <c r="I16" i="33"/>
  <c r="J14" i="33"/>
  <c r="H14" i="33" s="1"/>
  <c r="J13" i="33"/>
  <c r="H13" i="33" s="1"/>
  <c r="H36" i="33"/>
  <c r="H37" i="33" s="1"/>
  <c r="H34" i="33"/>
  <c r="G42" i="33"/>
  <c r="H30" i="33"/>
  <c r="I29" i="33"/>
  <c r="I40" i="33" s="1"/>
  <c r="H28" i="33"/>
  <c r="F12" i="32"/>
  <c r="F19" i="32" s="1"/>
  <c r="F13" i="32"/>
  <c r="F17" i="32" s="1"/>
  <c r="F31" i="32" s="1"/>
  <c r="E32" i="32" s="1"/>
  <c r="G12" i="32"/>
  <c r="G19" i="32" s="1"/>
  <c r="G13" i="32"/>
  <c r="G17" i="32" s="1"/>
  <c r="G31" i="32" s="1"/>
  <c r="E33" i="32" s="1"/>
  <c r="H11" i="32"/>
  <c r="H10" i="32"/>
  <c r="H14" i="32"/>
  <c r="H15" i="32"/>
  <c r="I8" i="32"/>
  <c r="H16" i="32"/>
  <c r="H49" i="31"/>
  <c r="H40" i="31"/>
  <c r="E65" i="31"/>
  <c r="C52" i="31"/>
  <c r="C56" i="31" s="1"/>
  <c r="C65" i="31" s="1"/>
  <c r="H52" i="31"/>
  <c r="H56" i="31" s="1"/>
  <c r="E17" i="31"/>
  <c r="G11" i="31"/>
  <c r="H10" i="31" s="1"/>
  <c r="H12" i="34" l="1"/>
  <c r="H14" i="34" s="1"/>
  <c r="I19" i="34"/>
  <c r="J8" i="34"/>
  <c r="I11" i="34"/>
  <c r="I20" i="34"/>
  <c r="I17" i="34"/>
  <c r="I10" i="34"/>
  <c r="G15" i="34"/>
  <c r="G16" i="34" s="1"/>
  <c r="G21" i="34" s="1"/>
  <c r="G23" i="34" s="1"/>
  <c r="G37" i="34" s="1"/>
  <c r="E39" i="34" s="1"/>
  <c r="E16" i="33"/>
  <c r="J16" i="33"/>
  <c r="H16" i="33" s="1"/>
  <c r="H17" i="33" s="1"/>
  <c r="C30" i="34" s="1"/>
  <c r="J29" i="33"/>
  <c r="J40" i="33" s="1"/>
  <c r="I28" i="33"/>
  <c r="I30" i="33"/>
  <c r="H31" i="33"/>
  <c r="H39" i="33"/>
  <c r="H41" i="33" s="1"/>
  <c r="I36" i="33"/>
  <c r="I37" i="33" s="1"/>
  <c r="I34" i="33"/>
  <c r="H42" i="33"/>
  <c r="H12" i="32"/>
  <c r="H19" i="32"/>
  <c r="H13" i="32"/>
  <c r="H17" i="32" s="1"/>
  <c r="H31" i="32" s="1"/>
  <c r="E34" i="32" s="1"/>
  <c r="I14" i="32"/>
  <c r="I15" i="32"/>
  <c r="I16" i="32"/>
  <c r="I11" i="32"/>
  <c r="I10" i="32"/>
  <c r="I12" i="32" s="1"/>
  <c r="J8" i="32"/>
  <c r="E19" i="31"/>
  <c r="I11" i="31"/>
  <c r="H11" i="31"/>
  <c r="H9" i="31"/>
  <c r="H6" i="31"/>
  <c r="F17" i="31"/>
  <c r="C17" i="31"/>
  <c r="D7" i="23"/>
  <c r="H25" i="34" l="1"/>
  <c r="I12" i="34"/>
  <c r="I14" i="34" s="1"/>
  <c r="H15" i="34"/>
  <c r="H16" i="34" s="1"/>
  <c r="H21" i="34" s="1"/>
  <c r="H23" i="34" s="1"/>
  <c r="H37" i="34" s="1"/>
  <c r="E40" i="34" s="1"/>
  <c r="J19" i="34"/>
  <c r="K8" i="34"/>
  <c r="J11" i="34"/>
  <c r="J17" i="34"/>
  <c r="J10" i="34"/>
  <c r="J20" i="34"/>
  <c r="K29" i="33"/>
  <c r="K40" i="33" s="1"/>
  <c r="J28" i="33"/>
  <c r="J30" i="33"/>
  <c r="J36" i="33"/>
  <c r="J37" i="33" s="1"/>
  <c r="J34" i="33"/>
  <c r="I42" i="33"/>
  <c r="I39" i="33"/>
  <c r="I41" i="33" s="1"/>
  <c r="I31" i="33"/>
  <c r="I19" i="32"/>
  <c r="I13" i="32"/>
  <c r="I17" i="32" s="1"/>
  <c r="I31" i="32" s="1"/>
  <c r="E35" i="32" s="1"/>
  <c r="J11" i="32"/>
  <c r="J14" i="32"/>
  <c r="J15" i="32"/>
  <c r="K8" i="32"/>
  <c r="J16" i="32"/>
  <c r="J10" i="32"/>
  <c r="J12" i="32" s="1"/>
  <c r="F19" i="31"/>
  <c r="E18" i="31"/>
  <c r="F59" i="31" s="1"/>
  <c r="C19" i="31"/>
  <c r="F16" i="31"/>
  <c r="F14" i="31"/>
  <c r="F15" i="31"/>
  <c r="J16" i="12"/>
  <c r="J15" i="12"/>
  <c r="G7" i="12"/>
  <c r="C28" i="22" s="1"/>
  <c r="C32" i="22" s="1"/>
  <c r="J43" i="21"/>
  <c r="C43" i="21"/>
  <c r="H42" i="21"/>
  <c r="L42" i="21" s="1"/>
  <c r="H41" i="21"/>
  <c r="L41" i="21" s="1"/>
  <c r="H40" i="21"/>
  <c r="L40" i="21" s="1"/>
  <c r="H35" i="21"/>
  <c r="L35" i="21" s="1"/>
  <c r="H34" i="21"/>
  <c r="L34" i="21" s="1"/>
  <c r="J32" i="21"/>
  <c r="C28" i="21"/>
  <c r="J26" i="21"/>
  <c r="C26" i="21"/>
  <c r="H25" i="21"/>
  <c r="L25" i="21" s="1"/>
  <c r="H24" i="21"/>
  <c r="H26" i="21" s="1"/>
  <c r="H23" i="21"/>
  <c r="L23" i="21" s="1"/>
  <c r="H19" i="21"/>
  <c r="L19" i="21" s="1"/>
  <c r="H18" i="21"/>
  <c r="L18" i="21" s="1"/>
  <c r="H15" i="21"/>
  <c r="L15" i="21" s="1"/>
  <c r="H14" i="21"/>
  <c r="L14" i="21" s="1"/>
  <c r="J12" i="21"/>
  <c r="J20" i="21" s="1"/>
  <c r="C12" i="21"/>
  <c r="C20" i="21" s="1"/>
  <c r="H11" i="21"/>
  <c r="L11" i="21" s="1"/>
  <c r="H10" i="21"/>
  <c r="L10" i="21" s="1"/>
  <c r="H9" i="21"/>
  <c r="L9" i="21" s="1"/>
  <c r="H8" i="21"/>
  <c r="H5" i="21"/>
  <c r="E41" i="22"/>
  <c r="E40" i="22"/>
  <c r="E39" i="22"/>
  <c r="C43" i="22"/>
  <c r="H41" i="22"/>
  <c r="H40" i="22"/>
  <c r="H35" i="22"/>
  <c r="H34" i="22"/>
  <c r="C26" i="22"/>
  <c r="H25" i="22"/>
  <c r="H24" i="22"/>
  <c r="H23" i="22"/>
  <c r="H19" i="22"/>
  <c r="H18" i="22"/>
  <c r="H15" i="22"/>
  <c r="H14" i="22"/>
  <c r="C12" i="22"/>
  <c r="C20" i="22" s="1"/>
  <c r="H11" i="22"/>
  <c r="H10" i="22"/>
  <c r="H9" i="22"/>
  <c r="H8" i="22"/>
  <c r="H5" i="22"/>
  <c r="I25" i="34" l="1"/>
  <c r="J12" i="34"/>
  <c r="J14" i="34" s="1"/>
  <c r="K11" i="34"/>
  <c r="K19" i="34"/>
  <c r="K10" i="34"/>
  <c r="K12" i="34" s="1"/>
  <c r="K17" i="34"/>
  <c r="K20" i="34"/>
  <c r="I15" i="34"/>
  <c r="I16" i="34" s="1"/>
  <c r="I21" i="34" s="1"/>
  <c r="I23" i="34" s="1"/>
  <c r="I37" i="34" s="1"/>
  <c r="E41" i="34" s="1"/>
  <c r="J39" i="33"/>
  <c r="J41" i="33" s="1"/>
  <c r="J31" i="33"/>
  <c r="K36" i="33"/>
  <c r="K37" i="33" s="1"/>
  <c r="K34" i="33"/>
  <c r="J42" i="33"/>
  <c r="K28" i="33"/>
  <c r="K30" i="33"/>
  <c r="J19" i="32"/>
  <c r="J23" i="32" s="1"/>
  <c r="J13" i="32"/>
  <c r="J17" i="32" s="1"/>
  <c r="K15" i="32"/>
  <c r="K11" i="32"/>
  <c r="K14" i="32"/>
  <c r="K16" i="32"/>
  <c r="K10" i="32"/>
  <c r="K12" i="32" s="1"/>
  <c r="H59" i="31"/>
  <c r="F65" i="31"/>
  <c r="H63" i="31"/>
  <c r="H65" i="31" s="1"/>
  <c r="F18" i="31"/>
  <c r="C18" i="31"/>
  <c r="H12" i="21"/>
  <c r="J36" i="21"/>
  <c r="J45" i="21" s="1"/>
  <c r="E28" i="22"/>
  <c r="H28" i="22" s="1"/>
  <c r="C36" i="22"/>
  <c r="L26" i="21"/>
  <c r="L24" i="21"/>
  <c r="H28" i="21"/>
  <c r="C32" i="21"/>
  <c r="C36" i="21" s="1"/>
  <c r="C45" i="21" s="1"/>
  <c r="L8" i="21"/>
  <c r="L12" i="21" s="1"/>
  <c r="E42" i="22"/>
  <c r="H42" i="22" s="1"/>
  <c r="H12" i="22"/>
  <c r="C45" i="22"/>
  <c r="H26" i="22"/>
  <c r="J25" i="34" l="1"/>
  <c r="J29" i="34" s="1"/>
  <c r="K14" i="34"/>
  <c r="K25" i="34"/>
  <c r="J15" i="34"/>
  <c r="J16" i="34" s="1"/>
  <c r="J21" i="34" s="1"/>
  <c r="J23" i="34" s="1"/>
  <c r="K39" i="33"/>
  <c r="K41" i="33" s="1"/>
  <c r="K31" i="33"/>
  <c r="K42" i="33"/>
  <c r="K13" i="32"/>
  <c r="K19" i="32"/>
  <c r="K17" i="32"/>
  <c r="J24" i="32" s="1"/>
  <c r="J25" i="32" s="1"/>
  <c r="J28" i="32" s="1"/>
  <c r="J31" i="32" s="1"/>
  <c r="E36" i="32" s="1"/>
  <c r="E37" i="32" s="1"/>
  <c r="E40" i="32" s="1"/>
  <c r="L28" i="21"/>
  <c r="H21" i="18"/>
  <c r="I21" i="18" s="1"/>
  <c r="J21" i="18" s="1"/>
  <c r="K21" i="18" s="1"/>
  <c r="F20" i="18"/>
  <c r="H20" i="18" s="1"/>
  <c r="I20" i="18" s="1"/>
  <c r="J20" i="18" s="1"/>
  <c r="K20" i="18" s="1"/>
  <c r="F19" i="18"/>
  <c r="B21" i="18"/>
  <c r="B20" i="18"/>
  <c r="B19" i="18"/>
  <c r="D15" i="18"/>
  <c r="F14" i="20"/>
  <c r="H14" i="20" s="1"/>
  <c r="J14" i="20" s="1"/>
  <c r="H13" i="20"/>
  <c r="J13" i="20" s="1"/>
  <c r="F13" i="20"/>
  <c r="F12" i="20"/>
  <c r="H12" i="20" s="1"/>
  <c r="J12" i="20" s="1"/>
  <c r="F11" i="20"/>
  <c r="H11" i="20" s="1"/>
  <c r="J11" i="20" s="1"/>
  <c r="F10" i="20"/>
  <c r="H10" i="20" s="1"/>
  <c r="J10" i="20" s="1"/>
  <c r="F9" i="20"/>
  <c r="H9" i="20" s="1"/>
  <c r="J9" i="20" s="1"/>
  <c r="C23" i="19"/>
  <c r="C17" i="19"/>
  <c r="C21" i="19"/>
  <c r="C20" i="19"/>
  <c r="L15" i="19"/>
  <c r="L17" i="19" s="1"/>
  <c r="F15" i="19"/>
  <c r="F13" i="19"/>
  <c r="I13" i="19" s="1"/>
  <c r="K13" i="19" s="1"/>
  <c r="F12" i="19"/>
  <c r="I12" i="19" s="1"/>
  <c r="K12" i="19" s="1"/>
  <c r="I11" i="19"/>
  <c r="K11" i="19" s="1"/>
  <c r="F11" i="19"/>
  <c r="F10" i="19"/>
  <c r="I10" i="19" s="1"/>
  <c r="K10" i="19" s="1"/>
  <c r="F9" i="19"/>
  <c r="I9" i="19" s="1"/>
  <c r="K9" i="19" s="1"/>
  <c r="D8" i="19"/>
  <c r="B15" i="19"/>
  <c r="K33" i="18"/>
  <c r="K35" i="18" s="1"/>
  <c r="J33" i="18"/>
  <c r="J35" i="18" s="1"/>
  <c r="I33" i="18"/>
  <c r="I35" i="18" s="1"/>
  <c r="H33" i="18"/>
  <c r="H35" i="18" s="1"/>
  <c r="K24" i="18"/>
  <c r="J24" i="18"/>
  <c r="I24" i="18"/>
  <c r="H24" i="18"/>
  <c r="F24" i="18"/>
  <c r="K15" i="34" l="1"/>
  <c r="K16" i="34" s="1"/>
  <c r="K21" i="34" s="1"/>
  <c r="E43" i="32"/>
  <c r="E45" i="32"/>
  <c r="K17" i="19"/>
  <c r="D17" i="19" s="1"/>
  <c r="F22" i="18"/>
  <c r="H19" i="18"/>
  <c r="H26" i="18"/>
  <c r="I26" i="18"/>
  <c r="K26" i="18"/>
  <c r="J26" i="18"/>
  <c r="J15" i="20"/>
  <c r="G16" i="20" s="1"/>
  <c r="C16" i="20" s="1"/>
  <c r="C19" i="20" s="1"/>
  <c r="C21" i="20" s="1"/>
  <c r="C22" i="20" s="1"/>
  <c r="I15" i="19"/>
  <c r="K15" i="19" s="1"/>
  <c r="C19" i="19"/>
  <c r="C22" i="19" s="1"/>
  <c r="C24" i="19" s="1"/>
  <c r="C25" i="19" s="1"/>
  <c r="J30" i="34" l="1"/>
  <c r="J31" i="34" s="1"/>
  <c r="J34" i="34" s="1"/>
  <c r="J37" i="34" s="1"/>
  <c r="E42" i="34" s="1"/>
  <c r="E43" i="34" s="1"/>
  <c r="E46" i="34" s="1"/>
  <c r="K23" i="34"/>
  <c r="I19" i="18"/>
  <c r="H31" i="18"/>
  <c r="H38" i="18" s="1"/>
  <c r="H22" i="18"/>
  <c r="H27" i="18" s="1"/>
  <c r="H28" i="18" s="1"/>
  <c r="H29" i="18" s="1"/>
  <c r="H37" i="18" s="1"/>
  <c r="E49" i="34" l="1"/>
  <c r="E51" i="34"/>
  <c r="J19" i="18"/>
  <c r="I22" i="18"/>
  <c r="I27" i="18" s="1"/>
  <c r="I28" i="18" s="1"/>
  <c r="I29" i="18" s="1"/>
  <c r="I37" i="18" s="1"/>
  <c r="I31" i="18"/>
  <c r="I38" i="18" s="1"/>
  <c r="H41" i="18"/>
  <c r="H42" i="18" s="1"/>
  <c r="H40" i="18"/>
  <c r="H43" i="18" s="1"/>
  <c r="I41" i="18" l="1"/>
  <c r="I42" i="18" s="1"/>
  <c r="K19" i="18"/>
  <c r="J31" i="18"/>
  <c r="J38" i="18" s="1"/>
  <c r="J22" i="18"/>
  <c r="J27" i="18" s="1"/>
  <c r="J28" i="18" s="1"/>
  <c r="J29" i="18" s="1"/>
  <c r="J37" i="18" s="1"/>
  <c r="I40" i="18"/>
  <c r="I43" i="18" s="1"/>
  <c r="J41" i="18" l="1"/>
  <c r="J42" i="18" s="1"/>
  <c r="J40" i="18"/>
  <c r="J43" i="18" s="1"/>
  <c r="K31" i="18"/>
  <c r="K38" i="18" s="1"/>
  <c r="K22" i="18"/>
  <c r="K27" i="18" s="1"/>
  <c r="K28" i="18" s="1"/>
  <c r="K29" i="18" s="1"/>
  <c r="K37" i="18" s="1"/>
  <c r="K40" i="18" l="1"/>
  <c r="K43" i="18" s="1"/>
  <c r="K41" i="18"/>
  <c r="K42" i="18" s="1"/>
  <c r="D18" i="9"/>
  <c r="E18" i="9"/>
  <c r="F18" i="9"/>
  <c r="C18" i="9"/>
  <c r="E16" i="9"/>
  <c r="F16" i="9"/>
  <c r="D9" i="9"/>
  <c r="E9" i="9"/>
  <c r="F9" i="9"/>
  <c r="D11" i="9"/>
  <c r="E11" i="9"/>
  <c r="F11" i="9"/>
  <c r="C9" i="9"/>
  <c r="C11" i="9"/>
  <c r="D7" i="9"/>
  <c r="E7" i="9"/>
  <c r="F7" i="9"/>
  <c r="C7" i="9"/>
  <c r="I6" i="9"/>
  <c r="L6" i="9" s="1"/>
  <c r="M6" i="9" s="1"/>
  <c r="G13" i="17"/>
  <c r="H13" i="17" s="1"/>
  <c r="F11" i="17"/>
  <c r="G11" i="17" s="1"/>
  <c r="H11" i="17" s="1"/>
  <c r="I11" i="17" s="1"/>
  <c r="J11" i="17" s="1"/>
  <c r="K11" i="17" s="1"/>
  <c r="L11" i="17" s="1"/>
  <c r="M11" i="17" s="1"/>
  <c r="F4" i="17"/>
  <c r="I4" i="17" s="1"/>
  <c r="J4" i="17" s="1"/>
  <c r="J17" i="12"/>
  <c r="E6" i="12"/>
  <c r="G6" i="12" s="1"/>
  <c r="F23" i="17"/>
  <c r="I20" i="9" s="1"/>
  <c r="G13" i="16"/>
  <c r="G9" i="16"/>
  <c r="G10" i="16" s="1"/>
  <c r="G6" i="16"/>
  <c r="F21" i="16"/>
  <c r="E21" i="16"/>
  <c r="F17" i="16"/>
  <c r="E17" i="16"/>
  <c r="D16" i="9" s="1"/>
  <c r="D17" i="16"/>
  <c r="C16" i="9" s="1"/>
  <c r="E13" i="16"/>
  <c r="F13" i="16"/>
  <c r="D13" i="16"/>
  <c r="F10" i="16"/>
  <c r="E9" i="16"/>
  <c r="E10" i="16" s="1"/>
  <c r="F9" i="16"/>
  <c r="D9" i="16"/>
  <c r="D10" i="16" s="1"/>
  <c r="F6" i="16"/>
  <c r="E6" i="16"/>
  <c r="C10" i="9" l="1"/>
  <c r="E16" i="22"/>
  <c r="H16" i="22" s="1"/>
  <c r="H20" i="22" s="1"/>
  <c r="H16" i="21"/>
  <c r="E14" i="12"/>
  <c r="E12" i="12"/>
  <c r="E13" i="12"/>
  <c r="D10" i="9"/>
  <c r="G18" i="9"/>
  <c r="H18" i="9" s="1"/>
  <c r="E10" i="9"/>
  <c r="F10" i="9"/>
  <c r="G10" i="9" s="1"/>
  <c r="G9" i="9"/>
  <c r="E8" i="9"/>
  <c r="F8" i="9"/>
  <c r="D8" i="9"/>
  <c r="G16" i="9"/>
  <c r="F14" i="17"/>
  <c r="F8" i="17" s="1"/>
  <c r="F19" i="17"/>
  <c r="F20" i="17" s="1"/>
  <c r="I13" i="17"/>
  <c r="H14" i="17"/>
  <c r="G14" i="17"/>
  <c r="M4" i="17"/>
  <c r="G8" i="12"/>
  <c r="F17" i="17"/>
  <c r="G19" i="17" s="1"/>
  <c r="G20" i="17" s="1"/>
  <c r="L16" i="21" l="1"/>
  <c r="L20" i="21" s="1"/>
  <c r="H20" i="21"/>
  <c r="F30" i="21"/>
  <c r="H30" i="21" s="1"/>
  <c r="L30" i="21" s="1"/>
  <c r="F30" i="22"/>
  <c r="H30" i="22" s="1"/>
  <c r="F29" i="21"/>
  <c r="H29" i="21" s="1"/>
  <c r="F29" i="22"/>
  <c r="H29" i="22" s="1"/>
  <c r="E15" i="12"/>
  <c r="C15" i="12" s="1"/>
  <c r="F31" i="21"/>
  <c r="H31" i="21" s="1"/>
  <c r="L31" i="21" s="1"/>
  <c r="F31" i="22"/>
  <c r="H31" i="22" s="1"/>
  <c r="E17" i="22"/>
  <c r="E45" i="22" s="1"/>
  <c r="E45" i="21"/>
  <c r="G9" i="12"/>
  <c r="J17" i="9"/>
  <c r="K17" i="9"/>
  <c r="I17" i="9"/>
  <c r="L17" i="9"/>
  <c r="M17" i="9"/>
  <c r="N17" i="9"/>
  <c r="G8" i="9"/>
  <c r="I14" i="17"/>
  <c r="J13" i="17"/>
  <c r="G17" i="17"/>
  <c r="H19" i="17" s="1"/>
  <c r="H20" i="17" s="1"/>
  <c r="G23" i="17"/>
  <c r="J20" i="9" s="1"/>
  <c r="F6" i="17"/>
  <c r="G8" i="17" s="1"/>
  <c r="F28" i="9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D15" i="2"/>
  <c r="D16" i="2"/>
  <c r="G16" i="2"/>
  <c r="E17" i="12" l="1"/>
  <c r="F13" i="12" s="1"/>
  <c r="D6" i="23"/>
  <c r="D8" i="23" s="1"/>
  <c r="D10" i="23" s="1"/>
  <c r="J7" i="23" s="1"/>
  <c r="C13" i="23" s="1"/>
  <c r="H32" i="22"/>
  <c r="H36" i="22" s="1"/>
  <c r="H8" i="12"/>
  <c r="H9" i="12"/>
  <c r="L29" i="21"/>
  <c r="L32" i="21" s="1"/>
  <c r="L36" i="21" s="1"/>
  <c r="H32" i="21"/>
  <c r="H36" i="21" s="1"/>
  <c r="F12" i="12"/>
  <c r="H7" i="12"/>
  <c r="H6" i="12"/>
  <c r="I9" i="12"/>
  <c r="G27" i="9" s="1"/>
  <c r="J14" i="17"/>
  <c r="K13" i="17"/>
  <c r="F14" i="12"/>
  <c r="H17" i="17"/>
  <c r="I19" i="17" s="1"/>
  <c r="I20" i="17" s="1"/>
  <c r="H23" i="17"/>
  <c r="K20" i="9" s="1"/>
  <c r="G6" i="17"/>
  <c r="H8" i="17" s="1"/>
  <c r="F25" i="17"/>
  <c r="I24" i="9" s="1"/>
  <c r="F9" i="17"/>
  <c r="F22" i="17"/>
  <c r="F15" i="12" l="1"/>
  <c r="F17" i="12"/>
  <c r="E16" i="12"/>
  <c r="F39" i="22" s="1"/>
  <c r="C17" i="12"/>
  <c r="C14" i="23"/>
  <c r="D13" i="23"/>
  <c r="F24" i="17"/>
  <c r="I12" i="9"/>
  <c r="H35" i="9"/>
  <c r="G39" i="9" s="1"/>
  <c r="C16" i="12"/>
  <c r="L13" i="17"/>
  <c r="K14" i="17"/>
  <c r="I17" i="17"/>
  <c r="J17" i="17" s="1"/>
  <c r="F16" i="12"/>
  <c r="H6" i="17"/>
  <c r="I8" i="17" s="1"/>
  <c r="I23" i="17"/>
  <c r="L20" i="9" s="1"/>
  <c r="G25" i="17"/>
  <c r="J24" i="9" s="1"/>
  <c r="G9" i="17"/>
  <c r="G22" i="17"/>
  <c r="F39" i="21" l="1"/>
  <c r="E13" i="23"/>
  <c r="D14" i="23"/>
  <c r="G24" i="17"/>
  <c r="J12" i="9"/>
  <c r="F45" i="21"/>
  <c r="H39" i="21"/>
  <c r="H39" i="22"/>
  <c r="H43" i="22" s="1"/>
  <c r="H45" i="22" s="1"/>
  <c r="F45" i="22"/>
  <c r="J19" i="17"/>
  <c r="J20" i="17" s="1"/>
  <c r="L14" i="17"/>
  <c r="M13" i="17"/>
  <c r="M14" i="17" s="1"/>
  <c r="J23" i="17"/>
  <c r="M20" i="9" s="1"/>
  <c r="I6" i="17"/>
  <c r="J8" i="17" s="1"/>
  <c r="H25" i="17"/>
  <c r="K24" i="9" s="1"/>
  <c r="H9" i="17"/>
  <c r="H22" i="17"/>
  <c r="K19" i="17"/>
  <c r="K20" i="17" s="1"/>
  <c r="K17" i="17"/>
  <c r="F13" i="23" l="1"/>
  <c r="E14" i="23"/>
  <c r="H24" i="17"/>
  <c r="K12" i="9"/>
  <c r="H43" i="21"/>
  <c r="H45" i="21" s="1"/>
  <c r="L39" i="21"/>
  <c r="L43" i="21" s="1"/>
  <c r="L45" i="21" s="1"/>
  <c r="I22" i="17"/>
  <c r="I9" i="17"/>
  <c r="L19" i="17"/>
  <c r="L20" i="17" s="1"/>
  <c r="L17" i="17"/>
  <c r="M18" i="17" s="1"/>
  <c r="K23" i="17"/>
  <c r="N20" i="9" s="1"/>
  <c r="J6" i="17"/>
  <c r="K8" i="17" s="1"/>
  <c r="I25" i="17"/>
  <c r="L24" i="9" s="1"/>
  <c r="G13" i="23" l="1"/>
  <c r="F14" i="23"/>
  <c r="I24" i="17"/>
  <c r="L12" i="9"/>
  <c r="K6" i="17"/>
  <c r="J25" i="17"/>
  <c r="M24" i="9" s="1"/>
  <c r="M19" i="17"/>
  <c r="M20" i="17" s="1"/>
  <c r="M17" i="17"/>
  <c r="J9" i="17"/>
  <c r="J22" i="17"/>
  <c r="H13" i="23" l="1"/>
  <c r="G14" i="23"/>
  <c r="J24" i="17"/>
  <c r="M12" i="9"/>
  <c r="L7" i="17"/>
  <c r="L23" i="17" s="1"/>
  <c r="L8" i="17"/>
  <c r="K25" i="17"/>
  <c r="N24" i="9" s="1"/>
  <c r="K9" i="17"/>
  <c r="K22" i="17"/>
  <c r="I13" i="23" l="1"/>
  <c r="H14" i="23"/>
  <c r="K24" i="17"/>
  <c r="N12" i="9"/>
  <c r="L6" i="17"/>
  <c r="M8" i="17" s="1"/>
  <c r="L9" i="17"/>
  <c r="L22" i="17"/>
  <c r="L24" i="17" s="1"/>
  <c r="J13" i="23" l="1"/>
  <c r="J14" i="23" s="1"/>
  <c r="C16" i="23" s="1"/>
  <c r="I14" i="23"/>
  <c r="L25" i="17"/>
  <c r="M7" i="17"/>
  <c r="M23" i="17" s="1"/>
  <c r="M22" i="17"/>
  <c r="M9" i="17" l="1"/>
  <c r="M24" i="17"/>
  <c r="M6" i="17"/>
  <c r="M25" i="17" s="1"/>
  <c r="F23" i="9" l="1"/>
  <c r="I7" i="9"/>
  <c r="A14" i="2"/>
  <c r="A13" i="2"/>
  <c r="A12" i="2"/>
  <c r="D20" i="2"/>
  <c r="A11" i="2"/>
  <c r="A10" i="2"/>
  <c r="A9" i="2"/>
  <c r="A8" i="2"/>
  <c r="A6" i="2"/>
  <c r="A120" i="2"/>
  <c r="A101" i="2"/>
  <c r="J7" i="9" l="1"/>
  <c r="I10" i="9"/>
  <c r="H16" i="9"/>
  <c r="I16" i="9" s="1"/>
  <c r="I9" i="9"/>
  <c r="I18" i="9"/>
  <c r="D19" i="2"/>
  <c r="I11" i="9" l="1"/>
  <c r="J18" i="9"/>
  <c r="K7" i="9"/>
  <c r="J10" i="9"/>
  <c r="J9" i="9"/>
  <c r="J16" i="9"/>
  <c r="D10" i="2"/>
  <c r="D21" i="2"/>
  <c r="G17" i="2" s="1"/>
  <c r="D13" i="2"/>
  <c r="D14" i="2"/>
  <c r="G11" i="2"/>
  <c r="D11" i="2"/>
  <c r="D9" i="2"/>
  <c r="G12" i="2" l="1"/>
  <c r="J11" i="9"/>
  <c r="J23" i="9" s="1"/>
  <c r="I23" i="9"/>
  <c r="K18" i="9"/>
  <c r="L7" i="9"/>
  <c r="K16" i="9"/>
  <c r="K10" i="9"/>
  <c r="K9" i="9"/>
  <c r="N108" i="2"/>
  <c r="G20" i="2" l="1"/>
  <c r="G21" i="2"/>
  <c r="G19" i="2"/>
  <c r="G18" i="2"/>
  <c r="I13" i="9"/>
  <c r="I14" i="9" s="1"/>
  <c r="I15" i="9" s="1"/>
  <c r="I19" i="9" s="1"/>
  <c r="I21" i="9" s="1"/>
  <c r="I35" i="9" s="1"/>
  <c r="J13" i="9"/>
  <c r="K11" i="9"/>
  <c r="L16" i="9"/>
  <c r="L10" i="9"/>
  <c r="L9" i="9"/>
  <c r="L18" i="9"/>
  <c r="M7" i="9"/>
  <c r="N107" i="2"/>
  <c r="I36" i="9" l="1"/>
  <c r="J14" i="9"/>
  <c r="J15" i="9" s="1"/>
  <c r="J19" i="9" s="1"/>
  <c r="K23" i="9"/>
  <c r="L11" i="9"/>
  <c r="M10" i="9"/>
  <c r="M9" i="9"/>
  <c r="M18" i="9"/>
  <c r="N7" i="9"/>
  <c r="M16" i="9"/>
  <c r="N106" i="2"/>
  <c r="J21" i="9" l="1"/>
  <c r="J35" i="9" s="1"/>
  <c r="K13" i="9"/>
  <c r="K14" i="9" s="1"/>
  <c r="K15" i="9" s="1"/>
  <c r="K19" i="9" s="1"/>
  <c r="M11" i="9"/>
  <c r="L23" i="9"/>
  <c r="N18" i="9"/>
  <c r="N16" i="9"/>
  <c r="N10" i="9"/>
  <c r="N9" i="9"/>
  <c r="N110" i="2"/>
  <c r="J36" i="9" l="1"/>
  <c r="L13" i="9"/>
  <c r="L14" i="9" s="1"/>
  <c r="L15" i="9" s="1"/>
  <c r="L19" i="9" s="1"/>
  <c r="K21" i="9"/>
  <c r="K35" i="9" s="1"/>
  <c r="K36" i="9" s="1"/>
  <c r="N11" i="9"/>
  <c r="N23" i="9" s="1"/>
  <c r="M23" i="9"/>
  <c r="M27" i="9" s="1"/>
  <c r="N109" i="2"/>
  <c r="L21" i="9" l="1"/>
  <c r="L35" i="9" s="1"/>
  <c r="L36" i="9" s="1"/>
  <c r="M30" i="9"/>
  <c r="N13" i="9"/>
  <c r="N14" i="9" s="1"/>
  <c r="M13" i="9"/>
  <c r="M14" i="9" s="1"/>
  <c r="M15" i="9" s="1"/>
  <c r="M19" i="9" s="1"/>
  <c r="M21" i="9" l="1"/>
  <c r="N15" i="9"/>
  <c r="N19" i="9" s="1"/>
  <c r="M28" i="9" s="1"/>
  <c r="N21" i="9" l="1"/>
  <c r="M29" i="9"/>
  <c r="M32" i="9" s="1"/>
  <c r="M35" i="9" s="1"/>
  <c r="M36" i="9" l="1"/>
  <c r="G38" i="9" s="1"/>
  <c r="G40" i="9" s="1"/>
  <c r="G42" i="9"/>
  <c r="N111" i="2"/>
</calcChain>
</file>

<file path=xl/sharedStrings.xml><?xml version="1.0" encoding="utf-8"?>
<sst xmlns="http://schemas.openxmlformats.org/spreadsheetml/2006/main" count="643" uniqueCount="378">
  <si>
    <t>EXIT YEAR</t>
  </si>
  <si>
    <t>EBITDA</t>
  </si>
  <si>
    <t>EBIT</t>
  </si>
  <si>
    <t>Less Interest</t>
  </si>
  <si>
    <t>Plus Depreciation &amp; Amortization</t>
  </si>
  <si>
    <t>Equity Cash Flows</t>
  </si>
  <si>
    <t>CORPORATE VALUATIONS</t>
  </si>
  <si>
    <t>BOOK VALUE</t>
  </si>
  <si>
    <t>Per Share</t>
  </si>
  <si>
    <t>Profitability</t>
  </si>
  <si>
    <t>Revenues (LTM)</t>
  </si>
  <si>
    <t>ROE %</t>
  </si>
  <si>
    <t>EBITDA (LTM)</t>
  </si>
  <si>
    <t>ROA%</t>
  </si>
  <si>
    <t>Net Income (LTM)</t>
  </si>
  <si>
    <t>(EPS)</t>
  </si>
  <si>
    <t>Book Value of Equity / Shares</t>
  </si>
  <si>
    <t>Book Value of Assets</t>
  </si>
  <si>
    <t>Book Value of Equity</t>
  </si>
  <si>
    <t>Common Shares Outstanding (000's)</t>
  </si>
  <si>
    <t>Market Capitalization (Equity Value)</t>
  </si>
  <si>
    <t>Dividends/Share</t>
  </si>
  <si>
    <t>Market Value to Book Value Relationship</t>
  </si>
  <si>
    <t>Equity MV / BV</t>
  </si>
  <si>
    <t>Tobin's Q Ratio (EV/ Total Assets)</t>
  </si>
  <si>
    <t xml:space="preserve">Price / Earnings </t>
  </si>
  <si>
    <t>Price / Sales</t>
  </si>
  <si>
    <t>Price / EBITDA</t>
  </si>
  <si>
    <t>Average</t>
  </si>
  <si>
    <t xml:space="preserve">  year =</t>
  </si>
  <si>
    <t>Historical</t>
  </si>
  <si>
    <t>Assumptions</t>
  </si>
  <si>
    <t>Operating Expenses (Excl. Non-rec.)</t>
  </si>
  <si>
    <t xml:space="preserve"> EBIT</t>
  </si>
  <si>
    <t>Less Taxes (tax rate x of EBIT)</t>
  </si>
  <si>
    <t xml:space="preserve">Less Capex 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</si>
  <si>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</si>
  <si>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</si>
  <si>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</si>
  <si>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</si>
  <si>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</si>
  <si>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>Less Debt Outstanding (at Exit)</t>
  </si>
  <si>
    <t>Plus Cash (at Exit)</t>
  </si>
  <si>
    <t>Equity Value at Terminal</t>
  </si>
  <si>
    <t>Rate</t>
  </si>
  <si>
    <t>Current Market Price</t>
  </si>
  <si>
    <t>Intrinsic Value Price</t>
  </si>
  <si>
    <t>Dividend Discount Model</t>
  </si>
  <si>
    <t>Comparable Trading Multiples</t>
  </si>
  <si>
    <t>Comparable Acquisition Multiples</t>
  </si>
  <si>
    <t>DCF Analysis</t>
  </si>
  <si>
    <t>Transactions Uses</t>
  </si>
  <si>
    <t>Purchase of 100% Shares</t>
  </si>
  <si>
    <t>Shares Outstanding
(millions)</t>
  </si>
  <si>
    <t>Refinance Short-Term &amp; Long Term Debt</t>
  </si>
  <si>
    <t>Transactions Sources</t>
  </si>
  <si>
    <t xml:space="preserve"> %  Capital</t>
  </si>
  <si>
    <t>Interest Rate / Expected Return</t>
  </si>
  <si>
    <t>Total Amount
($ 000's)</t>
  </si>
  <si>
    <t>Corporate Bonds</t>
  </si>
  <si>
    <t>Equity</t>
  </si>
  <si>
    <t xml:space="preserve">    Total Cost of Transaction (Uses)</t>
  </si>
  <si>
    <t xml:space="preserve">   Total Sources </t>
  </si>
  <si>
    <t>EBITDA
Multiple
(Capacity)</t>
  </si>
  <si>
    <t xml:space="preserve"> %  Total
Uses</t>
  </si>
  <si>
    <t>EBT</t>
  </si>
  <si>
    <t>Net Income</t>
  </si>
  <si>
    <t>Cash Flow Before Principal Payment</t>
  </si>
  <si>
    <t>Debt Principal Payment</t>
  </si>
  <si>
    <t>Debt Schedule</t>
  </si>
  <si>
    <t xml:space="preserve">   Outstanding</t>
  </si>
  <si>
    <t xml:space="preserve">   Total Payments (P+I)</t>
  </si>
  <si>
    <t xml:space="preserve">   Scheduled Principal Payments (P)</t>
  </si>
  <si>
    <t xml:space="preserve">   Interest Payments (I)</t>
  </si>
  <si>
    <t>Years</t>
  </si>
  <si>
    <t>Total Debt Payments</t>
  </si>
  <si>
    <t>Total Debt Outstanding</t>
  </si>
  <si>
    <t>7 Years</t>
  </si>
  <si>
    <t xml:space="preserve">   Total Debt</t>
  </si>
  <si>
    <t>EBITDA
Multiple</t>
  </si>
  <si>
    <t xml:space="preserve">Debt </t>
  </si>
  <si>
    <t>Tax Rate =</t>
  </si>
  <si>
    <t>SYMBOL=</t>
  </si>
  <si>
    <t>Total Debt</t>
  </si>
  <si>
    <t>Total Cash</t>
  </si>
  <si>
    <t>General Market Information</t>
  </si>
  <si>
    <t>Enteprise Value =</t>
  </si>
  <si>
    <t>MARKET VALUE</t>
  </si>
  <si>
    <t>Last Reported Performance  (LTM)</t>
  </si>
  <si>
    <t>Financial Statements Date of Reporting:</t>
  </si>
  <si>
    <t>Beta=</t>
  </si>
  <si>
    <t>Transaction Fees &amp; Expenses</t>
  </si>
  <si>
    <t>Desired Equity Return =</t>
  </si>
  <si>
    <t>Interest Payments</t>
  </si>
  <si>
    <t>Principal Payments</t>
  </si>
  <si>
    <t>EBITDA =</t>
  </si>
  <si>
    <t>Net Sales</t>
  </si>
  <si>
    <t>($ millions)</t>
  </si>
  <si>
    <t xml:space="preserve">  Growth</t>
  </si>
  <si>
    <t>Cost of Goods Sold</t>
  </si>
  <si>
    <t xml:space="preserve"> Gross Profit</t>
  </si>
  <si>
    <t xml:space="preserve">  Groaa Margin</t>
  </si>
  <si>
    <t xml:space="preserve">  EBIT % of Net Sales</t>
  </si>
  <si>
    <t>Cash Flow Summary</t>
  </si>
  <si>
    <t>Income Statement Summary</t>
  </si>
  <si>
    <t>Depreciation &amp; Amortization</t>
  </si>
  <si>
    <t>Capital Expenditures</t>
  </si>
  <si>
    <t>Balance Sheet Summary</t>
  </si>
  <si>
    <t>Total
Amount
($ millions)</t>
  </si>
  <si>
    <t>Plus Capitalized Fee Amortization</t>
  </si>
  <si>
    <t>Purchase Stock Price
Feb 28, 2019</t>
  </si>
  <si>
    <t>Desired 
Premium</t>
  </si>
  <si>
    <t>Current 
Stock 
Price</t>
  </si>
  <si>
    <t>Figure 9.2</t>
  </si>
  <si>
    <t>EBIT =</t>
  </si>
  <si>
    <t>Plus Deprec. &amp; Amort.=</t>
  </si>
  <si>
    <t>LIBOR</t>
  </si>
  <si>
    <t>LIBOR Increase</t>
  </si>
  <si>
    <t>L+4.0%</t>
  </si>
  <si>
    <t>Spread</t>
  </si>
  <si>
    <t>Interest Rate</t>
  </si>
  <si>
    <t>Transaction Sources &amp; Uses</t>
  </si>
  <si>
    <t>Debt Schedules</t>
  </si>
  <si>
    <t>Bank Loan - Term Loan B</t>
  </si>
  <si>
    <t>Equity Reurn Analysis</t>
  </si>
  <si>
    <t>Assumptions
Average</t>
  </si>
  <si>
    <t>PROJECTIONS</t>
  </si>
  <si>
    <t>HISTORICAL</t>
  </si>
  <si>
    <t>Projections</t>
  </si>
  <si>
    <t xml:space="preserve">Assumptions
</t>
  </si>
  <si>
    <t xml:space="preserve"> Next Year's CF adj for IE / (Disc. Rate - Growth)</t>
  </si>
  <si>
    <t>PV of CF =</t>
  </si>
  <si>
    <t>Initial Invest=</t>
  </si>
  <si>
    <t>NPV =</t>
  </si>
  <si>
    <t>IRR =</t>
  </si>
  <si>
    <t>(before Tax)</t>
  </si>
  <si>
    <t xml:space="preserve">  Net Sales Growth</t>
  </si>
  <si>
    <t xml:space="preserve"> ($ millions)</t>
  </si>
  <si>
    <t>Accretion and Dilution Analysis</t>
  </si>
  <si>
    <t>Acquirer:</t>
  </si>
  <si>
    <t>Target:</t>
  </si>
  <si>
    <t>Revenue</t>
  </si>
  <si>
    <t>million</t>
  </si>
  <si>
    <t>Interest</t>
  </si>
  <si>
    <t>Shares Outs</t>
  </si>
  <si>
    <t>Transaction Assumptions</t>
  </si>
  <si>
    <t>Purchase Price</t>
  </si>
  <si>
    <t xml:space="preserve"> ($ mm)</t>
  </si>
  <si>
    <t>Financing</t>
  </si>
  <si>
    <t>Shares Issued by Acquirer</t>
  </si>
  <si>
    <t xml:space="preserve"> % Stock Consideration</t>
  </si>
  <si>
    <t xml:space="preserve">Debt Financing </t>
  </si>
  <si>
    <t>% Cash Consideration</t>
  </si>
  <si>
    <t>Cost of Debt</t>
  </si>
  <si>
    <t>EBIT Multiple x</t>
  </si>
  <si>
    <t>Projection Period ($ mm)</t>
  </si>
  <si>
    <t>Year 0</t>
  </si>
  <si>
    <t>Year 1</t>
  </si>
  <si>
    <t>Year 2</t>
  </si>
  <si>
    <t>Year 3</t>
  </si>
  <si>
    <t>Year 4</t>
  </si>
  <si>
    <t xml:space="preserve">  Proforma Combined EBIT</t>
  </si>
  <si>
    <t>Standalone Net Interest Expense</t>
  </si>
  <si>
    <t>Incremental Net Interest Expense</t>
  </si>
  <si>
    <t xml:space="preserve">   Total Interest Expenses</t>
  </si>
  <si>
    <t xml:space="preserve">  EBT</t>
  </si>
  <si>
    <t xml:space="preserve">  Taxes</t>
  </si>
  <si>
    <t xml:space="preserve">   Proforma Combined NI</t>
  </si>
  <si>
    <t>Acquire's Standalone Net Income</t>
  </si>
  <si>
    <t>Standalone Fully Diluted Shares</t>
  </si>
  <si>
    <t>Net New Shares issued in the Transaction</t>
  </si>
  <si>
    <t xml:space="preserve">  Proforma Fully Dillluted Shares Outstanding</t>
  </si>
  <si>
    <t>Accretive / Dilutive</t>
  </si>
  <si>
    <t>Steel Dynamics</t>
  </si>
  <si>
    <t>SP</t>
  </si>
  <si>
    <t>SO</t>
  </si>
  <si>
    <t>SP * SO = EQ</t>
  </si>
  <si>
    <t>D</t>
  </si>
  <si>
    <t>C</t>
  </si>
  <si>
    <t>EQ + D - C = EV</t>
  </si>
  <si>
    <t>E</t>
  </si>
  <si>
    <t>EV / E</t>
  </si>
  <si>
    <t>Company</t>
  </si>
  <si>
    <t>Symbol</t>
  </si>
  <si>
    <t>Stocks Outstanding ($000)</t>
  </si>
  <si>
    <t>Equity Value
 ($000)</t>
  </si>
  <si>
    <t>Debt (ST&amp;LT)
($000)</t>
  </si>
  <si>
    <t>Cash
 ($000)</t>
  </si>
  <si>
    <t>Enterprise Value 
($000)</t>
  </si>
  <si>
    <t>EBITDA 
($mm)</t>
  </si>
  <si>
    <t>EBITDA Multiple</t>
  </si>
  <si>
    <t>Beta</t>
  </si>
  <si>
    <t>United Steel</t>
  </si>
  <si>
    <t>X</t>
  </si>
  <si>
    <t>STLD</t>
  </si>
  <si>
    <t>Reliance Steel Industries</t>
  </si>
  <si>
    <t>RS</t>
  </si>
  <si>
    <t>Schtzer Steel Industries</t>
  </si>
  <si>
    <t>SCHN</t>
  </si>
  <si>
    <t>Olympic Steel</t>
  </si>
  <si>
    <t>ZEUS</t>
  </si>
  <si>
    <t>EBITDA * Average Multiple</t>
  </si>
  <si>
    <t>Enteprise Value</t>
  </si>
  <si>
    <t xml:space="preserve">Average  EBITDA  Industry Trading Multiples </t>
  </si>
  <si>
    <t>Less Debt</t>
  </si>
  <si>
    <t>Plus Cash</t>
  </si>
  <si>
    <t>Equity Values</t>
  </si>
  <si>
    <t>Shares Outstanding</t>
  </si>
  <si>
    <t>Stock Price (Equity Value / SO)</t>
  </si>
  <si>
    <t>Shares Outstanding (SO)</t>
  </si>
  <si>
    <t xml:space="preserve">  Premium %</t>
  </si>
  <si>
    <t>Calculations</t>
  </si>
  <si>
    <t>AP</t>
  </si>
  <si>
    <t>AP * SO = EQ</t>
  </si>
  <si>
    <t>ND</t>
  </si>
  <si>
    <t>EQ + ND = EV</t>
  </si>
  <si>
    <t xml:space="preserve">Target </t>
  </si>
  <si>
    <t>Acquirer</t>
  </si>
  <si>
    <t>Acquisition Price /Share</t>
  </si>
  <si>
    <t>Equity Value ($000)</t>
  </si>
  <si>
    <t>Total Net Debt ($ 000)</t>
  </si>
  <si>
    <t>Enterprise Value (EV)</t>
  </si>
  <si>
    <t>EBITDA  ($ 000)</t>
  </si>
  <si>
    <t>ZS Steel</t>
  </si>
  <si>
    <t>Archimedes PE</t>
  </si>
  <si>
    <t>Celerity Steel Manufacturing</t>
  </si>
  <si>
    <t>AZM Steel &amp; Aliminum</t>
  </si>
  <si>
    <t>Yes Steel &amp; Aluminum Co.</t>
  </si>
  <si>
    <t>Kingtom Steel</t>
  </si>
  <si>
    <t>HI Steel Manufacturing Inc.</t>
  </si>
  <si>
    <t>Excel Steel</t>
  </si>
  <si>
    <t>Precision Steel</t>
  </si>
  <si>
    <t>MW Inc.</t>
  </si>
  <si>
    <t>Ross West Steel</t>
  </si>
  <si>
    <t>Greenstone Capital</t>
  </si>
  <si>
    <t>Using Averge EBITDA Transaction Multiples (M&amp;A Comparable Method)</t>
  </si>
  <si>
    <t>Combined Synergies</t>
  </si>
  <si>
    <t>(Interest Rate)</t>
  </si>
  <si>
    <t>Assumption</t>
  </si>
  <si>
    <t>Accretion / (Dillution) - $ (Proforma Combined EPS - Acquirer's Standalone EPS)</t>
  </si>
  <si>
    <t>Proforma Combined Dilluted  EPS (Proforma NI / Proforma Fully Diluted Shares)</t>
  </si>
  <si>
    <t>Acquirer's Standalone Dilluted EPS (Standalone NI / Standalone Fully Diluted Shares)</t>
  </si>
  <si>
    <t>Accretion / (Dillution) - % (Proforma Combined EPS / Acquirer's Standalone EPS - 1)</t>
  </si>
  <si>
    <t>Breakeven Pre-Tax synergies / (Cushion) ( Accretion or Dillution per share x Proforma Shares) / (1 - tax rate)</t>
  </si>
  <si>
    <t>Cash and Cash Equivalents</t>
  </si>
  <si>
    <t>Accounts Receivable</t>
  </si>
  <si>
    <t>Inventory</t>
  </si>
  <si>
    <t>Oher Current Assets</t>
  </si>
  <si>
    <t xml:space="preserve">  Total Current Assets</t>
  </si>
  <si>
    <t>Property Plant &amp; Equipment</t>
  </si>
  <si>
    <t>Lont-Term Investments</t>
  </si>
  <si>
    <t>Goodwill</t>
  </si>
  <si>
    <t>Oher Long Term Assets</t>
  </si>
  <si>
    <t>Total Assets</t>
  </si>
  <si>
    <t>ASSETS</t>
  </si>
  <si>
    <t>BALANCE SHEET</t>
  </si>
  <si>
    <t>LIABILITIES</t>
  </si>
  <si>
    <t>Accounts Payable</t>
  </si>
  <si>
    <t>Other Curret Liabilities</t>
  </si>
  <si>
    <t>Current Portion of LTD</t>
  </si>
  <si>
    <t xml:space="preserve">   Total Current Liabilities</t>
  </si>
  <si>
    <t>Other Liabilities</t>
  </si>
  <si>
    <t>Minority Interest</t>
  </si>
  <si>
    <t>Total Liabilities</t>
  </si>
  <si>
    <t>SHAREHOLDER'S EQUITY</t>
  </si>
  <si>
    <t>Common Stock</t>
  </si>
  <si>
    <t>Treasury Stock</t>
  </si>
  <si>
    <t>Capital Surplus</t>
  </si>
  <si>
    <t>Retained Earnings</t>
  </si>
  <si>
    <t>Total Shareholder Equity</t>
  </si>
  <si>
    <t>Total Liabilities 7 Shareholder's Equity</t>
  </si>
  <si>
    <t>Debit</t>
  </si>
  <si>
    <t>Credit</t>
  </si>
  <si>
    <t>PROFORMA</t>
  </si>
  <si>
    <t>Asset Sale M&amp;A</t>
  </si>
  <si>
    <t>Intangibe Assets</t>
  </si>
  <si>
    <t>LBO Purchase 
Adjustments</t>
  </si>
  <si>
    <t>Existing Long  Term Debt</t>
  </si>
  <si>
    <t>Senior Unsecured Notes</t>
  </si>
  <si>
    <t xml:space="preserve">    Total Long Term Debt</t>
  </si>
  <si>
    <t>Term Loan B</t>
  </si>
  <si>
    <t>Revolver Loan</t>
  </si>
  <si>
    <t>Revolver Loan ($200 million)</t>
  </si>
  <si>
    <t>Capitalized Expanes</t>
  </si>
  <si>
    <t>Figure 9.3</t>
  </si>
  <si>
    <t>Fig. 9.5</t>
  </si>
  <si>
    <t>Capitalized Expenses</t>
  </si>
  <si>
    <t>PV @30%</t>
  </si>
  <si>
    <t>Annual Value of Annual Tax Savings for Step-up Assets due to acquisition</t>
  </si>
  <si>
    <t>Purchase Price of Assets</t>
  </si>
  <si>
    <t>Asset Basis</t>
  </si>
  <si>
    <t xml:space="preserve">  Asset Set-up</t>
  </si>
  <si>
    <t>Year</t>
  </si>
  <si>
    <t>Assumptions ($ millions)</t>
  </si>
  <si>
    <t>Amortization Years</t>
  </si>
  <si>
    <t>years</t>
  </si>
  <si>
    <t>Annual Depreciation (Asset Set-up / Years)</t>
  </si>
  <si>
    <t>Tax Rate</t>
  </si>
  <si>
    <t>Annual Tax Savings</t>
  </si>
  <si>
    <t>Discount Rate</t>
  </si>
  <si>
    <t>Annual Tax Savings (Tax Rate x Annual Depr.)</t>
  </si>
  <si>
    <t>Present Value of Annual Tax Savings</t>
  </si>
  <si>
    <t>Present Value - Savings</t>
  </si>
  <si>
    <t>Figure 9.9</t>
  </si>
  <si>
    <t>Revenues</t>
  </si>
  <si>
    <t>Less Working Capital</t>
  </si>
  <si>
    <t>WACC</t>
  </si>
  <si>
    <t>Bank Loan</t>
  </si>
  <si>
    <t>Figure 9.10</t>
  </si>
  <si>
    <t>Figure 9.11</t>
  </si>
  <si>
    <t>Discount Cash Flow Valuation Analysis</t>
  </si>
  <si>
    <t>(Pre Tra +D - C)</t>
  </si>
  <si>
    <t>(Pre Tra + C - D)</t>
  </si>
  <si>
    <t>Cash on Hand</t>
  </si>
  <si>
    <t xml:space="preserve"> Purchase new Equipment</t>
  </si>
  <si>
    <t>Proud Steel Holding Corp. (PRST)</t>
  </si>
  <si>
    <t>PRST</t>
  </si>
  <si>
    <t>Stock Price</t>
  </si>
  <si>
    <t>]</t>
  </si>
  <si>
    <t>Hypothetical LBO of Proud Steel Company</t>
  </si>
  <si>
    <t>PRST
Pre-
Transaction</t>
  </si>
  <si>
    <t>PRST
Post-
Transaction</t>
  </si>
  <si>
    <t>Hypothetical Acquisition of Proud Steel by Dynamic Steel</t>
  </si>
  <si>
    <t>Dynamic Steel</t>
  </si>
  <si>
    <t>Proud Steel</t>
  </si>
  <si>
    <t>Discout Cash Flow Valuation Analysis</t>
  </si>
  <si>
    <t>Projected</t>
  </si>
  <si>
    <t>Input Actual</t>
  </si>
  <si>
    <t xml:space="preserve">  Revenue Growth</t>
  </si>
  <si>
    <t>Cost of Revenues (CoGS)</t>
  </si>
  <si>
    <t>Plus Depreciation</t>
  </si>
  <si>
    <t>Cash Flow</t>
  </si>
  <si>
    <t>Debt (assuming 5% reduction of intial principal per year)</t>
  </si>
  <si>
    <t xml:space="preserve"> Next Year's Cash Flow / (Discount Rate - Growth)</t>
  </si>
  <si>
    <t>PV (for $1)</t>
  </si>
  <si>
    <t>PV (1) =</t>
  </si>
  <si>
    <t>PV (2) =</t>
  </si>
  <si>
    <t>PV (3) =</t>
  </si>
  <si>
    <t>PV (4) =</t>
  </si>
  <si>
    <t>PV (5) =</t>
  </si>
  <si>
    <t>PV=</t>
  </si>
  <si>
    <t>Cost of Equity Calc</t>
  </si>
  <si>
    <t>Interest LTM ($ 000s)</t>
  </si>
  <si>
    <t>Risk Free Rate (5 year)</t>
  </si>
  <si>
    <t>Enterprise Value =</t>
  </si>
  <si>
    <t>PV of Equity + PV of Debt</t>
  </si>
  <si>
    <t>Premium based on MC =</t>
  </si>
  <si>
    <t xml:space="preserve">PV of Equity = </t>
  </si>
  <si>
    <t>Company Beta =</t>
  </si>
  <si>
    <t xml:space="preserve">+ PV of Debt = </t>
  </si>
  <si>
    <t>Expected Equity Return =</t>
  </si>
  <si>
    <t xml:space="preserve">+ PV of Cash = </t>
  </si>
  <si>
    <t>Enterprise Value</t>
  </si>
  <si>
    <t>WACC Calc:</t>
  </si>
  <si>
    <t xml:space="preserve">  % Cap</t>
  </si>
  <si>
    <t xml:space="preserve"> AT RoR</t>
  </si>
  <si>
    <t>Debt</t>
  </si>
  <si>
    <t>MV Equity</t>
  </si>
  <si>
    <t>Current 
Stock Price</t>
  </si>
  <si>
    <t>Premium</t>
  </si>
  <si>
    <t>Purchase Stock Price</t>
  </si>
  <si>
    <t>Total
Amount
($ 000's)</t>
  </si>
  <si>
    <t>After Tax Interest Rate Adjustments</t>
  </si>
  <si>
    <t>WACC 
Calc</t>
  </si>
  <si>
    <t>Beta =</t>
  </si>
  <si>
    <t>LTM</t>
  </si>
  <si>
    <t>Plus Amortization</t>
  </si>
  <si>
    <t xml:space="preserve"> Next Year's CF adj for Int. Exp / (Discount Rate - Growth)</t>
  </si>
  <si>
    <t>Leveraged Buyout (LBO) Analysis</t>
  </si>
  <si>
    <t>Hypothetical LBO</t>
  </si>
  <si>
    <t xml:space="preserve">
Pre-
Transaction</t>
  </si>
  <si>
    <t xml:space="preserve">
Post-
Transaction</t>
  </si>
  <si>
    <t>DyST</t>
  </si>
  <si>
    <t>Hypothetical Acquisition of Prood Steel by Dynamic Steel</t>
  </si>
  <si>
    <t xml:space="preserve">Combined
</t>
  </si>
  <si>
    <t>Price/Share</t>
  </si>
  <si>
    <t>Annual Interest Payment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</si>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</sst>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\x"/>
    <numFmt numFmtId="166" formatCode="&quot;$&quot;0.00"/>
    <numFmt numFmtId="167" formatCode="0.00\x"/>
    <numFmt numFmtId="168" formatCode="0.0%"/>
    <numFmt numFmtId="169" formatCode="_(* #,##0.0000000_);_(* \(#,##0.0000000\);_(* &quot;-&quot;??_);_(@_)"/>
    <numFmt numFmtId="170" formatCode="_(* #,##0.0_);_(* \(#,##0.0\);_(* &quot;-&quot;??_);_(@_)"/>
    <numFmt numFmtId="171" formatCode="_(&quot;$&quot;* #,##0_);_(&quot;$&quot;* \(#,##0\);_(&quot;$&quot;* &quot;-&quot;??_);_(@_)"/>
    <numFmt numFmtId="172" formatCode="_(&quot;$&quot;* #,##0.0_);_(&quot;$&quot;* \(#,##0.0\);_(&quot;$&quot;* &quot;-&quot;??_);_(@_)"/>
    <numFmt numFmtId="173" formatCode="0.00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indexed="12"/>
      <name val="Arial"/>
      <family val="2"/>
    </font>
    <font>
      <b/>
      <sz val="10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9">
    <xf numFmtId="0" fontId="0" fillId="0" borderId="0" xfId="0"/>
    <xf numFmtId="0" fontId="4" fillId="0" borderId="0" xfId="0" applyFont="1"/>
    <xf numFmtId="0" fontId="7" fillId="2" borderId="2" xfId="0" applyFont="1" applyFill="1" applyBorder="1" applyAlignment="1">
      <alignment horizontal="center"/>
    </xf>
    <xf numFmtId="0" fontId="7" fillId="0" borderId="0" xfId="0" applyFont="1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1" xfId="1" applyNumberFormat="1" applyFont="1" applyBorder="1"/>
    <xf numFmtId="164" fontId="0" fillId="0" borderId="3" xfId="1" applyNumberFormat="1" applyFont="1" applyBorder="1"/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right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6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8" xfId="0" applyFont="1" applyBorder="1" applyAlignment="1">
      <alignment horizontal="center"/>
    </xf>
    <xf numFmtId="164" fontId="9" fillId="0" borderId="0" xfId="0" applyNumberFormat="1" applyFont="1"/>
    <xf numFmtId="166" fontId="9" fillId="0" borderId="0" xfId="2" applyNumberFormat="1" applyFont="1" applyAlignment="1">
      <alignment horizontal="center"/>
    </xf>
    <xf numFmtId="10" fontId="9" fillId="0" borderId="0" xfId="0" applyNumberFormat="1" applyFont="1"/>
    <xf numFmtId="6" fontId="12" fillId="0" borderId="0" xfId="0" applyNumberFormat="1" applyFont="1"/>
    <xf numFmtId="0" fontId="0" fillId="0" borderId="0" xfId="0" quotePrefix="1"/>
    <xf numFmtId="44" fontId="9" fillId="0" borderId="0" xfId="2" applyFont="1"/>
    <xf numFmtId="0" fontId="0" fillId="0" borderId="1" xfId="0" applyBorder="1"/>
    <xf numFmtId="44" fontId="9" fillId="0" borderId="0" xfId="2" applyFont="1" applyAlignment="1">
      <alignment horizontal="right"/>
    </xf>
    <xf numFmtId="6" fontId="9" fillId="0" borderId="0" xfId="0" applyNumberFormat="1" applyFont="1"/>
    <xf numFmtId="8" fontId="12" fillId="0" borderId="0" xfId="0" applyNumberFormat="1" applyFont="1"/>
    <xf numFmtId="167" fontId="0" fillId="0" borderId="0" xfId="0" applyNumberFormat="1" applyAlignment="1">
      <alignment horizontal="center"/>
    </xf>
    <xf numFmtId="168" fontId="0" fillId="0" borderId="0" xfId="3" applyNumberFormat="1" applyFont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7" fillId="2" borderId="7" xfId="0" applyFont="1" applyFill="1" applyBorder="1" applyAlignment="1">
      <alignment horizontal="center"/>
    </xf>
    <xf numFmtId="164" fontId="7" fillId="0" borderId="8" xfId="0" applyNumberFormat="1" applyFont="1" applyBorder="1"/>
    <xf numFmtId="167" fontId="0" fillId="0" borderId="0" xfId="0" applyNumberFormat="1"/>
    <xf numFmtId="0" fontId="7" fillId="2" borderId="16" xfId="0" applyFont="1" applyFill="1" applyBorder="1" applyAlignment="1">
      <alignment horizontal="center"/>
    </xf>
    <xf numFmtId="14" fontId="7" fillId="2" borderId="7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168" fontId="12" fillId="0" borderId="0" xfId="0" applyNumberFormat="1" applyFont="1" applyAlignment="1">
      <alignment horizontal="center"/>
    </xf>
    <xf numFmtId="168" fontId="17" fillId="0" borderId="0" xfId="3" applyNumberFormat="1" applyFont="1"/>
    <xf numFmtId="168" fontId="17" fillId="0" borderId="2" xfId="3" applyNumberFormat="1" applyFont="1" applyBorder="1"/>
    <xf numFmtId="0" fontId="21" fillId="0" borderId="0" xfId="0" applyFont="1"/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165" fontId="0" fillId="0" borderId="0" xfId="0" applyNumberFormat="1"/>
    <xf numFmtId="10" fontId="12" fillId="0" borderId="0" xfId="0" applyNumberFormat="1" applyFont="1"/>
    <xf numFmtId="10" fontId="0" fillId="0" borderId="0" xfId="0" applyNumberFormat="1"/>
    <xf numFmtId="0" fontId="15" fillId="0" borderId="0" xfId="0" quotePrefix="1" applyFont="1" applyAlignment="1">
      <alignment shrinkToFit="1"/>
    </xf>
    <xf numFmtId="0" fontId="0" fillId="0" borderId="8" xfId="0" applyBorder="1"/>
    <xf numFmtId="168" fontId="7" fillId="0" borderId="8" xfId="0" applyNumberFormat="1" applyFont="1" applyBorder="1"/>
    <xf numFmtId="6" fontId="7" fillId="0" borderId="0" xfId="0" applyNumberFormat="1" applyFont="1"/>
    <xf numFmtId="164" fontId="7" fillId="0" borderId="0" xfId="0" applyNumberFormat="1" applyFont="1"/>
    <xf numFmtId="4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/>
    <xf numFmtId="9" fontId="9" fillId="0" borderId="0" xfId="0" applyNumberFormat="1" applyFont="1" applyAlignment="1">
      <alignment horizontal="center"/>
    </xf>
    <xf numFmtId="164" fontId="9" fillId="0" borderId="0" xfId="1" applyNumberFormat="1" applyFont="1"/>
    <xf numFmtId="10" fontId="9" fillId="0" borderId="0" xfId="3" applyNumberFormat="1" applyFont="1"/>
    <xf numFmtId="10" fontId="9" fillId="0" borderId="5" xfId="3" applyNumberFormat="1" applyFont="1" applyBorder="1"/>
    <xf numFmtId="168" fontId="9" fillId="0" borderId="0" xfId="3" applyNumberFormat="1" applyFont="1" applyAlignment="1">
      <alignment horizontal="center"/>
    </xf>
    <xf numFmtId="10" fontId="9" fillId="0" borderId="0" xfId="3" applyNumberFormat="1" applyFont="1" applyAlignment="1">
      <alignment horizontal="center"/>
    </xf>
    <xf numFmtId="164" fontId="7" fillId="0" borderId="0" xfId="1" applyNumberFormat="1" applyFont="1"/>
    <xf numFmtId="0" fontId="9" fillId="0" borderId="0" xfId="0" applyFont="1" applyAlignment="1">
      <alignment horizontal="center"/>
    </xf>
    <xf numFmtId="0" fontId="9" fillId="0" borderId="18" xfId="0" applyFont="1" applyBorder="1"/>
    <xf numFmtId="168" fontId="12" fillId="0" borderId="0" xfId="0" quotePrefix="1" applyNumberFormat="1" applyFont="1" applyAlignment="1">
      <alignment horizontal="center"/>
    </xf>
    <xf numFmtId="0" fontId="7" fillId="2" borderId="21" xfId="0" applyFont="1" applyFill="1" applyBorder="1" applyAlignment="1">
      <alignment horizontal="center" wrapText="1"/>
    </xf>
    <xf numFmtId="10" fontId="9" fillId="0" borderId="1" xfId="3" applyNumberFormat="1" applyFont="1" applyBorder="1"/>
    <xf numFmtId="167" fontId="12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5" xfId="0" applyNumberFormat="1" applyFont="1" applyBorder="1" applyAlignment="1">
      <alignment horizontal="center"/>
    </xf>
    <xf numFmtId="168" fontId="0" fillId="0" borderId="0" xfId="3" applyNumberFormat="1" applyFont="1"/>
    <xf numFmtId="170" fontId="0" fillId="0" borderId="0" xfId="1" applyNumberFormat="1" applyFont="1"/>
    <xf numFmtId="170" fontId="0" fillId="0" borderId="1" xfId="1" applyNumberFormat="1" applyFont="1" applyBorder="1"/>
    <xf numFmtId="170" fontId="7" fillId="0" borderId="0" xfId="1" applyNumberFormat="1" applyFont="1"/>
    <xf numFmtId="6" fontId="0" fillId="0" borderId="0" xfId="0" applyNumberFormat="1" applyAlignment="1">
      <alignment horizontal="right"/>
    </xf>
    <xf numFmtId="0" fontId="23" fillId="0" borderId="0" xfId="0" applyFont="1"/>
    <xf numFmtId="14" fontId="23" fillId="0" borderId="0" xfId="0" applyNumberFormat="1" applyFont="1"/>
    <xf numFmtId="9" fontId="2" fillId="4" borderId="9" xfId="0" applyNumberFormat="1" applyFont="1" applyFill="1" applyBorder="1"/>
    <xf numFmtId="0" fontId="7" fillId="2" borderId="7" xfId="0" applyFont="1" applyFill="1" applyBorder="1" applyAlignment="1">
      <alignment horizontal="center" wrapText="1"/>
    </xf>
    <xf numFmtId="0" fontId="24" fillId="0" borderId="0" xfId="0" applyFont="1"/>
    <xf numFmtId="168" fontId="24" fillId="0" borderId="0" xfId="3" applyNumberFormat="1" applyFont="1"/>
    <xf numFmtId="0" fontId="25" fillId="0" borderId="0" xfId="0" applyFont="1"/>
    <xf numFmtId="0" fontId="2" fillId="4" borderId="8" xfId="0" applyFont="1" applyFill="1" applyBorder="1" applyAlignment="1">
      <alignment vertical="center"/>
    </xf>
    <xf numFmtId="0" fontId="2" fillId="0" borderId="0" xfId="0" quotePrefix="1" applyFont="1" applyAlignment="1">
      <alignment wrapText="1"/>
    </xf>
    <xf numFmtId="0" fontId="2" fillId="4" borderId="8" xfId="0" quotePrefix="1" applyFont="1" applyFill="1" applyBorder="1" applyAlignment="1">
      <alignment vertical="center" wrapText="1"/>
    </xf>
    <xf numFmtId="0" fontId="0" fillId="4" borderId="8" xfId="0" applyFill="1" applyBorder="1"/>
    <xf numFmtId="0" fontId="2" fillId="0" borderId="22" xfId="0" applyFont="1" applyBorder="1"/>
    <xf numFmtId="0" fontId="2" fillId="0" borderId="23" xfId="0" applyFont="1" applyBorder="1"/>
    <xf numFmtId="0" fontId="7" fillId="2" borderId="7" xfId="0" applyFont="1" applyFill="1" applyBorder="1" applyAlignment="1">
      <alignment horizontal="center" wrapText="1" shrinkToFit="1"/>
    </xf>
    <xf numFmtId="44" fontId="9" fillId="0" borderId="0" xfId="0" applyNumberFormat="1" applyFont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0" fontId="14" fillId="3" borderId="0" xfId="0" applyFont="1" applyFill="1" applyAlignment="1">
      <alignment horizontal="center"/>
    </xf>
    <xf numFmtId="164" fontId="7" fillId="0" borderId="0" xfId="1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9" fillId="0" borderId="0" xfId="1" applyNumberFormat="1" applyFont="1" applyAlignment="1">
      <alignment horizontal="center"/>
    </xf>
    <xf numFmtId="43" fontId="9" fillId="0" borderId="0" xfId="1" applyFont="1"/>
    <xf numFmtId="167" fontId="9" fillId="0" borderId="8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0" fontId="9" fillId="0" borderId="8" xfId="3" applyNumberFormat="1" applyFont="1" applyBorder="1" applyAlignment="1">
      <alignment horizontal="center"/>
    </xf>
    <xf numFmtId="170" fontId="7" fillId="0" borderId="0" xfId="1" applyNumberFormat="1" applyFont="1" applyAlignment="1">
      <alignment horizontal="center"/>
    </xf>
    <xf numFmtId="170" fontId="9" fillId="0" borderId="0" xfId="1" applyNumberFormat="1" applyFont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right"/>
    </xf>
    <xf numFmtId="170" fontId="9" fillId="0" borderId="26" xfId="1" applyNumberFormat="1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170" fontId="9" fillId="0" borderId="27" xfId="1" applyNumberFormat="1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170" fontId="7" fillId="0" borderId="20" xfId="1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15" xfId="0" applyFont="1" applyBorder="1"/>
    <xf numFmtId="168" fontId="7" fillId="0" borderId="14" xfId="0" applyNumberFormat="1" applyFont="1" applyBorder="1" applyAlignment="1">
      <alignment horizontal="center"/>
    </xf>
    <xf numFmtId="0" fontId="9" fillId="0" borderId="29" xfId="0" applyFont="1" applyBorder="1"/>
    <xf numFmtId="170" fontId="9" fillId="0" borderId="0" xfId="1" applyNumberFormat="1" applyFont="1"/>
    <xf numFmtId="170" fontId="4" fillId="0" borderId="5" xfId="0" applyNumberFormat="1" applyFont="1" applyBorder="1"/>
    <xf numFmtId="170" fontId="4" fillId="0" borderId="5" xfId="0" applyNumberFormat="1" applyFont="1" applyBorder="1" applyAlignment="1">
      <alignment horizontal="center"/>
    </xf>
    <xf numFmtId="170" fontId="9" fillId="0" borderId="5" xfId="1" applyNumberFormat="1" applyFont="1" applyBorder="1"/>
    <xf numFmtId="170" fontId="9" fillId="0" borderId="5" xfId="1" applyNumberFormat="1" applyFont="1" applyBorder="1" applyAlignment="1">
      <alignment horizontal="center"/>
    </xf>
    <xf numFmtId="170" fontId="9" fillId="0" borderId="0" xfId="0" applyNumberFormat="1" applyFont="1"/>
    <xf numFmtId="170" fontId="9" fillId="0" borderId="0" xfId="0" applyNumberFormat="1" applyFont="1" applyAlignment="1">
      <alignment horizontal="center"/>
    </xf>
    <xf numFmtId="170" fontId="9" fillId="0" borderId="4" xfId="0" applyNumberFormat="1" applyFont="1" applyBorder="1"/>
    <xf numFmtId="170" fontId="9" fillId="0" borderId="4" xfId="0" applyNumberFormat="1" applyFont="1" applyBorder="1" applyAlignment="1">
      <alignment horizontal="center"/>
    </xf>
    <xf numFmtId="14" fontId="20" fillId="2" borderId="21" xfId="0" quotePrefix="1" applyNumberFormat="1" applyFont="1" applyFill="1" applyBorder="1" applyAlignment="1">
      <alignment horizontal="center"/>
    </xf>
    <xf numFmtId="0" fontId="4" fillId="0" borderId="29" xfId="0" applyFont="1" applyBorder="1"/>
    <xf numFmtId="170" fontId="9" fillId="0" borderId="29" xfId="0" applyNumberFormat="1" applyFont="1" applyBorder="1"/>
    <xf numFmtId="170" fontId="15" fillId="0" borderId="29" xfId="1" applyNumberFormat="1" applyFont="1" applyBorder="1" applyAlignment="1">
      <alignment horizontal="right" vertical="top"/>
    </xf>
    <xf numFmtId="10" fontId="9" fillId="0" borderId="29" xfId="0" applyNumberFormat="1" applyFont="1" applyBorder="1"/>
    <xf numFmtId="168" fontId="9" fillId="0" borderId="18" xfId="0" quotePrefix="1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68" fontId="9" fillId="0" borderId="1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69" fontId="7" fillId="0" borderId="0" xfId="1" applyNumberFormat="1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4" fontId="12" fillId="0" borderId="0" xfId="1" applyNumberFormat="1" applyFont="1"/>
    <xf numFmtId="164" fontId="15" fillId="0" borderId="0" xfId="1" applyNumberFormat="1" applyFont="1"/>
    <xf numFmtId="168" fontId="15" fillId="0" borderId="0" xfId="3" applyNumberFormat="1" applyFont="1"/>
    <xf numFmtId="0" fontId="7" fillId="2" borderId="29" xfId="0" applyFont="1" applyFill="1" applyBorder="1" applyAlignment="1">
      <alignment horizontal="center"/>
    </xf>
    <xf numFmtId="9" fontId="9" fillId="0" borderId="29" xfId="0" applyNumberFormat="1" applyFont="1" applyBorder="1" applyAlignment="1">
      <alignment horizontal="center"/>
    </xf>
    <xf numFmtId="168" fontId="9" fillId="0" borderId="29" xfId="0" applyNumberFormat="1" applyFont="1" applyBorder="1" applyAlignment="1">
      <alignment horizontal="center"/>
    </xf>
    <xf numFmtId="168" fontId="9" fillId="0" borderId="17" xfId="0" applyNumberFormat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164" fontId="9" fillId="0" borderId="29" xfId="0" applyNumberFormat="1" applyFont="1" applyBorder="1" applyAlignment="1">
      <alignment horizontal="center"/>
    </xf>
    <xf numFmtId="168" fontId="9" fillId="0" borderId="29" xfId="0" quotePrefix="1" applyNumberFormat="1" applyFont="1" applyBorder="1" applyAlignment="1">
      <alignment horizontal="center"/>
    </xf>
    <xf numFmtId="168" fontId="15" fillId="0" borderId="29" xfId="0" applyNumberFormat="1" applyFont="1" applyBorder="1" applyAlignment="1">
      <alignment horizontal="center"/>
    </xf>
    <xf numFmtId="168" fontId="9" fillId="0" borderId="29" xfId="3" applyNumberFormat="1" applyFont="1" applyBorder="1" applyAlignment="1">
      <alignment horizontal="center"/>
    </xf>
    <xf numFmtId="0" fontId="7" fillId="0" borderId="29" xfId="0" applyFont="1" applyBorder="1"/>
    <xf numFmtId="170" fontId="9" fillId="0" borderId="29" xfId="1" applyNumberFormat="1" applyFont="1" applyBorder="1"/>
    <xf numFmtId="168" fontId="15" fillId="0" borderId="29" xfId="3" applyNumberFormat="1" applyFont="1" applyBorder="1"/>
    <xf numFmtId="164" fontId="9" fillId="0" borderId="29" xfId="1" applyNumberFormat="1" applyFont="1" applyBorder="1"/>
    <xf numFmtId="164" fontId="12" fillId="0" borderId="29" xfId="1" applyNumberFormat="1" applyFont="1" applyBorder="1"/>
    <xf numFmtId="164" fontId="7" fillId="0" borderId="29" xfId="1" applyNumberFormat="1" applyFont="1" applyBorder="1"/>
    <xf numFmtId="164" fontId="0" fillId="0" borderId="29" xfId="1" applyNumberFormat="1" applyFont="1" applyBorder="1"/>
    <xf numFmtId="164" fontId="7" fillId="0" borderId="29" xfId="0" applyNumberFormat="1" applyFont="1" applyBorder="1"/>
    <xf numFmtId="164" fontId="7" fillId="0" borderId="2" xfId="1" applyNumberFormat="1" applyFont="1" applyBorder="1"/>
    <xf numFmtId="164" fontId="7" fillId="0" borderId="2" xfId="0" applyNumberFormat="1" applyFont="1" applyBorder="1"/>
    <xf numFmtId="164" fontId="0" fillId="0" borderId="6" xfId="1" applyNumberFormat="1" applyFont="1" applyBorder="1"/>
    <xf numFmtId="164" fontId="0" fillId="0" borderId="17" xfId="1" applyNumberFormat="1" applyFont="1" applyBorder="1"/>
    <xf numFmtId="14" fontId="26" fillId="2" borderId="7" xfId="0" quotePrefix="1" applyNumberFormat="1" applyFont="1" applyFill="1" applyBorder="1" applyAlignment="1">
      <alignment horizontal="center"/>
    </xf>
    <xf numFmtId="14" fontId="26" fillId="2" borderId="21" xfId="0" quotePrefix="1" applyNumberFormat="1" applyFont="1" applyFill="1" applyBorder="1" applyAlignment="1">
      <alignment horizontal="center"/>
    </xf>
    <xf numFmtId="0" fontId="19" fillId="0" borderId="30" xfId="0" applyFont="1" applyBorder="1" applyAlignment="1">
      <alignment horizontal="center"/>
    </xf>
    <xf numFmtId="164" fontId="7" fillId="0" borderId="11" xfId="0" applyNumberFormat="1" applyFont="1" applyBorder="1"/>
    <xf numFmtId="164" fontId="7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6" fontId="7" fillId="0" borderId="0" xfId="0" applyNumberFormat="1" applyFont="1" applyAlignment="1">
      <alignment horizontal="right"/>
    </xf>
    <xf numFmtId="164" fontId="0" fillId="0" borderId="0" xfId="0" quotePrefix="1" applyNumberFormat="1" applyAlignment="1">
      <alignment horizontal="right"/>
    </xf>
    <xf numFmtId="164" fontId="0" fillId="0" borderId="12" xfId="1" applyNumberFormat="1" applyFont="1" applyBorder="1"/>
    <xf numFmtId="164" fontId="0" fillId="0" borderId="33" xfId="1" applyNumberFormat="1" applyFont="1" applyBorder="1"/>
    <xf numFmtId="164" fontId="0" fillId="0" borderId="8" xfId="1" applyNumberFormat="1" applyFont="1" applyBorder="1"/>
    <xf numFmtId="164" fontId="0" fillId="0" borderId="19" xfId="1" applyNumberFormat="1" applyFont="1" applyBorder="1"/>
    <xf numFmtId="0" fontId="2" fillId="0" borderId="13" xfId="0" applyFont="1" applyBorder="1" applyAlignment="1">
      <alignment horizontal="right"/>
    </xf>
    <xf numFmtId="168" fontId="2" fillId="0" borderId="14" xfId="0" applyNumberFormat="1" applyFont="1" applyBorder="1"/>
    <xf numFmtId="0" fontId="14" fillId="3" borderId="2" xfId="0" applyFont="1" applyFill="1" applyBorder="1"/>
    <xf numFmtId="0" fontId="28" fillId="0" borderId="0" xfId="0" applyFont="1"/>
    <xf numFmtId="0" fontId="27" fillId="3" borderId="0" xfId="0" applyFont="1" applyFill="1"/>
    <xf numFmtId="0" fontId="22" fillId="3" borderId="0" xfId="0" applyFont="1" applyFill="1"/>
    <xf numFmtId="171" fontId="0" fillId="0" borderId="0" xfId="2" applyNumberFormat="1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right"/>
    </xf>
    <xf numFmtId="9" fontId="0" fillId="0" borderId="0" xfId="0" applyNumberFormat="1"/>
    <xf numFmtId="0" fontId="27" fillId="3" borderId="0" xfId="0" applyFont="1" applyFill="1" applyAlignment="1">
      <alignment horizontal="centerContinuous"/>
    </xf>
    <xf numFmtId="0" fontId="2" fillId="4" borderId="1" xfId="0" applyFont="1" applyFill="1" applyBorder="1" applyAlignment="1">
      <alignment horizontal="center"/>
    </xf>
    <xf numFmtId="172" fontId="0" fillId="0" borderId="0" xfId="2" applyNumberFormat="1" applyFont="1"/>
    <xf numFmtId="170" fontId="0" fillId="0" borderId="4" xfId="1" applyNumberFormat="1" applyFont="1" applyBorder="1"/>
    <xf numFmtId="0" fontId="2" fillId="0" borderId="13" xfId="0" applyFont="1" applyBorder="1"/>
    <xf numFmtId="0" fontId="2" fillId="0" borderId="15" xfId="0" applyFont="1" applyBorder="1"/>
    <xf numFmtId="170" fontId="2" fillId="0" borderId="15" xfId="1" applyNumberFormat="1" applyFont="1" applyBorder="1"/>
    <xf numFmtId="170" fontId="2" fillId="0" borderId="14" xfId="1" applyNumberFormat="1" applyFont="1" applyBorder="1"/>
    <xf numFmtId="164" fontId="0" fillId="0" borderId="34" xfId="1" applyNumberFormat="1" applyFont="1" applyBorder="1"/>
    <xf numFmtId="0" fontId="2" fillId="0" borderId="35" xfId="0" applyFont="1" applyBorder="1"/>
    <xf numFmtId="0" fontId="2" fillId="0" borderId="36" xfId="0" applyFont="1" applyBorder="1"/>
    <xf numFmtId="44" fontId="2" fillId="0" borderId="36" xfId="2" applyFont="1" applyBorder="1"/>
    <xf numFmtId="44" fontId="2" fillId="0" borderId="37" xfId="2" applyFont="1" applyBorder="1"/>
    <xf numFmtId="0" fontId="2" fillId="0" borderId="38" xfId="0" applyFont="1" applyBorder="1"/>
    <xf numFmtId="0" fontId="2" fillId="0" borderId="7" xfId="0" applyFont="1" applyBorder="1"/>
    <xf numFmtId="44" fontId="2" fillId="0" borderId="7" xfId="2" applyFont="1" applyBorder="1"/>
    <xf numFmtId="44" fontId="2" fillId="0" borderId="39" xfId="2" applyFont="1" applyBorder="1"/>
    <xf numFmtId="0" fontId="2" fillId="4" borderId="35" xfId="0" applyFont="1" applyFill="1" applyBorder="1"/>
    <xf numFmtId="0" fontId="2" fillId="4" borderId="36" xfId="0" applyFont="1" applyFill="1" applyBorder="1"/>
    <xf numFmtId="44" fontId="2" fillId="4" borderId="36" xfId="0" applyNumberFormat="1" applyFont="1" applyFill="1" applyBorder="1"/>
    <xf numFmtId="44" fontId="2" fillId="4" borderId="36" xfId="2" applyFont="1" applyFill="1" applyBorder="1"/>
    <xf numFmtId="44" fontId="2" fillId="4" borderId="37" xfId="2" applyFont="1" applyFill="1" applyBorder="1"/>
    <xf numFmtId="0" fontId="2" fillId="4" borderId="40" xfId="0" applyFont="1" applyFill="1" applyBorder="1"/>
    <xf numFmtId="0" fontId="2" fillId="4" borderId="0" xfId="0" applyFont="1" applyFill="1"/>
    <xf numFmtId="168" fontId="2" fillId="4" borderId="0" xfId="3" applyNumberFormat="1" applyFont="1" applyFill="1"/>
    <xf numFmtId="168" fontId="2" fillId="4" borderId="41" xfId="3" applyNumberFormat="1" applyFont="1" applyFill="1" applyBorder="1"/>
    <xf numFmtId="0" fontId="2" fillId="4" borderId="0" xfId="0" applyFont="1" applyFill="1" applyAlignment="1">
      <alignment horizontal="right"/>
    </xf>
    <xf numFmtId="0" fontId="2" fillId="4" borderId="41" xfId="0" applyFont="1" applyFill="1" applyBorder="1" applyAlignment="1">
      <alignment horizontal="right"/>
    </xf>
    <xf numFmtId="0" fontId="2" fillId="4" borderId="38" xfId="0" applyFont="1" applyFill="1" applyBorder="1"/>
    <xf numFmtId="0" fontId="2" fillId="4" borderId="7" xfId="0" applyFont="1" applyFill="1" applyBorder="1"/>
    <xf numFmtId="170" fontId="2" fillId="4" borderId="7" xfId="1" applyNumberFormat="1" applyFont="1" applyFill="1" applyBorder="1"/>
    <xf numFmtId="170" fontId="2" fillId="4" borderId="39" xfId="1" applyNumberFormat="1" applyFont="1" applyFill="1" applyBorder="1"/>
    <xf numFmtId="0" fontId="29" fillId="0" borderId="0" xfId="0" applyFont="1"/>
    <xf numFmtId="0" fontId="1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0" fillId="0" borderId="42" xfId="0" applyFont="1" applyBorder="1" applyAlignment="1">
      <alignment horizontal="center" vertical="center"/>
    </xf>
    <xf numFmtId="0" fontId="30" fillId="0" borderId="42" xfId="0" quotePrefix="1" applyFont="1" applyBorder="1" applyAlignment="1">
      <alignment horizontal="center" vertical="center"/>
    </xf>
    <xf numFmtId="0" fontId="7" fillId="2" borderId="43" xfId="0" applyFont="1" applyFill="1" applyBorder="1"/>
    <xf numFmtId="0" fontId="7" fillId="2" borderId="44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 wrapText="1"/>
    </xf>
    <xf numFmtId="0" fontId="7" fillId="2" borderId="45" xfId="0" applyFont="1" applyFill="1" applyBorder="1" applyAlignment="1">
      <alignment horizontal="center" wrapText="1"/>
    </xf>
    <xf numFmtId="0" fontId="7" fillId="2" borderId="46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wrapText="1"/>
    </xf>
    <xf numFmtId="0" fontId="7" fillId="5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8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center"/>
    </xf>
    <xf numFmtId="164" fontId="15" fillId="0" borderId="48" xfId="1" applyNumberFormat="1" applyFont="1" applyBorder="1"/>
    <xf numFmtId="164" fontId="16" fillId="5" borderId="3" xfId="1" applyNumberFormat="1" applyFont="1" applyFill="1" applyBorder="1"/>
    <xf numFmtId="167" fontId="16" fillId="5" borderId="3" xfId="1" applyNumberFormat="1" applyFont="1" applyFill="1" applyBorder="1"/>
    <xf numFmtId="0" fontId="8" fillId="0" borderId="50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center"/>
    </xf>
    <xf numFmtId="44" fontId="15" fillId="0" borderId="42" xfId="2" applyFont="1" applyBorder="1" applyAlignment="1">
      <alignment horizontal="center"/>
    </xf>
    <xf numFmtId="0" fontId="8" fillId="0" borderId="43" xfId="0" applyFont="1" applyBorder="1" applyAlignment="1">
      <alignment horizontal="left" vertical="center" wrapText="1"/>
    </xf>
    <xf numFmtId="44" fontId="15" fillId="0" borderId="44" xfId="2" applyFont="1" applyBorder="1" applyAlignment="1">
      <alignment horizontal="center"/>
    </xf>
    <xf numFmtId="164" fontId="15" fillId="0" borderId="44" xfId="1" applyNumberFormat="1" applyFont="1" applyBorder="1"/>
    <xf numFmtId="164" fontId="15" fillId="0" borderId="45" xfId="1" applyNumberFormat="1" applyFont="1" applyBorder="1"/>
    <xf numFmtId="164" fontId="15" fillId="0" borderId="46" xfId="1" applyNumberFormat="1" applyFont="1" applyBorder="1"/>
    <xf numFmtId="164" fontId="16" fillId="5" borderId="9" xfId="1" applyNumberFormat="1" applyFont="1" applyFill="1" applyBorder="1"/>
    <xf numFmtId="167" fontId="16" fillId="5" borderId="9" xfId="1" applyNumberFormat="1" applyFont="1" applyFill="1" applyBorder="1"/>
    <xf numFmtId="167" fontId="15" fillId="0" borderId="0" xfId="0" applyNumberFormat="1" applyFont="1"/>
    <xf numFmtId="167" fontId="16" fillId="0" borderId="0" xfId="0" applyNumberFormat="1" applyFont="1"/>
    <xf numFmtId="0" fontId="15" fillId="0" borderId="0" xfId="0" applyFont="1"/>
    <xf numFmtId="0" fontId="31" fillId="2" borderId="0" xfId="0" applyFont="1" applyFill="1" applyAlignment="1">
      <alignment horizontal="left" vertical="center" wrapText="1"/>
    </xf>
    <xf numFmtId="164" fontId="15" fillId="0" borderId="12" xfId="1" applyNumberFormat="1" applyFont="1" applyBorder="1"/>
    <xf numFmtId="164" fontId="15" fillId="0" borderId="49" xfId="1" applyNumberFormat="1" applyFont="1" applyBorder="1"/>
    <xf numFmtId="167" fontId="16" fillId="5" borderId="3" xfId="1" applyNumberFormat="1" applyFont="1" applyFill="1" applyBorder="1" applyAlignment="1">
      <alignment horizontal="center"/>
    </xf>
    <xf numFmtId="164" fontId="15" fillId="0" borderId="42" xfId="1" applyNumberFormat="1" applyFont="1" applyBorder="1"/>
    <xf numFmtId="164" fontId="15" fillId="0" borderId="51" xfId="1" applyNumberFormat="1" applyFont="1" applyBorder="1"/>
    <xf numFmtId="164" fontId="15" fillId="0" borderId="52" xfId="1" applyNumberFormat="1" applyFont="1" applyBorder="1"/>
    <xf numFmtId="167" fontId="16" fillId="5" borderId="9" xfId="1" applyNumberFormat="1" applyFont="1" applyFill="1" applyBorder="1" applyAlignment="1">
      <alignment horizontal="center"/>
    </xf>
    <xf numFmtId="164" fontId="4" fillId="0" borderId="0" xfId="1" applyNumberFormat="1" applyFont="1"/>
    <xf numFmtId="164" fontId="4" fillId="0" borderId="0" xfId="0" applyNumberFormat="1" applyFont="1"/>
    <xf numFmtId="167" fontId="4" fillId="0" borderId="0" xfId="0" applyNumberFormat="1" applyFont="1"/>
    <xf numFmtId="0" fontId="4" fillId="0" borderId="0" xfId="0" applyFont="1" applyAlignment="1">
      <alignment horizontal="right"/>
    </xf>
    <xf numFmtId="44" fontId="16" fillId="6" borderId="48" xfId="2" applyFont="1" applyFill="1" applyBorder="1"/>
    <xf numFmtId="44" fontId="16" fillId="6" borderId="42" xfId="2" applyFont="1" applyFill="1" applyBorder="1"/>
    <xf numFmtId="0" fontId="6" fillId="0" borderId="0" xfId="0" applyFont="1"/>
    <xf numFmtId="44" fontId="16" fillId="0" borderId="44" xfId="2" applyFont="1" applyBorder="1" applyAlignment="1">
      <alignment horizontal="right"/>
    </xf>
    <xf numFmtId="44" fontId="7" fillId="2" borderId="8" xfId="2" applyFont="1" applyFill="1" applyBorder="1"/>
    <xf numFmtId="0" fontId="31" fillId="6" borderId="0" xfId="0" applyFont="1" applyFill="1" applyAlignment="1">
      <alignment horizontal="left" vertical="center" wrapText="1"/>
    </xf>
    <xf numFmtId="164" fontId="7" fillId="6" borderId="0" xfId="0" applyNumberFormat="1" applyFont="1" applyFill="1"/>
    <xf numFmtId="164" fontId="7" fillId="6" borderId="8" xfId="0" applyNumberFormat="1" applyFont="1" applyFill="1" applyBorder="1"/>
    <xf numFmtId="173" fontId="7" fillId="6" borderId="8" xfId="3" applyNumberFormat="1" applyFont="1" applyFill="1" applyBorder="1"/>
    <xf numFmtId="0" fontId="0" fillId="3" borderId="0" xfId="0" applyFill="1"/>
    <xf numFmtId="0" fontId="0" fillId="0" borderId="0" xfId="0" applyAlignment="1">
      <alignment horizontal="left"/>
    </xf>
    <xf numFmtId="0" fontId="7" fillId="5" borderId="46" xfId="0" applyFont="1" applyFill="1" applyBorder="1" applyAlignment="1">
      <alignment horizontal="center" wrapText="1"/>
    </xf>
    <xf numFmtId="0" fontId="15" fillId="0" borderId="48" xfId="0" applyFont="1" applyBorder="1" applyAlignment="1">
      <alignment horizontal="left" vertical="center" wrapText="1"/>
    </xf>
    <xf numFmtId="44" fontId="15" fillId="0" borderId="48" xfId="2" applyFont="1" applyBorder="1" applyAlignment="1">
      <alignment vertical="center"/>
    </xf>
    <xf numFmtId="164" fontId="15" fillId="0" borderId="48" xfId="1" applyNumberFormat="1" applyFont="1" applyBorder="1" applyAlignment="1">
      <alignment vertical="center"/>
    </xf>
    <xf numFmtId="171" fontId="15" fillId="0" borderId="48" xfId="0" applyNumberFormat="1" applyFont="1" applyBorder="1" applyAlignment="1">
      <alignment vertical="center"/>
    </xf>
    <xf numFmtId="171" fontId="15" fillId="0" borderId="48" xfId="2" applyNumberFormat="1" applyFont="1" applyBorder="1" applyAlignment="1">
      <alignment vertical="center"/>
    </xf>
    <xf numFmtId="167" fontId="15" fillId="0" borderId="49" xfId="0" applyNumberFormat="1" applyFont="1" applyBorder="1" applyAlignment="1">
      <alignment vertical="center"/>
    </xf>
    <xf numFmtId="0" fontId="15" fillId="0" borderId="48" xfId="0" applyFont="1" applyBorder="1"/>
    <xf numFmtId="14" fontId="15" fillId="0" borderId="17" xfId="0" applyNumberFormat="1" applyFont="1" applyBorder="1" applyAlignment="1">
      <alignment horizontal="left"/>
    </xf>
    <xf numFmtId="0" fontId="15" fillId="0" borderId="53" xfId="0" applyFont="1" applyBorder="1"/>
    <xf numFmtId="167" fontId="7" fillId="0" borderId="0" xfId="0" applyNumberFormat="1" applyFont="1"/>
    <xf numFmtId="0" fontId="7" fillId="0" borderId="0" xfId="0" applyFont="1" applyAlignment="1">
      <alignment horizontal="right"/>
    </xf>
    <xf numFmtId="168" fontId="7" fillId="6" borderId="8" xfId="3" applyNumberFormat="1" applyFont="1" applyFill="1" applyBorder="1"/>
    <xf numFmtId="172" fontId="0" fillId="0" borderId="0" xfId="1" applyNumberFormat="1" applyFont="1"/>
    <xf numFmtId="172" fontId="0" fillId="0" borderId="0" xfId="0" applyNumberFormat="1"/>
    <xf numFmtId="172" fontId="2" fillId="0" borderId="34" xfId="1" applyNumberFormat="1" applyFont="1" applyBorder="1"/>
    <xf numFmtId="164" fontId="2" fillId="0" borderId="0" xfId="1" applyNumberFormat="1" applyFont="1"/>
    <xf numFmtId="164" fontId="0" fillId="0" borderId="8" xfId="0" applyNumberFormat="1" applyBorder="1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7" fillId="2" borderId="7" xfId="0" applyFont="1" applyFill="1" applyBorder="1" applyAlignment="1">
      <alignment horizontal="left"/>
    </xf>
    <xf numFmtId="164" fontId="7" fillId="2" borderId="7" xfId="1" applyNumberFormat="1" applyFont="1" applyFill="1" applyBorder="1" applyAlignment="1">
      <alignment horizontal="left"/>
    </xf>
    <xf numFmtId="164" fontId="9" fillId="0" borderId="34" xfId="1" applyNumberFormat="1" applyFont="1" applyBorder="1"/>
    <xf numFmtId="9" fontId="9" fillId="0" borderId="0" xfId="3" applyFont="1" applyAlignment="1">
      <alignment horizontal="right"/>
    </xf>
    <xf numFmtId="9" fontId="9" fillId="0" borderId="0" xfId="0" applyNumberFormat="1" applyFont="1"/>
    <xf numFmtId="171" fontId="9" fillId="0" borderId="0" xfId="2" applyNumberFormat="1" applyFont="1" applyAlignment="1">
      <alignment horizontal="center"/>
    </xf>
    <xf numFmtId="44" fontId="4" fillId="0" borderId="0" xfId="2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6" fillId="4" borderId="51" xfId="0" applyFont="1" applyFill="1" applyBorder="1"/>
    <xf numFmtId="44" fontId="6" fillId="4" borderId="4" xfId="0" applyNumberFormat="1" applyFont="1" applyFill="1" applyBorder="1" applyAlignment="1">
      <alignment horizontal="center"/>
    </xf>
    <xf numFmtId="0" fontId="6" fillId="4" borderId="54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0" fillId="0" borderId="18" xfId="0" applyBorder="1"/>
    <xf numFmtId="170" fontId="0" fillId="0" borderId="0" xfId="0" applyNumberFormat="1"/>
    <xf numFmtId="164" fontId="7" fillId="0" borderId="34" xfId="0" applyNumberFormat="1" applyFont="1" applyBorder="1"/>
    <xf numFmtId="164" fontId="7" fillId="0" borderId="19" xfId="0" applyNumberFormat="1" applyFont="1" applyBorder="1"/>
    <xf numFmtId="44" fontId="0" fillId="4" borderId="9" xfId="2" applyFont="1" applyFill="1" applyBorder="1"/>
    <xf numFmtId="0" fontId="0" fillId="0" borderId="0" xfId="0" quotePrefix="1" applyAlignment="1">
      <alignment horizontal="left"/>
    </xf>
    <xf numFmtId="0" fontId="23" fillId="0" borderId="0" xfId="0" applyFont="1" applyAlignment="1">
      <alignment horizontal="right"/>
    </xf>
    <xf numFmtId="43" fontId="0" fillId="0" borderId="0" xfId="0" applyNumberFormat="1"/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14" fontId="20" fillId="2" borderId="6" xfId="0" quotePrefix="1" applyNumberFormat="1" applyFont="1" applyFill="1" applyBorder="1" applyAlignment="1">
      <alignment horizontal="center"/>
    </xf>
    <xf numFmtId="9" fontId="12" fillId="0" borderId="18" xfId="0" applyNumberFormat="1" applyFont="1" applyBorder="1" applyAlignment="1">
      <alignment horizontal="center"/>
    </xf>
    <xf numFmtId="9" fontId="12" fillId="0" borderId="0" xfId="0" applyNumberFormat="1" applyFont="1" applyAlignment="1">
      <alignment horizontal="center"/>
    </xf>
    <xf numFmtId="164" fontId="12" fillId="0" borderId="2" xfId="1" applyNumberFormat="1" applyFont="1" applyBorder="1"/>
    <xf numFmtId="164" fontId="0" fillId="0" borderId="0" xfId="1" applyNumberFormat="1" applyFont="1" applyBorder="1"/>
    <xf numFmtId="164" fontId="0" fillId="0" borderId="41" xfId="1" applyNumberFormat="1" applyFont="1" applyBorder="1"/>
    <xf numFmtId="168" fontId="12" fillId="0" borderId="18" xfId="0" applyNumberFormat="1" applyFont="1" applyBorder="1" applyAlignment="1">
      <alignment horizontal="center"/>
    </xf>
    <xf numFmtId="164" fontId="9" fillId="0" borderId="2" xfId="1" applyNumberFormat="1" applyFont="1" applyBorder="1"/>
    <xf numFmtId="168" fontId="17" fillId="0" borderId="0" xfId="3" applyNumberFormat="1" applyFont="1" applyBorder="1"/>
    <xf numFmtId="168" fontId="17" fillId="0" borderId="41" xfId="3" applyNumberFormat="1" applyFont="1" applyBorder="1"/>
    <xf numFmtId="0" fontId="9" fillId="0" borderId="0" xfId="0" quotePrefix="1" applyFont="1" applyAlignment="1">
      <alignment shrinkToFit="1"/>
    </xf>
    <xf numFmtId="164" fontId="12" fillId="0" borderId="3" xfId="1" applyNumberFormat="1" applyFont="1" applyBorder="1"/>
    <xf numFmtId="164" fontId="0" fillId="0" borderId="56" xfId="1" applyNumberFormat="1" applyFont="1" applyBorder="1"/>
    <xf numFmtId="0" fontId="12" fillId="0" borderId="18" xfId="0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7" fillId="0" borderId="19" xfId="1" applyNumberFormat="1" applyFont="1" applyFill="1" applyBorder="1"/>
    <xf numFmtId="164" fontId="7" fillId="0" borderId="8" xfId="1" applyNumberFormat="1" applyFont="1" applyBorder="1"/>
    <xf numFmtId="164" fontId="7" fillId="0" borderId="19" xfId="1" applyNumberFormat="1" applyFont="1" applyBorder="1"/>
    <xf numFmtId="164" fontId="7" fillId="0" borderId="57" xfId="1" applyNumberFormat="1" applyFont="1" applyBorder="1"/>
    <xf numFmtId="0" fontId="0" fillId="0" borderId="34" xfId="0" applyBorder="1"/>
    <xf numFmtId="164" fontId="7" fillId="0" borderId="55" xfId="0" applyNumberFormat="1" applyFont="1" applyBorder="1"/>
    <xf numFmtId="164" fontId="7" fillId="0" borderId="58" xfId="0" applyNumberFormat="1" applyFont="1" applyBorder="1"/>
    <xf numFmtId="0" fontId="7" fillId="0" borderId="1" xfId="0" applyFont="1" applyBorder="1"/>
    <xf numFmtId="164" fontId="7" fillId="0" borderId="1" xfId="0" applyNumberFormat="1" applyFont="1" applyBorder="1"/>
    <xf numFmtId="164" fontId="7" fillId="0" borderId="3" xfId="1" applyNumberFormat="1" applyFont="1" applyBorder="1"/>
    <xf numFmtId="164" fontId="7" fillId="0" borderId="56" xfId="1" applyNumberFormat="1" applyFont="1" applyBorder="1"/>
    <xf numFmtId="164" fontId="0" fillId="0" borderId="55" xfId="1" applyNumberFormat="1" applyFont="1" applyBorder="1"/>
    <xf numFmtId="0" fontId="16" fillId="0" borderId="9" xfId="0" applyFont="1" applyBorder="1" applyAlignment="1">
      <alignment horizontal="center"/>
    </xf>
    <xf numFmtId="169" fontId="7" fillId="0" borderId="18" xfId="1" applyNumberFormat="1" applyFont="1" applyBorder="1"/>
    <xf numFmtId="6" fontId="7" fillId="0" borderId="8" xfId="0" applyNumberFormat="1" applyFont="1" applyBorder="1"/>
    <xf numFmtId="0" fontId="31" fillId="2" borderId="13" xfId="0" applyFont="1" applyFill="1" applyBorder="1" applyAlignment="1">
      <alignment horizontal="left" vertical="center"/>
    </xf>
    <xf numFmtId="0" fontId="31" fillId="2" borderId="15" xfId="0" applyFont="1" applyFill="1" applyBorder="1" applyAlignment="1">
      <alignment horizontal="left" vertical="center"/>
    </xf>
    <xf numFmtId="0" fontId="31" fillId="2" borderId="14" xfId="0" applyFont="1" applyFill="1" applyBorder="1" applyAlignment="1">
      <alignment horizontal="left" vertical="center"/>
    </xf>
    <xf numFmtId="0" fontId="32" fillId="2" borderId="13" xfId="0" applyFont="1" applyFill="1" applyBorder="1" applyAlignment="1">
      <alignment horizontal="left" vertical="center"/>
    </xf>
    <xf numFmtId="0" fontId="31" fillId="2" borderId="9" xfId="0" applyFont="1" applyFill="1" applyBorder="1" applyAlignment="1">
      <alignment horizontal="left" vertical="center"/>
    </xf>
    <xf numFmtId="0" fontId="7" fillId="0" borderId="40" xfId="0" applyFont="1" applyBorder="1"/>
    <xf numFmtId="10" fontId="7" fillId="0" borderId="41" xfId="0" applyNumberFormat="1" applyFont="1" applyBorder="1"/>
    <xf numFmtId="164" fontId="9" fillId="0" borderId="40" xfId="1" applyNumberFormat="1" applyFont="1" applyBorder="1"/>
    <xf numFmtId="0" fontId="0" fillId="0" borderId="41" xfId="0" applyBorder="1"/>
    <xf numFmtId="0" fontId="11" fillId="0" borderId="0" xfId="0" applyFont="1" applyAlignment="1">
      <alignment horizontal="right"/>
    </xf>
    <xf numFmtId="6" fontId="11" fillId="0" borderId="0" xfId="0" applyNumberFormat="1" applyFont="1"/>
    <xf numFmtId="10" fontId="33" fillId="0" borderId="41" xfId="0" applyNumberFormat="1" applyFont="1" applyBorder="1"/>
    <xf numFmtId="10" fontId="0" fillId="0" borderId="40" xfId="3" applyNumberFormat="1" applyFont="1" applyBorder="1"/>
    <xf numFmtId="0" fontId="9" fillId="0" borderId="41" xfId="0" applyFont="1" applyBorder="1"/>
    <xf numFmtId="167" fontId="7" fillId="0" borderId="41" xfId="0" applyNumberFormat="1" applyFont="1" applyBorder="1"/>
    <xf numFmtId="0" fontId="0" fillId="0" borderId="38" xfId="0" applyBorder="1"/>
    <xf numFmtId="0" fontId="0" fillId="0" borderId="39" xfId="0" applyBorder="1"/>
    <xf numFmtId="0" fontId="0" fillId="0" borderId="0" xfId="0" quotePrefix="1" applyAlignment="1">
      <alignment horizontal="right"/>
    </xf>
    <xf numFmtId="0" fontId="7" fillId="0" borderId="38" xfId="0" applyFont="1" applyBorder="1"/>
    <xf numFmtId="0" fontId="7" fillId="0" borderId="7" xfId="0" applyFont="1" applyBorder="1"/>
    <xf numFmtId="168" fontId="7" fillId="0" borderId="9" xfId="3" applyNumberFormat="1" applyFont="1" applyFill="1" applyBorder="1"/>
    <xf numFmtId="0" fontId="31" fillId="2" borderId="13" xfId="0" applyFont="1" applyFill="1" applyBorder="1" applyAlignment="1">
      <alignment horizontal="left" vertical="center" wrapText="1"/>
    </xf>
    <xf numFmtId="0" fontId="0" fillId="2" borderId="15" xfId="0" applyFill="1" applyBorder="1"/>
    <xf numFmtId="164" fontId="7" fillId="2" borderId="14" xfId="0" applyNumberFormat="1" applyFont="1" applyFill="1" applyBorder="1"/>
    <xf numFmtId="0" fontId="31" fillId="2" borderId="15" xfId="0" applyFont="1" applyFill="1" applyBorder="1" applyAlignment="1">
      <alignment horizontal="right" vertical="center"/>
    </xf>
    <xf numFmtId="0" fontId="31" fillId="2" borderId="14" xfId="0" applyFont="1" applyFill="1" applyBorder="1" applyAlignment="1">
      <alignment horizontal="right" vertical="center"/>
    </xf>
    <xf numFmtId="168" fontId="7" fillId="0" borderId="0" xfId="3" applyNumberFormat="1" applyFont="1" applyFill="1" applyBorder="1"/>
    <xf numFmtId="173" fontId="7" fillId="0" borderId="0" xfId="3" applyNumberFormat="1" applyFont="1" applyFill="1" applyBorder="1"/>
    <xf numFmtId="173" fontId="7" fillId="0" borderId="41" xfId="3" applyNumberFormat="1" applyFont="1" applyFill="1" applyBorder="1"/>
    <xf numFmtId="173" fontId="7" fillId="0" borderId="0" xfId="0" applyNumberFormat="1" applyFont="1"/>
    <xf numFmtId="164" fontId="7" fillId="0" borderId="7" xfId="0" applyNumberFormat="1" applyFont="1" applyBorder="1"/>
    <xf numFmtId="168" fontId="7" fillId="0" borderId="5" xfId="3" applyNumberFormat="1" applyFont="1" applyFill="1" applyBorder="1"/>
    <xf numFmtId="0" fontId="7" fillId="0" borderId="5" xfId="0" applyFont="1" applyBorder="1"/>
    <xf numFmtId="173" fontId="7" fillId="0" borderId="20" xfId="0" applyNumberFormat="1" applyFont="1" applyBorder="1"/>
    <xf numFmtId="0" fontId="7" fillId="2" borderId="12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wrapText="1" shrinkToFit="1"/>
    </xf>
    <xf numFmtId="0" fontId="7" fillId="2" borderId="16" xfId="0" applyFont="1" applyFill="1" applyBorder="1" applyAlignment="1">
      <alignment horizontal="center" wrapText="1" shrinkToFit="1"/>
    </xf>
    <xf numFmtId="0" fontId="7" fillId="2" borderId="16" xfId="0" applyFont="1" applyFill="1" applyBorder="1" applyAlignment="1">
      <alignment horizontal="center" wrapText="1"/>
    </xf>
    <xf numFmtId="44" fontId="9" fillId="0" borderId="0" xfId="0" applyNumberFormat="1" applyFont="1"/>
    <xf numFmtId="164" fontId="9" fillId="0" borderId="0" xfId="1" applyNumberFormat="1" applyFont="1" applyFill="1"/>
    <xf numFmtId="164" fontId="7" fillId="0" borderId="0" xfId="1" applyNumberFormat="1" applyFont="1" applyFill="1"/>
    <xf numFmtId="10" fontId="9" fillId="0" borderId="0" xfId="3" applyNumberFormat="1" applyFont="1" applyFill="1"/>
    <xf numFmtId="167" fontId="9" fillId="0" borderId="0" xfId="0" applyNumberFormat="1" applyFont="1"/>
    <xf numFmtId="164" fontId="7" fillId="0" borderId="5" xfId="0" applyNumberFormat="1" applyFont="1" applyBorder="1"/>
    <xf numFmtId="10" fontId="9" fillId="0" borderId="5" xfId="3" applyNumberFormat="1" applyFont="1" applyFill="1" applyBorder="1"/>
    <xf numFmtId="167" fontId="9" fillId="0" borderId="8" xfId="0" applyNumberFormat="1" applyFont="1" applyBorder="1"/>
    <xf numFmtId="167" fontId="12" fillId="0" borderId="18" xfId="0" applyNumberFormat="1" applyFont="1" applyBorder="1" applyAlignment="1">
      <alignment horizontal="center"/>
    </xf>
    <xf numFmtId="10" fontId="9" fillId="0" borderId="0" xfId="3" applyNumberFormat="1" applyFont="1" applyFill="1" applyAlignment="1">
      <alignment horizontal="center"/>
    </xf>
    <xf numFmtId="173" fontId="9" fillId="0" borderId="0" xfId="3" applyNumberFormat="1" applyFont="1" applyFill="1" applyAlignment="1">
      <alignment horizontal="center"/>
    </xf>
    <xf numFmtId="167" fontId="12" fillId="0" borderId="48" xfId="0" applyNumberFormat="1" applyFont="1" applyBorder="1" applyAlignment="1">
      <alignment horizontal="center"/>
    </xf>
    <xf numFmtId="10" fontId="9" fillId="0" borderId="1" xfId="3" applyNumberFormat="1" applyFont="1" applyFill="1" applyBorder="1"/>
    <xf numFmtId="168" fontId="9" fillId="0" borderId="0" xfId="3" applyNumberFormat="1" applyFont="1" applyFill="1" applyAlignment="1">
      <alignment horizontal="center"/>
    </xf>
    <xf numFmtId="168" fontId="9" fillId="0" borderId="0" xfId="0" applyNumberFormat="1" applyFont="1" applyAlignment="1">
      <alignment horizontal="center"/>
    </xf>
    <xf numFmtId="173" fontId="9" fillId="0" borderId="5" xfId="0" applyNumberFormat="1" applyFont="1" applyBorder="1" applyAlignment="1">
      <alignment horizontal="center"/>
    </xf>
    <xf numFmtId="14" fontId="7" fillId="2" borderId="7" xfId="0" applyNumberFormat="1" applyFont="1" applyFill="1" applyBorder="1" applyAlignment="1">
      <alignment horizontal="center"/>
    </xf>
    <xf numFmtId="14" fontId="20" fillId="2" borderId="16" xfId="0" quotePrefix="1" applyNumberFormat="1" applyFont="1" applyFill="1" applyBorder="1" applyAlignment="1">
      <alignment horizontal="center"/>
    </xf>
    <xf numFmtId="0" fontId="4" fillId="0" borderId="18" xfId="0" applyFont="1" applyBorder="1"/>
    <xf numFmtId="164" fontId="9" fillId="0" borderId="18" xfId="0" applyNumberFormat="1" applyFont="1" applyBorder="1"/>
    <xf numFmtId="164" fontId="34" fillId="0" borderId="0" xfId="1" applyNumberFormat="1" applyFont="1" applyFill="1"/>
    <xf numFmtId="164" fontId="15" fillId="0" borderId="18" xfId="1" applyNumberFormat="1" applyFont="1" applyFill="1" applyBorder="1" applyAlignment="1">
      <alignment horizontal="right" vertical="top"/>
    </xf>
    <xf numFmtId="164" fontId="4" fillId="0" borderId="5" xfId="0" applyNumberFormat="1" applyFont="1" applyBorder="1"/>
    <xf numFmtId="164" fontId="9" fillId="0" borderId="5" xfId="1" applyNumberFormat="1" applyFont="1" applyFill="1" applyBorder="1"/>
    <xf numFmtId="164" fontId="9" fillId="0" borderId="4" xfId="0" applyNumberFormat="1" applyFont="1" applyBorder="1"/>
    <xf numFmtId="164" fontId="9" fillId="0" borderId="3" xfId="1" applyNumberFormat="1" applyFont="1" applyBorder="1"/>
    <xf numFmtId="0" fontId="16" fillId="0" borderId="59" xfId="0" applyFont="1" applyBorder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4" fontId="0" fillId="0" borderId="0" xfId="2" applyFont="1"/>
    <xf numFmtId="171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461010</xdr:colOff>
      <xdr:row>24</xdr:row>
      <xdr:rowOff>83820</xdr:rowOff>
    </xdr:from>
    <xdr:to>
      <xdr:col>13</xdr:col>
      <xdr:colOff>461010</xdr:colOff>
      <xdr:row>27</xdr:row>
      <xdr:rowOff>110490</xdr:rowOff>
    </xdr:to>
    <xdr:sp macro="" textlink="">
      <xdr:nvSpPr>
        <xdr:cNvPr id="24" name="Line 21">
          <a:extLst>
            <a:ext uri="{FF2B5EF4-FFF2-40B4-BE49-F238E27FC236}">
              <a16:creationId xmlns:a16="http://schemas.microsoft.com/office/drawing/2014/main" id="{1AF9A178-C0BB-4D3B-BBF7-10DCC2A3D16A}"/>
            </a:ext>
          </a:extLst>
        </xdr:cNvPr>
        <xdr:cNvSpPr>
          <a:spLocks noChangeShapeType="1"/>
        </xdr:cNvSpPr>
      </xdr:nvSpPr>
      <xdr:spPr bwMode="auto">
        <a:xfrm flipV="1">
          <a:off x="10668000" y="3627120"/>
          <a:ext cx="0" cy="4914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</xdr:colOff>
      <xdr:row>27</xdr:row>
      <xdr:rowOff>91440</xdr:rowOff>
    </xdr:from>
    <xdr:to>
      <xdr:col>13</xdr:col>
      <xdr:colOff>472440</xdr:colOff>
      <xdr:row>27</xdr:row>
      <xdr:rowOff>91440</xdr:rowOff>
    </xdr:to>
    <xdr:sp macro="" textlink="">
      <xdr:nvSpPr>
        <xdr:cNvPr id="25" name="Line 22">
          <a:extLst>
            <a:ext uri="{FF2B5EF4-FFF2-40B4-BE49-F238E27FC236}">
              <a16:creationId xmlns:a16="http://schemas.microsoft.com/office/drawing/2014/main" id="{5947905C-6391-4A28-AB70-96DA06E9BE7D}"/>
            </a:ext>
          </a:extLst>
        </xdr:cNvPr>
        <xdr:cNvSpPr>
          <a:spLocks noChangeShapeType="1"/>
        </xdr:cNvSpPr>
      </xdr:nvSpPr>
      <xdr:spPr bwMode="auto">
        <a:xfrm>
          <a:off x="10218420" y="409956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31</xdr:row>
      <xdr:rowOff>0</xdr:rowOff>
    </xdr:from>
    <xdr:to>
      <xdr:col>6</xdr:col>
      <xdr:colOff>411480</xdr:colOff>
      <xdr:row>32</xdr:row>
      <xdr:rowOff>91440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1FC7FF0-12D7-46F7-A74E-FF472737E573}"/>
            </a:ext>
          </a:extLst>
        </xdr:cNvPr>
        <xdr:cNvSpPr>
          <a:spLocks noChangeShapeType="1"/>
        </xdr:cNvSpPr>
      </xdr:nvSpPr>
      <xdr:spPr bwMode="auto">
        <a:xfrm>
          <a:off x="7002780" y="5524500"/>
          <a:ext cx="0" cy="281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31</xdr:row>
      <xdr:rowOff>0</xdr:rowOff>
    </xdr:from>
    <xdr:to>
      <xdr:col>7</xdr:col>
      <xdr:colOff>361950</xdr:colOff>
      <xdr:row>33</xdr:row>
      <xdr:rowOff>102870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7490E9B-583D-4C61-8724-C1125507A55E}"/>
            </a:ext>
          </a:extLst>
        </xdr:cNvPr>
        <xdr:cNvSpPr>
          <a:spLocks noChangeShapeType="1"/>
        </xdr:cNvSpPr>
      </xdr:nvSpPr>
      <xdr:spPr bwMode="auto">
        <a:xfrm>
          <a:off x="7766050" y="5524500"/>
          <a:ext cx="0" cy="477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31</xdr:row>
      <xdr:rowOff>0</xdr:rowOff>
    </xdr:from>
    <xdr:to>
      <xdr:col>8</xdr:col>
      <xdr:colOff>411480</xdr:colOff>
      <xdr:row>34</xdr:row>
      <xdr:rowOff>72390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4A0E71D-7F89-467E-9810-4BA0504CDF8B}"/>
            </a:ext>
          </a:extLst>
        </xdr:cNvPr>
        <xdr:cNvSpPr>
          <a:spLocks noChangeShapeType="1"/>
        </xdr:cNvSpPr>
      </xdr:nvSpPr>
      <xdr:spPr bwMode="auto">
        <a:xfrm>
          <a:off x="8628380" y="5524500"/>
          <a:ext cx="0" cy="6311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31</xdr:row>
      <xdr:rowOff>0</xdr:rowOff>
    </xdr:from>
    <xdr:to>
      <xdr:col>9</xdr:col>
      <xdr:colOff>411480</xdr:colOff>
      <xdr:row>35</xdr:row>
      <xdr:rowOff>87630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DE2AAA1-10B4-490C-B804-5136A905262F}"/>
            </a:ext>
          </a:extLst>
        </xdr:cNvPr>
        <xdr:cNvSpPr>
          <a:spLocks noChangeShapeType="1"/>
        </xdr:cNvSpPr>
      </xdr:nvSpPr>
      <xdr:spPr bwMode="auto">
        <a:xfrm>
          <a:off x="9441180" y="5524500"/>
          <a:ext cx="0" cy="830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53340</xdr:rowOff>
    </xdr:from>
    <xdr:to>
      <xdr:col>5</xdr:col>
      <xdr:colOff>491490</xdr:colOff>
      <xdr:row>31</xdr:row>
      <xdr:rowOff>53340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3E4168AB-8FC4-4498-911B-BE22ABD1233F}"/>
            </a:ext>
          </a:extLst>
        </xdr:cNvPr>
        <xdr:cNvSpPr>
          <a:spLocks noChangeShapeType="1"/>
        </xdr:cNvSpPr>
      </xdr:nvSpPr>
      <xdr:spPr bwMode="auto">
        <a:xfrm flipH="1">
          <a:off x="5778500" y="557784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91440</xdr:rowOff>
    </xdr:from>
    <xdr:to>
      <xdr:col>6</xdr:col>
      <xdr:colOff>411480</xdr:colOff>
      <xdr:row>32</xdr:row>
      <xdr:rowOff>91440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BC8B3DF-AB88-4948-A9FD-32D7ADB12698}"/>
            </a:ext>
          </a:extLst>
        </xdr:cNvPr>
        <xdr:cNvSpPr>
          <a:spLocks noChangeShapeType="1"/>
        </xdr:cNvSpPr>
      </xdr:nvSpPr>
      <xdr:spPr bwMode="auto">
        <a:xfrm flipH="1">
          <a:off x="5778500" y="5806440"/>
          <a:ext cx="1224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91440</xdr:rowOff>
    </xdr:from>
    <xdr:to>
      <xdr:col>7</xdr:col>
      <xdr:colOff>361950</xdr:colOff>
      <xdr:row>33</xdr:row>
      <xdr:rowOff>91440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8676BCD5-F492-4E70-82E8-F08F0A7C26F0}"/>
            </a:ext>
          </a:extLst>
        </xdr:cNvPr>
        <xdr:cNvSpPr>
          <a:spLocks noChangeShapeType="1"/>
        </xdr:cNvSpPr>
      </xdr:nvSpPr>
      <xdr:spPr bwMode="auto">
        <a:xfrm flipH="1">
          <a:off x="5778500" y="5990590"/>
          <a:ext cx="198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34</xdr:row>
      <xdr:rowOff>64770</xdr:rowOff>
    </xdr:from>
    <xdr:to>
      <xdr:col>8</xdr:col>
      <xdr:colOff>411480</xdr:colOff>
      <xdr:row>34</xdr:row>
      <xdr:rowOff>64770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8AB7C572-08AF-4EBE-AF6D-176297BA0968}"/>
            </a:ext>
          </a:extLst>
        </xdr:cNvPr>
        <xdr:cNvSpPr>
          <a:spLocks noChangeShapeType="1"/>
        </xdr:cNvSpPr>
      </xdr:nvSpPr>
      <xdr:spPr bwMode="auto">
        <a:xfrm flipH="1">
          <a:off x="5778500" y="6148070"/>
          <a:ext cx="2849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35</xdr:row>
      <xdr:rowOff>80010</xdr:rowOff>
    </xdr:from>
    <xdr:to>
      <xdr:col>9</xdr:col>
      <xdr:colOff>422910</xdr:colOff>
      <xdr:row>35</xdr:row>
      <xdr:rowOff>80010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D08E1743-DA23-40D9-8D40-99F7D5153AAB}"/>
            </a:ext>
          </a:extLst>
        </xdr:cNvPr>
        <xdr:cNvSpPr>
          <a:spLocks noChangeShapeType="1"/>
        </xdr:cNvSpPr>
      </xdr:nvSpPr>
      <xdr:spPr bwMode="auto">
        <a:xfrm flipH="1">
          <a:off x="5778500" y="6347460"/>
          <a:ext cx="36741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31</xdr:row>
      <xdr:rowOff>0</xdr:rowOff>
    </xdr:from>
    <xdr:to>
      <xdr:col>5</xdr:col>
      <xdr:colOff>480060</xdr:colOff>
      <xdr:row>31</xdr:row>
      <xdr:rowOff>53340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87DF62A7-3156-42C5-BB25-A1F09D4D19A0}"/>
            </a:ext>
          </a:extLst>
        </xdr:cNvPr>
        <xdr:cNvSpPr>
          <a:spLocks noChangeShapeType="1"/>
        </xdr:cNvSpPr>
      </xdr:nvSpPr>
      <xdr:spPr bwMode="auto">
        <a:xfrm>
          <a:off x="6258560" y="552450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20</xdr:row>
      <xdr:rowOff>83820</xdr:rowOff>
    </xdr:from>
    <xdr:to>
      <xdr:col>10</xdr:col>
      <xdr:colOff>461010</xdr:colOff>
      <xdr:row>23</xdr:row>
      <xdr:rowOff>110490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DB8C8484-CE30-40CA-83BC-4397700B2ED7}"/>
            </a:ext>
          </a:extLst>
        </xdr:cNvPr>
        <xdr:cNvSpPr>
          <a:spLocks noChangeShapeType="1"/>
        </xdr:cNvSpPr>
      </xdr:nvSpPr>
      <xdr:spPr bwMode="auto">
        <a:xfrm flipV="1">
          <a:off x="10303510" y="3652520"/>
          <a:ext cx="0" cy="4965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23</xdr:row>
      <xdr:rowOff>91440</xdr:rowOff>
    </xdr:from>
    <xdr:to>
      <xdr:col>10</xdr:col>
      <xdr:colOff>472440</xdr:colOff>
      <xdr:row>23</xdr:row>
      <xdr:rowOff>91440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B6B50C9A-7291-486D-8751-C4DED674C5E8}"/>
            </a:ext>
          </a:extLst>
        </xdr:cNvPr>
        <xdr:cNvSpPr>
          <a:spLocks noChangeShapeType="1"/>
        </xdr:cNvSpPr>
      </xdr:nvSpPr>
      <xdr:spPr bwMode="auto">
        <a:xfrm>
          <a:off x="9853930" y="413004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16</xdr:row>
      <xdr:rowOff>41910</xdr:rowOff>
    </xdr:from>
    <xdr:to>
      <xdr:col>6</xdr:col>
      <xdr:colOff>240030</xdr:colOff>
      <xdr:row>22</xdr:row>
      <xdr:rowOff>83820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66070C8-0330-4E2B-8336-CCFD65CEF215}"/>
            </a:ext>
          </a:extLst>
        </xdr:cNvPr>
        <xdr:cNvCxnSpPr/>
      </xdr:nvCxnSpPr>
      <xdr:spPr>
        <a:xfrm flipV="1">
          <a:off x="4636770" y="3851910"/>
          <a:ext cx="1832610" cy="117221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37</xdr:row>
      <xdr:rowOff>0</xdr:rowOff>
    </xdr:from>
    <xdr:to>
      <xdr:col>6</xdr:col>
      <xdr:colOff>411480</xdr:colOff>
      <xdr:row>38</xdr:row>
      <xdr:rowOff>91440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720FB78-2CBD-45FC-98C6-3A432E14549B}"/>
            </a:ext>
          </a:extLst>
        </xdr:cNvPr>
        <xdr:cNvSpPr>
          <a:spLocks noChangeShapeType="1"/>
        </xdr:cNvSpPr>
      </xdr:nvSpPr>
      <xdr:spPr bwMode="auto">
        <a:xfrm>
          <a:off x="7009130" y="6750050"/>
          <a:ext cx="0" cy="281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37</xdr:row>
      <xdr:rowOff>0</xdr:rowOff>
    </xdr:from>
    <xdr:to>
      <xdr:col>7</xdr:col>
      <xdr:colOff>361950</xdr:colOff>
      <xdr:row>39</xdr:row>
      <xdr:rowOff>102870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A834C76-5446-4405-A849-AFB38C9965C6}"/>
            </a:ext>
          </a:extLst>
        </xdr:cNvPr>
        <xdr:cNvSpPr>
          <a:spLocks noChangeShapeType="1"/>
        </xdr:cNvSpPr>
      </xdr:nvSpPr>
      <xdr:spPr bwMode="auto">
        <a:xfrm>
          <a:off x="7772400" y="6750050"/>
          <a:ext cx="0" cy="477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37</xdr:row>
      <xdr:rowOff>0</xdr:rowOff>
    </xdr:from>
    <xdr:to>
      <xdr:col>8</xdr:col>
      <xdr:colOff>411480</xdr:colOff>
      <xdr:row>40</xdr:row>
      <xdr:rowOff>72390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0317236-4710-46EC-8268-6FB9D5E9172D}"/>
            </a:ext>
          </a:extLst>
        </xdr:cNvPr>
        <xdr:cNvSpPr>
          <a:spLocks noChangeShapeType="1"/>
        </xdr:cNvSpPr>
      </xdr:nvSpPr>
      <xdr:spPr bwMode="auto">
        <a:xfrm>
          <a:off x="8634730" y="6750050"/>
          <a:ext cx="0" cy="6311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37</xdr:row>
      <xdr:rowOff>0</xdr:rowOff>
    </xdr:from>
    <xdr:to>
      <xdr:col>9</xdr:col>
      <xdr:colOff>411480</xdr:colOff>
      <xdr:row>41</xdr:row>
      <xdr:rowOff>87630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B9371DD-E711-4829-9281-D4C8012AA137}"/>
            </a:ext>
          </a:extLst>
        </xdr:cNvPr>
        <xdr:cNvSpPr>
          <a:spLocks noChangeShapeType="1"/>
        </xdr:cNvSpPr>
      </xdr:nvSpPr>
      <xdr:spPr bwMode="auto">
        <a:xfrm>
          <a:off x="9447530" y="6750050"/>
          <a:ext cx="0" cy="830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53340</xdr:rowOff>
    </xdr:from>
    <xdr:to>
      <xdr:col>5</xdr:col>
      <xdr:colOff>491490</xdr:colOff>
      <xdr:row>37</xdr:row>
      <xdr:rowOff>53340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2C5FC12F-9B82-4081-9818-29B7E0E7BF13}"/>
            </a:ext>
          </a:extLst>
        </xdr:cNvPr>
        <xdr:cNvSpPr>
          <a:spLocks noChangeShapeType="1"/>
        </xdr:cNvSpPr>
      </xdr:nvSpPr>
      <xdr:spPr bwMode="auto">
        <a:xfrm flipH="1">
          <a:off x="5784850" y="680339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38</xdr:row>
      <xdr:rowOff>91440</xdr:rowOff>
    </xdr:from>
    <xdr:to>
      <xdr:col>6</xdr:col>
      <xdr:colOff>411480</xdr:colOff>
      <xdr:row>38</xdr:row>
      <xdr:rowOff>91440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2D2B42A7-386B-4B7F-8DCB-DBECDA2A5894}"/>
            </a:ext>
          </a:extLst>
        </xdr:cNvPr>
        <xdr:cNvSpPr>
          <a:spLocks noChangeShapeType="1"/>
        </xdr:cNvSpPr>
      </xdr:nvSpPr>
      <xdr:spPr bwMode="auto">
        <a:xfrm flipH="1">
          <a:off x="5784850" y="7031990"/>
          <a:ext cx="1224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91440</xdr:rowOff>
    </xdr:from>
    <xdr:to>
      <xdr:col>7</xdr:col>
      <xdr:colOff>361950</xdr:colOff>
      <xdr:row>39</xdr:row>
      <xdr:rowOff>91440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DCE1BD2E-5D84-4BEA-9E7C-4AAD3BB76994}"/>
            </a:ext>
          </a:extLst>
        </xdr:cNvPr>
        <xdr:cNvSpPr>
          <a:spLocks noChangeShapeType="1"/>
        </xdr:cNvSpPr>
      </xdr:nvSpPr>
      <xdr:spPr bwMode="auto">
        <a:xfrm flipH="1">
          <a:off x="5784850" y="7216140"/>
          <a:ext cx="198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64770</xdr:rowOff>
    </xdr:from>
    <xdr:to>
      <xdr:col>8</xdr:col>
      <xdr:colOff>411480</xdr:colOff>
      <xdr:row>40</xdr:row>
      <xdr:rowOff>64770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9801E901-312F-4084-BE87-E8A225CD374A}"/>
            </a:ext>
          </a:extLst>
        </xdr:cNvPr>
        <xdr:cNvSpPr>
          <a:spLocks noChangeShapeType="1"/>
        </xdr:cNvSpPr>
      </xdr:nvSpPr>
      <xdr:spPr bwMode="auto">
        <a:xfrm flipH="1">
          <a:off x="5784850" y="7373620"/>
          <a:ext cx="2849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41</xdr:row>
      <xdr:rowOff>80010</xdr:rowOff>
    </xdr:from>
    <xdr:to>
      <xdr:col>9</xdr:col>
      <xdr:colOff>422910</xdr:colOff>
      <xdr:row>41</xdr:row>
      <xdr:rowOff>80010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254A1BD6-EC2F-43FB-A37C-9FFC801132F5}"/>
            </a:ext>
          </a:extLst>
        </xdr:cNvPr>
        <xdr:cNvSpPr>
          <a:spLocks noChangeShapeType="1"/>
        </xdr:cNvSpPr>
      </xdr:nvSpPr>
      <xdr:spPr bwMode="auto">
        <a:xfrm flipH="1">
          <a:off x="5784850" y="7573010"/>
          <a:ext cx="36741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37</xdr:row>
      <xdr:rowOff>0</xdr:rowOff>
    </xdr:from>
    <xdr:to>
      <xdr:col>5</xdr:col>
      <xdr:colOff>480060</xdr:colOff>
      <xdr:row>37</xdr:row>
      <xdr:rowOff>53340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82E12D07-B411-4FAA-82AE-F2E3D52838AE}"/>
            </a:ext>
          </a:extLst>
        </xdr:cNvPr>
        <xdr:cNvSpPr>
          <a:spLocks noChangeShapeType="1"/>
        </xdr:cNvSpPr>
      </xdr:nvSpPr>
      <xdr:spPr bwMode="auto">
        <a:xfrm>
          <a:off x="6264910" y="675005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26</xdr:row>
      <xdr:rowOff>83820</xdr:rowOff>
    </xdr:from>
    <xdr:to>
      <xdr:col>10</xdr:col>
      <xdr:colOff>461010</xdr:colOff>
      <xdr:row>29</xdr:row>
      <xdr:rowOff>110490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2C0C6A62-F33B-44EE-80B6-98E7CEA0C5FD}"/>
            </a:ext>
          </a:extLst>
        </xdr:cNvPr>
        <xdr:cNvSpPr>
          <a:spLocks noChangeShapeType="1"/>
        </xdr:cNvSpPr>
      </xdr:nvSpPr>
      <xdr:spPr bwMode="auto">
        <a:xfrm flipV="1">
          <a:off x="10309860" y="4871720"/>
          <a:ext cx="0" cy="4965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29</xdr:row>
      <xdr:rowOff>91440</xdr:rowOff>
    </xdr:from>
    <xdr:to>
      <xdr:col>10</xdr:col>
      <xdr:colOff>472440</xdr:colOff>
      <xdr:row>29</xdr:row>
      <xdr:rowOff>91440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55FC32D1-CC51-4E28-9108-850919382781}"/>
            </a:ext>
          </a:extLst>
        </xdr:cNvPr>
        <xdr:cNvSpPr>
          <a:spLocks noChangeShapeType="1"/>
        </xdr:cNvSpPr>
      </xdr:nvSpPr>
      <xdr:spPr bwMode="auto">
        <a:xfrm>
          <a:off x="9860280" y="534924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rou\Onedrive\Documents\Spreadsheets\Valuation%20Analysis%20-%20AK%20Steel%20with%20LBO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%20Droussiotis\Dropbox\File%20requests\INVESTMENTS%20FINANCE%20CREDIT\Chapters\ACTIVE%20LEARNING\PART%20II%20-%20PRIMARY%20MARKETS\CHAPTER%20SPREADSHEETS\Chapter_9%20_Merger_Analysis_Valuation_Metho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ethod #1"/>
      <sheetName val="Method #2"/>
      <sheetName val="Method #3"/>
      <sheetName val="Method #4"/>
      <sheetName val="Method #5"/>
      <sheetName val="Method #6"/>
      <sheetName val="Method #7a"/>
      <sheetName val="Method#7b"/>
      <sheetName val="Summary Val"/>
      <sheetName val="Fig. 18.10"/>
      <sheetName val="Private"/>
      <sheetName val="Fig. 18.12"/>
    </sheetNames>
    <sheetDataSet>
      <sheetData sheetId="0">
        <row r="14">
          <cell r="G14">
            <v>2.91</v>
          </cell>
        </row>
      </sheetData>
      <sheetData sheetId="1">
        <row r="1">
          <cell r="B1" t="str">
            <v>AK Steel Holding Corp. (AKS)</v>
          </cell>
        </row>
        <row r="8">
          <cell r="D8" t="str">
            <v xml:space="preserve">Stock Price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ethod #1"/>
      <sheetName val="Method #3"/>
      <sheetName val="Method #2"/>
      <sheetName val="Method #4"/>
      <sheetName val="Method #5"/>
      <sheetName val="Method #6"/>
      <sheetName val="Method #7a"/>
      <sheetName val="Method#7b"/>
      <sheetName val="Summary Val"/>
    </sheetNames>
    <sheetDataSet>
      <sheetData sheetId="0">
        <row r="3">
          <cell r="C3">
            <v>44561</v>
          </cell>
        </row>
        <row r="15">
          <cell r="C15">
            <v>2030000</v>
          </cell>
        </row>
        <row r="16">
          <cell r="C16">
            <v>47300</v>
          </cell>
        </row>
      </sheetData>
      <sheetData sheetId="1">
        <row r="1">
          <cell r="B1" t="str">
            <v>Proud Steel Holding Corp. (PRST)</v>
          </cell>
        </row>
        <row r="10">
          <cell r="F10">
            <v>978174</v>
          </cell>
          <cell r="G10">
            <v>2030000</v>
          </cell>
          <cell r="H10">
            <v>47300</v>
          </cell>
        </row>
      </sheetData>
      <sheetData sheetId="2"/>
      <sheetData sheetId="3"/>
      <sheetData sheetId="4">
        <row r="15">
          <cell r="G15">
            <v>2030000</v>
          </cell>
        </row>
        <row r="17">
          <cell r="D17">
            <v>5.2978102494243418</v>
          </cell>
        </row>
      </sheetData>
      <sheetData sheetId="5"/>
      <sheetData sheetId="6">
        <row r="7">
          <cell r="E7">
            <v>44561</v>
          </cell>
          <cell r="F7">
            <v>44926</v>
          </cell>
          <cell r="G7">
            <v>45291</v>
          </cell>
          <cell r="H7">
            <v>45657</v>
          </cell>
          <cell r="I7">
            <v>46022</v>
          </cell>
          <cell r="J7">
            <v>46387</v>
          </cell>
          <cell r="K7">
            <v>46752</v>
          </cell>
        </row>
        <row r="10">
          <cell r="C10">
            <v>0.87662650602409642</v>
          </cell>
        </row>
        <row r="11">
          <cell r="C11">
            <v>9.0707831325301205E-2</v>
          </cell>
        </row>
        <row r="14">
          <cell r="C14">
            <v>3.8117469879518071E-2</v>
          </cell>
        </row>
        <row r="16">
          <cell r="C16">
            <v>2.4834337349397589E-2</v>
          </cell>
          <cell r="E16">
            <v>-164900</v>
          </cell>
        </row>
        <row r="39">
          <cell r="I39">
            <v>0.1</v>
          </cell>
        </row>
        <row r="41">
          <cell r="I41">
            <v>0.31850000000000006</v>
          </cell>
        </row>
      </sheetData>
      <sheetData sheetId="7">
        <row r="9">
          <cell r="I9">
            <v>105286.12500000001</v>
          </cell>
        </row>
        <row r="23">
          <cell r="D23">
            <v>0.31850000000000006</v>
          </cell>
        </row>
        <row r="30">
          <cell r="F30">
            <v>47000</v>
          </cell>
          <cell r="G30">
            <v>47000</v>
          </cell>
          <cell r="H30">
            <v>46060</v>
          </cell>
          <cell r="I30">
            <v>44180</v>
          </cell>
          <cell r="J30">
            <v>40495.200000000004</v>
          </cell>
          <cell r="K30">
            <v>33426.400000000001</v>
          </cell>
        </row>
        <row r="36">
          <cell r="F36">
            <v>37600</v>
          </cell>
          <cell r="G36">
            <v>37600</v>
          </cell>
          <cell r="H36">
            <v>37600</v>
          </cell>
          <cell r="I36">
            <v>37600</v>
          </cell>
          <cell r="J36">
            <v>37600</v>
          </cell>
          <cell r="K36">
            <v>37600</v>
          </cell>
        </row>
        <row r="42">
          <cell r="F42">
            <v>1410000</v>
          </cell>
          <cell r="G42">
            <v>1391200</v>
          </cell>
          <cell r="H42">
            <v>1353600</v>
          </cell>
          <cell r="I42">
            <v>1279904</v>
          </cell>
          <cell r="J42">
            <v>1138528</v>
          </cell>
          <cell r="K42">
            <v>936052</v>
          </cell>
        </row>
      </sheetData>
      <sheetData sheetId="8">
        <row r="7">
          <cell r="E7">
            <v>44561</v>
          </cell>
        </row>
        <row r="25">
          <cell r="E25">
            <v>470000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3A7BA-7795-4EA8-A9A5-3E7A89BBEA70}">
  <dimension ref="A1:N158"/>
  <sheetViews>
    <sheetView showGridLines="0" workbookViewId="0">
      <selection activeCell="I16" sqref="I16"/>
    </sheetView>
  </sheetViews>
  <sheetFormatPr defaultRowHeight="14.5" x14ac:dyDescent="0.35"/>
  <cols>
    <col min="1" max="1" width="4.453125" style="14" customWidth="1"/>
    <col min="2" max="2" width="41.08984375" customWidth="1"/>
    <col min="3" max="3" width="15.26953125" customWidth="1"/>
    <col min="4" max="4" width="10.453125" customWidth="1"/>
    <col min="5" max="5" width="8.26953125" customWidth="1"/>
    <col min="6" max="6" width="37.36328125" customWidth="1"/>
    <col min="7" max="7" width="15.6328125" customWidth="1"/>
    <col min="8" max="8" width="13.36328125" customWidth="1"/>
    <col min="9" max="9" width="11.54296875" customWidth="1"/>
    <col min="10" max="10" width="13.7265625" customWidth="1"/>
    <col min="11" max="11" width="7.7265625" customWidth="1"/>
    <col min="12" max="12" width="8.36328125" customWidth="1"/>
    <col min="13" max="13" width="22.453125" customWidth="1"/>
    <col min="14" max="14" width="9.453125" bestFit="1" customWidth="1"/>
    <col min="15" max="16" width="10.36328125" bestFit="1" customWidth="1"/>
    <col min="17" max="17" width="9.453125" bestFit="1" customWidth="1"/>
    <col min="18" max="18" width="11.7265625" customWidth="1"/>
    <col min="256" max="256" width="4.453125" customWidth="1"/>
    <col min="257" max="257" width="45.90625" customWidth="1"/>
    <col min="258" max="258" width="15.26953125" customWidth="1"/>
    <col min="259" max="260" width="12.26953125" customWidth="1"/>
    <col min="261" max="261" width="11.7265625" customWidth="1"/>
    <col min="262" max="262" width="12.1796875" customWidth="1"/>
    <col min="263" max="263" width="10.90625" customWidth="1"/>
    <col min="264" max="264" width="13.36328125" customWidth="1"/>
    <col min="265" max="265" width="11.54296875" customWidth="1"/>
    <col min="266" max="266" width="13.7265625" customWidth="1"/>
    <col min="267" max="267" width="7.7265625" customWidth="1"/>
    <col min="268" max="268" width="8.36328125" customWidth="1"/>
    <col min="269" max="269" width="22.453125" customWidth="1"/>
    <col min="270" max="270" width="9.453125" bestFit="1" customWidth="1"/>
    <col min="271" max="272" width="10.36328125" bestFit="1" customWidth="1"/>
    <col min="273" max="273" width="9.453125" bestFit="1" customWidth="1"/>
    <col min="274" max="274" width="11.7265625" customWidth="1"/>
    <col min="512" max="512" width="4.453125" customWidth="1"/>
    <col min="513" max="513" width="45.90625" customWidth="1"/>
    <col min="514" max="514" width="15.26953125" customWidth="1"/>
    <col min="515" max="516" width="12.26953125" customWidth="1"/>
    <col min="517" max="517" width="11.7265625" customWidth="1"/>
    <col min="518" max="518" width="12.1796875" customWidth="1"/>
    <col min="519" max="519" width="10.90625" customWidth="1"/>
    <col min="520" max="520" width="13.36328125" customWidth="1"/>
    <col min="521" max="521" width="11.54296875" customWidth="1"/>
    <col min="522" max="522" width="13.7265625" customWidth="1"/>
    <col min="523" max="523" width="7.7265625" customWidth="1"/>
    <col min="524" max="524" width="8.36328125" customWidth="1"/>
    <col min="525" max="525" width="22.453125" customWidth="1"/>
    <col min="526" max="526" width="9.453125" bestFit="1" customWidth="1"/>
    <col min="527" max="528" width="10.36328125" bestFit="1" customWidth="1"/>
    <col min="529" max="529" width="9.453125" bestFit="1" customWidth="1"/>
    <col min="530" max="530" width="11.7265625" customWidth="1"/>
    <col min="768" max="768" width="4.453125" customWidth="1"/>
    <col min="769" max="769" width="45.90625" customWidth="1"/>
    <col min="770" max="770" width="15.26953125" customWidth="1"/>
    <col min="771" max="772" width="12.26953125" customWidth="1"/>
    <col min="773" max="773" width="11.7265625" customWidth="1"/>
    <col min="774" max="774" width="12.1796875" customWidth="1"/>
    <col min="775" max="775" width="10.90625" customWidth="1"/>
    <col min="776" max="776" width="13.36328125" customWidth="1"/>
    <col min="777" max="777" width="11.54296875" customWidth="1"/>
    <col min="778" max="778" width="13.7265625" customWidth="1"/>
    <col min="779" max="779" width="7.7265625" customWidth="1"/>
    <col min="780" max="780" width="8.36328125" customWidth="1"/>
    <col min="781" max="781" width="22.453125" customWidth="1"/>
    <col min="782" max="782" width="9.453125" bestFit="1" customWidth="1"/>
    <col min="783" max="784" width="10.36328125" bestFit="1" customWidth="1"/>
    <col min="785" max="785" width="9.453125" bestFit="1" customWidth="1"/>
    <col min="786" max="786" width="11.7265625" customWidth="1"/>
    <col min="1024" max="1024" width="4.453125" customWidth="1"/>
    <col min="1025" max="1025" width="45.90625" customWidth="1"/>
    <col min="1026" max="1026" width="15.26953125" customWidth="1"/>
    <col min="1027" max="1028" width="12.26953125" customWidth="1"/>
    <col min="1029" max="1029" width="11.7265625" customWidth="1"/>
    <col min="1030" max="1030" width="12.1796875" customWidth="1"/>
    <col min="1031" max="1031" width="10.90625" customWidth="1"/>
    <col min="1032" max="1032" width="13.36328125" customWidth="1"/>
    <col min="1033" max="1033" width="11.54296875" customWidth="1"/>
    <col min="1034" max="1034" width="13.7265625" customWidth="1"/>
    <col min="1035" max="1035" width="7.7265625" customWidth="1"/>
    <col min="1036" max="1036" width="8.36328125" customWidth="1"/>
    <col min="1037" max="1037" width="22.453125" customWidth="1"/>
    <col min="1038" max="1038" width="9.453125" bestFit="1" customWidth="1"/>
    <col min="1039" max="1040" width="10.36328125" bestFit="1" customWidth="1"/>
    <col min="1041" max="1041" width="9.453125" bestFit="1" customWidth="1"/>
    <col min="1042" max="1042" width="11.7265625" customWidth="1"/>
    <col min="1280" max="1280" width="4.453125" customWidth="1"/>
    <col min="1281" max="1281" width="45.90625" customWidth="1"/>
    <col min="1282" max="1282" width="15.26953125" customWidth="1"/>
    <col min="1283" max="1284" width="12.26953125" customWidth="1"/>
    <col min="1285" max="1285" width="11.7265625" customWidth="1"/>
    <col min="1286" max="1286" width="12.1796875" customWidth="1"/>
    <col min="1287" max="1287" width="10.90625" customWidth="1"/>
    <col min="1288" max="1288" width="13.36328125" customWidth="1"/>
    <col min="1289" max="1289" width="11.54296875" customWidth="1"/>
    <col min="1290" max="1290" width="13.7265625" customWidth="1"/>
    <col min="1291" max="1291" width="7.7265625" customWidth="1"/>
    <col min="1292" max="1292" width="8.36328125" customWidth="1"/>
    <col min="1293" max="1293" width="22.453125" customWidth="1"/>
    <col min="1294" max="1294" width="9.453125" bestFit="1" customWidth="1"/>
    <col min="1295" max="1296" width="10.36328125" bestFit="1" customWidth="1"/>
    <col min="1297" max="1297" width="9.453125" bestFit="1" customWidth="1"/>
    <col min="1298" max="1298" width="11.7265625" customWidth="1"/>
    <col min="1536" max="1536" width="4.453125" customWidth="1"/>
    <col min="1537" max="1537" width="45.90625" customWidth="1"/>
    <col min="1538" max="1538" width="15.26953125" customWidth="1"/>
    <col min="1539" max="1540" width="12.26953125" customWidth="1"/>
    <col min="1541" max="1541" width="11.7265625" customWidth="1"/>
    <col min="1542" max="1542" width="12.1796875" customWidth="1"/>
    <col min="1543" max="1543" width="10.90625" customWidth="1"/>
    <col min="1544" max="1544" width="13.36328125" customWidth="1"/>
    <col min="1545" max="1545" width="11.54296875" customWidth="1"/>
    <col min="1546" max="1546" width="13.7265625" customWidth="1"/>
    <col min="1547" max="1547" width="7.7265625" customWidth="1"/>
    <col min="1548" max="1548" width="8.36328125" customWidth="1"/>
    <col min="1549" max="1549" width="22.453125" customWidth="1"/>
    <col min="1550" max="1550" width="9.453125" bestFit="1" customWidth="1"/>
    <col min="1551" max="1552" width="10.36328125" bestFit="1" customWidth="1"/>
    <col min="1553" max="1553" width="9.453125" bestFit="1" customWidth="1"/>
    <col min="1554" max="1554" width="11.7265625" customWidth="1"/>
    <col min="1792" max="1792" width="4.453125" customWidth="1"/>
    <col min="1793" max="1793" width="45.90625" customWidth="1"/>
    <col min="1794" max="1794" width="15.26953125" customWidth="1"/>
    <col min="1795" max="1796" width="12.26953125" customWidth="1"/>
    <col min="1797" max="1797" width="11.7265625" customWidth="1"/>
    <col min="1798" max="1798" width="12.1796875" customWidth="1"/>
    <col min="1799" max="1799" width="10.90625" customWidth="1"/>
    <col min="1800" max="1800" width="13.36328125" customWidth="1"/>
    <col min="1801" max="1801" width="11.54296875" customWidth="1"/>
    <col min="1802" max="1802" width="13.7265625" customWidth="1"/>
    <col min="1803" max="1803" width="7.7265625" customWidth="1"/>
    <col min="1804" max="1804" width="8.36328125" customWidth="1"/>
    <col min="1805" max="1805" width="22.453125" customWidth="1"/>
    <col min="1806" max="1806" width="9.453125" bestFit="1" customWidth="1"/>
    <col min="1807" max="1808" width="10.36328125" bestFit="1" customWidth="1"/>
    <col min="1809" max="1809" width="9.453125" bestFit="1" customWidth="1"/>
    <col min="1810" max="1810" width="11.7265625" customWidth="1"/>
    <col min="2048" max="2048" width="4.453125" customWidth="1"/>
    <col min="2049" max="2049" width="45.90625" customWidth="1"/>
    <col min="2050" max="2050" width="15.26953125" customWidth="1"/>
    <col min="2051" max="2052" width="12.26953125" customWidth="1"/>
    <col min="2053" max="2053" width="11.7265625" customWidth="1"/>
    <col min="2054" max="2054" width="12.1796875" customWidth="1"/>
    <col min="2055" max="2055" width="10.90625" customWidth="1"/>
    <col min="2056" max="2056" width="13.36328125" customWidth="1"/>
    <col min="2057" max="2057" width="11.54296875" customWidth="1"/>
    <col min="2058" max="2058" width="13.7265625" customWidth="1"/>
    <col min="2059" max="2059" width="7.7265625" customWidth="1"/>
    <col min="2060" max="2060" width="8.36328125" customWidth="1"/>
    <col min="2061" max="2061" width="22.453125" customWidth="1"/>
    <col min="2062" max="2062" width="9.453125" bestFit="1" customWidth="1"/>
    <col min="2063" max="2064" width="10.36328125" bestFit="1" customWidth="1"/>
    <col min="2065" max="2065" width="9.453125" bestFit="1" customWidth="1"/>
    <col min="2066" max="2066" width="11.7265625" customWidth="1"/>
    <col min="2304" max="2304" width="4.453125" customWidth="1"/>
    <col min="2305" max="2305" width="45.90625" customWidth="1"/>
    <col min="2306" max="2306" width="15.26953125" customWidth="1"/>
    <col min="2307" max="2308" width="12.26953125" customWidth="1"/>
    <col min="2309" max="2309" width="11.7265625" customWidth="1"/>
    <col min="2310" max="2310" width="12.1796875" customWidth="1"/>
    <col min="2311" max="2311" width="10.90625" customWidth="1"/>
    <col min="2312" max="2312" width="13.36328125" customWidth="1"/>
    <col min="2313" max="2313" width="11.54296875" customWidth="1"/>
    <col min="2314" max="2314" width="13.7265625" customWidth="1"/>
    <col min="2315" max="2315" width="7.7265625" customWidth="1"/>
    <col min="2316" max="2316" width="8.36328125" customWidth="1"/>
    <col min="2317" max="2317" width="22.453125" customWidth="1"/>
    <col min="2318" max="2318" width="9.453125" bestFit="1" customWidth="1"/>
    <col min="2319" max="2320" width="10.36328125" bestFit="1" customWidth="1"/>
    <col min="2321" max="2321" width="9.453125" bestFit="1" customWidth="1"/>
    <col min="2322" max="2322" width="11.7265625" customWidth="1"/>
    <col min="2560" max="2560" width="4.453125" customWidth="1"/>
    <col min="2561" max="2561" width="45.90625" customWidth="1"/>
    <col min="2562" max="2562" width="15.26953125" customWidth="1"/>
    <col min="2563" max="2564" width="12.26953125" customWidth="1"/>
    <col min="2565" max="2565" width="11.7265625" customWidth="1"/>
    <col min="2566" max="2566" width="12.1796875" customWidth="1"/>
    <col min="2567" max="2567" width="10.90625" customWidth="1"/>
    <col min="2568" max="2568" width="13.36328125" customWidth="1"/>
    <col min="2569" max="2569" width="11.54296875" customWidth="1"/>
    <col min="2570" max="2570" width="13.7265625" customWidth="1"/>
    <col min="2571" max="2571" width="7.7265625" customWidth="1"/>
    <col min="2572" max="2572" width="8.36328125" customWidth="1"/>
    <col min="2573" max="2573" width="22.453125" customWidth="1"/>
    <col min="2574" max="2574" width="9.453125" bestFit="1" customWidth="1"/>
    <col min="2575" max="2576" width="10.36328125" bestFit="1" customWidth="1"/>
    <col min="2577" max="2577" width="9.453125" bestFit="1" customWidth="1"/>
    <col min="2578" max="2578" width="11.7265625" customWidth="1"/>
    <col min="2816" max="2816" width="4.453125" customWidth="1"/>
    <col min="2817" max="2817" width="45.90625" customWidth="1"/>
    <col min="2818" max="2818" width="15.26953125" customWidth="1"/>
    <col min="2819" max="2820" width="12.26953125" customWidth="1"/>
    <col min="2821" max="2821" width="11.7265625" customWidth="1"/>
    <col min="2822" max="2822" width="12.1796875" customWidth="1"/>
    <col min="2823" max="2823" width="10.90625" customWidth="1"/>
    <col min="2824" max="2824" width="13.36328125" customWidth="1"/>
    <col min="2825" max="2825" width="11.54296875" customWidth="1"/>
    <col min="2826" max="2826" width="13.7265625" customWidth="1"/>
    <col min="2827" max="2827" width="7.7265625" customWidth="1"/>
    <col min="2828" max="2828" width="8.36328125" customWidth="1"/>
    <col min="2829" max="2829" width="22.453125" customWidth="1"/>
    <col min="2830" max="2830" width="9.453125" bestFit="1" customWidth="1"/>
    <col min="2831" max="2832" width="10.36328125" bestFit="1" customWidth="1"/>
    <col min="2833" max="2833" width="9.453125" bestFit="1" customWidth="1"/>
    <col min="2834" max="2834" width="11.7265625" customWidth="1"/>
    <col min="3072" max="3072" width="4.453125" customWidth="1"/>
    <col min="3073" max="3073" width="45.90625" customWidth="1"/>
    <col min="3074" max="3074" width="15.26953125" customWidth="1"/>
    <col min="3075" max="3076" width="12.26953125" customWidth="1"/>
    <col min="3077" max="3077" width="11.7265625" customWidth="1"/>
    <col min="3078" max="3078" width="12.1796875" customWidth="1"/>
    <col min="3079" max="3079" width="10.90625" customWidth="1"/>
    <col min="3080" max="3080" width="13.36328125" customWidth="1"/>
    <col min="3081" max="3081" width="11.54296875" customWidth="1"/>
    <col min="3082" max="3082" width="13.7265625" customWidth="1"/>
    <col min="3083" max="3083" width="7.7265625" customWidth="1"/>
    <col min="3084" max="3084" width="8.36328125" customWidth="1"/>
    <col min="3085" max="3085" width="22.453125" customWidth="1"/>
    <col min="3086" max="3086" width="9.453125" bestFit="1" customWidth="1"/>
    <col min="3087" max="3088" width="10.36328125" bestFit="1" customWidth="1"/>
    <col min="3089" max="3089" width="9.453125" bestFit="1" customWidth="1"/>
    <col min="3090" max="3090" width="11.7265625" customWidth="1"/>
    <col min="3328" max="3328" width="4.453125" customWidth="1"/>
    <col min="3329" max="3329" width="45.90625" customWidth="1"/>
    <col min="3330" max="3330" width="15.26953125" customWidth="1"/>
    <col min="3331" max="3332" width="12.26953125" customWidth="1"/>
    <col min="3333" max="3333" width="11.7265625" customWidth="1"/>
    <col min="3334" max="3334" width="12.1796875" customWidth="1"/>
    <col min="3335" max="3335" width="10.90625" customWidth="1"/>
    <col min="3336" max="3336" width="13.36328125" customWidth="1"/>
    <col min="3337" max="3337" width="11.54296875" customWidth="1"/>
    <col min="3338" max="3338" width="13.7265625" customWidth="1"/>
    <col min="3339" max="3339" width="7.7265625" customWidth="1"/>
    <col min="3340" max="3340" width="8.36328125" customWidth="1"/>
    <col min="3341" max="3341" width="22.453125" customWidth="1"/>
    <col min="3342" max="3342" width="9.453125" bestFit="1" customWidth="1"/>
    <col min="3343" max="3344" width="10.36328125" bestFit="1" customWidth="1"/>
    <col min="3345" max="3345" width="9.453125" bestFit="1" customWidth="1"/>
    <col min="3346" max="3346" width="11.7265625" customWidth="1"/>
    <col min="3584" max="3584" width="4.453125" customWidth="1"/>
    <col min="3585" max="3585" width="45.90625" customWidth="1"/>
    <col min="3586" max="3586" width="15.26953125" customWidth="1"/>
    <col min="3587" max="3588" width="12.26953125" customWidth="1"/>
    <col min="3589" max="3589" width="11.7265625" customWidth="1"/>
    <col min="3590" max="3590" width="12.1796875" customWidth="1"/>
    <col min="3591" max="3591" width="10.90625" customWidth="1"/>
    <col min="3592" max="3592" width="13.36328125" customWidth="1"/>
    <col min="3593" max="3593" width="11.54296875" customWidth="1"/>
    <col min="3594" max="3594" width="13.7265625" customWidth="1"/>
    <col min="3595" max="3595" width="7.7265625" customWidth="1"/>
    <col min="3596" max="3596" width="8.36328125" customWidth="1"/>
    <col min="3597" max="3597" width="22.453125" customWidth="1"/>
    <col min="3598" max="3598" width="9.453125" bestFit="1" customWidth="1"/>
    <col min="3599" max="3600" width="10.36328125" bestFit="1" customWidth="1"/>
    <col min="3601" max="3601" width="9.453125" bestFit="1" customWidth="1"/>
    <col min="3602" max="3602" width="11.7265625" customWidth="1"/>
    <col min="3840" max="3840" width="4.453125" customWidth="1"/>
    <col min="3841" max="3841" width="45.90625" customWidth="1"/>
    <col min="3842" max="3842" width="15.26953125" customWidth="1"/>
    <col min="3843" max="3844" width="12.26953125" customWidth="1"/>
    <col min="3845" max="3845" width="11.7265625" customWidth="1"/>
    <col min="3846" max="3846" width="12.1796875" customWidth="1"/>
    <col min="3847" max="3847" width="10.90625" customWidth="1"/>
    <col min="3848" max="3848" width="13.36328125" customWidth="1"/>
    <col min="3849" max="3849" width="11.54296875" customWidth="1"/>
    <col min="3850" max="3850" width="13.7265625" customWidth="1"/>
    <col min="3851" max="3851" width="7.7265625" customWidth="1"/>
    <col min="3852" max="3852" width="8.36328125" customWidth="1"/>
    <col min="3853" max="3853" width="22.453125" customWidth="1"/>
    <col min="3854" max="3854" width="9.453125" bestFit="1" customWidth="1"/>
    <col min="3855" max="3856" width="10.36328125" bestFit="1" customWidth="1"/>
    <col min="3857" max="3857" width="9.453125" bestFit="1" customWidth="1"/>
    <col min="3858" max="3858" width="11.7265625" customWidth="1"/>
    <col min="4096" max="4096" width="4.453125" customWidth="1"/>
    <col min="4097" max="4097" width="45.90625" customWidth="1"/>
    <col min="4098" max="4098" width="15.26953125" customWidth="1"/>
    <col min="4099" max="4100" width="12.26953125" customWidth="1"/>
    <col min="4101" max="4101" width="11.7265625" customWidth="1"/>
    <col min="4102" max="4102" width="12.1796875" customWidth="1"/>
    <col min="4103" max="4103" width="10.90625" customWidth="1"/>
    <col min="4104" max="4104" width="13.36328125" customWidth="1"/>
    <col min="4105" max="4105" width="11.54296875" customWidth="1"/>
    <col min="4106" max="4106" width="13.7265625" customWidth="1"/>
    <col min="4107" max="4107" width="7.7265625" customWidth="1"/>
    <col min="4108" max="4108" width="8.36328125" customWidth="1"/>
    <col min="4109" max="4109" width="22.453125" customWidth="1"/>
    <col min="4110" max="4110" width="9.453125" bestFit="1" customWidth="1"/>
    <col min="4111" max="4112" width="10.36328125" bestFit="1" customWidth="1"/>
    <col min="4113" max="4113" width="9.453125" bestFit="1" customWidth="1"/>
    <col min="4114" max="4114" width="11.7265625" customWidth="1"/>
    <col min="4352" max="4352" width="4.453125" customWidth="1"/>
    <col min="4353" max="4353" width="45.90625" customWidth="1"/>
    <col min="4354" max="4354" width="15.26953125" customWidth="1"/>
    <col min="4355" max="4356" width="12.26953125" customWidth="1"/>
    <col min="4357" max="4357" width="11.7265625" customWidth="1"/>
    <col min="4358" max="4358" width="12.1796875" customWidth="1"/>
    <col min="4359" max="4359" width="10.90625" customWidth="1"/>
    <col min="4360" max="4360" width="13.36328125" customWidth="1"/>
    <col min="4361" max="4361" width="11.54296875" customWidth="1"/>
    <col min="4362" max="4362" width="13.7265625" customWidth="1"/>
    <col min="4363" max="4363" width="7.7265625" customWidth="1"/>
    <col min="4364" max="4364" width="8.36328125" customWidth="1"/>
    <col min="4365" max="4365" width="22.453125" customWidth="1"/>
    <col min="4366" max="4366" width="9.453125" bestFit="1" customWidth="1"/>
    <col min="4367" max="4368" width="10.36328125" bestFit="1" customWidth="1"/>
    <col min="4369" max="4369" width="9.453125" bestFit="1" customWidth="1"/>
    <col min="4370" max="4370" width="11.7265625" customWidth="1"/>
    <col min="4608" max="4608" width="4.453125" customWidth="1"/>
    <col min="4609" max="4609" width="45.90625" customWidth="1"/>
    <col min="4610" max="4610" width="15.26953125" customWidth="1"/>
    <col min="4611" max="4612" width="12.26953125" customWidth="1"/>
    <col min="4613" max="4613" width="11.7265625" customWidth="1"/>
    <col min="4614" max="4614" width="12.1796875" customWidth="1"/>
    <col min="4615" max="4615" width="10.90625" customWidth="1"/>
    <col min="4616" max="4616" width="13.36328125" customWidth="1"/>
    <col min="4617" max="4617" width="11.54296875" customWidth="1"/>
    <col min="4618" max="4618" width="13.7265625" customWidth="1"/>
    <col min="4619" max="4619" width="7.7265625" customWidth="1"/>
    <col min="4620" max="4620" width="8.36328125" customWidth="1"/>
    <col min="4621" max="4621" width="22.453125" customWidth="1"/>
    <col min="4622" max="4622" width="9.453125" bestFit="1" customWidth="1"/>
    <col min="4623" max="4624" width="10.36328125" bestFit="1" customWidth="1"/>
    <col min="4625" max="4625" width="9.453125" bestFit="1" customWidth="1"/>
    <col min="4626" max="4626" width="11.7265625" customWidth="1"/>
    <col min="4864" max="4864" width="4.453125" customWidth="1"/>
    <col min="4865" max="4865" width="45.90625" customWidth="1"/>
    <col min="4866" max="4866" width="15.26953125" customWidth="1"/>
    <col min="4867" max="4868" width="12.26953125" customWidth="1"/>
    <col min="4869" max="4869" width="11.7265625" customWidth="1"/>
    <col min="4870" max="4870" width="12.1796875" customWidth="1"/>
    <col min="4871" max="4871" width="10.90625" customWidth="1"/>
    <col min="4872" max="4872" width="13.36328125" customWidth="1"/>
    <col min="4873" max="4873" width="11.54296875" customWidth="1"/>
    <col min="4874" max="4874" width="13.7265625" customWidth="1"/>
    <col min="4875" max="4875" width="7.7265625" customWidth="1"/>
    <col min="4876" max="4876" width="8.36328125" customWidth="1"/>
    <col min="4877" max="4877" width="22.453125" customWidth="1"/>
    <col min="4878" max="4878" width="9.453125" bestFit="1" customWidth="1"/>
    <col min="4879" max="4880" width="10.36328125" bestFit="1" customWidth="1"/>
    <col min="4881" max="4881" width="9.453125" bestFit="1" customWidth="1"/>
    <col min="4882" max="4882" width="11.7265625" customWidth="1"/>
    <col min="5120" max="5120" width="4.453125" customWidth="1"/>
    <col min="5121" max="5121" width="45.90625" customWidth="1"/>
    <col min="5122" max="5122" width="15.26953125" customWidth="1"/>
    <col min="5123" max="5124" width="12.26953125" customWidth="1"/>
    <col min="5125" max="5125" width="11.7265625" customWidth="1"/>
    <col min="5126" max="5126" width="12.1796875" customWidth="1"/>
    <col min="5127" max="5127" width="10.90625" customWidth="1"/>
    <col min="5128" max="5128" width="13.36328125" customWidth="1"/>
    <col min="5129" max="5129" width="11.54296875" customWidth="1"/>
    <col min="5130" max="5130" width="13.7265625" customWidth="1"/>
    <col min="5131" max="5131" width="7.7265625" customWidth="1"/>
    <col min="5132" max="5132" width="8.36328125" customWidth="1"/>
    <col min="5133" max="5133" width="22.453125" customWidth="1"/>
    <col min="5134" max="5134" width="9.453125" bestFit="1" customWidth="1"/>
    <col min="5135" max="5136" width="10.36328125" bestFit="1" customWidth="1"/>
    <col min="5137" max="5137" width="9.453125" bestFit="1" customWidth="1"/>
    <col min="5138" max="5138" width="11.7265625" customWidth="1"/>
    <col min="5376" max="5376" width="4.453125" customWidth="1"/>
    <col min="5377" max="5377" width="45.90625" customWidth="1"/>
    <col min="5378" max="5378" width="15.26953125" customWidth="1"/>
    <col min="5379" max="5380" width="12.26953125" customWidth="1"/>
    <col min="5381" max="5381" width="11.7265625" customWidth="1"/>
    <col min="5382" max="5382" width="12.1796875" customWidth="1"/>
    <col min="5383" max="5383" width="10.90625" customWidth="1"/>
    <col min="5384" max="5384" width="13.36328125" customWidth="1"/>
    <col min="5385" max="5385" width="11.54296875" customWidth="1"/>
    <col min="5386" max="5386" width="13.7265625" customWidth="1"/>
    <col min="5387" max="5387" width="7.7265625" customWidth="1"/>
    <col min="5388" max="5388" width="8.36328125" customWidth="1"/>
    <col min="5389" max="5389" width="22.453125" customWidth="1"/>
    <col min="5390" max="5390" width="9.453125" bestFit="1" customWidth="1"/>
    <col min="5391" max="5392" width="10.36328125" bestFit="1" customWidth="1"/>
    <col min="5393" max="5393" width="9.453125" bestFit="1" customWidth="1"/>
    <col min="5394" max="5394" width="11.7265625" customWidth="1"/>
    <col min="5632" max="5632" width="4.453125" customWidth="1"/>
    <col min="5633" max="5633" width="45.90625" customWidth="1"/>
    <col min="5634" max="5634" width="15.26953125" customWidth="1"/>
    <col min="5635" max="5636" width="12.26953125" customWidth="1"/>
    <col min="5637" max="5637" width="11.7265625" customWidth="1"/>
    <col min="5638" max="5638" width="12.1796875" customWidth="1"/>
    <col min="5639" max="5639" width="10.90625" customWidth="1"/>
    <col min="5640" max="5640" width="13.36328125" customWidth="1"/>
    <col min="5641" max="5641" width="11.54296875" customWidth="1"/>
    <col min="5642" max="5642" width="13.7265625" customWidth="1"/>
    <col min="5643" max="5643" width="7.7265625" customWidth="1"/>
    <col min="5644" max="5644" width="8.36328125" customWidth="1"/>
    <col min="5645" max="5645" width="22.453125" customWidth="1"/>
    <col min="5646" max="5646" width="9.453125" bestFit="1" customWidth="1"/>
    <col min="5647" max="5648" width="10.36328125" bestFit="1" customWidth="1"/>
    <col min="5649" max="5649" width="9.453125" bestFit="1" customWidth="1"/>
    <col min="5650" max="5650" width="11.7265625" customWidth="1"/>
    <col min="5888" max="5888" width="4.453125" customWidth="1"/>
    <col min="5889" max="5889" width="45.90625" customWidth="1"/>
    <col min="5890" max="5890" width="15.26953125" customWidth="1"/>
    <col min="5891" max="5892" width="12.26953125" customWidth="1"/>
    <col min="5893" max="5893" width="11.7265625" customWidth="1"/>
    <col min="5894" max="5894" width="12.1796875" customWidth="1"/>
    <col min="5895" max="5895" width="10.90625" customWidth="1"/>
    <col min="5896" max="5896" width="13.36328125" customWidth="1"/>
    <col min="5897" max="5897" width="11.54296875" customWidth="1"/>
    <col min="5898" max="5898" width="13.7265625" customWidth="1"/>
    <col min="5899" max="5899" width="7.7265625" customWidth="1"/>
    <col min="5900" max="5900" width="8.36328125" customWidth="1"/>
    <col min="5901" max="5901" width="22.453125" customWidth="1"/>
    <col min="5902" max="5902" width="9.453125" bestFit="1" customWidth="1"/>
    <col min="5903" max="5904" width="10.36328125" bestFit="1" customWidth="1"/>
    <col min="5905" max="5905" width="9.453125" bestFit="1" customWidth="1"/>
    <col min="5906" max="5906" width="11.7265625" customWidth="1"/>
    <col min="6144" max="6144" width="4.453125" customWidth="1"/>
    <col min="6145" max="6145" width="45.90625" customWidth="1"/>
    <col min="6146" max="6146" width="15.26953125" customWidth="1"/>
    <col min="6147" max="6148" width="12.26953125" customWidth="1"/>
    <col min="6149" max="6149" width="11.7265625" customWidth="1"/>
    <col min="6150" max="6150" width="12.1796875" customWidth="1"/>
    <col min="6151" max="6151" width="10.90625" customWidth="1"/>
    <col min="6152" max="6152" width="13.36328125" customWidth="1"/>
    <col min="6153" max="6153" width="11.54296875" customWidth="1"/>
    <col min="6154" max="6154" width="13.7265625" customWidth="1"/>
    <col min="6155" max="6155" width="7.7265625" customWidth="1"/>
    <col min="6156" max="6156" width="8.36328125" customWidth="1"/>
    <col min="6157" max="6157" width="22.453125" customWidth="1"/>
    <col min="6158" max="6158" width="9.453125" bestFit="1" customWidth="1"/>
    <col min="6159" max="6160" width="10.36328125" bestFit="1" customWidth="1"/>
    <col min="6161" max="6161" width="9.453125" bestFit="1" customWidth="1"/>
    <col min="6162" max="6162" width="11.7265625" customWidth="1"/>
    <col min="6400" max="6400" width="4.453125" customWidth="1"/>
    <col min="6401" max="6401" width="45.90625" customWidth="1"/>
    <col min="6402" max="6402" width="15.26953125" customWidth="1"/>
    <col min="6403" max="6404" width="12.26953125" customWidth="1"/>
    <col min="6405" max="6405" width="11.7265625" customWidth="1"/>
    <col min="6406" max="6406" width="12.1796875" customWidth="1"/>
    <col min="6407" max="6407" width="10.90625" customWidth="1"/>
    <col min="6408" max="6408" width="13.36328125" customWidth="1"/>
    <col min="6409" max="6409" width="11.54296875" customWidth="1"/>
    <col min="6410" max="6410" width="13.7265625" customWidth="1"/>
    <col min="6411" max="6411" width="7.7265625" customWidth="1"/>
    <col min="6412" max="6412" width="8.36328125" customWidth="1"/>
    <col min="6413" max="6413" width="22.453125" customWidth="1"/>
    <col min="6414" max="6414" width="9.453125" bestFit="1" customWidth="1"/>
    <col min="6415" max="6416" width="10.36328125" bestFit="1" customWidth="1"/>
    <col min="6417" max="6417" width="9.453125" bestFit="1" customWidth="1"/>
    <col min="6418" max="6418" width="11.7265625" customWidth="1"/>
    <col min="6656" max="6656" width="4.453125" customWidth="1"/>
    <col min="6657" max="6657" width="45.90625" customWidth="1"/>
    <col min="6658" max="6658" width="15.26953125" customWidth="1"/>
    <col min="6659" max="6660" width="12.26953125" customWidth="1"/>
    <col min="6661" max="6661" width="11.7265625" customWidth="1"/>
    <col min="6662" max="6662" width="12.1796875" customWidth="1"/>
    <col min="6663" max="6663" width="10.90625" customWidth="1"/>
    <col min="6664" max="6664" width="13.36328125" customWidth="1"/>
    <col min="6665" max="6665" width="11.54296875" customWidth="1"/>
    <col min="6666" max="6666" width="13.7265625" customWidth="1"/>
    <col min="6667" max="6667" width="7.7265625" customWidth="1"/>
    <col min="6668" max="6668" width="8.36328125" customWidth="1"/>
    <col min="6669" max="6669" width="22.453125" customWidth="1"/>
    <col min="6670" max="6670" width="9.453125" bestFit="1" customWidth="1"/>
    <col min="6671" max="6672" width="10.36328125" bestFit="1" customWidth="1"/>
    <col min="6673" max="6673" width="9.453125" bestFit="1" customWidth="1"/>
    <col min="6674" max="6674" width="11.7265625" customWidth="1"/>
    <col min="6912" max="6912" width="4.453125" customWidth="1"/>
    <col min="6913" max="6913" width="45.90625" customWidth="1"/>
    <col min="6914" max="6914" width="15.26953125" customWidth="1"/>
    <col min="6915" max="6916" width="12.26953125" customWidth="1"/>
    <col min="6917" max="6917" width="11.7265625" customWidth="1"/>
    <col min="6918" max="6918" width="12.1796875" customWidth="1"/>
    <col min="6919" max="6919" width="10.90625" customWidth="1"/>
    <col min="6920" max="6920" width="13.36328125" customWidth="1"/>
    <col min="6921" max="6921" width="11.54296875" customWidth="1"/>
    <col min="6922" max="6922" width="13.7265625" customWidth="1"/>
    <col min="6923" max="6923" width="7.7265625" customWidth="1"/>
    <col min="6924" max="6924" width="8.36328125" customWidth="1"/>
    <col min="6925" max="6925" width="22.453125" customWidth="1"/>
    <col min="6926" max="6926" width="9.453125" bestFit="1" customWidth="1"/>
    <col min="6927" max="6928" width="10.36328125" bestFit="1" customWidth="1"/>
    <col min="6929" max="6929" width="9.453125" bestFit="1" customWidth="1"/>
    <col min="6930" max="6930" width="11.7265625" customWidth="1"/>
    <col min="7168" max="7168" width="4.453125" customWidth="1"/>
    <col min="7169" max="7169" width="45.90625" customWidth="1"/>
    <col min="7170" max="7170" width="15.26953125" customWidth="1"/>
    <col min="7171" max="7172" width="12.26953125" customWidth="1"/>
    <col min="7173" max="7173" width="11.7265625" customWidth="1"/>
    <col min="7174" max="7174" width="12.1796875" customWidth="1"/>
    <col min="7175" max="7175" width="10.90625" customWidth="1"/>
    <col min="7176" max="7176" width="13.36328125" customWidth="1"/>
    <col min="7177" max="7177" width="11.54296875" customWidth="1"/>
    <col min="7178" max="7178" width="13.7265625" customWidth="1"/>
    <col min="7179" max="7179" width="7.7265625" customWidth="1"/>
    <col min="7180" max="7180" width="8.36328125" customWidth="1"/>
    <col min="7181" max="7181" width="22.453125" customWidth="1"/>
    <col min="7182" max="7182" width="9.453125" bestFit="1" customWidth="1"/>
    <col min="7183" max="7184" width="10.36328125" bestFit="1" customWidth="1"/>
    <col min="7185" max="7185" width="9.453125" bestFit="1" customWidth="1"/>
    <col min="7186" max="7186" width="11.7265625" customWidth="1"/>
    <col min="7424" max="7424" width="4.453125" customWidth="1"/>
    <col min="7425" max="7425" width="45.90625" customWidth="1"/>
    <col min="7426" max="7426" width="15.26953125" customWidth="1"/>
    <col min="7427" max="7428" width="12.26953125" customWidth="1"/>
    <col min="7429" max="7429" width="11.7265625" customWidth="1"/>
    <col min="7430" max="7430" width="12.1796875" customWidth="1"/>
    <col min="7431" max="7431" width="10.90625" customWidth="1"/>
    <col min="7432" max="7432" width="13.36328125" customWidth="1"/>
    <col min="7433" max="7433" width="11.54296875" customWidth="1"/>
    <col min="7434" max="7434" width="13.7265625" customWidth="1"/>
    <col min="7435" max="7435" width="7.7265625" customWidth="1"/>
    <col min="7436" max="7436" width="8.36328125" customWidth="1"/>
    <col min="7437" max="7437" width="22.453125" customWidth="1"/>
    <col min="7438" max="7438" width="9.453125" bestFit="1" customWidth="1"/>
    <col min="7439" max="7440" width="10.36328125" bestFit="1" customWidth="1"/>
    <col min="7441" max="7441" width="9.453125" bestFit="1" customWidth="1"/>
    <col min="7442" max="7442" width="11.7265625" customWidth="1"/>
    <col min="7680" max="7680" width="4.453125" customWidth="1"/>
    <col min="7681" max="7681" width="45.90625" customWidth="1"/>
    <col min="7682" max="7682" width="15.26953125" customWidth="1"/>
    <col min="7683" max="7684" width="12.26953125" customWidth="1"/>
    <col min="7685" max="7685" width="11.7265625" customWidth="1"/>
    <col min="7686" max="7686" width="12.1796875" customWidth="1"/>
    <col min="7687" max="7687" width="10.90625" customWidth="1"/>
    <col min="7688" max="7688" width="13.36328125" customWidth="1"/>
    <col min="7689" max="7689" width="11.54296875" customWidth="1"/>
    <col min="7690" max="7690" width="13.7265625" customWidth="1"/>
    <col min="7691" max="7691" width="7.7265625" customWidth="1"/>
    <col min="7692" max="7692" width="8.36328125" customWidth="1"/>
    <col min="7693" max="7693" width="22.453125" customWidth="1"/>
    <col min="7694" max="7694" width="9.453125" bestFit="1" customWidth="1"/>
    <col min="7695" max="7696" width="10.36328125" bestFit="1" customWidth="1"/>
    <col min="7697" max="7697" width="9.453125" bestFit="1" customWidth="1"/>
    <col min="7698" max="7698" width="11.7265625" customWidth="1"/>
    <col min="7936" max="7936" width="4.453125" customWidth="1"/>
    <col min="7937" max="7937" width="45.90625" customWidth="1"/>
    <col min="7938" max="7938" width="15.26953125" customWidth="1"/>
    <col min="7939" max="7940" width="12.26953125" customWidth="1"/>
    <col min="7941" max="7941" width="11.7265625" customWidth="1"/>
    <col min="7942" max="7942" width="12.1796875" customWidth="1"/>
    <col min="7943" max="7943" width="10.90625" customWidth="1"/>
    <col min="7944" max="7944" width="13.36328125" customWidth="1"/>
    <col min="7945" max="7945" width="11.54296875" customWidth="1"/>
    <col min="7946" max="7946" width="13.7265625" customWidth="1"/>
    <col min="7947" max="7947" width="7.7265625" customWidth="1"/>
    <col min="7948" max="7948" width="8.36328125" customWidth="1"/>
    <col min="7949" max="7949" width="22.453125" customWidth="1"/>
    <col min="7950" max="7950" width="9.453125" bestFit="1" customWidth="1"/>
    <col min="7951" max="7952" width="10.36328125" bestFit="1" customWidth="1"/>
    <col min="7953" max="7953" width="9.453125" bestFit="1" customWidth="1"/>
    <col min="7954" max="7954" width="11.7265625" customWidth="1"/>
    <col min="8192" max="8192" width="4.453125" customWidth="1"/>
    <col min="8193" max="8193" width="45.90625" customWidth="1"/>
    <col min="8194" max="8194" width="15.26953125" customWidth="1"/>
    <col min="8195" max="8196" width="12.26953125" customWidth="1"/>
    <col min="8197" max="8197" width="11.7265625" customWidth="1"/>
    <col min="8198" max="8198" width="12.1796875" customWidth="1"/>
    <col min="8199" max="8199" width="10.90625" customWidth="1"/>
    <col min="8200" max="8200" width="13.36328125" customWidth="1"/>
    <col min="8201" max="8201" width="11.54296875" customWidth="1"/>
    <col min="8202" max="8202" width="13.7265625" customWidth="1"/>
    <col min="8203" max="8203" width="7.7265625" customWidth="1"/>
    <col min="8204" max="8204" width="8.36328125" customWidth="1"/>
    <col min="8205" max="8205" width="22.453125" customWidth="1"/>
    <col min="8206" max="8206" width="9.453125" bestFit="1" customWidth="1"/>
    <col min="8207" max="8208" width="10.36328125" bestFit="1" customWidth="1"/>
    <col min="8209" max="8209" width="9.453125" bestFit="1" customWidth="1"/>
    <col min="8210" max="8210" width="11.7265625" customWidth="1"/>
    <col min="8448" max="8448" width="4.453125" customWidth="1"/>
    <col min="8449" max="8449" width="45.90625" customWidth="1"/>
    <col min="8450" max="8450" width="15.26953125" customWidth="1"/>
    <col min="8451" max="8452" width="12.26953125" customWidth="1"/>
    <col min="8453" max="8453" width="11.7265625" customWidth="1"/>
    <col min="8454" max="8454" width="12.1796875" customWidth="1"/>
    <col min="8455" max="8455" width="10.90625" customWidth="1"/>
    <col min="8456" max="8456" width="13.36328125" customWidth="1"/>
    <col min="8457" max="8457" width="11.54296875" customWidth="1"/>
    <col min="8458" max="8458" width="13.7265625" customWidth="1"/>
    <col min="8459" max="8459" width="7.7265625" customWidth="1"/>
    <col min="8460" max="8460" width="8.36328125" customWidth="1"/>
    <col min="8461" max="8461" width="22.453125" customWidth="1"/>
    <col min="8462" max="8462" width="9.453125" bestFit="1" customWidth="1"/>
    <col min="8463" max="8464" width="10.36328125" bestFit="1" customWidth="1"/>
    <col min="8465" max="8465" width="9.453125" bestFit="1" customWidth="1"/>
    <col min="8466" max="8466" width="11.7265625" customWidth="1"/>
    <col min="8704" max="8704" width="4.453125" customWidth="1"/>
    <col min="8705" max="8705" width="45.90625" customWidth="1"/>
    <col min="8706" max="8706" width="15.26953125" customWidth="1"/>
    <col min="8707" max="8708" width="12.26953125" customWidth="1"/>
    <col min="8709" max="8709" width="11.7265625" customWidth="1"/>
    <col min="8710" max="8710" width="12.1796875" customWidth="1"/>
    <col min="8711" max="8711" width="10.90625" customWidth="1"/>
    <col min="8712" max="8712" width="13.36328125" customWidth="1"/>
    <col min="8713" max="8713" width="11.54296875" customWidth="1"/>
    <col min="8714" max="8714" width="13.7265625" customWidth="1"/>
    <col min="8715" max="8715" width="7.7265625" customWidth="1"/>
    <col min="8716" max="8716" width="8.36328125" customWidth="1"/>
    <col min="8717" max="8717" width="22.453125" customWidth="1"/>
    <col min="8718" max="8718" width="9.453125" bestFit="1" customWidth="1"/>
    <col min="8719" max="8720" width="10.36328125" bestFit="1" customWidth="1"/>
    <col min="8721" max="8721" width="9.453125" bestFit="1" customWidth="1"/>
    <col min="8722" max="8722" width="11.7265625" customWidth="1"/>
    <col min="8960" max="8960" width="4.453125" customWidth="1"/>
    <col min="8961" max="8961" width="45.90625" customWidth="1"/>
    <col min="8962" max="8962" width="15.26953125" customWidth="1"/>
    <col min="8963" max="8964" width="12.26953125" customWidth="1"/>
    <col min="8965" max="8965" width="11.7265625" customWidth="1"/>
    <col min="8966" max="8966" width="12.1796875" customWidth="1"/>
    <col min="8967" max="8967" width="10.90625" customWidth="1"/>
    <col min="8968" max="8968" width="13.36328125" customWidth="1"/>
    <col min="8969" max="8969" width="11.54296875" customWidth="1"/>
    <col min="8970" max="8970" width="13.7265625" customWidth="1"/>
    <col min="8971" max="8971" width="7.7265625" customWidth="1"/>
    <col min="8972" max="8972" width="8.36328125" customWidth="1"/>
    <col min="8973" max="8973" width="22.453125" customWidth="1"/>
    <col min="8974" max="8974" width="9.453125" bestFit="1" customWidth="1"/>
    <col min="8975" max="8976" width="10.36328125" bestFit="1" customWidth="1"/>
    <col min="8977" max="8977" width="9.453125" bestFit="1" customWidth="1"/>
    <col min="8978" max="8978" width="11.7265625" customWidth="1"/>
    <col min="9216" max="9216" width="4.453125" customWidth="1"/>
    <col min="9217" max="9217" width="45.90625" customWidth="1"/>
    <col min="9218" max="9218" width="15.26953125" customWidth="1"/>
    <col min="9219" max="9220" width="12.26953125" customWidth="1"/>
    <col min="9221" max="9221" width="11.7265625" customWidth="1"/>
    <col min="9222" max="9222" width="12.1796875" customWidth="1"/>
    <col min="9223" max="9223" width="10.90625" customWidth="1"/>
    <col min="9224" max="9224" width="13.36328125" customWidth="1"/>
    <col min="9225" max="9225" width="11.54296875" customWidth="1"/>
    <col min="9226" max="9226" width="13.7265625" customWidth="1"/>
    <col min="9227" max="9227" width="7.7265625" customWidth="1"/>
    <col min="9228" max="9228" width="8.36328125" customWidth="1"/>
    <col min="9229" max="9229" width="22.453125" customWidth="1"/>
    <col min="9230" max="9230" width="9.453125" bestFit="1" customWidth="1"/>
    <col min="9231" max="9232" width="10.36328125" bestFit="1" customWidth="1"/>
    <col min="9233" max="9233" width="9.453125" bestFit="1" customWidth="1"/>
    <col min="9234" max="9234" width="11.7265625" customWidth="1"/>
    <col min="9472" max="9472" width="4.453125" customWidth="1"/>
    <col min="9473" max="9473" width="45.90625" customWidth="1"/>
    <col min="9474" max="9474" width="15.26953125" customWidth="1"/>
    <col min="9475" max="9476" width="12.26953125" customWidth="1"/>
    <col min="9477" max="9477" width="11.7265625" customWidth="1"/>
    <col min="9478" max="9478" width="12.1796875" customWidth="1"/>
    <col min="9479" max="9479" width="10.90625" customWidth="1"/>
    <col min="9480" max="9480" width="13.36328125" customWidth="1"/>
    <col min="9481" max="9481" width="11.54296875" customWidth="1"/>
    <col min="9482" max="9482" width="13.7265625" customWidth="1"/>
    <col min="9483" max="9483" width="7.7265625" customWidth="1"/>
    <col min="9484" max="9484" width="8.36328125" customWidth="1"/>
    <col min="9485" max="9485" width="22.453125" customWidth="1"/>
    <col min="9486" max="9486" width="9.453125" bestFit="1" customWidth="1"/>
    <col min="9487" max="9488" width="10.36328125" bestFit="1" customWidth="1"/>
    <col min="9489" max="9489" width="9.453125" bestFit="1" customWidth="1"/>
    <col min="9490" max="9490" width="11.7265625" customWidth="1"/>
    <col min="9728" max="9728" width="4.453125" customWidth="1"/>
    <col min="9729" max="9729" width="45.90625" customWidth="1"/>
    <col min="9730" max="9730" width="15.26953125" customWidth="1"/>
    <col min="9731" max="9732" width="12.26953125" customWidth="1"/>
    <col min="9733" max="9733" width="11.7265625" customWidth="1"/>
    <col min="9734" max="9734" width="12.1796875" customWidth="1"/>
    <col min="9735" max="9735" width="10.90625" customWidth="1"/>
    <col min="9736" max="9736" width="13.36328125" customWidth="1"/>
    <col min="9737" max="9737" width="11.54296875" customWidth="1"/>
    <col min="9738" max="9738" width="13.7265625" customWidth="1"/>
    <col min="9739" max="9739" width="7.7265625" customWidth="1"/>
    <col min="9740" max="9740" width="8.36328125" customWidth="1"/>
    <col min="9741" max="9741" width="22.453125" customWidth="1"/>
    <col min="9742" max="9742" width="9.453125" bestFit="1" customWidth="1"/>
    <col min="9743" max="9744" width="10.36328125" bestFit="1" customWidth="1"/>
    <col min="9745" max="9745" width="9.453125" bestFit="1" customWidth="1"/>
    <col min="9746" max="9746" width="11.7265625" customWidth="1"/>
    <col min="9984" max="9984" width="4.453125" customWidth="1"/>
    <col min="9985" max="9985" width="45.90625" customWidth="1"/>
    <col min="9986" max="9986" width="15.26953125" customWidth="1"/>
    <col min="9987" max="9988" width="12.26953125" customWidth="1"/>
    <col min="9989" max="9989" width="11.7265625" customWidth="1"/>
    <col min="9990" max="9990" width="12.1796875" customWidth="1"/>
    <col min="9991" max="9991" width="10.90625" customWidth="1"/>
    <col min="9992" max="9992" width="13.36328125" customWidth="1"/>
    <col min="9993" max="9993" width="11.54296875" customWidth="1"/>
    <col min="9994" max="9994" width="13.7265625" customWidth="1"/>
    <col min="9995" max="9995" width="7.7265625" customWidth="1"/>
    <col min="9996" max="9996" width="8.36328125" customWidth="1"/>
    <col min="9997" max="9997" width="22.453125" customWidth="1"/>
    <col min="9998" max="9998" width="9.453125" bestFit="1" customWidth="1"/>
    <col min="9999" max="10000" width="10.36328125" bestFit="1" customWidth="1"/>
    <col min="10001" max="10001" width="9.453125" bestFit="1" customWidth="1"/>
    <col min="10002" max="10002" width="11.7265625" customWidth="1"/>
    <col min="10240" max="10240" width="4.453125" customWidth="1"/>
    <col min="10241" max="10241" width="45.90625" customWidth="1"/>
    <col min="10242" max="10242" width="15.26953125" customWidth="1"/>
    <col min="10243" max="10244" width="12.26953125" customWidth="1"/>
    <col min="10245" max="10245" width="11.7265625" customWidth="1"/>
    <col min="10246" max="10246" width="12.1796875" customWidth="1"/>
    <col min="10247" max="10247" width="10.90625" customWidth="1"/>
    <col min="10248" max="10248" width="13.36328125" customWidth="1"/>
    <col min="10249" max="10249" width="11.54296875" customWidth="1"/>
    <col min="10250" max="10250" width="13.7265625" customWidth="1"/>
    <col min="10251" max="10251" width="7.7265625" customWidth="1"/>
    <col min="10252" max="10252" width="8.36328125" customWidth="1"/>
    <col min="10253" max="10253" width="22.453125" customWidth="1"/>
    <col min="10254" max="10254" width="9.453125" bestFit="1" customWidth="1"/>
    <col min="10255" max="10256" width="10.36328125" bestFit="1" customWidth="1"/>
    <col min="10257" max="10257" width="9.453125" bestFit="1" customWidth="1"/>
    <col min="10258" max="10258" width="11.7265625" customWidth="1"/>
    <col min="10496" max="10496" width="4.453125" customWidth="1"/>
    <col min="10497" max="10497" width="45.90625" customWidth="1"/>
    <col min="10498" max="10498" width="15.26953125" customWidth="1"/>
    <col min="10499" max="10500" width="12.26953125" customWidth="1"/>
    <col min="10501" max="10501" width="11.7265625" customWidth="1"/>
    <col min="10502" max="10502" width="12.1796875" customWidth="1"/>
    <col min="10503" max="10503" width="10.90625" customWidth="1"/>
    <col min="10504" max="10504" width="13.36328125" customWidth="1"/>
    <col min="10505" max="10505" width="11.54296875" customWidth="1"/>
    <col min="10506" max="10506" width="13.7265625" customWidth="1"/>
    <col min="10507" max="10507" width="7.7265625" customWidth="1"/>
    <col min="10508" max="10508" width="8.36328125" customWidth="1"/>
    <col min="10509" max="10509" width="22.453125" customWidth="1"/>
    <col min="10510" max="10510" width="9.453125" bestFit="1" customWidth="1"/>
    <col min="10511" max="10512" width="10.36328125" bestFit="1" customWidth="1"/>
    <col min="10513" max="10513" width="9.453125" bestFit="1" customWidth="1"/>
    <col min="10514" max="10514" width="11.7265625" customWidth="1"/>
    <col min="10752" max="10752" width="4.453125" customWidth="1"/>
    <col min="10753" max="10753" width="45.90625" customWidth="1"/>
    <col min="10754" max="10754" width="15.26953125" customWidth="1"/>
    <col min="10755" max="10756" width="12.26953125" customWidth="1"/>
    <col min="10757" max="10757" width="11.7265625" customWidth="1"/>
    <col min="10758" max="10758" width="12.1796875" customWidth="1"/>
    <col min="10759" max="10759" width="10.90625" customWidth="1"/>
    <col min="10760" max="10760" width="13.36328125" customWidth="1"/>
    <col min="10761" max="10761" width="11.54296875" customWidth="1"/>
    <col min="10762" max="10762" width="13.7265625" customWidth="1"/>
    <col min="10763" max="10763" width="7.7265625" customWidth="1"/>
    <col min="10764" max="10764" width="8.36328125" customWidth="1"/>
    <col min="10765" max="10765" width="22.453125" customWidth="1"/>
    <col min="10766" max="10766" width="9.453125" bestFit="1" customWidth="1"/>
    <col min="10767" max="10768" width="10.36328125" bestFit="1" customWidth="1"/>
    <col min="10769" max="10769" width="9.453125" bestFit="1" customWidth="1"/>
    <col min="10770" max="10770" width="11.7265625" customWidth="1"/>
    <col min="11008" max="11008" width="4.453125" customWidth="1"/>
    <col min="11009" max="11009" width="45.90625" customWidth="1"/>
    <col min="11010" max="11010" width="15.26953125" customWidth="1"/>
    <col min="11011" max="11012" width="12.26953125" customWidth="1"/>
    <col min="11013" max="11013" width="11.7265625" customWidth="1"/>
    <col min="11014" max="11014" width="12.1796875" customWidth="1"/>
    <col min="11015" max="11015" width="10.90625" customWidth="1"/>
    <col min="11016" max="11016" width="13.36328125" customWidth="1"/>
    <col min="11017" max="11017" width="11.54296875" customWidth="1"/>
    <col min="11018" max="11018" width="13.7265625" customWidth="1"/>
    <col min="11019" max="11019" width="7.7265625" customWidth="1"/>
    <col min="11020" max="11020" width="8.36328125" customWidth="1"/>
    <col min="11021" max="11021" width="22.453125" customWidth="1"/>
    <col min="11022" max="11022" width="9.453125" bestFit="1" customWidth="1"/>
    <col min="11023" max="11024" width="10.36328125" bestFit="1" customWidth="1"/>
    <col min="11025" max="11025" width="9.453125" bestFit="1" customWidth="1"/>
    <col min="11026" max="11026" width="11.7265625" customWidth="1"/>
    <col min="11264" max="11264" width="4.453125" customWidth="1"/>
    <col min="11265" max="11265" width="45.90625" customWidth="1"/>
    <col min="11266" max="11266" width="15.26953125" customWidth="1"/>
    <col min="11267" max="11268" width="12.26953125" customWidth="1"/>
    <col min="11269" max="11269" width="11.7265625" customWidth="1"/>
    <col min="11270" max="11270" width="12.1796875" customWidth="1"/>
    <col min="11271" max="11271" width="10.90625" customWidth="1"/>
    <col min="11272" max="11272" width="13.36328125" customWidth="1"/>
    <col min="11273" max="11273" width="11.54296875" customWidth="1"/>
    <col min="11274" max="11274" width="13.7265625" customWidth="1"/>
    <col min="11275" max="11275" width="7.7265625" customWidth="1"/>
    <col min="11276" max="11276" width="8.36328125" customWidth="1"/>
    <col min="11277" max="11277" width="22.453125" customWidth="1"/>
    <col min="11278" max="11278" width="9.453125" bestFit="1" customWidth="1"/>
    <col min="11279" max="11280" width="10.36328125" bestFit="1" customWidth="1"/>
    <col min="11281" max="11281" width="9.453125" bestFit="1" customWidth="1"/>
    <col min="11282" max="11282" width="11.7265625" customWidth="1"/>
    <col min="11520" max="11520" width="4.453125" customWidth="1"/>
    <col min="11521" max="11521" width="45.90625" customWidth="1"/>
    <col min="11522" max="11522" width="15.26953125" customWidth="1"/>
    <col min="11523" max="11524" width="12.26953125" customWidth="1"/>
    <col min="11525" max="11525" width="11.7265625" customWidth="1"/>
    <col min="11526" max="11526" width="12.1796875" customWidth="1"/>
    <col min="11527" max="11527" width="10.90625" customWidth="1"/>
    <col min="11528" max="11528" width="13.36328125" customWidth="1"/>
    <col min="11529" max="11529" width="11.54296875" customWidth="1"/>
    <col min="11530" max="11530" width="13.7265625" customWidth="1"/>
    <col min="11531" max="11531" width="7.7265625" customWidth="1"/>
    <col min="11532" max="11532" width="8.36328125" customWidth="1"/>
    <col min="11533" max="11533" width="22.453125" customWidth="1"/>
    <col min="11534" max="11534" width="9.453125" bestFit="1" customWidth="1"/>
    <col min="11535" max="11536" width="10.36328125" bestFit="1" customWidth="1"/>
    <col min="11537" max="11537" width="9.453125" bestFit="1" customWidth="1"/>
    <col min="11538" max="11538" width="11.7265625" customWidth="1"/>
    <col min="11776" max="11776" width="4.453125" customWidth="1"/>
    <col min="11777" max="11777" width="45.90625" customWidth="1"/>
    <col min="11778" max="11778" width="15.26953125" customWidth="1"/>
    <col min="11779" max="11780" width="12.26953125" customWidth="1"/>
    <col min="11781" max="11781" width="11.7265625" customWidth="1"/>
    <col min="11782" max="11782" width="12.1796875" customWidth="1"/>
    <col min="11783" max="11783" width="10.90625" customWidth="1"/>
    <col min="11784" max="11784" width="13.36328125" customWidth="1"/>
    <col min="11785" max="11785" width="11.54296875" customWidth="1"/>
    <col min="11786" max="11786" width="13.7265625" customWidth="1"/>
    <col min="11787" max="11787" width="7.7265625" customWidth="1"/>
    <col min="11788" max="11788" width="8.36328125" customWidth="1"/>
    <col min="11789" max="11789" width="22.453125" customWidth="1"/>
    <col min="11790" max="11790" width="9.453125" bestFit="1" customWidth="1"/>
    <col min="11791" max="11792" width="10.36328125" bestFit="1" customWidth="1"/>
    <col min="11793" max="11793" width="9.453125" bestFit="1" customWidth="1"/>
    <col min="11794" max="11794" width="11.7265625" customWidth="1"/>
    <col min="12032" max="12032" width="4.453125" customWidth="1"/>
    <col min="12033" max="12033" width="45.90625" customWidth="1"/>
    <col min="12034" max="12034" width="15.26953125" customWidth="1"/>
    <col min="12035" max="12036" width="12.26953125" customWidth="1"/>
    <col min="12037" max="12037" width="11.7265625" customWidth="1"/>
    <col min="12038" max="12038" width="12.1796875" customWidth="1"/>
    <col min="12039" max="12039" width="10.90625" customWidth="1"/>
    <col min="12040" max="12040" width="13.36328125" customWidth="1"/>
    <col min="12041" max="12041" width="11.54296875" customWidth="1"/>
    <col min="12042" max="12042" width="13.7265625" customWidth="1"/>
    <col min="12043" max="12043" width="7.7265625" customWidth="1"/>
    <col min="12044" max="12044" width="8.36328125" customWidth="1"/>
    <col min="12045" max="12045" width="22.453125" customWidth="1"/>
    <col min="12046" max="12046" width="9.453125" bestFit="1" customWidth="1"/>
    <col min="12047" max="12048" width="10.36328125" bestFit="1" customWidth="1"/>
    <col min="12049" max="12049" width="9.453125" bestFit="1" customWidth="1"/>
    <col min="12050" max="12050" width="11.7265625" customWidth="1"/>
    <col min="12288" max="12288" width="4.453125" customWidth="1"/>
    <col min="12289" max="12289" width="45.90625" customWidth="1"/>
    <col min="12290" max="12290" width="15.26953125" customWidth="1"/>
    <col min="12291" max="12292" width="12.26953125" customWidth="1"/>
    <col min="12293" max="12293" width="11.7265625" customWidth="1"/>
    <col min="12294" max="12294" width="12.1796875" customWidth="1"/>
    <col min="12295" max="12295" width="10.90625" customWidth="1"/>
    <col min="12296" max="12296" width="13.36328125" customWidth="1"/>
    <col min="12297" max="12297" width="11.54296875" customWidth="1"/>
    <col min="12298" max="12298" width="13.7265625" customWidth="1"/>
    <col min="12299" max="12299" width="7.7265625" customWidth="1"/>
    <col min="12300" max="12300" width="8.36328125" customWidth="1"/>
    <col min="12301" max="12301" width="22.453125" customWidth="1"/>
    <col min="12302" max="12302" width="9.453125" bestFit="1" customWidth="1"/>
    <col min="12303" max="12304" width="10.36328125" bestFit="1" customWidth="1"/>
    <col min="12305" max="12305" width="9.453125" bestFit="1" customWidth="1"/>
    <col min="12306" max="12306" width="11.7265625" customWidth="1"/>
    <col min="12544" max="12544" width="4.453125" customWidth="1"/>
    <col min="12545" max="12545" width="45.90625" customWidth="1"/>
    <col min="12546" max="12546" width="15.26953125" customWidth="1"/>
    <col min="12547" max="12548" width="12.26953125" customWidth="1"/>
    <col min="12549" max="12549" width="11.7265625" customWidth="1"/>
    <col min="12550" max="12550" width="12.1796875" customWidth="1"/>
    <col min="12551" max="12551" width="10.90625" customWidth="1"/>
    <col min="12552" max="12552" width="13.36328125" customWidth="1"/>
    <col min="12553" max="12553" width="11.54296875" customWidth="1"/>
    <col min="12554" max="12554" width="13.7265625" customWidth="1"/>
    <col min="12555" max="12555" width="7.7265625" customWidth="1"/>
    <col min="12556" max="12556" width="8.36328125" customWidth="1"/>
    <col min="12557" max="12557" width="22.453125" customWidth="1"/>
    <col min="12558" max="12558" width="9.453125" bestFit="1" customWidth="1"/>
    <col min="12559" max="12560" width="10.36328125" bestFit="1" customWidth="1"/>
    <col min="12561" max="12561" width="9.453125" bestFit="1" customWidth="1"/>
    <col min="12562" max="12562" width="11.7265625" customWidth="1"/>
    <col min="12800" max="12800" width="4.453125" customWidth="1"/>
    <col min="12801" max="12801" width="45.90625" customWidth="1"/>
    <col min="12802" max="12802" width="15.26953125" customWidth="1"/>
    <col min="12803" max="12804" width="12.26953125" customWidth="1"/>
    <col min="12805" max="12805" width="11.7265625" customWidth="1"/>
    <col min="12806" max="12806" width="12.1796875" customWidth="1"/>
    <col min="12807" max="12807" width="10.90625" customWidth="1"/>
    <col min="12808" max="12808" width="13.36328125" customWidth="1"/>
    <col min="12809" max="12809" width="11.54296875" customWidth="1"/>
    <col min="12810" max="12810" width="13.7265625" customWidth="1"/>
    <col min="12811" max="12811" width="7.7265625" customWidth="1"/>
    <col min="12812" max="12812" width="8.36328125" customWidth="1"/>
    <col min="12813" max="12813" width="22.453125" customWidth="1"/>
    <col min="12814" max="12814" width="9.453125" bestFit="1" customWidth="1"/>
    <col min="12815" max="12816" width="10.36328125" bestFit="1" customWidth="1"/>
    <col min="12817" max="12817" width="9.453125" bestFit="1" customWidth="1"/>
    <col min="12818" max="12818" width="11.7265625" customWidth="1"/>
    <col min="13056" max="13056" width="4.453125" customWidth="1"/>
    <col min="13057" max="13057" width="45.90625" customWidth="1"/>
    <col min="13058" max="13058" width="15.26953125" customWidth="1"/>
    <col min="13059" max="13060" width="12.26953125" customWidth="1"/>
    <col min="13061" max="13061" width="11.7265625" customWidth="1"/>
    <col min="13062" max="13062" width="12.1796875" customWidth="1"/>
    <col min="13063" max="13063" width="10.90625" customWidth="1"/>
    <col min="13064" max="13064" width="13.36328125" customWidth="1"/>
    <col min="13065" max="13065" width="11.54296875" customWidth="1"/>
    <col min="13066" max="13066" width="13.7265625" customWidth="1"/>
    <col min="13067" max="13067" width="7.7265625" customWidth="1"/>
    <col min="13068" max="13068" width="8.36328125" customWidth="1"/>
    <col min="13069" max="13069" width="22.453125" customWidth="1"/>
    <col min="13070" max="13070" width="9.453125" bestFit="1" customWidth="1"/>
    <col min="13071" max="13072" width="10.36328125" bestFit="1" customWidth="1"/>
    <col min="13073" max="13073" width="9.453125" bestFit="1" customWidth="1"/>
    <col min="13074" max="13074" width="11.7265625" customWidth="1"/>
    <col min="13312" max="13312" width="4.453125" customWidth="1"/>
    <col min="13313" max="13313" width="45.90625" customWidth="1"/>
    <col min="13314" max="13314" width="15.26953125" customWidth="1"/>
    <col min="13315" max="13316" width="12.26953125" customWidth="1"/>
    <col min="13317" max="13317" width="11.7265625" customWidth="1"/>
    <col min="13318" max="13318" width="12.1796875" customWidth="1"/>
    <col min="13319" max="13319" width="10.90625" customWidth="1"/>
    <col min="13320" max="13320" width="13.36328125" customWidth="1"/>
    <col min="13321" max="13321" width="11.54296875" customWidth="1"/>
    <col min="13322" max="13322" width="13.7265625" customWidth="1"/>
    <col min="13323" max="13323" width="7.7265625" customWidth="1"/>
    <col min="13324" max="13324" width="8.36328125" customWidth="1"/>
    <col min="13325" max="13325" width="22.453125" customWidth="1"/>
    <col min="13326" max="13326" width="9.453125" bestFit="1" customWidth="1"/>
    <col min="13327" max="13328" width="10.36328125" bestFit="1" customWidth="1"/>
    <col min="13329" max="13329" width="9.453125" bestFit="1" customWidth="1"/>
    <col min="13330" max="13330" width="11.7265625" customWidth="1"/>
    <col min="13568" max="13568" width="4.453125" customWidth="1"/>
    <col min="13569" max="13569" width="45.90625" customWidth="1"/>
    <col min="13570" max="13570" width="15.26953125" customWidth="1"/>
    <col min="13571" max="13572" width="12.26953125" customWidth="1"/>
    <col min="13573" max="13573" width="11.7265625" customWidth="1"/>
    <col min="13574" max="13574" width="12.1796875" customWidth="1"/>
    <col min="13575" max="13575" width="10.90625" customWidth="1"/>
    <col min="13576" max="13576" width="13.36328125" customWidth="1"/>
    <col min="13577" max="13577" width="11.54296875" customWidth="1"/>
    <col min="13578" max="13578" width="13.7265625" customWidth="1"/>
    <col min="13579" max="13579" width="7.7265625" customWidth="1"/>
    <col min="13580" max="13580" width="8.36328125" customWidth="1"/>
    <col min="13581" max="13581" width="22.453125" customWidth="1"/>
    <col min="13582" max="13582" width="9.453125" bestFit="1" customWidth="1"/>
    <col min="13583" max="13584" width="10.36328125" bestFit="1" customWidth="1"/>
    <col min="13585" max="13585" width="9.453125" bestFit="1" customWidth="1"/>
    <col min="13586" max="13586" width="11.7265625" customWidth="1"/>
    <col min="13824" max="13824" width="4.453125" customWidth="1"/>
    <col min="13825" max="13825" width="45.90625" customWidth="1"/>
    <col min="13826" max="13826" width="15.26953125" customWidth="1"/>
    <col min="13827" max="13828" width="12.26953125" customWidth="1"/>
    <col min="13829" max="13829" width="11.7265625" customWidth="1"/>
    <col min="13830" max="13830" width="12.1796875" customWidth="1"/>
    <col min="13831" max="13831" width="10.90625" customWidth="1"/>
    <col min="13832" max="13832" width="13.36328125" customWidth="1"/>
    <col min="13833" max="13833" width="11.54296875" customWidth="1"/>
    <col min="13834" max="13834" width="13.7265625" customWidth="1"/>
    <col min="13835" max="13835" width="7.7265625" customWidth="1"/>
    <col min="13836" max="13836" width="8.36328125" customWidth="1"/>
    <col min="13837" max="13837" width="22.453125" customWidth="1"/>
    <col min="13838" max="13838" width="9.453125" bestFit="1" customWidth="1"/>
    <col min="13839" max="13840" width="10.36328125" bestFit="1" customWidth="1"/>
    <col min="13841" max="13841" width="9.453125" bestFit="1" customWidth="1"/>
    <col min="13842" max="13842" width="11.7265625" customWidth="1"/>
    <col min="14080" max="14080" width="4.453125" customWidth="1"/>
    <col min="14081" max="14081" width="45.90625" customWidth="1"/>
    <col min="14082" max="14082" width="15.26953125" customWidth="1"/>
    <col min="14083" max="14084" width="12.26953125" customWidth="1"/>
    <col min="14085" max="14085" width="11.7265625" customWidth="1"/>
    <col min="14086" max="14086" width="12.1796875" customWidth="1"/>
    <col min="14087" max="14087" width="10.90625" customWidth="1"/>
    <col min="14088" max="14088" width="13.36328125" customWidth="1"/>
    <col min="14089" max="14089" width="11.54296875" customWidth="1"/>
    <col min="14090" max="14090" width="13.7265625" customWidth="1"/>
    <col min="14091" max="14091" width="7.7265625" customWidth="1"/>
    <col min="14092" max="14092" width="8.36328125" customWidth="1"/>
    <col min="14093" max="14093" width="22.453125" customWidth="1"/>
    <col min="14094" max="14094" width="9.453125" bestFit="1" customWidth="1"/>
    <col min="14095" max="14096" width="10.36328125" bestFit="1" customWidth="1"/>
    <col min="14097" max="14097" width="9.453125" bestFit="1" customWidth="1"/>
    <col min="14098" max="14098" width="11.7265625" customWidth="1"/>
    <col min="14336" max="14336" width="4.453125" customWidth="1"/>
    <col min="14337" max="14337" width="45.90625" customWidth="1"/>
    <col min="14338" max="14338" width="15.26953125" customWidth="1"/>
    <col min="14339" max="14340" width="12.26953125" customWidth="1"/>
    <col min="14341" max="14341" width="11.7265625" customWidth="1"/>
    <col min="14342" max="14342" width="12.1796875" customWidth="1"/>
    <col min="14343" max="14343" width="10.90625" customWidth="1"/>
    <col min="14344" max="14344" width="13.36328125" customWidth="1"/>
    <col min="14345" max="14345" width="11.54296875" customWidth="1"/>
    <col min="14346" max="14346" width="13.7265625" customWidth="1"/>
    <col min="14347" max="14347" width="7.7265625" customWidth="1"/>
    <col min="14348" max="14348" width="8.36328125" customWidth="1"/>
    <col min="14349" max="14349" width="22.453125" customWidth="1"/>
    <col min="14350" max="14350" width="9.453125" bestFit="1" customWidth="1"/>
    <col min="14351" max="14352" width="10.36328125" bestFit="1" customWidth="1"/>
    <col min="14353" max="14353" width="9.453125" bestFit="1" customWidth="1"/>
    <col min="14354" max="14354" width="11.7265625" customWidth="1"/>
    <col min="14592" max="14592" width="4.453125" customWidth="1"/>
    <col min="14593" max="14593" width="45.90625" customWidth="1"/>
    <col min="14594" max="14594" width="15.26953125" customWidth="1"/>
    <col min="14595" max="14596" width="12.26953125" customWidth="1"/>
    <col min="14597" max="14597" width="11.7265625" customWidth="1"/>
    <col min="14598" max="14598" width="12.1796875" customWidth="1"/>
    <col min="14599" max="14599" width="10.90625" customWidth="1"/>
    <col min="14600" max="14600" width="13.36328125" customWidth="1"/>
    <col min="14601" max="14601" width="11.54296875" customWidth="1"/>
    <col min="14602" max="14602" width="13.7265625" customWidth="1"/>
    <col min="14603" max="14603" width="7.7265625" customWidth="1"/>
    <col min="14604" max="14604" width="8.36328125" customWidth="1"/>
    <col min="14605" max="14605" width="22.453125" customWidth="1"/>
    <col min="14606" max="14606" width="9.453125" bestFit="1" customWidth="1"/>
    <col min="14607" max="14608" width="10.36328125" bestFit="1" customWidth="1"/>
    <col min="14609" max="14609" width="9.453125" bestFit="1" customWidth="1"/>
    <col min="14610" max="14610" width="11.7265625" customWidth="1"/>
    <col min="14848" max="14848" width="4.453125" customWidth="1"/>
    <col min="14849" max="14849" width="45.90625" customWidth="1"/>
    <col min="14850" max="14850" width="15.26953125" customWidth="1"/>
    <col min="14851" max="14852" width="12.26953125" customWidth="1"/>
    <col min="14853" max="14853" width="11.7265625" customWidth="1"/>
    <col min="14854" max="14854" width="12.1796875" customWidth="1"/>
    <col min="14855" max="14855" width="10.90625" customWidth="1"/>
    <col min="14856" max="14856" width="13.36328125" customWidth="1"/>
    <col min="14857" max="14857" width="11.54296875" customWidth="1"/>
    <col min="14858" max="14858" width="13.7265625" customWidth="1"/>
    <col min="14859" max="14859" width="7.7265625" customWidth="1"/>
    <col min="14860" max="14860" width="8.36328125" customWidth="1"/>
    <col min="14861" max="14861" width="22.453125" customWidth="1"/>
    <col min="14862" max="14862" width="9.453125" bestFit="1" customWidth="1"/>
    <col min="14863" max="14864" width="10.36328125" bestFit="1" customWidth="1"/>
    <col min="14865" max="14865" width="9.453125" bestFit="1" customWidth="1"/>
    <col min="14866" max="14866" width="11.7265625" customWidth="1"/>
    <col min="15104" max="15104" width="4.453125" customWidth="1"/>
    <col min="15105" max="15105" width="45.90625" customWidth="1"/>
    <col min="15106" max="15106" width="15.26953125" customWidth="1"/>
    <col min="15107" max="15108" width="12.26953125" customWidth="1"/>
    <col min="15109" max="15109" width="11.7265625" customWidth="1"/>
    <col min="15110" max="15110" width="12.1796875" customWidth="1"/>
    <col min="15111" max="15111" width="10.90625" customWidth="1"/>
    <col min="15112" max="15112" width="13.36328125" customWidth="1"/>
    <col min="15113" max="15113" width="11.54296875" customWidth="1"/>
    <col min="15114" max="15114" width="13.7265625" customWidth="1"/>
    <col min="15115" max="15115" width="7.7265625" customWidth="1"/>
    <col min="15116" max="15116" width="8.36328125" customWidth="1"/>
    <col min="15117" max="15117" width="22.453125" customWidth="1"/>
    <col min="15118" max="15118" width="9.453125" bestFit="1" customWidth="1"/>
    <col min="15119" max="15120" width="10.36328125" bestFit="1" customWidth="1"/>
    <col min="15121" max="15121" width="9.453125" bestFit="1" customWidth="1"/>
    <col min="15122" max="15122" width="11.7265625" customWidth="1"/>
    <col min="15360" max="15360" width="4.453125" customWidth="1"/>
    <col min="15361" max="15361" width="45.90625" customWidth="1"/>
    <col min="15362" max="15362" width="15.26953125" customWidth="1"/>
    <col min="15363" max="15364" width="12.26953125" customWidth="1"/>
    <col min="15365" max="15365" width="11.7265625" customWidth="1"/>
    <col min="15366" max="15366" width="12.1796875" customWidth="1"/>
    <col min="15367" max="15367" width="10.90625" customWidth="1"/>
    <col min="15368" max="15368" width="13.36328125" customWidth="1"/>
    <col min="15369" max="15369" width="11.54296875" customWidth="1"/>
    <col min="15370" max="15370" width="13.7265625" customWidth="1"/>
    <col min="15371" max="15371" width="7.7265625" customWidth="1"/>
    <col min="15372" max="15372" width="8.36328125" customWidth="1"/>
    <col min="15373" max="15373" width="22.453125" customWidth="1"/>
    <col min="15374" max="15374" width="9.453125" bestFit="1" customWidth="1"/>
    <col min="15375" max="15376" width="10.36328125" bestFit="1" customWidth="1"/>
    <col min="15377" max="15377" width="9.453125" bestFit="1" customWidth="1"/>
    <col min="15378" max="15378" width="11.7265625" customWidth="1"/>
    <col min="15616" max="15616" width="4.453125" customWidth="1"/>
    <col min="15617" max="15617" width="45.90625" customWidth="1"/>
    <col min="15618" max="15618" width="15.26953125" customWidth="1"/>
    <col min="15619" max="15620" width="12.26953125" customWidth="1"/>
    <col min="15621" max="15621" width="11.7265625" customWidth="1"/>
    <col min="15622" max="15622" width="12.1796875" customWidth="1"/>
    <col min="15623" max="15623" width="10.90625" customWidth="1"/>
    <col min="15624" max="15624" width="13.36328125" customWidth="1"/>
    <col min="15625" max="15625" width="11.54296875" customWidth="1"/>
    <col min="15626" max="15626" width="13.7265625" customWidth="1"/>
    <col min="15627" max="15627" width="7.7265625" customWidth="1"/>
    <col min="15628" max="15628" width="8.36328125" customWidth="1"/>
    <col min="15629" max="15629" width="22.453125" customWidth="1"/>
    <col min="15630" max="15630" width="9.453125" bestFit="1" customWidth="1"/>
    <col min="15631" max="15632" width="10.36328125" bestFit="1" customWidth="1"/>
    <col min="15633" max="15633" width="9.453125" bestFit="1" customWidth="1"/>
    <col min="15634" max="15634" width="11.7265625" customWidth="1"/>
    <col min="15872" max="15872" width="4.453125" customWidth="1"/>
    <col min="15873" max="15873" width="45.90625" customWidth="1"/>
    <col min="15874" max="15874" width="15.26953125" customWidth="1"/>
    <col min="15875" max="15876" width="12.26953125" customWidth="1"/>
    <col min="15877" max="15877" width="11.7265625" customWidth="1"/>
    <col min="15878" max="15878" width="12.1796875" customWidth="1"/>
    <col min="15879" max="15879" width="10.90625" customWidth="1"/>
    <col min="15880" max="15880" width="13.36328125" customWidth="1"/>
    <col min="15881" max="15881" width="11.54296875" customWidth="1"/>
    <col min="15882" max="15882" width="13.7265625" customWidth="1"/>
    <col min="15883" max="15883" width="7.7265625" customWidth="1"/>
    <col min="15884" max="15884" width="8.36328125" customWidth="1"/>
    <col min="15885" max="15885" width="22.453125" customWidth="1"/>
    <col min="15886" max="15886" width="9.453125" bestFit="1" customWidth="1"/>
    <col min="15887" max="15888" width="10.36328125" bestFit="1" customWidth="1"/>
    <col min="15889" max="15889" width="9.453125" bestFit="1" customWidth="1"/>
    <col min="15890" max="15890" width="11.7265625" customWidth="1"/>
    <col min="16128" max="16128" width="4.453125" customWidth="1"/>
    <col min="16129" max="16129" width="45.90625" customWidth="1"/>
    <col min="16130" max="16130" width="15.26953125" customWidth="1"/>
    <col min="16131" max="16132" width="12.26953125" customWidth="1"/>
    <col min="16133" max="16133" width="11.7265625" customWidth="1"/>
    <col min="16134" max="16134" width="12.1796875" customWidth="1"/>
    <col min="16135" max="16135" width="10.90625" customWidth="1"/>
    <col min="16136" max="16136" width="13.36328125" customWidth="1"/>
    <col min="16137" max="16137" width="11.54296875" customWidth="1"/>
    <col min="16138" max="16138" width="13.7265625" customWidth="1"/>
    <col min="16139" max="16139" width="7.7265625" customWidth="1"/>
    <col min="16140" max="16140" width="8.36328125" customWidth="1"/>
    <col min="16141" max="16141" width="22.453125" customWidth="1"/>
    <col min="16142" max="16142" width="9.453125" bestFit="1" customWidth="1"/>
    <col min="16143" max="16144" width="10.36328125" bestFit="1" customWidth="1"/>
    <col min="16145" max="16145" width="9.453125" bestFit="1" customWidth="1"/>
    <col min="16146" max="16146" width="11.7265625" customWidth="1"/>
  </cols>
  <sheetData>
    <row r="1" spans="1:8" ht="20" x14ac:dyDescent="0.4">
      <c r="B1" s="15" t="s">
        <v>315</v>
      </c>
    </row>
    <row r="2" spans="1:8" ht="11.75" customHeight="1" x14ac:dyDescent="0.35">
      <c r="B2" s="17" t="s">
        <v>6</v>
      </c>
      <c r="C2" s="16"/>
    </row>
    <row r="3" spans="1:8" ht="20.399999999999999" customHeight="1" x14ac:dyDescent="0.5">
      <c r="B3" s="78" t="s">
        <v>89</v>
      </c>
      <c r="C3" s="80">
        <v>44561</v>
      </c>
      <c r="F3" s="78" t="s">
        <v>82</v>
      </c>
      <c r="G3" s="80">
        <v>44286</v>
      </c>
    </row>
    <row r="4" spans="1:8" ht="16.5" customHeight="1" x14ac:dyDescent="0.5">
      <c r="D4" s="18"/>
      <c r="E4" s="18"/>
      <c r="F4" s="78" t="s">
        <v>82</v>
      </c>
      <c r="G4" s="320" t="s">
        <v>316</v>
      </c>
      <c r="H4" s="18"/>
    </row>
    <row r="5" spans="1:8" ht="6.5" customHeight="1" x14ac:dyDescent="0.5">
      <c r="B5" s="78"/>
      <c r="C5" s="79"/>
      <c r="D5" s="18"/>
      <c r="E5" s="18"/>
      <c r="F5" s="18"/>
      <c r="G5" s="18"/>
      <c r="H5" s="18"/>
    </row>
    <row r="6" spans="1:8" ht="19" customHeight="1" x14ac:dyDescent="0.4">
      <c r="A6" s="14">
        <f>ROW()</f>
        <v>6</v>
      </c>
      <c r="B6" s="19" t="s">
        <v>7</v>
      </c>
      <c r="D6" s="18"/>
      <c r="F6" s="19" t="s">
        <v>87</v>
      </c>
      <c r="G6" s="24"/>
    </row>
    <row r="7" spans="1:8" ht="7.5" customHeight="1" x14ac:dyDescent="0.4">
      <c r="B7" s="19"/>
      <c r="D7" s="18"/>
      <c r="F7" s="19"/>
      <c r="G7" s="24"/>
    </row>
    <row r="8" spans="1:8" ht="14.25" customHeight="1" thickBot="1" x14ac:dyDescent="0.4">
      <c r="A8" s="14">
        <f>ROW()</f>
        <v>8</v>
      </c>
      <c r="B8" s="20" t="s">
        <v>88</v>
      </c>
      <c r="D8" s="21" t="s">
        <v>8</v>
      </c>
      <c r="F8" s="20" t="s">
        <v>85</v>
      </c>
    </row>
    <row r="9" spans="1:8" ht="14.25" customHeight="1" thickTop="1" x14ac:dyDescent="0.35">
      <c r="A9" s="14">
        <f>ROW()</f>
        <v>9</v>
      </c>
      <c r="B9" s="18" t="s">
        <v>10</v>
      </c>
      <c r="C9" s="22">
        <f>+Historical!G5*1000</f>
        <v>6818200</v>
      </c>
      <c r="D9" s="23">
        <f>+C9/$G$10</f>
        <v>21.608037015909236</v>
      </c>
      <c r="F9" s="18" t="s">
        <v>317</v>
      </c>
      <c r="G9" s="29">
        <v>3.1</v>
      </c>
    </row>
    <row r="10" spans="1:8" ht="14.25" customHeight="1" x14ac:dyDescent="0.35">
      <c r="A10" s="14">
        <f>ROW()</f>
        <v>10</v>
      </c>
      <c r="B10" s="18" t="s">
        <v>12</v>
      </c>
      <c r="C10" s="22">
        <f>+Historical!G23*1000</f>
        <v>616599.99999999988</v>
      </c>
      <c r="D10" s="23">
        <f>+C10/$G$10</f>
        <v>1.9541104138936423</v>
      </c>
      <c r="F10" s="18" t="s">
        <v>19</v>
      </c>
      <c r="G10" s="22">
        <v>315540</v>
      </c>
    </row>
    <row r="11" spans="1:8" ht="14.25" customHeight="1" x14ac:dyDescent="0.35">
      <c r="A11" s="14">
        <f>ROW()</f>
        <v>11</v>
      </c>
      <c r="B11" s="18" t="s">
        <v>14</v>
      </c>
      <c r="C11" s="25">
        <v>-25200</v>
      </c>
      <c r="D11" s="23">
        <f>+C11/$G$10</f>
        <v>-7.986309184255562E-2</v>
      </c>
      <c r="E11" s="26" t="s">
        <v>15</v>
      </c>
      <c r="F11" s="18" t="s">
        <v>20</v>
      </c>
      <c r="G11" s="30">
        <f>+G10*G9</f>
        <v>978174</v>
      </c>
    </row>
    <row r="12" spans="1:8" ht="16.5" customHeight="1" x14ac:dyDescent="0.35">
      <c r="A12" s="14">
        <f>ROW()</f>
        <v>12</v>
      </c>
      <c r="F12" s="18" t="s">
        <v>86</v>
      </c>
      <c r="G12" s="30">
        <f>+G11+C15-C16</f>
        <v>2960874</v>
      </c>
    </row>
    <row r="13" spans="1:8" ht="16.5" customHeight="1" x14ac:dyDescent="0.35">
      <c r="A13" s="14">
        <f>ROW()</f>
        <v>13</v>
      </c>
      <c r="B13" s="18" t="s">
        <v>17</v>
      </c>
      <c r="C13" s="25">
        <v>4487900</v>
      </c>
      <c r="D13" s="23">
        <f>+C13/$G$10</f>
        <v>14.222919439690688</v>
      </c>
      <c r="F13" s="18" t="s">
        <v>21</v>
      </c>
      <c r="G13" s="31">
        <v>0</v>
      </c>
    </row>
    <row r="14" spans="1:8" ht="16.5" customHeight="1" x14ac:dyDescent="0.35">
      <c r="A14" s="14">
        <f>ROW()</f>
        <v>14</v>
      </c>
      <c r="B14" s="18" t="s">
        <v>18</v>
      </c>
      <c r="C14" s="25">
        <v>97100</v>
      </c>
      <c r="D14" s="23">
        <f>+C14/$G$10</f>
        <v>0.30772643721873616</v>
      </c>
      <c r="F14" s="18" t="s">
        <v>90</v>
      </c>
      <c r="G14">
        <v>2.91</v>
      </c>
    </row>
    <row r="15" spans="1:8" ht="16.5" customHeight="1" x14ac:dyDescent="0.35">
      <c r="A15" s="14">
        <f>ROW()</f>
        <v>15</v>
      </c>
      <c r="B15" s="18" t="s">
        <v>83</v>
      </c>
      <c r="C15" s="25">
        <v>2030000</v>
      </c>
      <c r="D15" s="23">
        <f>+C15/$G$10</f>
        <v>6.4334157317614249</v>
      </c>
    </row>
    <row r="16" spans="1:8" ht="16.5" customHeight="1" thickBot="1" x14ac:dyDescent="0.4">
      <c r="A16" s="14">
        <f>ROW()</f>
        <v>16</v>
      </c>
      <c r="B16" s="18" t="s">
        <v>84</v>
      </c>
      <c r="C16" s="25">
        <v>47300</v>
      </c>
      <c r="D16" s="23">
        <f>+C16/$G$10</f>
        <v>0.14990175572035241</v>
      </c>
      <c r="F16" s="20" t="s">
        <v>22</v>
      </c>
      <c r="G16" s="21" t="str">
        <f>+G4</f>
        <v>PRST</v>
      </c>
    </row>
    <row r="17" spans="1:11" ht="16.5" customHeight="1" thickTop="1" x14ac:dyDescent="0.35">
      <c r="A17" s="14">
        <f>ROW()</f>
        <v>17</v>
      </c>
      <c r="B17" s="18"/>
      <c r="C17" s="25"/>
      <c r="D17" s="23"/>
      <c r="F17" s="18" t="s">
        <v>23</v>
      </c>
      <c r="G17" s="32">
        <f>+G9/D21</f>
        <v>10.073882595262615</v>
      </c>
    </row>
    <row r="18" spans="1:11" ht="16.5" customHeight="1" x14ac:dyDescent="0.35">
      <c r="A18" s="14">
        <f>ROW()</f>
        <v>18</v>
      </c>
      <c r="B18" s="20" t="s">
        <v>9</v>
      </c>
      <c r="C18" s="18"/>
      <c r="F18" s="18" t="s">
        <v>24</v>
      </c>
      <c r="G18" s="32">
        <f>+G12/C13</f>
        <v>0.65974598364491188</v>
      </c>
    </row>
    <row r="19" spans="1:11" ht="16.5" customHeight="1" x14ac:dyDescent="0.35">
      <c r="A19" s="14">
        <f>ROW()</f>
        <v>19</v>
      </c>
      <c r="B19" s="18" t="s">
        <v>11</v>
      </c>
      <c r="D19" s="24">
        <f>+C11/C14</f>
        <v>-0.25952626158599384</v>
      </c>
      <c r="F19" s="18" t="s">
        <v>25</v>
      </c>
      <c r="G19" s="32">
        <f>+G12/C11</f>
        <v>-117.495</v>
      </c>
    </row>
    <row r="20" spans="1:11" ht="16.5" customHeight="1" x14ac:dyDescent="0.35">
      <c r="A20" s="14">
        <f>ROW()</f>
        <v>20</v>
      </c>
      <c r="B20" s="18" t="s">
        <v>13</v>
      </c>
      <c r="D20" s="24">
        <f>+C11/C13</f>
        <v>-5.615098375632256E-3</v>
      </c>
      <c r="F20" s="18" t="s">
        <v>26</v>
      </c>
      <c r="G20" s="32">
        <f>+G12/C9</f>
        <v>0.43426036197236806</v>
      </c>
    </row>
    <row r="21" spans="1:11" ht="16.5" customHeight="1" x14ac:dyDescent="0.35">
      <c r="A21" s="14">
        <f>ROW()</f>
        <v>21</v>
      </c>
      <c r="B21" s="18" t="s">
        <v>16</v>
      </c>
      <c r="D21" s="27">
        <f>+C14/G10</f>
        <v>0.30772643721873616</v>
      </c>
      <c r="F21" s="18" t="s">
        <v>27</v>
      </c>
      <c r="G21" s="32">
        <f>+G12/C10</f>
        <v>4.8019364255595205</v>
      </c>
    </row>
    <row r="22" spans="1:11" ht="16.5" customHeight="1" x14ac:dyDescent="0.35">
      <c r="A22" s="14">
        <f>ROW()</f>
        <v>22</v>
      </c>
      <c r="B22" s="18"/>
      <c r="C22" s="25"/>
      <c r="D22" s="23"/>
      <c r="F22" s="18"/>
    </row>
    <row r="23" spans="1:11" ht="16.5" customHeight="1" x14ac:dyDescent="0.35">
      <c r="A23" s="14">
        <f>ROW()</f>
        <v>23</v>
      </c>
      <c r="B23" s="18"/>
      <c r="C23" s="25"/>
      <c r="D23" s="23"/>
      <c r="F23" s="18"/>
    </row>
    <row r="24" spans="1:11" ht="8.15" customHeight="1" x14ac:dyDescent="0.35">
      <c r="A24" s="14">
        <f>ROW()</f>
        <v>24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ht="16.5" customHeight="1" x14ac:dyDescent="0.35">
      <c r="A25" s="14">
        <f>ROW()</f>
        <v>25</v>
      </c>
    </row>
    <row r="26" spans="1:11" ht="7.75" customHeight="1" x14ac:dyDescent="0.35">
      <c r="A26" s="14">
        <f>ROW()</f>
        <v>26</v>
      </c>
    </row>
    <row r="27" spans="1:11" ht="16.5" customHeight="1" x14ac:dyDescent="0.35">
      <c r="A27" s="14">
        <f>ROW()</f>
        <v>27</v>
      </c>
    </row>
    <row r="28" spans="1:11" ht="16.5" customHeight="1" x14ac:dyDescent="0.35">
      <c r="A28" s="14">
        <f>ROW()</f>
        <v>28</v>
      </c>
    </row>
    <row r="29" spans="1:11" ht="16.5" customHeight="1" x14ac:dyDescent="0.35">
      <c r="A29" s="14">
        <f>ROW()</f>
        <v>29</v>
      </c>
    </row>
    <row r="30" spans="1:11" ht="16.5" customHeight="1" x14ac:dyDescent="0.35">
      <c r="A30" s="14">
        <f>ROW()</f>
        <v>30</v>
      </c>
    </row>
    <row r="31" spans="1:11" ht="16.5" customHeight="1" x14ac:dyDescent="0.35">
      <c r="A31" s="14">
        <f>ROW()</f>
        <v>31</v>
      </c>
    </row>
    <row r="32" spans="1:11" ht="16.5" customHeight="1" x14ac:dyDescent="0.35">
      <c r="A32" s="14">
        <f>ROW()</f>
        <v>32</v>
      </c>
    </row>
    <row r="33" spans="1:5" ht="16.5" customHeight="1" x14ac:dyDescent="0.35">
      <c r="A33" s="14">
        <f>ROW()</f>
        <v>33</v>
      </c>
    </row>
    <row r="34" spans="1:5" ht="16.5" customHeight="1" x14ac:dyDescent="0.35">
      <c r="A34" s="14">
        <f>ROW()</f>
        <v>34</v>
      </c>
    </row>
    <row r="35" spans="1:5" ht="16.5" customHeight="1" x14ac:dyDescent="0.35">
      <c r="A35" s="14">
        <f>ROW()</f>
        <v>35</v>
      </c>
    </row>
    <row r="36" spans="1:5" ht="16.5" customHeight="1" x14ac:dyDescent="0.35">
      <c r="A36" s="14">
        <f>ROW()</f>
        <v>36</v>
      </c>
    </row>
    <row r="37" spans="1:5" ht="16.5" customHeight="1" x14ac:dyDescent="0.35">
      <c r="A37" s="14">
        <f>ROW()</f>
        <v>37</v>
      </c>
    </row>
    <row r="38" spans="1:5" ht="16.5" customHeight="1" x14ac:dyDescent="0.35">
      <c r="A38" s="14">
        <f>ROW()</f>
        <v>38</v>
      </c>
    </row>
    <row r="39" spans="1:5" ht="16.5" customHeight="1" x14ac:dyDescent="0.35">
      <c r="A39" s="14">
        <f>ROW()</f>
        <v>39</v>
      </c>
      <c r="E39" s="33"/>
    </row>
    <row r="40" spans="1:5" ht="16.5" customHeight="1" x14ac:dyDescent="0.35"/>
    <row r="41" spans="1:5" ht="16.5" customHeight="1" x14ac:dyDescent="0.4">
      <c r="B41" s="15"/>
      <c r="C41" s="16"/>
    </row>
    <row r="42" spans="1:5" ht="16.5" customHeight="1" x14ac:dyDescent="0.35"/>
    <row r="43" spans="1:5" ht="16.5" customHeight="1" x14ac:dyDescent="0.35"/>
    <row r="44" spans="1:5" ht="16.5" customHeight="1" x14ac:dyDescent="0.35"/>
    <row r="45" spans="1:5" ht="9" customHeight="1" x14ac:dyDescent="0.35"/>
    <row r="46" spans="1:5" ht="16.5" customHeight="1" x14ac:dyDescent="0.35"/>
    <row r="47" spans="1:5" ht="9.65" customHeight="1" x14ac:dyDescent="0.35"/>
    <row r="48" spans="1:5" ht="16.5" customHeight="1" x14ac:dyDescent="0.35"/>
    <row r="49" ht="16.5" customHeight="1" x14ac:dyDescent="0.35"/>
    <row r="50" ht="16.5" customHeight="1" x14ac:dyDescent="0.35"/>
    <row r="51" ht="16.5" customHeight="1" x14ac:dyDescent="0.35"/>
    <row r="52" ht="16.5" customHeight="1" x14ac:dyDescent="0.35"/>
    <row r="53" ht="16.5" customHeight="1" x14ac:dyDescent="0.35"/>
    <row r="54" ht="8" customHeight="1" x14ac:dyDescent="0.35"/>
    <row r="55" ht="16.5" customHeight="1" x14ac:dyDescent="0.35"/>
    <row r="56" ht="16.5" customHeight="1" x14ac:dyDescent="0.35"/>
    <row r="101" spans="1:14" x14ac:dyDescent="0.35">
      <c r="A101" s="14">
        <f>ROW()</f>
        <v>101</v>
      </c>
    </row>
    <row r="106" spans="1:14" x14ac:dyDescent="0.35">
      <c r="M106" t="s">
        <v>45</v>
      </c>
      <c r="N106" s="56" t="e">
        <f>+#REF!</f>
        <v>#REF!</v>
      </c>
    </row>
    <row r="107" spans="1:14" x14ac:dyDescent="0.35">
      <c r="M107" t="s">
        <v>46</v>
      </c>
      <c r="N107" s="56" t="e">
        <f>+#REF!</f>
        <v>#REF!</v>
      </c>
    </row>
    <row r="108" spans="1:14" x14ac:dyDescent="0.35">
      <c r="M108" t="s">
        <v>47</v>
      </c>
      <c r="N108" s="56" t="e">
        <f>+#REF!</f>
        <v>#REF!</v>
      </c>
    </row>
    <row r="109" spans="1:14" x14ac:dyDescent="0.35">
      <c r="M109" t="s">
        <v>48</v>
      </c>
      <c r="N109" s="56" t="e">
        <f>+#REF!</f>
        <v>#REF!</v>
      </c>
    </row>
    <row r="110" spans="1:14" x14ac:dyDescent="0.35">
      <c r="M110" t="s">
        <v>49</v>
      </c>
      <c r="N110" s="56" t="e">
        <f>+#REF!</f>
        <v>#REF!</v>
      </c>
    </row>
    <row r="111" spans="1:14" x14ac:dyDescent="0.35">
      <c r="M111" t="s">
        <v>50</v>
      </c>
      <c r="N111" s="56" t="e">
        <f>+#REF!</f>
        <v>#REF!</v>
      </c>
    </row>
    <row r="120" spans="1:9" x14ac:dyDescent="0.35">
      <c r="A120" s="14">
        <f>ROW()</f>
        <v>120</v>
      </c>
    </row>
    <row r="123" spans="1:9" x14ac:dyDescent="0.35">
      <c r="D123" s="4"/>
      <c r="F123" s="4"/>
      <c r="G123" s="4"/>
      <c r="H123" s="4"/>
      <c r="I123" s="4"/>
    </row>
    <row r="124" spans="1:9" x14ac:dyDescent="0.35">
      <c r="D124" s="4"/>
      <c r="F124" s="4"/>
      <c r="G124" s="4"/>
      <c r="H124" s="4"/>
      <c r="I124" s="4"/>
    </row>
    <row r="125" spans="1:9" x14ac:dyDescent="0.35">
      <c r="D125" s="4"/>
      <c r="F125" s="4"/>
      <c r="G125" s="4"/>
      <c r="H125" s="4"/>
      <c r="I125" s="4"/>
    </row>
    <row r="126" spans="1:9" x14ac:dyDescent="0.35">
      <c r="D126" s="4"/>
      <c r="F126" s="4"/>
      <c r="G126" s="4"/>
      <c r="H126" s="4"/>
      <c r="I126" s="4"/>
    </row>
    <row r="127" spans="1:9" x14ac:dyDescent="0.35">
      <c r="D127" s="4"/>
      <c r="F127" s="4"/>
      <c r="G127" s="4"/>
      <c r="H127" s="4"/>
      <c r="I127" s="4"/>
    </row>
    <row r="128" spans="1:9" x14ac:dyDescent="0.35">
      <c r="D128" s="4"/>
      <c r="F128" s="4"/>
    </row>
    <row r="129" spans="4:4" x14ac:dyDescent="0.35">
      <c r="D129" s="4"/>
    </row>
    <row r="130" spans="4:4" x14ac:dyDescent="0.35">
      <c r="D130" s="4"/>
    </row>
    <row r="131" spans="4:4" x14ac:dyDescent="0.35">
      <c r="D131" s="4"/>
    </row>
    <row r="132" spans="4:4" x14ac:dyDescent="0.35">
      <c r="D132" s="4"/>
    </row>
    <row r="133" spans="4:4" x14ac:dyDescent="0.35">
      <c r="D133" s="4"/>
    </row>
    <row r="134" spans="4:4" x14ac:dyDescent="0.35">
      <c r="D134" s="4"/>
    </row>
    <row r="135" spans="4:4" x14ac:dyDescent="0.35">
      <c r="D135" s="4"/>
    </row>
    <row r="136" spans="4:4" x14ac:dyDescent="0.35">
      <c r="D136" s="4"/>
    </row>
    <row r="137" spans="4:4" x14ac:dyDescent="0.35">
      <c r="D137" s="4"/>
    </row>
    <row r="138" spans="4:4" x14ac:dyDescent="0.35">
      <c r="D138" s="4"/>
    </row>
    <row r="139" spans="4:4" x14ac:dyDescent="0.35">
      <c r="D139" s="4"/>
    </row>
    <row r="140" spans="4:4" x14ac:dyDescent="0.35">
      <c r="D140" s="4"/>
    </row>
    <row r="141" spans="4:4" x14ac:dyDescent="0.35">
      <c r="D141" s="4"/>
    </row>
    <row r="142" spans="4:4" x14ac:dyDescent="0.35">
      <c r="D142" s="4"/>
    </row>
    <row r="143" spans="4:4" x14ac:dyDescent="0.35">
      <c r="D143" s="4"/>
    </row>
    <row r="144" spans="4:4" x14ac:dyDescent="0.35">
      <c r="D144" s="4"/>
    </row>
    <row r="145" spans="4:4" x14ac:dyDescent="0.35">
      <c r="D145" s="4"/>
    </row>
    <row r="146" spans="4:4" x14ac:dyDescent="0.35">
      <c r="D146" s="4"/>
    </row>
    <row r="147" spans="4:4" x14ac:dyDescent="0.35">
      <c r="D147" s="4"/>
    </row>
    <row r="148" spans="4:4" x14ac:dyDescent="0.35">
      <c r="D148" s="4"/>
    </row>
    <row r="149" spans="4:4" x14ac:dyDescent="0.35">
      <c r="D149" s="4"/>
    </row>
    <row r="150" spans="4:4" x14ac:dyDescent="0.35">
      <c r="D150" s="4"/>
    </row>
    <row r="151" spans="4:4" x14ac:dyDescent="0.35">
      <c r="D151" s="4"/>
    </row>
    <row r="152" spans="4:4" x14ac:dyDescent="0.35">
      <c r="D152" s="4"/>
    </row>
    <row r="153" spans="4:4" x14ac:dyDescent="0.35">
      <c r="D153" s="4"/>
    </row>
    <row r="154" spans="4:4" x14ac:dyDescent="0.35">
      <c r="D154" s="4"/>
    </row>
    <row r="155" spans="4:4" x14ac:dyDescent="0.35">
      <c r="D155" s="4"/>
    </row>
    <row r="156" spans="4:4" x14ac:dyDescent="0.35">
      <c r="D156" s="4"/>
    </row>
    <row r="157" spans="4:4" x14ac:dyDescent="0.35">
      <c r="D157" s="4"/>
    </row>
    <row r="158" spans="4:4" x14ac:dyDescent="0.35">
      <c r="D158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E187-7262-4B12-A561-75B69FD7CF59}">
  <dimension ref="A1:M44"/>
  <sheetViews>
    <sheetView showGridLines="0" topLeftCell="A24" workbookViewId="0">
      <selection activeCell="D37" sqref="D37"/>
    </sheetView>
  </sheetViews>
  <sheetFormatPr defaultRowHeight="14.5" x14ac:dyDescent="0.35"/>
  <cols>
    <col min="1" max="1" width="3.54296875" customWidth="1"/>
    <col min="2" max="2" width="37.08984375" customWidth="1"/>
    <col min="3" max="3" width="12.6328125" customWidth="1"/>
    <col min="4" max="4" width="12.7265625" customWidth="1"/>
    <col min="5" max="5" width="11.54296875" customWidth="1"/>
    <col min="6" max="11" width="11.6328125" customWidth="1"/>
    <col min="12" max="12" width="11.54296875" customWidth="1"/>
    <col min="13" max="13" width="11.08984375" customWidth="1"/>
  </cols>
  <sheetData>
    <row r="1" spans="1:12" ht="20" x14ac:dyDescent="0.4">
      <c r="A1" s="14"/>
      <c r="B1" s="15" t="str">
        <f>+'[2]Method #1'!B1</f>
        <v>Proud Steel Holding Corp. (PRST)</v>
      </c>
      <c r="C1" s="16"/>
    </row>
    <row r="2" spans="1:12" ht="10.5" customHeight="1" x14ac:dyDescent="0.35">
      <c r="A2" s="14"/>
      <c r="B2" s="17" t="s">
        <v>6</v>
      </c>
      <c r="C2" s="16"/>
    </row>
    <row r="4" spans="1:12" ht="15.5" x14ac:dyDescent="0.35">
      <c r="A4" s="14"/>
      <c r="B4" s="34" t="s">
        <v>368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s="1" customFormat="1" ht="15.5" x14ac:dyDescent="0.35">
      <c r="A5" s="57"/>
      <c r="B5" s="5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s="1" customFormat="1" ht="40" thickBot="1" x14ac:dyDescent="0.4">
      <c r="A6" s="57"/>
      <c r="B6" s="389" t="s">
        <v>51</v>
      </c>
      <c r="C6" s="311"/>
      <c r="D6" s="311"/>
      <c r="E6" s="390" t="s">
        <v>358</v>
      </c>
      <c r="F6" s="39" t="s">
        <v>359</v>
      </c>
      <c r="G6" s="391" t="s">
        <v>360</v>
      </c>
      <c r="H6" s="391" t="s">
        <v>53</v>
      </c>
      <c r="I6" s="392" t="s">
        <v>361</v>
      </c>
      <c r="J6" s="392" t="s">
        <v>64</v>
      </c>
      <c r="K6" s="69" t="s">
        <v>79</v>
      </c>
      <c r="L6" s="18"/>
    </row>
    <row r="7" spans="1:12" s="1" customFormat="1" x14ac:dyDescent="0.35">
      <c r="A7" s="57"/>
      <c r="B7" t="s">
        <v>52</v>
      </c>
      <c r="E7" s="393">
        <f>+INPUT!G9</f>
        <v>3.1</v>
      </c>
      <c r="F7" s="59">
        <v>0</v>
      </c>
      <c r="G7" s="393">
        <f>+E7*(1+F7)</f>
        <v>3.1</v>
      </c>
      <c r="H7" s="394">
        <f>+'Method 2 DCF Val'!E15</f>
        <v>315540</v>
      </c>
      <c r="I7" s="395">
        <f>+H7*G7</f>
        <v>978174</v>
      </c>
      <c r="J7" s="396">
        <f>+I7/$I$10</f>
        <v>0.28361882683805062</v>
      </c>
      <c r="K7" s="397">
        <f>+I7/'[2]Method#7b'!$E$25</f>
        <v>2.0812212765957447</v>
      </c>
      <c r="L7" s="18"/>
    </row>
    <row r="8" spans="1:12" s="1" customFormat="1" x14ac:dyDescent="0.35">
      <c r="A8" s="57"/>
      <c r="B8" t="s">
        <v>54</v>
      </c>
      <c r="E8" s="18"/>
      <c r="F8" s="18"/>
      <c r="G8" s="18"/>
      <c r="H8" s="18"/>
      <c r="I8" s="395">
        <f>+'Method 2 DCF Val'!G15</f>
        <v>2354100</v>
      </c>
      <c r="J8" s="396">
        <f>+I8/$I$10</f>
        <v>0.68256473823619823</v>
      </c>
      <c r="K8" s="397">
        <f>+I8/'[2]Method#7b'!$E$25</f>
        <v>5.0087234042553188</v>
      </c>
      <c r="L8" s="18"/>
    </row>
    <row r="9" spans="1:12" s="1" customFormat="1" x14ac:dyDescent="0.35">
      <c r="A9" s="57"/>
      <c r="B9" t="s">
        <v>91</v>
      </c>
      <c r="E9" s="24">
        <v>3.5000000000000003E-2</v>
      </c>
      <c r="F9" s="18"/>
      <c r="G9" s="18"/>
      <c r="H9" s="18"/>
      <c r="I9" s="55">
        <f>+E9*(1+I7+I8)</f>
        <v>116629.62500000001</v>
      </c>
      <c r="J9" s="396">
        <f>+I9/$I$10</f>
        <v>3.3816434925751225E-2</v>
      </c>
      <c r="K9" s="397">
        <f>+I9/'[2]Method#7b'!$E$25</f>
        <v>0.24814813829787238</v>
      </c>
      <c r="L9" s="18"/>
    </row>
    <row r="10" spans="1:12" s="1" customFormat="1" ht="15" thickBot="1" x14ac:dyDescent="0.4">
      <c r="A10" s="57"/>
      <c r="B10" t="s">
        <v>61</v>
      </c>
      <c r="E10" s="18"/>
      <c r="F10" s="18"/>
      <c r="G10" s="18"/>
      <c r="H10" s="18"/>
      <c r="I10" s="398">
        <f>SUM(I7:I9)</f>
        <v>3448903.625</v>
      </c>
      <c r="J10" s="399">
        <f>+I10/$I$10</f>
        <v>1</v>
      </c>
      <c r="K10" s="400">
        <f>+I10/'[2]Method#7b'!$E$25</f>
        <v>7.3380928191489359</v>
      </c>
      <c r="L10" s="18"/>
    </row>
    <row r="11" spans="1:12" s="1" customFormat="1" x14ac:dyDescent="0.35">
      <c r="A11" s="57"/>
      <c r="B11"/>
      <c r="E11" s="18"/>
      <c r="F11" s="18"/>
      <c r="G11" s="18"/>
      <c r="H11" s="18"/>
      <c r="I11" s="18"/>
      <c r="J11" s="18"/>
      <c r="K11" s="18"/>
      <c r="L11" s="18"/>
    </row>
    <row r="12" spans="1:12" s="1" customFormat="1" ht="53" thickBot="1" x14ac:dyDescent="0.4">
      <c r="A12" s="57"/>
      <c r="B12" s="389" t="s">
        <v>55</v>
      </c>
      <c r="C12" s="311"/>
      <c r="D12" s="311"/>
      <c r="E12" s="69" t="s">
        <v>63</v>
      </c>
      <c r="F12" s="391" t="s">
        <v>57</v>
      </c>
      <c r="G12" s="391" t="s">
        <v>362</v>
      </c>
      <c r="H12" s="392" t="s">
        <v>363</v>
      </c>
      <c r="I12" s="392" t="s">
        <v>58</v>
      </c>
      <c r="J12" s="39" t="s">
        <v>56</v>
      </c>
      <c r="K12" s="18"/>
      <c r="L12" s="18"/>
    </row>
    <row r="13" spans="1:12" s="1" customFormat="1" x14ac:dyDescent="0.35">
      <c r="A13" s="57"/>
      <c r="B13" t="s">
        <v>307</v>
      </c>
      <c r="E13" s="401">
        <v>2</v>
      </c>
      <c r="F13" s="42">
        <v>0.05</v>
      </c>
      <c r="G13" s="402">
        <f>+F13*(1-'Method 4 DCF'!D13)</f>
        <v>3.9000000000000007E-2</v>
      </c>
      <c r="H13" s="403">
        <f>+J13*G13</f>
        <v>1.3944953303819851E-2</v>
      </c>
      <c r="I13" s="55">
        <f>ROUND(+E13*'Method 5 LBO_B'!E25,0)</f>
        <v>1233200</v>
      </c>
      <c r="J13" s="396">
        <f>+I13/$I$17</f>
        <v>0.35756290522614997</v>
      </c>
      <c r="K13" s="18"/>
      <c r="L13" s="18"/>
    </row>
    <row r="14" spans="1:12" s="1" customFormat="1" x14ac:dyDescent="0.35">
      <c r="A14" s="57"/>
      <c r="B14" t="s">
        <v>59</v>
      </c>
      <c r="E14" s="404">
        <v>1</v>
      </c>
      <c r="F14" s="42">
        <v>0.08</v>
      </c>
      <c r="G14" s="402">
        <f>+F14*(1-'Method 4 DCF'!D13)</f>
        <v>6.2400000000000004E-2</v>
      </c>
      <c r="H14" s="403">
        <f>+J14*G14</f>
        <v>1.115596264305588E-2</v>
      </c>
      <c r="I14" s="348">
        <f>+E14*'Method 4 DCF'!E19</f>
        <v>616600</v>
      </c>
      <c r="J14" s="405">
        <f>+I14/$I$17</f>
        <v>0.17878145261307499</v>
      </c>
      <c r="K14" s="18"/>
      <c r="L14" s="18"/>
    </row>
    <row r="15" spans="1:12" s="1" customFormat="1" x14ac:dyDescent="0.35">
      <c r="A15" s="57"/>
      <c r="B15" t="s">
        <v>78</v>
      </c>
      <c r="E15" s="71">
        <f>+I15/'[2]Method#7b'!E25</f>
        <v>3.9357446808510637</v>
      </c>
      <c r="F15" s="42"/>
      <c r="G15" s="402"/>
      <c r="H15" s="403"/>
      <c r="I15" s="55">
        <f>+I14+I13</f>
        <v>1849800</v>
      </c>
      <c r="J15" s="405">
        <f>+I15/$I$17</f>
        <v>0.53634435783922496</v>
      </c>
      <c r="K15" s="18"/>
      <c r="L15" s="18"/>
    </row>
    <row r="16" spans="1:12" s="1" customFormat="1" x14ac:dyDescent="0.35">
      <c r="A16" s="57"/>
      <c r="B16" t="s">
        <v>60</v>
      </c>
      <c r="E16" s="72">
        <f>+I16/'[2]Method#7b'!E25</f>
        <v>3.4023481382978722</v>
      </c>
      <c r="F16" s="406">
        <f>+'[2]Method #6'!I41</f>
        <v>0.31850000000000006</v>
      </c>
      <c r="G16" s="407">
        <f>+F16</f>
        <v>0.31850000000000006</v>
      </c>
      <c r="H16" s="403">
        <f>+J16*G16</f>
        <v>0.14767432202820691</v>
      </c>
      <c r="I16" s="55">
        <f>+I17-I14-I13</f>
        <v>1599103.625</v>
      </c>
      <c r="J16" s="396">
        <f>+I16/$I$17</f>
        <v>0.46365564216077509</v>
      </c>
      <c r="K16" s="18"/>
      <c r="L16" s="18"/>
    </row>
    <row r="17" spans="1:13" s="1" customFormat="1" ht="15" thickBot="1" x14ac:dyDescent="0.4">
      <c r="A17" s="57"/>
      <c r="B17" t="s">
        <v>62</v>
      </c>
      <c r="E17" s="73">
        <f>+I17/'[2]Method#7b'!E25</f>
        <v>7.3380928191489359</v>
      </c>
      <c r="F17" s="18"/>
      <c r="G17" s="18"/>
      <c r="H17" s="408">
        <f>SUM(H13:H16)</f>
        <v>0.17277523797508265</v>
      </c>
      <c r="I17" s="398">
        <f>+I10</f>
        <v>3448903.625</v>
      </c>
      <c r="J17" s="399">
        <f>+I17/$I$17</f>
        <v>1</v>
      </c>
      <c r="K17" s="18"/>
      <c r="L17" s="18"/>
    </row>
    <row r="18" spans="1:13" s="1" customFormat="1" ht="15" thickBot="1" x14ac:dyDescent="0.4">
      <c r="A18" s="57"/>
      <c r="B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3" s="1" customFormat="1" ht="15" thickBot="1" x14ac:dyDescent="0.4">
      <c r="B19" s="355" t="s">
        <v>341</v>
      </c>
      <c r="C19" s="356"/>
      <c r="D19" s="357"/>
      <c r="E19"/>
      <c r="H19" s="18"/>
      <c r="I19" s="18"/>
      <c r="J19" s="18"/>
      <c r="K19" s="18"/>
      <c r="L19" s="18"/>
    </row>
    <row r="20" spans="1:13" s="1" customFormat="1" x14ac:dyDescent="0.35">
      <c r="B20" s="360" t="s">
        <v>343</v>
      </c>
      <c r="C20" s="3"/>
      <c r="D20" s="361">
        <f>+'Method 4 DCF'!I38</f>
        <v>2.5000000000000001E-2</v>
      </c>
      <c r="E20"/>
    </row>
    <row r="21" spans="1:13" s="1" customFormat="1" x14ac:dyDescent="0.35">
      <c r="B21" s="360" t="s">
        <v>346</v>
      </c>
      <c r="C21" s="3"/>
      <c r="D21" s="366">
        <f>+'[2]Method #6'!I39</f>
        <v>0.1</v>
      </c>
      <c r="E21"/>
    </row>
    <row r="22" spans="1:13" s="1" customFormat="1" ht="15" thickBot="1" x14ac:dyDescent="0.4">
      <c r="B22" s="360" t="s">
        <v>364</v>
      </c>
      <c r="C22" s="3"/>
      <c r="D22" s="369">
        <f>+'Method 4 DCF'!I40</f>
        <v>2.6</v>
      </c>
      <c r="E22"/>
    </row>
    <row r="23" spans="1:13" s="1" customFormat="1" ht="15" thickBot="1" x14ac:dyDescent="0.4">
      <c r="B23" s="373" t="s">
        <v>350</v>
      </c>
      <c r="C23" s="374"/>
      <c r="D23" s="375">
        <f>+D20+(D21*D22)</f>
        <v>0.28500000000000003</v>
      </c>
      <c r="E23"/>
      <c r="F23"/>
      <c r="G23"/>
    </row>
    <row r="24" spans="1:13" s="1" customFormat="1" x14ac:dyDescent="0.35">
      <c r="B24"/>
      <c r="C24"/>
      <c r="D24"/>
      <c r="E24"/>
      <c r="F24"/>
      <c r="G24"/>
    </row>
    <row r="25" spans="1:13" s="1" customFormat="1" ht="15" thickBot="1" x14ac:dyDescent="0.4">
      <c r="A25" s="57"/>
      <c r="B25"/>
      <c r="C25" s="18"/>
      <c r="D25" s="18"/>
      <c r="E25" s="18"/>
      <c r="F25" s="409" t="s">
        <v>365</v>
      </c>
    </row>
    <row r="26" spans="1:13" s="1" customFormat="1" ht="15" thickBot="1" x14ac:dyDescent="0.4">
      <c r="A26" s="57"/>
      <c r="B26" s="39" t="s">
        <v>69</v>
      </c>
      <c r="C26" s="39" t="s">
        <v>74</v>
      </c>
      <c r="D26" s="36" t="s">
        <v>44</v>
      </c>
      <c r="E26" s="410">
        <f>+'[2]Method#7b'!E7</f>
        <v>44561</v>
      </c>
      <c r="F26" s="40">
        <f>+'Method 5 LBO_B'!F7</f>
        <v>44926</v>
      </c>
      <c r="G26" s="40">
        <f>+'Method 5 LBO_B'!G7</f>
        <v>45291</v>
      </c>
      <c r="H26" s="40">
        <f>+'Method 5 LBO_B'!H7</f>
        <v>45657</v>
      </c>
      <c r="I26" s="40">
        <f>+'Method 5 LBO_B'!I7</f>
        <v>46022</v>
      </c>
      <c r="J26" s="40">
        <f>+'Method 5 LBO_B'!J7</f>
        <v>46387</v>
      </c>
      <c r="K26" s="40">
        <f>+'Method 5 LBO_B'!K7</f>
        <v>46752</v>
      </c>
    </row>
    <row r="27" spans="1:13" s="1" customFormat="1" x14ac:dyDescent="0.35">
      <c r="A27" s="57"/>
      <c r="B27" s="8" t="str">
        <f>+B13</f>
        <v>Bank Loan</v>
      </c>
      <c r="C27" s="66">
        <v>7</v>
      </c>
      <c r="D27" s="407">
        <f>+F13</f>
        <v>0.05</v>
      </c>
      <c r="E27" s="411"/>
    </row>
    <row r="28" spans="1:13" s="1" customFormat="1" x14ac:dyDescent="0.35">
      <c r="A28" s="57"/>
      <c r="B28" t="s">
        <v>70</v>
      </c>
      <c r="C28" s="66"/>
      <c r="D28" s="66"/>
      <c r="E28" s="412">
        <f>+I13</f>
        <v>1233200</v>
      </c>
      <c r="F28" s="394">
        <f t="shared" ref="F28:K28" si="0">+E28-F29</f>
        <v>1233200</v>
      </c>
      <c r="G28" s="394">
        <f t="shared" si="0"/>
        <v>1208536</v>
      </c>
      <c r="H28" s="394">
        <f t="shared" si="0"/>
        <v>1159208</v>
      </c>
      <c r="I28" s="394">
        <f t="shared" si="0"/>
        <v>1062525.1200000001</v>
      </c>
      <c r="J28" s="394">
        <f t="shared" si="0"/>
        <v>877051.84000000008</v>
      </c>
      <c r="K28" s="394">
        <f t="shared" si="0"/>
        <v>611420.56000000006</v>
      </c>
    </row>
    <row r="29" spans="1:13" s="1" customFormat="1" x14ac:dyDescent="0.35">
      <c r="A29" s="57"/>
      <c r="B29" t="s">
        <v>72</v>
      </c>
      <c r="C29" s="66"/>
      <c r="D29" s="66"/>
      <c r="E29" s="67"/>
      <c r="F29" s="413">
        <v>0</v>
      </c>
      <c r="G29" s="413">
        <f>+E28*0.02</f>
        <v>24664</v>
      </c>
      <c r="H29" s="413">
        <f>+F28*0.04</f>
        <v>49328</v>
      </c>
      <c r="I29" s="413">
        <f>+G28*0.08</f>
        <v>96682.880000000005</v>
      </c>
      <c r="J29" s="413">
        <f>+H28*0.16</f>
        <v>185473.28</v>
      </c>
      <c r="K29" s="413">
        <f>+I28*0.25</f>
        <v>265631.28000000003</v>
      </c>
    </row>
    <row r="30" spans="1:13" s="1" customFormat="1" x14ac:dyDescent="0.35">
      <c r="A30" s="57"/>
      <c r="B30" t="s">
        <v>73</v>
      </c>
      <c r="C30" s="66"/>
      <c r="D30" s="66"/>
      <c r="E30" s="414"/>
      <c r="F30" s="394">
        <f>+E28*($D$27)</f>
        <v>61660</v>
      </c>
      <c r="G30" s="394">
        <f>+F28*$D$27</f>
        <v>61660</v>
      </c>
      <c r="H30" s="394">
        <f t="shared" ref="H30:K30" si="1">+G28*$D$27</f>
        <v>60426.8</v>
      </c>
      <c r="I30" s="394">
        <f t="shared" si="1"/>
        <v>57960.4</v>
      </c>
      <c r="J30" s="394">
        <f t="shared" si="1"/>
        <v>53126.256000000008</v>
      </c>
      <c r="K30" s="394">
        <f t="shared" si="1"/>
        <v>43852.592000000004</v>
      </c>
    </row>
    <row r="31" spans="1:13" ht="15" thickBot="1" x14ac:dyDescent="0.4">
      <c r="A31" s="57"/>
      <c r="B31" t="s">
        <v>71</v>
      </c>
      <c r="C31" s="66"/>
      <c r="D31" s="66"/>
      <c r="E31" s="67"/>
      <c r="F31" s="415">
        <f t="shared" ref="F31:K31" si="2">+F30+F29</f>
        <v>61660</v>
      </c>
      <c r="G31" s="415">
        <f t="shared" si="2"/>
        <v>86324</v>
      </c>
      <c r="H31" s="415">
        <f t="shared" si="2"/>
        <v>109754.8</v>
      </c>
      <c r="I31" s="415">
        <f t="shared" si="2"/>
        <v>154643.28</v>
      </c>
      <c r="J31" s="415">
        <f t="shared" si="2"/>
        <v>238599.53600000002</v>
      </c>
      <c r="K31" s="415">
        <f t="shared" si="2"/>
        <v>309483.87200000003</v>
      </c>
      <c r="L31" s="1"/>
      <c r="M31" s="1"/>
    </row>
    <row r="32" spans="1:13" x14ac:dyDescent="0.35">
      <c r="A32" s="57"/>
      <c r="C32" s="66"/>
      <c r="D32" s="66"/>
      <c r="E32" s="67"/>
      <c r="F32" s="394"/>
      <c r="G32" s="394"/>
      <c r="H32" s="394"/>
      <c r="I32" s="394"/>
      <c r="J32" s="394"/>
      <c r="K32" s="394"/>
      <c r="L32" s="1"/>
      <c r="M32" s="1"/>
    </row>
    <row r="33" spans="1:13" x14ac:dyDescent="0.35">
      <c r="A33" s="57"/>
      <c r="B33" s="8" t="str">
        <f>+B14</f>
        <v>Corporate Bonds</v>
      </c>
      <c r="C33" s="66">
        <v>10</v>
      </c>
      <c r="D33" s="407">
        <f>+F14</f>
        <v>0.08</v>
      </c>
      <c r="E33" s="411"/>
      <c r="F33" s="1"/>
      <c r="G33" s="1"/>
      <c r="H33" s="1"/>
      <c r="I33" s="1"/>
      <c r="J33" s="1"/>
      <c r="K33" s="1"/>
      <c r="L33" s="1"/>
      <c r="M33" s="1"/>
    </row>
    <row r="34" spans="1:13" x14ac:dyDescent="0.35">
      <c r="A34" s="57"/>
      <c r="B34" t="s">
        <v>70</v>
      </c>
      <c r="C34" s="66"/>
      <c r="D34" s="66"/>
      <c r="E34" s="412">
        <f>+I14</f>
        <v>616600</v>
      </c>
      <c r="F34" s="394">
        <f t="shared" ref="F34:K34" si="3">+E34-F35</f>
        <v>616600</v>
      </c>
      <c r="G34" s="394">
        <f t="shared" si="3"/>
        <v>616600</v>
      </c>
      <c r="H34" s="394">
        <f t="shared" si="3"/>
        <v>616600</v>
      </c>
      <c r="I34" s="394">
        <f t="shared" si="3"/>
        <v>616600</v>
      </c>
      <c r="J34" s="394">
        <f t="shared" si="3"/>
        <v>616600</v>
      </c>
      <c r="K34" s="394">
        <f t="shared" si="3"/>
        <v>616600</v>
      </c>
      <c r="L34" s="1"/>
      <c r="M34" s="1"/>
    </row>
    <row r="35" spans="1:13" x14ac:dyDescent="0.35">
      <c r="A35" s="57"/>
      <c r="B35" t="s">
        <v>72</v>
      </c>
      <c r="C35" s="66"/>
      <c r="D35" s="66"/>
      <c r="E35" s="67"/>
      <c r="F35" s="394">
        <v>0</v>
      </c>
      <c r="G35" s="394">
        <v>0</v>
      </c>
      <c r="H35" s="394">
        <v>0</v>
      </c>
      <c r="I35" s="394">
        <v>0</v>
      </c>
      <c r="J35" s="394">
        <v>0</v>
      </c>
      <c r="K35" s="394">
        <v>0</v>
      </c>
      <c r="L35" s="1"/>
      <c r="M35" s="1"/>
    </row>
    <row r="36" spans="1:13" x14ac:dyDescent="0.35">
      <c r="A36" s="57"/>
      <c r="B36" t="s">
        <v>73</v>
      </c>
      <c r="C36" s="66"/>
      <c r="D36" s="66"/>
      <c r="E36" s="414"/>
      <c r="F36" s="394">
        <f>+E34*D33</f>
        <v>49328</v>
      </c>
      <c r="G36" s="394">
        <f t="shared" ref="G36:K36" si="4">+F34*$D$33</f>
        <v>49328</v>
      </c>
      <c r="H36" s="394">
        <f t="shared" si="4"/>
        <v>49328</v>
      </c>
      <c r="I36" s="394">
        <f t="shared" si="4"/>
        <v>49328</v>
      </c>
      <c r="J36" s="394">
        <f t="shared" si="4"/>
        <v>49328</v>
      </c>
      <c r="K36" s="394">
        <f t="shared" si="4"/>
        <v>49328</v>
      </c>
      <c r="L36" s="1"/>
      <c r="M36" s="1"/>
    </row>
    <row r="37" spans="1:13" ht="15" thickBot="1" x14ac:dyDescent="0.4">
      <c r="A37" s="57"/>
      <c r="B37" t="s">
        <v>71</v>
      </c>
      <c r="C37" s="66"/>
      <c r="D37" s="66"/>
      <c r="E37" s="67"/>
      <c r="F37" s="416">
        <f t="shared" ref="F37:K37" si="5">+F36+F35</f>
        <v>49328</v>
      </c>
      <c r="G37" s="416">
        <f t="shared" si="5"/>
        <v>49328</v>
      </c>
      <c r="H37" s="416">
        <f t="shared" si="5"/>
        <v>49328</v>
      </c>
      <c r="I37" s="416">
        <f t="shared" si="5"/>
        <v>49328</v>
      </c>
      <c r="J37" s="416">
        <f t="shared" si="5"/>
        <v>49328</v>
      </c>
      <c r="K37" s="416">
        <f t="shared" si="5"/>
        <v>49328</v>
      </c>
      <c r="L37" s="1"/>
      <c r="M37" s="1"/>
    </row>
    <row r="38" spans="1:13" x14ac:dyDescent="0.35">
      <c r="A38" s="57"/>
      <c r="C38" s="18"/>
      <c r="D38" s="18"/>
      <c r="E38" s="18"/>
      <c r="F38" s="18"/>
      <c r="G38" s="18"/>
      <c r="H38" s="18"/>
      <c r="I38" s="18"/>
      <c r="J38" s="18"/>
      <c r="K38" s="18"/>
      <c r="L38" s="1"/>
      <c r="M38" s="1"/>
    </row>
    <row r="39" spans="1:13" x14ac:dyDescent="0.35">
      <c r="A39" s="57"/>
      <c r="B39" t="s">
        <v>93</v>
      </c>
      <c r="C39" s="18"/>
      <c r="D39" s="18"/>
      <c r="E39" s="18"/>
      <c r="F39" s="22">
        <f>+F30+F36</f>
        <v>110988</v>
      </c>
      <c r="G39" s="22">
        <f t="shared" ref="G39:K39" si="6">+G30+G36</f>
        <v>110988</v>
      </c>
      <c r="H39" s="22">
        <f t="shared" si="6"/>
        <v>109754.8</v>
      </c>
      <c r="I39" s="22">
        <f t="shared" si="6"/>
        <v>107288.4</v>
      </c>
      <c r="J39" s="22">
        <f t="shared" si="6"/>
        <v>102454.25600000001</v>
      </c>
      <c r="K39" s="22">
        <f t="shared" si="6"/>
        <v>93180.592000000004</v>
      </c>
      <c r="L39" s="1"/>
      <c r="M39" s="1"/>
    </row>
    <row r="40" spans="1:13" x14ac:dyDescent="0.35">
      <c r="A40" s="57"/>
      <c r="B40" t="s">
        <v>94</v>
      </c>
      <c r="C40" s="18"/>
      <c r="D40" s="18"/>
      <c r="E40" s="18"/>
      <c r="F40" s="22">
        <f>+F29+F35</f>
        <v>0</v>
      </c>
      <c r="G40" s="22">
        <f t="shared" ref="G40:K40" si="7">+G29+G35</f>
        <v>24664</v>
      </c>
      <c r="H40" s="22">
        <f t="shared" si="7"/>
        <v>49328</v>
      </c>
      <c r="I40" s="22">
        <f t="shared" si="7"/>
        <v>96682.880000000005</v>
      </c>
      <c r="J40" s="22">
        <f t="shared" si="7"/>
        <v>185473.28</v>
      </c>
      <c r="K40" s="22">
        <f t="shared" si="7"/>
        <v>265631.28000000003</v>
      </c>
      <c r="L40" s="1"/>
      <c r="M40" s="1"/>
    </row>
    <row r="41" spans="1:13" x14ac:dyDescent="0.35">
      <c r="A41" s="57"/>
      <c r="B41" t="s">
        <v>75</v>
      </c>
      <c r="C41" s="18"/>
      <c r="D41" s="18"/>
      <c r="E41" s="18"/>
      <c r="F41" s="417">
        <f>+F40+F39</f>
        <v>110988</v>
      </c>
      <c r="G41" s="417">
        <f t="shared" ref="G41:K41" si="8">+G40+G39</f>
        <v>135652</v>
      </c>
      <c r="H41" s="417">
        <f t="shared" si="8"/>
        <v>159082.79999999999</v>
      </c>
      <c r="I41" s="417">
        <f t="shared" si="8"/>
        <v>203971.28</v>
      </c>
      <c r="J41" s="417">
        <f t="shared" si="8"/>
        <v>287927.53600000002</v>
      </c>
      <c r="K41" s="417">
        <f t="shared" si="8"/>
        <v>358811.87200000003</v>
      </c>
      <c r="L41" s="1"/>
      <c r="M41" s="1"/>
    </row>
    <row r="42" spans="1:13" x14ac:dyDescent="0.35">
      <c r="A42" s="57"/>
      <c r="B42" t="s">
        <v>76</v>
      </c>
      <c r="C42" s="18"/>
      <c r="D42" s="18"/>
      <c r="E42" s="18"/>
      <c r="F42" s="22">
        <f t="shared" ref="F42:K42" si="9">+F34+F28</f>
        <v>1849800</v>
      </c>
      <c r="G42" s="22">
        <f t="shared" si="9"/>
        <v>1825136</v>
      </c>
      <c r="H42" s="22">
        <f t="shared" si="9"/>
        <v>1775808</v>
      </c>
      <c r="I42" s="22">
        <f t="shared" si="9"/>
        <v>1679125.12</v>
      </c>
      <c r="J42" s="22">
        <f t="shared" si="9"/>
        <v>1493651.84</v>
      </c>
      <c r="K42" s="22">
        <f t="shared" si="9"/>
        <v>1228020.56</v>
      </c>
      <c r="L42" s="1"/>
      <c r="M42" s="1"/>
    </row>
    <row r="43" spans="1:13" x14ac:dyDescent="0.35">
      <c r="L43" s="1"/>
      <c r="M43" s="1"/>
    </row>
    <row r="44" spans="1:13" x14ac:dyDescent="0.35">
      <c r="L44" s="10"/>
      <c r="M44" s="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8C5D-4DD2-4AD1-A32A-FF72E19D5CF2}">
  <dimension ref="A1:M54"/>
  <sheetViews>
    <sheetView showGridLines="0" workbookViewId="0">
      <selection activeCell="C53" sqref="C53"/>
    </sheetView>
  </sheetViews>
  <sheetFormatPr defaultRowHeight="14.5" x14ac:dyDescent="0.35"/>
  <cols>
    <col min="1" max="1" width="8.81640625" customWidth="1"/>
    <col min="2" max="2" width="37.08984375" customWidth="1"/>
    <col min="3" max="3" width="12.6328125" customWidth="1"/>
    <col min="4" max="4" width="12.7265625" customWidth="1"/>
    <col min="5" max="5" width="11.54296875" customWidth="1"/>
    <col min="6" max="11" width="11.6328125" customWidth="1"/>
    <col min="12" max="12" width="4.08984375" customWidth="1"/>
  </cols>
  <sheetData>
    <row r="1" spans="1:13" ht="20" x14ac:dyDescent="0.4">
      <c r="A1" s="14"/>
      <c r="B1" s="15" t="str">
        <f>+'[2]Method #1'!B1</f>
        <v>Proud Steel Holding Corp. (PRST)</v>
      </c>
      <c r="C1" s="16"/>
    </row>
    <row r="2" spans="1:13" ht="10.5" customHeight="1" x14ac:dyDescent="0.35">
      <c r="A2" s="14"/>
      <c r="B2" s="17" t="s">
        <v>6</v>
      </c>
      <c r="C2" s="16"/>
    </row>
    <row r="3" spans="1:13" s="1" customFormat="1" x14ac:dyDescent="0.35">
      <c r="A3" s="57"/>
      <c r="B3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3" ht="15.5" x14ac:dyDescent="0.35">
      <c r="A4" s="14"/>
      <c r="B4" s="34" t="s">
        <v>368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ht="11.5" customHeight="1" x14ac:dyDescent="0.4">
      <c r="A5" s="14"/>
      <c r="B5" s="15"/>
      <c r="C5" s="28"/>
      <c r="D5" s="28"/>
      <c r="E5" s="322" t="s">
        <v>29</v>
      </c>
      <c r="F5" s="323">
        <v>1</v>
      </c>
      <c r="G5" s="323">
        <v>2</v>
      </c>
      <c r="H5" s="323">
        <v>3</v>
      </c>
      <c r="I5" s="323">
        <v>4</v>
      </c>
      <c r="J5" s="323">
        <v>5</v>
      </c>
      <c r="K5" s="323">
        <v>6</v>
      </c>
    </row>
    <row r="6" spans="1:13" x14ac:dyDescent="0.35">
      <c r="A6" s="14"/>
      <c r="B6" t="s">
        <v>325</v>
      </c>
      <c r="C6" s="313" t="s">
        <v>30</v>
      </c>
      <c r="D6" s="324" t="s">
        <v>326</v>
      </c>
      <c r="E6" s="312" t="s">
        <v>327</v>
      </c>
      <c r="F6" s="324" t="s">
        <v>365</v>
      </c>
      <c r="J6" s="312" t="s">
        <v>0</v>
      </c>
    </row>
    <row r="7" spans="1:13" ht="15" thickBot="1" x14ac:dyDescent="0.4">
      <c r="A7" s="14"/>
      <c r="C7" s="39" t="s">
        <v>31</v>
      </c>
      <c r="D7" s="36" t="s">
        <v>31</v>
      </c>
      <c r="E7" s="325">
        <f>+'[2]Method #6'!E7</f>
        <v>44561</v>
      </c>
      <c r="F7" s="40">
        <f>+'[2]Method #6'!F7</f>
        <v>44926</v>
      </c>
      <c r="G7" s="40">
        <f>+'[2]Method #6'!G7</f>
        <v>45291</v>
      </c>
      <c r="H7" s="40">
        <f>+'[2]Method #6'!H7</f>
        <v>45657</v>
      </c>
      <c r="I7" s="40">
        <f>+'[2]Method #6'!I7</f>
        <v>46022</v>
      </c>
      <c r="J7" s="41">
        <f>+'[2]Method #6'!J7</f>
        <v>46387</v>
      </c>
      <c r="K7" s="40">
        <f>+'[2]Method #6'!K7</f>
        <v>46752</v>
      </c>
    </row>
    <row r="8" spans="1:13" x14ac:dyDescent="0.35">
      <c r="A8" s="14"/>
      <c r="B8" t="s">
        <v>304</v>
      </c>
      <c r="C8" s="326"/>
      <c r="D8" s="327"/>
      <c r="E8" s="328">
        <f>+'Method 4 DCF'!E8</f>
        <v>6818200</v>
      </c>
      <c r="F8" s="329">
        <f t="shared" ref="F8:K8" si="0">+E8*(1+F9)</f>
        <v>7090928</v>
      </c>
      <c r="G8" s="329">
        <f t="shared" si="0"/>
        <v>7374565.1200000001</v>
      </c>
      <c r="H8" s="329">
        <f t="shared" si="0"/>
        <v>7632674.8991999999</v>
      </c>
      <c r="I8" s="329">
        <f t="shared" si="0"/>
        <v>7899818.5206719991</v>
      </c>
      <c r="J8" s="5">
        <f t="shared" si="0"/>
        <v>8176312.1688955184</v>
      </c>
      <c r="K8" s="330">
        <f t="shared" si="0"/>
        <v>8462483.0948068611</v>
      </c>
    </row>
    <row r="9" spans="1:13" x14ac:dyDescent="0.35">
      <c r="A9" s="14"/>
      <c r="B9" t="s">
        <v>328</v>
      </c>
      <c r="C9" s="331"/>
      <c r="D9" s="42"/>
      <c r="E9" s="332"/>
      <c r="F9" s="333">
        <f>+'Method 4 DCF'!F9</f>
        <v>0.04</v>
      </c>
      <c r="G9" s="333">
        <f>+'Method 4 DCF'!G9</f>
        <v>0.04</v>
      </c>
      <c r="H9" s="333">
        <f>+'Method 4 DCF'!H9</f>
        <v>3.5000000000000003E-2</v>
      </c>
      <c r="I9" s="333">
        <f>+'Method 4 DCF'!I9</f>
        <v>3.5000000000000003E-2</v>
      </c>
      <c r="J9" s="44">
        <f>+'Method 4 DCF'!J9</f>
        <v>3.5000000000000003E-2</v>
      </c>
      <c r="K9" s="334">
        <f>+'Method 4 DCF'!K9</f>
        <v>3.5000000000000003E-2</v>
      </c>
    </row>
    <row r="10" spans="1:13" x14ac:dyDescent="0.35">
      <c r="A10" s="14"/>
      <c r="B10" t="s">
        <v>329</v>
      </c>
      <c r="C10" s="331">
        <f>+'[2]Method #6'!C10</f>
        <v>0.87662650602409642</v>
      </c>
      <c r="D10" s="42">
        <f>+'Method 4 DCF'!D10</f>
        <v>0.86</v>
      </c>
      <c r="E10" s="328">
        <f>+'Method 4 DCF'!E10</f>
        <v>-5911000</v>
      </c>
      <c r="F10" s="329">
        <f t="shared" ref="F10:K10" si="1">-$D$10*F8</f>
        <v>-6098198.0800000001</v>
      </c>
      <c r="G10" s="329">
        <f t="shared" si="1"/>
        <v>-6342126.0032000002</v>
      </c>
      <c r="H10" s="329">
        <f t="shared" si="1"/>
        <v>-6564100.4133120002</v>
      </c>
      <c r="I10" s="329">
        <f t="shared" si="1"/>
        <v>-6793843.927777919</v>
      </c>
      <c r="J10" s="5">
        <f t="shared" si="1"/>
        <v>-7031628.4652501456</v>
      </c>
      <c r="K10" s="330">
        <f t="shared" si="1"/>
        <v>-7277735.4615339004</v>
      </c>
    </row>
    <row r="11" spans="1:13" x14ac:dyDescent="0.35">
      <c r="A11" s="14"/>
      <c r="B11" t="s">
        <v>32</v>
      </c>
      <c r="C11" s="331">
        <f>+'[2]Method #6'!C11</f>
        <v>9.0707831325301205E-2</v>
      </c>
      <c r="D11" s="42">
        <f>+'Method 4 DCF'!D11</f>
        <v>0.08</v>
      </c>
      <c r="E11" s="336">
        <f>+'Method 4 DCF'!E11</f>
        <v>-542800</v>
      </c>
      <c r="F11" s="6">
        <f t="shared" ref="F11:K11" si="2">-$D$11*F8</f>
        <v>-567274.23999999999</v>
      </c>
      <c r="G11" s="6">
        <f t="shared" si="2"/>
        <v>-589965.20960000006</v>
      </c>
      <c r="H11" s="6">
        <f t="shared" si="2"/>
        <v>-610613.99193599995</v>
      </c>
      <c r="I11" s="6">
        <f t="shared" si="2"/>
        <v>-631985.48165375995</v>
      </c>
      <c r="J11" s="7">
        <f t="shared" si="2"/>
        <v>-654104.9735116415</v>
      </c>
      <c r="K11" s="337">
        <f t="shared" si="2"/>
        <v>-676998.64758454892</v>
      </c>
    </row>
    <row r="12" spans="1:13" x14ac:dyDescent="0.35">
      <c r="A12" s="14"/>
      <c r="B12" t="s">
        <v>33</v>
      </c>
      <c r="C12" s="338"/>
      <c r="D12" s="339"/>
      <c r="E12" s="332">
        <f>+E8+E10+E11</f>
        <v>364400</v>
      </c>
      <c r="F12" s="329">
        <f t="shared" ref="F12:K12" si="3">+F8+F10+F11</f>
        <v>425455.67999999993</v>
      </c>
      <c r="G12" s="329">
        <f t="shared" si="3"/>
        <v>442473.9071999999</v>
      </c>
      <c r="H12" s="329">
        <f t="shared" si="3"/>
        <v>457960.4939519997</v>
      </c>
      <c r="I12" s="329">
        <f t="shared" si="3"/>
        <v>473989.11124032014</v>
      </c>
      <c r="J12" s="5">
        <f t="shared" si="3"/>
        <v>490578.73013373127</v>
      </c>
      <c r="K12" s="330">
        <f t="shared" si="3"/>
        <v>507748.98568841186</v>
      </c>
      <c r="M12" s="13"/>
    </row>
    <row r="13" spans="1:13" x14ac:dyDescent="0.35">
      <c r="A13" s="14"/>
      <c r="B13" t="s">
        <v>3</v>
      </c>
      <c r="C13" s="338"/>
      <c r="D13" s="339"/>
      <c r="E13" s="418"/>
      <c r="F13" s="6">
        <f>-'[2]Method #7a'!F30-'[2]Method #7a'!F36</f>
        <v>-84600</v>
      </c>
      <c r="G13" s="6">
        <f>-'[2]Method #7a'!G30-'[2]Method #7a'!G36</f>
        <v>-84600</v>
      </c>
      <c r="H13" s="6">
        <f>-'[2]Method #7a'!H30-'[2]Method #7a'!H36</f>
        <v>-83660</v>
      </c>
      <c r="I13" s="6">
        <f>-'[2]Method #7a'!I30-'[2]Method #7a'!I36</f>
        <v>-81780</v>
      </c>
      <c r="J13" s="7">
        <f>-'[2]Method #7a'!J30-'[2]Method #7a'!J36</f>
        <v>-78095.200000000012</v>
      </c>
      <c r="K13" s="337">
        <f>-'[2]Method #7a'!K30-'[2]Method #7a'!K36</f>
        <v>-71026.399999999994</v>
      </c>
      <c r="M13" s="13"/>
    </row>
    <row r="14" spans="1:13" x14ac:dyDescent="0.35">
      <c r="A14" s="14"/>
      <c r="B14" t="s">
        <v>65</v>
      </c>
      <c r="C14" s="338"/>
      <c r="D14" s="339"/>
      <c r="E14" s="332">
        <f t="shared" ref="E14:K14" si="4">+E12+E13</f>
        <v>364400</v>
      </c>
      <c r="F14" s="329">
        <f t="shared" si="4"/>
        <v>340855.67999999993</v>
      </c>
      <c r="G14" s="329">
        <f t="shared" si="4"/>
        <v>357873.9071999999</v>
      </c>
      <c r="H14" s="329">
        <f t="shared" si="4"/>
        <v>374300.4939519997</v>
      </c>
      <c r="I14" s="329">
        <f t="shared" si="4"/>
        <v>392209.11124032014</v>
      </c>
      <c r="J14" s="5">
        <f t="shared" si="4"/>
        <v>412483.53013373126</v>
      </c>
      <c r="K14" s="330">
        <f t="shared" si="4"/>
        <v>436722.58568841184</v>
      </c>
      <c r="M14" s="13"/>
    </row>
    <row r="15" spans="1:13" x14ac:dyDescent="0.35">
      <c r="A15" s="14"/>
      <c r="B15" t="s">
        <v>34</v>
      </c>
      <c r="C15" s="331"/>
      <c r="D15" s="42">
        <f>+'Method 4 DCF'!D13</f>
        <v>0.22</v>
      </c>
      <c r="E15" s="418">
        <v>0</v>
      </c>
      <c r="F15" s="6">
        <f t="shared" ref="F15:K15" si="5">-$D$15*F14</f>
        <v>-74988.249599999981</v>
      </c>
      <c r="G15" s="6">
        <f t="shared" si="5"/>
        <v>-78732.259583999985</v>
      </c>
      <c r="H15" s="6">
        <f t="shared" si="5"/>
        <v>-82346.108669439927</v>
      </c>
      <c r="I15" s="6">
        <f t="shared" si="5"/>
        <v>-86286.004472870438</v>
      </c>
      <c r="J15" s="7">
        <f t="shared" si="5"/>
        <v>-90746.376629420876</v>
      </c>
      <c r="K15" s="337">
        <f t="shared" si="5"/>
        <v>-96078.968851450612</v>
      </c>
    </row>
    <row r="16" spans="1:13" x14ac:dyDescent="0.35">
      <c r="A16" s="14"/>
      <c r="B16" t="s">
        <v>66</v>
      </c>
      <c r="C16" s="331"/>
      <c r="D16" s="42"/>
      <c r="E16" s="332">
        <f t="shared" ref="E16:K16" si="6">+E14+E15</f>
        <v>364400</v>
      </c>
      <c r="F16" s="329">
        <f t="shared" si="6"/>
        <v>265867.43039999995</v>
      </c>
      <c r="G16" s="329">
        <f t="shared" si="6"/>
        <v>279141.64761599991</v>
      </c>
      <c r="H16" s="329">
        <f t="shared" si="6"/>
        <v>291954.38528255979</v>
      </c>
      <c r="I16" s="329">
        <f t="shared" si="6"/>
        <v>305923.1067674497</v>
      </c>
      <c r="J16" s="5">
        <f t="shared" si="6"/>
        <v>321737.15350431041</v>
      </c>
      <c r="K16" s="330">
        <f t="shared" si="6"/>
        <v>340643.61683696124</v>
      </c>
    </row>
    <row r="17" spans="1:11" x14ac:dyDescent="0.35">
      <c r="A17" s="14"/>
      <c r="B17" t="s">
        <v>330</v>
      </c>
      <c r="C17" s="331">
        <f>+'[2]Method #6'!C14</f>
        <v>3.8117469879518071E-2</v>
      </c>
      <c r="D17" s="42">
        <f>+'Method 4 DCF'!D14</f>
        <v>0.04</v>
      </c>
      <c r="E17" s="328">
        <f>+'Method 4 DCF'!E14</f>
        <v>252200</v>
      </c>
      <c r="F17" s="329">
        <f t="shared" ref="F17:K17" si="7">+$D$17*F8</f>
        <v>283637.12</v>
      </c>
      <c r="G17" s="329">
        <f t="shared" si="7"/>
        <v>294982.60480000003</v>
      </c>
      <c r="H17" s="329">
        <f t="shared" si="7"/>
        <v>305306.99596799997</v>
      </c>
      <c r="I17" s="329">
        <f t="shared" si="7"/>
        <v>315992.74082687998</v>
      </c>
      <c r="J17" s="5">
        <f t="shared" si="7"/>
        <v>327052.48675582075</v>
      </c>
      <c r="K17" s="330">
        <f t="shared" si="7"/>
        <v>338499.32379227446</v>
      </c>
    </row>
    <row r="18" spans="1:11" x14ac:dyDescent="0.35">
      <c r="A18" s="14"/>
      <c r="B18" t="s">
        <v>366</v>
      </c>
      <c r="C18" s="331"/>
      <c r="D18" s="68" t="s">
        <v>77</v>
      </c>
      <c r="E18" s="328"/>
      <c r="F18" s="329">
        <f>+'[2]Method #7a'!$I$9/7</f>
        <v>15040.875000000002</v>
      </c>
      <c r="G18" s="329">
        <f>+'[2]Method #7a'!$I$9/7</f>
        <v>15040.875000000002</v>
      </c>
      <c r="H18" s="329">
        <f>+'[2]Method #7a'!$I$9/7</f>
        <v>15040.875000000002</v>
      </c>
      <c r="I18" s="329">
        <f>+'[2]Method #7a'!$I$9/7</f>
        <v>15040.875000000002</v>
      </c>
      <c r="J18" s="5">
        <f>+'[2]Method #7a'!I9-SUM(F18:I18)</f>
        <v>45122.625000000007</v>
      </c>
      <c r="K18" s="330"/>
    </row>
    <row r="19" spans="1:11" x14ac:dyDescent="0.35">
      <c r="A19" s="14"/>
      <c r="B19" s="18" t="s">
        <v>305</v>
      </c>
      <c r="C19" s="331">
        <v>0</v>
      </c>
      <c r="D19" s="42">
        <v>0</v>
      </c>
      <c r="E19" s="328"/>
      <c r="F19" s="329">
        <f t="shared" ref="F19:K19" si="8">-$D$19*F8</f>
        <v>0</v>
      </c>
      <c r="G19" s="329">
        <f t="shared" si="8"/>
        <v>0</v>
      </c>
      <c r="H19" s="329">
        <f t="shared" si="8"/>
        <v>0</v>
      </c>
      <c r="I19" s="329">
        <f t="shared" si="8"/>
        <v>0</v>
      </c>
      <c r="J19" s="5">
        <f t="shared" si="8"/>
        <v>0</v>
      </c>
      <c r="K19" s="330">
        <f t="shared" si="8"/>
        <v>0</v>
      </c>
    </row>
    <row r="20" spans="1:11" x14ac:dyDescent="0.35">
      <c r="A20" s="14"/>
      <c r="B20" t="s">
        <v>35</v>
      </c>
      <c r="C20" s="331">
        <f>+'[2]Method #6'!C16</f>
        <v>2.4834337349397589E-2</v>
      </c>
      <c r="D20" s="42">
        <f>+'Method 4 DCF'!D16</f>
        <v>2.5000000000000001E-2</v>
      </c>
      <c r="E20" s="328">
        <f>+'[2]Method #6'!E16</f>
        <v>-164900</v>
      </c>
      <c r="F20" s="329">
        <f t="shared" ref="F20:K20" si="9">-$D$20*F8</f>
        <v>-177273.2</v>
      </c>
      <c r="G20" s="329">
        <f t="shared" si="9"/>
        <v>-184364.12800000003</v>
      </c>
      <c r="H20" s="329">
        <f t="shared" si="9"/>
        <v>-190816.87248000002</v>
      </c>
      <c r="I20" s="329">
        <f t="shared" si="9"/>
        <v>-197495.4630168</v>
      </c>
      <c r="J20" s="5">
        <f t="shared" si="9"/>
        <v>-204407.80422238796</v>
      </c>
      <c r="K20" s="330">
        <f t="shared" si="9"/>
        <v>-211562.07737017155</v>
      </c>
    </row>
    <row r="21" spans="1:11" ht="15" customHeight="1" thickBot="1" x14ac:dyDescent="0.4">
      <c r="A21" s="14"/>
      <c r="B21" t="s">
        <v>67</v>
      </c>
      <c r="C21" s="314"/>
      <c r="E21" s="340">
        <f t="shared" ref="E21:K21" si="10">SUM(E16:E20)</f>
        <v>451700</v>
      </c>
      <c r="F21" s="341">
        <f t="shared" si="10"/>
        <v>387272.22539999994</v>
      </c>
      <c r="G21" s="341">
        <f t="shared" si="10"/>
        <v>404800.99941599998</v>
      </c>
      <c r="H21" s="341">
        <f t="shared" si="10"/>
        <v>421485.3837705598</v>
      </c>
      <c r="I21" s="341">
        <f t="shared" si="10"/>
        <v>439461.25957752962</v>
      </c>
      <c r="J21" s="342">
        <f t="shared" si="10"/>
        <v>489504.46103774314</v>
      </c>
      <c r="K21" s="343">
        <f t="shared" si="10"/>
        <v>467580.86325906415</v>
      </c>
    </row>
    <row r="22" spans="1:11" ht="15" customHeight="1" thickTop="1" x14ac:dyDescent="0.35">
      <c r="A22" s="14"/>
      <c r="B22" s="28" t="s">
        <v>68</v>
      </c>
      <c r="C22" s="28"/>
      <c r="D22" s="28"/>
      <c r="E22" s="6"/>
      <c r="F22" s="6">
        <v>0</v>
      </c>
      <c r="G22" s="6">
        <f>+G26-F26</f>
        <v>-18800</v>
      </c>
      <c r="H22" s="6">
        <f>+H26-G26</f>
        <v>-37600</v>
      </c>
      <c r="I22" s="6">
        <f>+I26-H26</f>
        <v>-73696</v>
      </c>
      <c r="J22" s="7">
        <f>+J26-I26</f>
        <v>-141376</v>
      </c>
      <c r="K22" s="337">
        <f>+K26-J26</f>
        <v>-202476</v>
      </c>
    </row>
    <row r="23" spans="1:11" ht="15" customHeight="1" x14ac:dyDescent="0.35">
      <c r="A23" s="14"/>
      <c r="B23" t="s">
        <v>5</v>
      </c>
      <c r="E23" s="329">
        <f t="shared" ref="E23:K23" si="11">+E21+E22</f>
        <v>451700</v>
      </c>
      <c r="F23" s="329">
        <f t="shared" si="11"/>
        <v>387272.22539999994</v>
      </c>
      <c r="G23" s="329">
        <f t="shared" si="11"/>
        <v>386000.99941599998</v>
      </c>
      <c r="H23" s="329">
        <f t="shared" si="11"/>
        <v>383885.3837705598</v>
      </c>
      <c r="I23" s="329">
        <f t="shared" si="11"/>
        <v>365765.25957752962</v>
      </c>
      <c r="J23" s="5">
        <f t="shared" si="11"/>
        <v>348128.46103774314</v>
      </c>
      <c r="K23" s="330">
        <f t="shared" si="11"/>
        <v>265104.86325906415</v>
      </c>
    </row>
    <row r="24" spans="1:11" ht="15" customHeight="1" x14ac:dyDescent="0.35">
      <c r="A24" s="14"/>
      <c r="E24" s="329"/>
      <c r="F24" s="329"/>
      <c r="G24" s="329"/>
      <c r="H24" s="329"/>
      <c r="I24" s="329"/>
      <c r="J24" s="5"/>
      <c r="K24" s="330"/>
    </row>
    <row r="25" spans="1:11" ht="15" customHeight="1" x14ac:dyDescent="0.35">
      <c r="A25" s="14"/>
      <c r="B25" s="344" t="s">
        <v>1</v>
      </c>
      <c r="C25" s="344"/>
      <c r="D25" s="344"/>
      <c r="E25" s="316">
        <f t="shared" ref="E25:K25" si="12">+E12+E17</f>
        <v>616600</v>
      </c>
      <c r="F25" s="316">
        <f t="shared" si="12"/>
        <v>709092.79999999993</v>
      </c>
      <c r="G25" s="316">
        <f t="shared" si="12"/>
        <v>737456.51199999987</v>
      </c>
      <c r="H25" s="316">
        <f t="shared" si="12"/>
        <v>763267.48991999961</v>
      </c>
      <c r="I25" s="316">
        <f t="shared" si="12"/>
        <v>789981.85206720012</v>
      </c>
      <c r="J25" s="345">
        <f t="shared" si="12"/>
        <v>817631.21688955207</v>
      </c>
      <c r="K25" s="346">
        <f t="shared" si="12"/>
        <v>846248.30948068632</v>
      </c>
    </row>
    <row r="26" spans="1:11" ht="12" customHeight="1" x14ac:dyDescent="0.35">
      <c r="A26" s="14"/>
      <c r="B26" s="347" t="s">
        <v>80</v>
      </c>
      <c r="C26" s="347"/>
      <c r="D26" s="347"/>
      <c r="E26" s="348">
        <f>+E47</f>
        <v>2030000</v>
      </c>
      <c r="F26" s="348">
        <f>+'[2]Method #7a'!F42</f>
        <v>1410000</v>
      </c>
      <c r="G26" s="348">
        <f>+'[2]Method #7a'!G42</f>
        <v>1391200</v>
      </c>
      <c r="H26" s="348">
        <f>+'[2]Method #7a'!H42</f>
        <v>1353600</v>
      </c>
      <c r="I26" s="348">
        <f>+'[2]Method #7a'!I42</f>
        <v>1279904</v>
      </c>
      <c r="J26" s="349">
        <f>+'[2]Method #7a'!J42</f>
        <v>1138528</v>
      </c>
      <c r="K26" s="350">
        <f>+'[2]Method #7a'!K42</f>
        <v>936052</v>
      </c>
    </row>
    <row r="27" spans="1:11" ht="7.5" customHeight="1" x14ac:dyDescent="0.35">
      <c r="A27" s="14"/>
      <c r="J27" s="9"/>
    </row>
    <row r="28" spans="1:11" ht="15" thickBot="1" x14ac:dyDescent="0.4">
      <c r="A28" s="14"/>
      <c r="B28" s="45" t="s">
        <v>36</v>
      </c>
      <c r="C28" s="46" t="s">
        <v>31</v>
      </c>
      <c r="E28" s="47" t="s">
        <v>37</v>
      </c>
      <c r="J28" s="9"/>
    </row>
    <row r="29" spans="1:11" x14ac:dyDescent="0.35">
      <c r="A29" s="14"/>
      <c r="B29" t="s">
        <v>38</v>
      </c>
      <c r="C29" s="38">
        <f>+'[2]Method #4'!D17</f>
        <v>5.2978102494243418</v>
      </c>
      <c r="E29" s="48"/>
      <c r="F29" s="26" t="s">
        <v>39</v>
      </c>
      <c r="J29" s="11">
        <f>+$C$29*J25</f>
        <v>4331655.0410867659</v>
      </c>
    </row>
    <row r="30" spans="1:11" x14ac:dyDescent="0.35">
      <c r="A30" s="14"/>
      <c r="B30" t="s">
        <v>40</v>
      </c>
      <c r="C30" s="49">
        <f>+'Method 5 LBO-A'!H17</f>
        <v>0.17277523797508265</v>
      </c>
      <c r="E30" s="50">
        <f>+K9</f>
        <v>3.5000000000000003E-2</v>
      </c>
      <c r="F30" s="26" t="s">
        <v>367</v>
      </c>
      <c r="J30" s="5">
        <f>+(K21-K13)/(C30-E30)</f>
        <v>3909318.3301666589</v>
      </c>
    </row>
    <row r="31" spans="1:11" x14ac:dyDescent="0.35">
      <c r="A31" s="14"/>
      <c r="B31" t="s">
        <v>28</v>
      </c>
      <c r="E31" s="51"/>
      <c r="J31" s="351">
        <f>+(J29+J30)/2</f>
        <v>4120486.6856267126</v>
      </c>
    </row>
    <row r="32" spans="1:11" x14ac:dyDescent="0.35">
      <c r="A32" s="14"/>
      <c r="B32" t="s">
        <v>41</v>
      </c>
      <c r="E32" s="13"/>
      <c r="J32" s="11">
        <f>-J26</f>
        <v>-1138528</v>
      </c>
    </row>
    <row r="33" spans="1:10" x14ac:dyDescent="0.35">
      <c r="A33" s="14"/>
      <c r="B33" t="s">
        <v>42</v>
      </c>
      <c r="E33" s="13"/>
      <c r="J33" s="12">
        <v>0</v>
      </c>
    </row>
    <row r="34" spans="1:10" x14ac:dyDescent="0.35">
      <c r="A34" s="14"/>
      <c r="B34" t="s">
        <v>43</v>
      </c>
      <c r="J34" s="11">
        <f>+J32+J31</f>
        <v>2981958.6856267126</v>
      </c>
    </row>
    <row r="35" spans="1:10" ht="15" thickBot="1" x14ac:dyDescent="0.4">
      <c r="A35" s="14"/>
      <c r="J35" s="11"/>
    </row>
    <row r="36" spans="1:10" ht="15" thickBot="1" x14ac:dyDescent="0.4">
      <c r="A36" s="14"/>
      <c r="B36" t="s">
        <v>92</v>
      </c>
      <c r="C36" s="81">
        <v>0.35</v>
      </c>
      <c r="J36" s="9"/>
    </row>
    <row r="37" spans="1:10" ht="15" thickBot="1" x14ac:dyDescent="0.4">
      <c r="A37" s="14"/>
      <c r="B37" s="52" t="s">
        <v>5</v>
      </c>
      <c r="C37" s="53">
        <f>+'[2]Method #7a'!D23</f>
        <v>0.31850000000000006</v>
      </c>
      <c r="D37" s="419" t="s">
        <v>334</v>
      </c>
      <c r="E37" s="37"/>
      <c r="F37" s="37">
        <f>+F23</f>
        <v>387272.22539999994</v>
      </c>
      <c r="G37" s="37">
        <f>+G23</f>
        <v>386000.99941599998</v>
      </c>
      <c r="H37" s="37">
        <f>+H23</f>
        <v>383885.3837705598</v>
      </c>
      <c r="I37" s="37">
        <f>+I23</f>
        <v>365765.25957752962</v>
      </c>
      <c r="J37" s="317">
        <f>+J23+J34</f>
        <v>3330087.1466644555</v>
      </c>
    </row>
    <row r="38" spans="1:10" ht="15" thickTop="1" x14ac:dyDescent="0.35">
      <c r="A38" s="14"/>
      <c r="B38">
        <f>+F5</f>
        <v>1</v>
      </c>
      <c r="C38" s="286" t="s">
        <v>335</v>
      </c>
      <c r="D38" s="353">
        <f>1/((1+$C$36)^B38)</f>
        <v>0.7407407407407407</v>
      </c>
      <c r="E38" s="54">
        <f>+D38*F37</f>
        <v>286868.31511111103</v>
      </c>
      <c r="F38" s="321"/>
    </row>
    <row r="39" spans="1:10" x14ac:dyDescent="0.35">
      <c r="A39" s="14"/>
      <c r="B39">
        <v>2</v>
      </c>
      <c r="C39" s="286" t="s">
        <v>336</v>
      </c>
      <c r="D39" s="353">
        <f t="shared" ref="D39:D42" si="13">1/((1+$C$36)^B39)</f>
        <v>0.5486968449931412</v>
      </c>
      <c r="E39" s="54">
        <f>+D39*G37</f>
        <v>211797.53054375853</v>
      </c>
    </row>
    <row r="40" spans="1:10" x14ac:dyDescent="0.35">
      <c r="A40" s="14"/>
      <c r="B40">
        <v>3</v>
      </c>
      <c r="C40" s="286" t="s">
        <v>337</v>
      </c>
      <c r="D40" s="353">
        <f t="shared" si="13"/>
        <v>0.40644210740232684</v>
      </c>
      <c r="E40" s="54">
        <f>+D40*H37</f>
        <v>156027.18438065733</v>
      </c>
    </row>
    <row r="41" spans="1:10" x14ac:dyDescent="0.35">
      <c r="A41" s="14"/>
      <c r="B41">
        <v>4</v>
      </c>
      <c r="C41" s="286" t="s">
        <v>338</v>
      </c>
      <c r="D41" s="353">
        <f t="shared" si="13"/>
        <v>0.30106822770542724</v>
      </c>
      <c r="E41" s="54">
        <f>+D41*I37</f>
        <v>110120.29845722239</v>
      </c>
    </row>
    <row r="42" spans="1:10" x14ac:dyDescent="0.35">
      <c r="A42" s="14"/>
      <c r="B42">
        <v>5</v>
      </c>
      <c r="C42" s="286" t="s">
        <v>339</v>
      </c>
      <c r="D42" s="353">
        <f t="shared" si="13"/>
        <v>0.22301350200402015</v>
      </c>
      <c r="E42" s="54">
        <f>+D42*J37</f>
        <v>742654.39655621524</v>
      </c>
    </row>
    <row r="43" spans="1:10" ht="15" thickBot="1" x14ac:dyDescent="0.4">
      <c r="A43" s="14"/>
      <c r="C43" s="286" t="s">
        <v>340</v>
      </c>
      <c r="D43" s="314"/>
      <c r="E43" s="354">
        <f>SUM(E38:E42)</f>
        <v>1507467.7250489646</v>
      </c>
      <c r="F43" s="26"/>
    </row>
    <row r="44" spans="1:10" ht="15" thickTop="1" x14ac:dyDescent="0.35">
      <c r="A44" s="14"/>
      <c r="C44" s="286"/>
      <c r="E44" s="54"/>
      <c r="F44" s="26"/>
    </row>
    <row r="45" spans="1:10" x14ac:dyDescent="0.35">
      <c r="A45" s="14"/>
      <c r="C45" s="364" t="s">
        <v>344</v>
      </c>
      <c r="E45" s="365" t="s">
        <v>345</v>
      </c>
      <c r="F45" s="20"/>
    </row>
    <row r="46" spans="1:10" x14ac:dyDescent="0.35">
      <c r="A46" s="14"/>
      <c r="C46" s="10" t="s">
        <v>347</v>
      </c>
      <c r="E46" s="54">
        <f>+E43</f>
        <v>1507467.7250489646</v>
      </c>
    </row>
    <row r="47" spans="1:10" x14ac:dyDescent="0.35">
      <c r="A47" s="14"/>
      <c r="C47" s="372" t="s">
        <v>349</v>
      </c>
      <c r="E47" s="55">
        <f>+'[2]Method #1'!G10</f>
        <v>2030000</v>
      </c>
    </row>
    <row r="48" spans="1:10" ht="15" thickBot="1" x14ac:dyDescent="0.4">
      <c r="A48" s="14"/>
      <c r="C48" s="372" t="s">
        <v>351</v>
      </c>
      <c r="E48" s="55">
        <f>-'[2]Method #1'!H10</f>
        <v>-47300</v>
      </c>
    </row>
    <row r="49" spans="1:12" ht="12.65" customHeight="1" thickBot="1" x14ac:dyDescent="0.4">
      <c r="A49" s="14"/>
      <c r="B49" s="376" t="s">
        <v>352</v>
      </c>
      <c r="C49" s="377"/>
      <c r="D49" s="377"/>
      <c r="E49" s="378">
        <f>+E47+E46+E48</f>
        <v>3490167.7250489648</v>
      </c>
    </row>
    <row r="50" spans="1:12" ht="15" thickBot="1" x14ac:dyDescent="0.4">
      <c r="A50" s="14"/>
    </row>
    <row r="51" spans="1:12" ht="15" thickBot="1" x14ac:dyDescent="0.4">
      <c r="A51" s="14"/>
      <c r="E51" s="318">
        <f>+E46/'Method 3 Comp Val'!C20</f>
        <v>4.7774219593362632</v>
      </c>
    </row>
    <row r="52" spans="1:12" x14ac:dyDescent="0.35">
      <c r="A52" s="14"/>
    </row>
    <row r="54" spans="1:12" x14ac:dyDescent="0.35">
      <c r="L54" s="1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D5DE6-B61A-4759-B03F-89BD3668CE4A}">
  <dimension ref="B1:K46"/>
  <sheetViews>
    <sheetView showGridLines="0" tabSelected="1" zoomScale="117" workbookViewId="0">
      <selection activeCell="H43" sqref="H43"/>
    </sheetView>
  </sheetViews>
  <sheetFormatPr defaultRowHeight="14.5" x14ac:dyDescent="0.35"/>
  <cols>
    <col min="1" max="1" width="3.26953125" customWidth="1"/>
    <col min="2" max="2" width="29.54296875" customWidth="1"/>
    <col min="3" max="3" width="14" customWidth="1"/>
    <col min="4" max="4" width="10.81640625" customWidth="1"/>
    <col min="5" max="5" width="3.36328125" customWidth="1"/>
    <col min="6" max="6" width="11.90625" customWidth="1"/>
    <col min="7" max="7" width="9.90625" customWidth="1"/>
    <col min="8" max="11" width="11.36328125" customWidth="1"/>
    <col min="12" max="12" width="2.08984375" customWidth="1"/>
  </cols>
  <sheetData>
    <row r="1" spans="2:11" ht="21" x14ac:dyDescent="0.5">
      <c r="B1" s="182" t="s">
        <v>322</v>
      </c>
    </row>
    <row r="2" spans="2:11" ht="15.5" x14ac:dyDescent="0.35">
      <c r="B2" s="221" t="s">
        <v>138</v>
      </c>
    </row>
    <row r="3" spans="2:11" ht="9.75" customHeight="1" x14ac:dyDescent="0.35"/>
    <row r="4" spans="2:11" x14ac:dyDescent="0.35">
      <c r="B4" s="183" t="s">
        <v>139</v>
      </c>
      <c r="C4" s="183" t="s">
        <v>323</v>
      </c>
      <c r="D4" s="183"/>
      <c r="E4" s="8"/>
      <c r="F4" s="183" t="s">
        <v>140</v>
      </c>
      <c r="G4" s="183" t="s">
        <v>324</v>
      </c>
      <c r="H4" s="184"/>
      <c r="J4" s="183" t="s">
        <v>236</v>
      </c>
      <c r="K4" s="183"/>
    </row>
    <row r="5" spans="2:11" x14ac:dyDescent="0.35">
      <c r="B5" t="s">
        <v>141</v>
      </c>
      <c r="C5" s="191">
        <v>11821.839</v>
      </c>
      <c r="D5" t="s">
        <v>142</v>
      </c>
      <c r="F5" t="s">
        <v>141</v>
      </c>
      <c r="G5" s="191">
        <f>+Historical!G5</f>
        <v>6818.2</v>
      </c>
      <c r="H5" t="s">
        <v>142</v>
      </c>
    </row>
    <row r="6" spans="2:11" x14ac:dyDescent="0.35">
      <c r="B6" t="s">
        <v>2</v>
      </c>
      <c r="C6" s="288">
        <v>1722.4090000000001</v>
      </c>
      <c r="D6" s="4"/>
      <c r="E6" s="4"/>
      <c r="F6" s="4" t="s">
        <v>2</v>
      </c>
      <c r="G6" s="288">
        <f>+Historical!G12</f>
        <v>364.4</v>
      </c>
      <c r="J6" t="s">
        <v>2</v>
      </c>
      <c r="K6" s="185">
        <v>125</v>
      </c>
    </row>
    <row r="7" spans="2:11" x14ac:dyDescent="0.35">
      <c r="B7" t="s">
        <v>143</v>
      </c>
      <c r="C7" s="288">
        <v>126.62</v>
      </c>
      <c r="D7" s="4"/>
      <c r="E7" s="4"/>
      <c r="F7" s="4"/>
      <c r="G7" s="4"/>
      <c r="K7" s="185"/>
    </row>
    <row r="8" spans="2:11" x14ac:dyDescent="0.35">
      <c r="B8" t="s">
        <v>144</v>
      </c>
      <c r="C8" s="75">
        <v>224.1</v>
      </c>
      <c r="D8" s="4" t="s">
        <v>142</v>
      </c>
      <c r="E8" s="4"/>
      <c r="F8" s="4"/>
      <c r="G8" s="4"/>
      <c r="K8" s="185"/>
    </row>
    <row r="10" spans="2:11" x14ac:dyDescent="0.35">
      <c r="B10" s="183" t="s">
        <v>145</v>
      </c>
      <c r="C10" s="183"/>
      <c r="D10" s="183"/>
      <c r="E10" s="183"/>
      <c r="F10" s="183"/>
      <c r="G10" s="183"/>
      <c r="H10" s="183"/>
      <c r="I10" s="183"/>
      <c r="J10" s="183"/>
      <c r="K10" s="183"/>
    </row>
    <row r="11" spans="2:11" x14ac:dyDescent="0.35">
      <c r="B11" s="186" t="s">
        <v>146</v>
      </c>
      <c r="C11" s="186" t="s">
        <v>375</v>
      </c>
      <c r="D11" s="187" t="s">
        <v>147</v>
      </c>
      <c r="E11" s="8"/>
      <c r="F11" s="186" t="s">
        <v>148</v>
      </c>
      <c r="G11" s="186"/>
      <c r="H11" s="186"/>
      <c r="I11" s="186"/>
      <c r="J11" s="187"/>
      <c r="K11" s="187"/>
    </row>
    <row r="12" spans="2:11" x14ac:dyDescent="0.35">
      <c r="B12" t="s">
        <v>146</v>
      </c>
      <c r="C12" s="427">
        <v>4</v>
      </c>
      <c r="D12" s="4">
        <f>C12*'Method 2 DCF Val'!E15/1000</f>
        <v>1262.1600000000001</v>
      </c>
      <c r="F12" t="s">
        <v>149</v>
      </c>
      <c r="J12">
        <v>30</v>
      </c>
      <c r="K12" t="s">
        <v>142</v>
      </c>
    </row>
    <row r="13" spans="2:11" x14ac:dyDescent="0.35">
      <c r="B13" t="s">
        <v>150</v>
      </c>
      <c r="D13" s="188">
        <v>0.5</v>
      </c>
      <c r="F13" t="s">
        <v>151</v>
      </c>
      <c r="J13" s="185">
        <v>600</v>
      </c>
      <c r="K13" t="s">
        <v>142</v>
      </c>
    </row>
    <row r="14" spans="2:11" x14ac:dyDescent="0.35">
      <c r="B14" t="s">
        <v>152</v>
      </c>
      <c r="D14" s="188">
        <v>0.5</v>
      </c>
      <c r="F14" t="s">
        <v>153</v>
      </c>
      <c r="J14" s="50">
        <v>0.05</v>
      </c>
      <c r="K14" s="26" t="s">
        <v>237</v>
      </c>
    </row>
    <row r="15" spans="2:11" x14ac:dyDescent="0.35">
      <c r="B15" t="s">
        <v>154</v>
      </c>
      <c r="D15" s="48">
        <f>+D12/G6</f>
        <v>3.463666300768387</v>
      </c>
      <c r="F15" t="s">
        <v>376</v>
      </c>
      <c r="J15" s="428">
        <f>+J14*J13</f>
        <v>30</v>
      </c>
      <c r="K15" t="s">
        <v>142</v>
      </c>
    </row>
    <row r="17" spans="2:11" x14ac:dyDescent="0.35">
      <c r="D17" s="184" t="s">
        <v>238</v>
      </c>
      <c r="F17" s="183" t="s">
        <v>30</v>
      </c>
      <c r="H17" s="189" t="s">
        <v>155</v>
      </c>
      <c r="I17" s="189"/>
      <c r="J17" s="189"/>
      <c r="K17" s="189"/>
    </row>
    <row r="18" spans="2:11" x14ac:dyDescent="0.35">
      <c r="B18" t="s">
        <v>2</v>
      </c>
      <c r="D18" s="190" t="s">
        <v>37</v>
      </c>
      <c r="F18" s="190" t="s">
        <v>156</v>
      </c>
      <c r="H18" s="190" t="s">
        <v>157</v>
      </c>
      <c r="I18" s="190" t="s">
        <v>158</v>
      </c>
      <c r="J18" s="190" t="s">
        <v>159</v>
      </c>
      <c r="K18" s="190" t="s">
        <v>160</v>
      </c>
    </row>
    <row r="19" spans="2:11" x14ac:dyDescent="0.35">
      <c r="B19" t="str">
        <f>+C4</f>
        <v>Dynamic Steel</v>
      </c>
      <c r="D19" s="33">
        <v>0.05</v>
      </c>
      <c r="F19" s="191">
        <f>+C6</f>
        <v>1722.4090000000001</v>
      </c>
      <c r="H19" s="191">
        <f>+F19*(1+$D$19)</f>
        <v>1808.5294500000002</v>
      </c>
      <c r="I19" s="191">
        <f>+H19*(1+$D$19)</f>
        <v>1898.9559225000003</v>
      </c>
      <c r="J19" s="191">
        <f t="shared" ref="J19:K19" si="0">+I19*(1+$D$19)</f>
        <v>1993.9037186250005</v>
      </c>
      <c r="K19" s="191">
        <f t="shared" si="0"/>
        <v>2093.5989045562505</v>
      </c>
    </row>
    <row r="20" spans="2:11" x14ac:dyDescent="0.35">
      <c r="B20" t="str">
        <f>+G4</f>
        <v>Proud Steel</v>
      </c>
      <c r="D20" s="33">
        <v>0.05</v>
      </c>
      <c r="F20" s="288">
        <f>+G6</f>
        <v>364.4</v>
      </c>
      <c r="G20" s="289"/>
      <c r="H20" s="288">
        <f>+F20*(1+$D$20)</f>
        <v>382.62</v>
      </c>
      <c r="I20" s="288">
        <f>+H20*(1+$D$20)</f>
        <v>401.75100000000003</v>
      </c>
      <c r="J20" s="288">
        <f t="shared" ref="J20:K20" si="1">+I20*(1+$D$20)</f>
        <v>421.83855000000005</v>
      </c>
      <c r="K20" s="288">
        <f t="shared" si="1"/>
        <v>442.93047750000005</v>
      </c>
    </row>
    <row r="21" spans="2:11" x14ac:dyDescent="0.35">
      <c r="B21" t="str">
        <f>+J4</f>
        <v>Combined Synergies</v>
      </c>
      <c r="F21" s="288"/>
      <c r="G21" s="289"/>
      <c r="H21" s="288">
        <f>+K6</f>
        <v>125</v>
      </c>
      <c r="I21" s="288">
        <f>+H21</f>
        <v>125</v>
      </c>
      <c r="J21" s="288">
        <f>+I21</f>
        <v>125</v>
      </c>
      <c r="K21" s="288">
        <f>+J21</f>
        <v>125</v>
      </c>
    </row>
    <row r="22" spans="2:11" x14ac:dyDescent="0.35">
      <c r="B22" t="s">
        <v>161</v>
      </c>
      <c r="F22" s="290">
        <f>SUM(F19:F21)</f>
        <v>2086.8090000000002</v>
      </c>
      <c r="G22" s="289"/>
      <c r="H22" s="290">
        <f t="shared" ref="H22:K22" si="2">SUM(H19:H21)</f>
        <v>2316.1494500000003</v>
      </c>
      <c r="I22" s="290">
        <f t="shared" si="2"/>
        <v>2425.7069225000005</v>
      </c>
      <c r="J22" s="290">
        <f t="shared" si="2"/>
        <v>2540.7422686250006</v>
      </c>
      <c r="K22" s="290">
        <f t="shared" si="2"/>
        <v>2661.5293820562506</v>
      </c>
    </row>
    <row r="23" spans="2:11" x14ac:dyDescent="0.35">
      <c r="F23" s="4"/>
      <c r="H23" s="75"/>
      <c r="I23" s="75"/>
      <c r="J23" s="75"/>
      <c r="K23" s="75"/>
    </row>
    <row r="24" spans="2:11" x14ac:dyDescent="0.35">
      <c r="B24" t="s">
        <v>162</v>
      </c>
      <c r="F24" s="75">
        <f>+C7</f>
        <v>126.62</v>
      </c>
      <c r="H24" s="75">
        <f>+$C$7</f>
        <v>126.62</v>
      </c>
      <c r="I24" s="75">
        <f t="shared" ref="I24:K24" si="3">+$C$7</f>
        <v>126.62</v>
      </c>
      <c r="J24" s="75">
        <f t="shared" si="3"/>
        <v>126.62</v>
      </c>
      <c r="K24" s="75">
        <f t="shared" si="3"/>
        <v>126.62</v>
      </c>
    </row>
    <row r="25" spans="2:11" x14ac:dyDescent="0.35">
      <c r="B25" t="s">
        <v>163</v>
      </c>
      <c r="F25" s="4"/>
      <c r="H25" s="76">
        <f>+$J$15</f>
        <v>30</v>
      </c>
      <c r="I25" s="76">
        <f t="shared" ref="I25:K25" si="4">+$J$15</f>
        <v>30</v>
      </c>
      <c r="J25" s="76">
        <f t="shared" si="4"/>
        <v>30</v>
      </c>
      <c r="K25" s="76">
        <f t="shared" si="4"/>
        <v>30</v>
      </c>
    </row>
    <row r="26" spans="2:11" x14ac:dyDescent="0.35">
      <c r="B26" t="s">
        <v>164</v>
      </c>
      <c r="H26" s="192">
        <f>SUM(H24:H25)</f>
        <v>156.62</v>
      </c>
      <c r="I26" s="192">
        <f t="shared" ref="I26:K26" si="5">SUM(I24:I25)</f>
        <v>156.62</v>
      </c>
      <c r="J26" s="192">
        <f t="shared" si="5"/>
        <v>156.62</v>
      </c>
      <c r="K26" s="192">
        <f t="shared" si="5"/>
        <v>156.62</v>
      </c>
    </row>
    <row r="27" spans="2:11" x14ac:dyDescent="0.35">
      <c r="B27" t="s">
        <v>165</v>
      </c>
      <c r="H27" s="75">
        <f>+H22-H26</f>
        <v>2159.5294500000005</v>
      </c>
      <c r="I27" s="75">
        <f t="shared" ref="I27:K27" si="6">+I22-I26</f>
        <v>2269.0869225000006</v>
      </c>
      <c r="J27" s="75">
        <f t="shared" si="6"/>
        <v>2384.1222686250007</v>
      </c>
      <c r="K27" s="75">
        <f t="shared" si="6"/>
        <v>2504.9093820562507</v>
      </c>
    </row>
    <row r="28" spans="2:11" ht="15" thickBot="1" x14ac:dyDescent="0.4">
      <c r="B28" t="s">
        <v>166</v>
      </c>
      <c r="F28" s="188">
        <v>0.22</v>
      </c>
      <c r="G28" t="s">
        <v>377</v>
      </c>
      <c r="H28" s="75">
        <f>+$F$28*H27</f>
        <v>475.0964790000001</v>
      </c>
      <c r="I28" s="75">
        <f t="shared" ref="I28:K28" si="7">+$F$28*I27</f>
        <v>499.19912295000012</v>
      </c>
      <c r="J28" s="75">
        <f t="shared" si="7"/>
        <v>524.5068990975002</v>
      </c>
      <c r="K28" s="75">
        <f t="shared" si="7"/>
        <v>551.08006405237518</v>
      </c>
    </row>
    <row r="29" spans="2:11" ht="15" thickBot="1" x14ac:dyDescent="0.4">
      <c r="B29" s="193" t="s">
        <v>167</v>
      </c>
      <c r="C29" s="194"/>
      <c r="D29" s="194"/>
      <c r="E29" s="194"/>
      <c r="F29" s="194"/>
      <c r="G29" s="194"/>
      <c r="H29" s="195">
        <f>+H27-H28</f>
        <v>1684.4329710000004</v>
      </c>
      <c r="I29" s="195">
        <f t="shared" ref="I29:K29" si="8">+I27-I28</f>
        <v>1769.8877995500004</v>
      </c>
      <c r="J29" s="195">
        <f t="shared" si="8"/>
        <v>1859.6153695275007</v>
      </c>
      <c r="K29" s="196">
        <f t="shared" si="8"/>
        <v>1953.8293180038754</v>
      </c>
    </row>
    <row r="30" spans="2:11" ht="15" thickBot="1" x14ac:dyDescent="0.4">
      <c r="H30" s="75"/>
      <c r="I30" s="75"/>
      <c r="J30" s="75"/>
      <c r="K30" s="75"/>
    </row>
    <row r="31" spans="2:11" ht="15" thickBot="1" x14ac:dyDescent="0.4">
      <c r="B31" s="193" t="s">
        <v>168</v>
      </c>
      <c r="C31" s="194"/>
      <c r="D31" s="194"/>
      <c r="E31" s="194"/>
      <c r="F31" s="194"/>
      <c r="G31" s="194"/>
      <c r="H31" s="195">
        <f>+(H19-H24)*(1-$F$28)</f>
        <v>1311.8893710000002</v>
      </c>
      <c r="I31" s="195">
        <f t="shared" ref="I31:K31" si="9">+(I19-I24)*(1-$F$28)</f>
        <v>1382.4220195500004</v>
      </c>
      <c r="J31" s="195">
        <f t="shared" si="9"/>
        <v>1456.4813005275003</v>
      </c>
      <c r="K31" s="196">
        <f t="shared" si="9"/>
        <v>1534.2435455538755</v>
      </c>
    </row>
    <row r="33" spans="2:11" x14ac:dyDescent="0.35">
      <c r="B33" t="s">
        <v>169</v>
      </c>
      <c r="H33" s="4">
        <f>+$C$8</f>
        <v>224.1</v>
      </c>
      <c r="I33" s="4">
        <f t="shared" ref="I33:K33" si="10">+$C$8</f>
        <v>224.1</v>
      </c>
      <c r="J33" s="4">
        <f t="shared" si="10"/>
        <v>224.1</v>
      </c>
      <c r="K33" s="4">
        <f t="shared" si="10"/>
        <v>224.1</v>
      </c>
    </row>
    <row r="34" spans="2:11" x14ac:dyDescent="0.35">
      <c r="B34" t="s">
        <v>170</v>
      </c>
      <c r="H34" s="4">
        <f>+$J$12</f>
        <v>30</v>
      </c>
      <c r="I34" s="4">
        <f t="shared" ref="I34:K34" si="11">+$J$12</f>
        <v>30</v>
      </c>
      <c r="J34" s="4">
        <f t="shared" si="11"/>
        <v>30</v>
      </c>
      <c r="K34" s="4">
        <f t="shared" si="11"/>
        <v>30</v>
      </c>
    </row>
    <row r="35" spans="2:11" x14ac:dyDescent="0.35">
      <c r="B35" t="s">
        <v>171</v>
      </c>
      <c r="H35" s="197">
        <f>SUM(H33:H34)</f>
        <v>254.1</v>
      </c>
      <c r="I35" s="197">
        <f t="shared" ref="I35:K35" si="12">SUM(I33:I34)</f>
        <v>254.1</v>
      </c>
      <c r="J35" s="197">
        <f t="shared" si="12"/>
        <v>254.1</v>
      </c>
      <c r="K35" s="197">
        <f t="shared" si="12"/>
        <v>254.1</v>
      </c>
    </row>
    <row r="36" spans="2:11" ht="15" thickBot="1" x14ac:dyDescent="0.4"/>
    <row r="37" spans="2:11" x14ac:dyDescent="0.35">
      <c r="B37" s="198" t="s">
        <v>240</v>
      </c>
      <c r="C37" s="199"/>
      <c r="D37" s="199"/>
      <c r="E37" s="199"/>
      <c r="F37" s="199"/>
      <c r="G37" s="199"/>
      <c r="H37" s="200">
        <f>+H29/H35</f>
        <v>6.6290160212514779</v>
      </c>
      <c r="I37" s="200">
        <f t="shared" ref="I37:K37" si="13">+I29/I35</f>
        <v>6.9653199510035435</v>
      </c>
      <c r="J37" s="200">
        <f t="shared" si="13"/>
        <v>7.3184390772432142</v>
      </c>
      <c r="K37" s="201">
        <f t="shared" si="13"/>
        <v>7.689214159794866</v>
      </c>
    </row>
    <row r="38" spans="2:11" ht="15" thickBot="1" x14ac:dyDescent="0.4">
      <c r="B38" s="202" t="s">
        <v>241</v>
      </c>
      <c r="C38" s="203"/>
      <c r="D38" s="203"/>
      <c r="E38" s="203"/>
      <c r="F38" s="203"/>
      <c r="G38" s="203"/>
      <c r="H38" s="204">
        <f>+H31/H33</f>
        <v>5.8540355689424377</v>
      </c>
      <c r="I38" s="204">
        <f t="shared" ref="I38:K38" si="14">+I31/I33</f>
        <v>6.1687729564926395</v>
      </c>
      <c r="J38" s="204">
        <f t="shared" si="14"/>
        <v>6.4992472134203494</v>
      </c>
      <c r="K38" s="205">
        <f t="shared" si="14"/>
        <v>6.8462451831944469</v>
      </c>
    </row>
    <row r="39" spans="2:11" ht="15" thickBot="1" x14ac:dyDescent="0.4"/>
    <row r="40" spans="2:11" x14ac:dyDescent="0.35">
      <c r="B40" s="206" t="s">
        <v>239</v>
      </c>
      <c r="C40" s="207"/>
      <c r="D40" s="207"/>
      <c r="E40" s="207"/>
      <c r="F40" s="207"/>
      <c r="G40" s="207"/>
      <c r="H40" s="208">
        <f>+H37-H38</f>
        <v>0.77498045230904022</v>
      </c>
      <c r="I40" s="209">
        <f t="shared" ref="I40:K40" si="15">+I37-I38</f>
        <v>0.79654699451090405</v>
      </c>
      <c r="J40" s="209">
        <f t="shared" si="15"/>
        <v>0.8191918638228648</v>
      </c>
      <c r="K40" s="210">
        <f t="shared" si="15"/>
        <v>0.84296897660041914</v>
      </c>
    </row>
    <row r="41" spans="2:11" x14ac:dyDescent="0.35">
      <c r="B41" s="211" t="s">
        <v>242</v>
      </c>
      <c r="C41" s="212"/>
      <c r="D41" s="212"/>
      <c r="E41" s="212"/>
      <c r="F41" s="212"/>
      <c r="G41" s="212"/>
      <c r="H41" s="213">
        <f>+H37/H38-1</f>
        <v>0.13238396712527045</v>
      </c>
      <c r="I41" s="213">
        <f t="shared" ref="I41:K41" si="16">+I37/I38-1</f>
        <v>0.12912567866070312</v>
      </c>
      <c r="J41" s="213">
        <f t="shared" si="16"/>
        <v>0.12604411509863933</v>
      </c>
      <c r="K41" s="214">
        <f t="shared" si="16"/>
        <v>0.12312865724845268</v>
      </c>
    </row>
    <row r="42" spans="2:11" x14ac:dyDescent="0.35">
      <c r="B42" s="211" t="s">
        <v>172</v>
      </c>
      <c r="C42" s="212"/>
      <c r="D42" s="212"/>
      <c r="E42" s="212"/>
      <c r="F42" s="212"/>
      <c r="G42" s="212"/>
      <c r="H42" s="215" t="str">
        <f>IF(H41&gt;0,"Accretive","Dillutive")</f>
        <v>Accretive</v>
      </c>
      <c r="I42" s="215" t="str">
        <f t="shared" ref="I42:K42" si="17">IF(I41&gt;0,"Accretive","Dillutive")</f>
        <v>Accretive</v>
      </c>
      <c r="J42" s="215" t="str">
        <f t="shared" si="17"/>
        <v>Accretive</v>
      </c>
      <c r="K42" s="216" t="str">
        <f t="shared" si="17"/>
        <v>Accretive</v>
      </c>
    </row>
    <row r="43" spans="2:11" ht="15" thickBot="1" x14ac:dyDescent="0.4">
      <c r="B43" s="217" t="s">
        <v>243</v>
      </c>
      <c r="C43" s="218"/>
      <c r="D43" s="218"/>
      <c r="E43" s="218"/>
      <c r="F43" s="218"/>
      <c r="G43" s="218"/>
      <c r="H43" s="219">
        <f>-(H40*H35)/(1-$F$28)</f>
        <v>-252.46478580990654</v>
      </c>
      <c r="I43" s="219">
        <f t="shared" ref="I43:K43" si="18">-(I40*I35)/(1-$F$28)</f>
        <v>-259.49050167335986</v>
      </c>
      <c r="J43" s="219">
        <f t="shared" si="18"/>
        <v>-266.86750332998713</v>
      </c>
      <c r="K43" s="220">
        <f t="shared" si="18"/>
        <v>-274.61335506944425</v>
      </c>
    </row>
    <row r="46" spans="2:11" x14ac:dyDescent="0.35">
      <c r="K46" s="10" t="s">
        <v>308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3BA6F-5C85-45B1-8B5D-FE51B2C8FA1D}">
  <dimension ref="A1:L23"/>
  <sheetViews>
    <sheetView showGridLines="0" workbookViewId="0">
      <selection activeCell="D6" sqref="D6"/>
    </sheetView>
  </sheetViews>
  <sheetFormatPr defaultRowHeight="14.5" x14ac:dyDescent="0.35"/>
  <cols>
    <col min="1" max="1" width="3.54296875" customWidth="1"/>
    <col min="2" max="2" width="33.7265625" customWidth="1"/>
    <col min="3" max="3" width="9.26953125" customWidth="1"/>
    <col min="4" max="4" width="8.90625" customWidth="1"/>
    <col min="5" max="6" width="9.36328125" customWidth="1"/>
    <col min="7" max="7" width="9.36328125" style="14" customWidth="1"/>
    <col min="8" max="8" width="9.36328125" customWidth="1"/>
    <col min="9" max="10" width="9.36328125" style="14" customWidth="1"/>
    <col min="11" max="11" width="10.26953125" style="14" customWidth="1"/>
    <col min="12" max="12" width="11.54296875" customWidth="1"/>
    <col min="13" max="13" width="11.08984375" customWidth="1"/>
  </cols>
  <sheetData>
    <row r="1" spans="1:12" ht="18.5" x14ac:dyDescent="0.45">
      <c r="A1" s="14"/>
      <c r="B1" s="85" t="str">
        <f>+'Method 5 LBO_B'!B1</f>
        <v>Proud Steel Holding Corp. (PRST)</v>
      </c>
      <c r="C1" s="16"/>
    </row>
    <row r="2" spans="1:12" ht="8.4" customHeight="1" x14ac:dyDescent="0.35"/>
    <row r="3" spans="1:12" ht="15.5" x14ac:dyDescent="0.35">
      <c r="A3" s="14"/>
      <c r="B3" s="34" t="s">
        <v>288</v>
      </c>
      <c r="C3" s="35"/>
      <c r="D3" s="35"/>
      <c r="E3" s="35"/>
      <c r="F3" s="35"/>
      <c r="G3" s="96"/>
      <c r="H3" s="35"/>
      <c r="I3" s="96"/>
      <c r="J3" s="96"/>
    </row>
    <row r="4" spans="1:12" s="1" customFormat="1" ht="15.5" x14ac:dyDescent="0.35">
      <c r="A4" s="57"/>
      <c r="B4" s="58"/>
      <c r="C4" s="18"/>
      <c r="D4" s="18"/>
      <c r="E4" s="18"/>
      <c r="F4" s="18"/>
      <c r="G4" s="66"/>
      <c r="H4" s="18"/>
      <c r="I4" s="66"/>
      <c r="J4" s="66"/>
      <c r="K4" s="14"/>
      <c r="L4"/>
    </row>
    <row r="5" spans="1:12" s="1" customFormat="1" ht="20.399999999999999" customHeight="1" thickBot="1" x14ac:dyDescent="0.4">
      <c r="A5" s="57"/>
      <c r="B5" s="299" t="s">
        <v>293</v>
      </c>
      <c r="C5" s="299"/>
      <c r="D5" s="300"/>
      <c r="E5" s="300"/>
      <c r="F5" s="300"/>
      <c r="G5" s="300"/>
      <c r="H5" s="300"/>
      <c r="I5" s="300"/>
      <c r="J5" s="300"/>
      <c r="K5" s="14"/>
      <c r="L5"/>
    </row>
    <row r="6" spans="1:12" s="1" customFormat="1" x14ac:dyDescent="0.35">
      <c r="A6" s="57"/>
      <c r="B6" t="s">
        <v>289</v>
      </c>
      <c r="D6" s="60">
        <f>+'Transaction Sources &amp; Uses'!G9</f>
        <v>3746.0515726191502</v>
      </c>
      <c r="E6" s="60"/>
      <c r="F6" s="60" t="s">
        <v>297</v>
      </c>
      <c r="G6" s="302"/>
      <c r="J6" s="302">
        <v>0.36</v>
      </c>
      <c r="K6" s="14"/>
      <c r="L6"/>
    </row>
    <row r="7" spans="1:12" s="1" customFormat="1" x14ac:dyDescent="0.35">
      <c r="A7" s="57"/>
      <c r="B7" t="s">
        <v>290</v>
      </c>
      <c r="D7" s="60">
        <f>+'Proforma BS'!C14</f>
        <v>1911.6</v>
      </c>
      <c r="E7" s="60"/>
      <c r="F7" s="60" t="s">
        <v>300</v>
      </c>
      <c r="G7" s="100"/>
      <c r="J7" s="304">
        <f>+J6*D10</f>
        <v>82.550320767861763</v>
      </c>
      <c r="K7" s="14"/>
      <c r="L7"/>
    </row>
    <row r="8" spans="1:12" s="1" customFormat="1" x14ac:dyDescent="0.35">
      <c r="A8" s="57"/>
      <c r="B8" t="s">
        <v>291</v>
      </c>
      <c r="D8" s="301">
        <f>+D6-D7</f>
        <v>1834.4515726191503</v>
      </c>
      <c r="E8" s="60"/>
      <c r="F8" s="60" t="s">
        <v>299</v>
      </c>
      <c r="G8" s="100"/>
      <c r="J8" s="303">
        <v>0.1</v>
      </c>
      <c r="K8" s="14"/>
      <c r="L8"/>
    </row>
    <row r="9" spans="1:12" s="1" customFormat="1" x14ac:dyDescent="0.35">
      <c r="A9" s="57"/>
      <c r="B9" t="s">
        <v>294</v>
      </c>
      <c r="D9" s="60">
        <v>8</v>
      </c>
      <c r="E9" s="60" t="s">
        <v>295</v>
      </c>
      <c r="F9" s="60"/>
      <c r="G9" s="100"/>
      <c r="H9" s="18"/>
      <c r="I9" s="66"/>
      <c r="K9" s="14"/>
      <c r="L9"/>
    </row>
    <row r="10" spans="1:12" s="1" customFormat="1" x14ac:dyDescent="0.35">
      <c r="A10" s="57"/>
      <c r="B10" t="s">
        <v>296</v>
      </c>
      <c r="C10" s="18"/>
      <c r="D10" s="27">
        <f>+D8/D9</f>
        <v>229.30644657739379</v>
      </c>
      <c r="E10" s="18"/>
      <c r="F10" s="18"/>
      <c r="G10" s="66"/>
      <c r="H10" s="18"/>
      <c r="I10" s="66"/>
      <c r="J10" s="66"/>
      <c r="K10" s="14"/>
      <c r="L10"/>
    </row>
    <row r="11" spans="1:12" s="1" customFormat="1" x14ac:dyDescent="0.35">
      <c r="A11" s="57"/>
      <c r="B11"/>
      <c r="C11" s="18"/>
      <c r="D11" s="18"/>
      <c r="E11" s="18"/>
      <c r="F11" s="18"/>
      <c r="G11" s="66"/>
      <c r="H11" s="18"/>
      <c r="I11" s="66"/>
      <c r="J11" s="66"/>
      <c r="K11" s="14"/>
      <c r="L11"/>
    </row>
    <row r="12" spans="1:12" s="1" customFormat="1" ht="15" thickBot="1" x14ac:dyDescent="0.4">
      <c r="A12" s="57"/>
      <c r="B12" s="299" t="s">
        <v>292</v>
      </c>
      <c r="C12" s="82">
        <v>1</v>
      </c>
      <c r="D12" s="92">
        <v>2</v>
      </c>
      <c r="E12" s="82">
        <v>3</v>
      </c>
      <c r="F12" s="36">
        <v>4</v>
      </c>
      <c r="G12" s="36">
        <v>5</v>
      </c>
      <c r="H12" s="36">
        <v>6</v>
      </c>
      <c r="I12" s="36">
        <v>7</v>
      </c>
      <c r="J12" s="36">
        <v>8</v>
      </c>
      <c r="K12" s="14"/>
      <c r="L12"/>
    </row>
    <row r="13" spans="1:12" s="1" customFormat="1" x14ac:dyDescent="0.35">
      <c r="A13" s="57"/>
      <c r="B13" s="1" t="s">
        <v>298</v>
      </c>
      <c r="C13" s="306">
        <f>+J7</f>
        <v>82.550320767861763</v>
      </c>
      <c r="D13" s="306">
        <f>+C13</f>
        <v>82.550320767861763</v>
      </c>
      <c r="E13" s="306">
        <f t="shared" ref="E13:J13" si="0">+D13</f>
        <v>82.550320767861763</v>
      </c>
      <c r="F13" s="306">
        <f t="shared" si="0"/>
        <v>82.550320767861763</v>
      </c>
      <c r="G13" s="306">
        <f t="shared" si="0"/>
        <v>82.550320767861763</v>
      </c>
      <c r="H13" s="306">
        <f t="shared" si="0"/>
        <v>82.550320767861763</v>
      </c>
      <c r="I13" s="306">
        <f t="shared" si="0"/>
        <v>82.550320767861763</v>
      </c>
      <c r="J13" s="306">
        <f t="shared" si="0"/>
        <v>82.550320767861763</v>
      </c>
      <c r="K13" s="57"/>
      <c r="L13" s="57"/>
    </row>
    <row r="14" spans="1:12" s="1" customFormat="1" x14ac:dyDescent="0.35">
      <c r="A14" s="57"/>
      <c r="B14" s="1" t="s">
        <v>301</v>
      </c>
      <c r="C14" s="305">
        <f>+C13/((1+$J$8)^C12)</f>
        <v>75.045746152601595</v>
      </c>
      <c r="D14" s="305">
        <f t="shared" ref="D14:J14" si="1">+D13/((1+$J$8)^D12)</f>
        <v>68.22340559327418</v>
      </c>
      <c r="E14" s="305">
        <f t="shared" si="1"/>
        <v>62.021277812067424</v>
      </c>
      <c r="F14" s="305">
        <f t="shared" si="1"/>
        <v>56.382979829152205</v>
      </c>
      <c r="G14" s="305">
        <f t="shared" si="1"/>
        <v>51.257254390138364</v>
      </c>
      <c r="H14" s="305">
        <f t="shared" si="1"/>
        <v>46.59750399103487</v>
      </c>
      <c r="I14" s="305">
        <f t="shared" si="1"/>
        <v>42.361367264577147</v>
      </c>
      <c r="J14" s="305">
        <f t="shared" si="1"/>
        <v>38.510333876888318</v>
      </c>
      <c r="L14"/>
    </row>
    <row r="15" spans="1:12" s="1" customFormat="1" x14ac:dyDescent="0.35">
      <c r="A15" s="57"/>
      <c r="C15" s="57"/>
      <c r="D15" s="57"/>
      <c r="E15" s="57"/>
      <c r="F15" s="57"/>
      <c r="G15" s="57"/>
      <c r="H15" s="57"/>
      <c r="I15" s="57"/>
      <c r="J15" s="57"/>
      <c r="L15"/>
    </row>
    <row r="16" spans="1:12" s="1" customFormat="1" x14ac:dyDescent="0.35">
      <c r="A16" s="57"/>
      <c r="B16" s="307" t="s">
        <v>302</v>
      </c>
      <c r="C16" s="308">
        <f>SUM(C14:J14)</f>
        <v>440.3998689097341</v>
      </c>
      <c r="D16" s="309" t="s">
        <v>142</v>
      </c>
      <c r="E16" s="57"/>
      <c r="F16" s="57"/>
      <c r="G16" s="57"/>
      <c r="H16" s="57"/>
      <c r="I16" s="57"/>
      <c r="J16" s="57"/>
      <c r="L16"/>
    </row>
    <row r="17" spans="1:12" s="1" customFormat="1" x14ac:dyDescent="0.35">
      <c r="A17" s="57"/>
      <c r="C17" s="57"/>
      <c r="D17" s="57"/>
      <c r="E17" s="57"/>
      <c r="F17" s="57"/>
      <c r="G17" s="57"/>
      <c r="H17" s="57"/>
      <c r="I17" s="57"/>
      <c r="J17" s="57"/>
      <c r="L17"/>
    </row>
    <row r="18" spans="1:12" s="1" customFormat="1" x14ac:dyDescent="0.35">
      <c r="B18"/>
      <c r="C18" s="18"/>
      <c r="D18" s="18"/>
      <c r="E18"/>
      <c r="G18" s="57"/>
      <c r="H18" s="57"/>
      <c r="I18" s="66"/>
      <c r="J18" s="310" t="s">
        <v>309</v>
      </c>
      <c r="L18" s="18"/>
    </row>
    <row r="19" spans="1:12" s="1" customFormat="1" x14ac:dyDescent="0.35">
      <c r="B19"/>
      <c r="C19" s="18"/>
      <c r="D19" s="18"/>
      <c r="E19"/>
      <c r="G19" s="57"/>
      <c r="I19" s="57"/>
      <c r="J19" s="57"/>
      <c r="K19" s="57"/>
    </row>
    <row r="20" spans="1:12" s="1" customFormat="1" x14ac:dyDescent="0.35">
      <c r="B20"/>
      <c r="C20" s="18"/>
      <c r="D20" s="18"/>
      <c r="E20"/>
      <c r="G20" s="57"/>
      <c r="I20" s="57"/>
      <c r="J20" s="57"/>
      <c r="K20" s="57"/>
    </row>
    <row r="21" spans="1:12" s="1" customFormat="1" x14ac:dyDescent="0.35">
      <c r="B21"/>
      <c r="C21" s="18"/>
      <c r="D21" s="18"/>
      <c r="E21"/>
      <c r="G21" s="57"/>
      <c r="I21" s="57"/>
      <c r="J21" s="57"/>
      <c r="K21" s="57"/>
    </row>
    <row r="22" spans="1:12" s="1" customFormat="1" x14ac:dyDescent="0.35">
      <c r="B22"/>
      <c r="C22" s="18"/>
      <c r="D22" s="18"/>
      <c r="E22"/>
      <c r="F22"/>
      <c r="G22" s="14"/>
      <c r="I22" s="57"/>
      <c r="J22" s="57"/>
      <c r="K22" s="57"/>
    </row>
    <row r="23" spans="1:12" s="1" customFormat="1" x14ac:dyDescent="0.35">
      <c r="B23"/>
      <c r="C23" s="18"/>
      <c r="D23" s="18"/>
      <c r="E23"/>
      <c r="F23"/>
      <c r="G23" s="14"/>
      <c r="I23" s="57"/>
      <c r="J23" s="57"/>
      <c r="K23" s="5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67B64-1C08-4FE0-A609-1154408E0B50}">
  <dimension ref="A1:L66"/>
  <sheetViews>
    <sheetView showGridLines="0" workbookViewId="0">
      <selection activeCell="K7" sqref="K7"/>
    </sheetView>
  </sheetViews>
  <sheetFormatPr defaultRowHeight="14.5" x14ac:dyDescent="0.35"/>
  <cols>
    <col min="1" max="1" width="3.54296875" customWidth="1"/>
    <col min="2" max="2" width="33.7265625" customWidth="1"/>
    <col min="3" max="3" width="10.7265625" customWidth="1"/>
    <col min="4" max="4" width="9.36328125" customWidth="1"/>
    <col min="5" max="5" width="8.7265625" customWidth="1"/>
    <col min="6" max="6" width="10.7265625" customWidth="1"/>
    <col min="7" max="7" width="10.7265625" style="14" customWidth="1"/>
    <col min="8" max="8" width="10.08984375" customWidth="1"/>
    <col min="9" max="9" width="9.7265625" style="14" customWidth="1"/>
    <col min="10" max="11" width="10.26953125" style="14" customWidth="1"/>
    <col min="12" max="12" width="11.54296875" customWidth="1"/>
    <col min="13" max="13" width="11.08984375" customWidth="1"/>
  </cols>
  <sheetData>
    <row r="1" spans="1:12" ht="18.5" x14ac:dyDescent="0.45">
      <c r="A1" s="14"/>
      <c r="B1" s="85" t="str">
        <f>+'Method 5 LBO_B'!B1</f>
        <v>Proud Steel Holding Corp. (PRST)</v>
      </c>
      <c r="C1" s="16"/>
    </row>
    <row r="3" spans="1:12" ht="15.5" x14ac:dyDescent="0.35">
      <c r="A3" s="14"/>
      <c r="B3" s="34" t="s">
        <v>121</v>
      </c>
      <c r="C3" s="35"/>
      <c r="D3" s="35"/>
      <c r="E3" s="35"/>
      <c r="F3" s="35"/>
      <c r="G3" s="96"/>
      <c r="H3" s="35"/>
      <c r="I3" s="96"/>
      <c r="J3" s="96"/>
    </row>
    <row r="4" spans="1:12" s="1" customFormat="1" ht="15.5" x14ac:dyDescent="0.35">
      <c r="A4" s="57"/>
      <c r="B4" s="58"/>
      <c r="C4" s="18"/>
      <c r="D4" s="18"/>
      <c r="E4" s="18"/>
      <c r="F4" s="18"/>
      <c r="G4" s="66"/>
      <c r="H4" s="18"/>
      <c r="I4" s="66"/>
      <c r="J4" s="66"/>
      <c r="K4" s="14"/>
      <c r="L4"/>
    </row>
    <row r="5" spans="1:12" s="1" customFormat="1" ht="71.400000000000006" customHeight="1" thickBot="1" x14ac:dyDescent="0.4">
      <c r="A5" s="57"/>
      <c r="B5" s="36" t="s">
        <v>51</v>
      </c>
      <c r="C5" s="92" t="s">
        <v>112</v>
      </c>
      <c r="D5" s="82" t="s">
        <v>111</v>
      </c>
      <c r="E5" s="92" t="s">
        <v>110</v>
      </c>
      <c r="F5" s="92" t="s">
        <v>53</v>
      </c>
      <c r="G5" s="82" t="s">
        <v>108</v>
      </c>
      <c r="H5" s="82" t="s">
        <v>64</v>
      </c>
      <c r="I5" s="82" t="s">
        <v>79</v>
      </c>
      <c r="K5" s="14"/>
      <c r="L5"/>
    </row>
    <row r="6" spans="1:12" s="1" customFormat="1" x14ac:dyDescent="0.35">
      <c r="A6" s="57"/>
      <c r="B6" t="s">
        <v>52</v>
      </c>
      <c r="C6" s="93">
        <v>3</v>
      </c>
      <c r="D6" s="59">
        <v>0.33333299999999999</v>
      </c>
      <c r="E6" s="93">
        <f>+C6*(1+D6)</f>
        <v>3.9999990000000003</v>
      </c>
      <c r="F6" s="101">
        <v>316.31</v>
      </c>
      <c r="G6" s="97">
        <f>+F6*E6</f>
        <v>1265.23968369</v>
      </c>
      <c r="H6" s="64">
        <f>+G6/$G$11</f>
        <v>0.3247492134297989</v>
      </c>
      <c r="I6" s="72"/>
      <c r="K6" s="14"/>
      <c r="L6"/>
    </row>
    <row r="7" spans="1:12" s="1" customFormat="1" x14ac:dyDescent="0.35">
      <c r="A7" s="57"/>
      <c r="B7" t="s">
        <v>313</v>
      </c>
      <c r="C7" s="93"/>
      <c r="D7" s="59"/>
      <c r="E7" s="93"/>
      <c r="F7" s="101"/>
      <c r="G7" s="97">
        <v>50</v>
      </c>
      <c r="H7" s="64"/>
      <c r="I7" s="72"/>
      <c r="K7" s="14"/>
      <c r="L7"/>
    </row>
    <row r="8" spans="1:12" s="1" customFormat="1" x14ac:dyDescent="0.35">
      <c r="A8" s="57"/>
      <c r="B8" t="s">
        <v>314</v>
      </c>
      <c r="C8" s="93"/>
      <c r="D8" s="59"/>
      <c r="E8" s="93"/>
      <c r="F8" s="101"/>
      <c r="G8" s="97">
        <v>100</v>
      </c>
      <c r="H8" s="64"/>
      <c r="I8" s="72"/>
      <c r="K8" s="14"/>
      <c r="L8"/>
    </row>
    <row r="9" spans="1:12" s="1" customFormat="1" x14ac:dyDescent="0.35">
      <c r="A9" s="57"/>
      <c r="B9" t="s">
        <v>54</v>
      </c>
      <c r="C9" s="18"/>
      <c r="D9" s="18"/>
      <c r="E9" s="66"/>
      <c r="F9" s="18"/>
      <c r="G9" s="97">
        <f>+Historical!G21</f>
        <v>2354.1</v>
      </c>
      <c r="H9" s="64">
        <f>+G9/$G$11</f>
        <v>0.60422711458550804</v>
      </c>
      <c r="I9" s="72"/>
      <c r="K9" s="14"/>
      <c r="L9"/>
    </row>
    <row r="10" spans="1:12" s="1" customFormat="1" x14ac:dyDescent="0.35">
      <c r="A10" s="57"/>
      <c r="B10" t="s">
        <v>91</v>
      </c>
      <c r="C10" s="24">
        <v>3.5000000000000003E-2</v>
      </c>
      <c r="D10" s="18"/>
      <c r="E10" s="66"/>
      <c r="F10" s="18"/>
      <c r="G10" s="98">
        <f>+C10*(1+G6+G9)</f>
        <v>126.71188892915002</v>
      </c>
      <c r="H10" s="64">
        <f>+G10/$G$11</f>
        <v>3.2523154934514124E-2</v>
      </c>
      <c r="I10" s="72"/>
      <c r="K10" s="14"/>
      <c r="L10"/>
    </row>
    <row r="11" spans="1:12" s="1" customFormat="1" ht="15" thickBot="1" x14ac:dyDescent="0.4">
      <c r="A11" s="57"/>
      <c r="B11" t="s">
        <v>61</v>
      </c>
      <c r="C11" s="18"/>
      <c r="D11" s="18"/>
      <c r="E11" s="66"/>
      <c r="F11" s="18"/>
      <c r="G11" s="105">
        <f>SUM(G6:G10)</f>
        <v>3896.0515726191502</v>
      </c>
      <c r="H11" s="106">
        <f>+G11/$G$11</f>
        <v>1</v>
      </c>
      <c r="I11" s="102">
        <f>+G11/J19</f>
        <v>6.3186045614971631</v>
      </c>
      <c r="K11" s="14"/>
      <c r="L11"/>
    </row>
    <row r="12" spans="1:12" s="1" customFormat="1" ht="15" thickTop="1" x14ac:dyDescent="0.35">
      <c r="A12" s="57"/>
      <c r="B12"/>
      <c r="C12" s="18"/>
      <c r="D12" s="18"/>
      <c r="E12" s="66"/>
      <c r="F12" s="18"/>
      <c r="G12" s="66"/>
      <c r="J12" s="66"/>
      <c r="K12" s="14"/>
      <c r="L12"/>
    </row>
    <row r="13" spans="1:12" s="1" customFormat="1" ht="53" thickBot="1" x14ac:dyDescent="0.4">
      <c r="A13" s="57"/>
      <c r="B13" s="36" t="s">
        <v>55</v>
      </c>
      <c r="C13" s="82" t="s">
        <v>63</v>
      </c>
      <c r="D13" s="92" t="s">
        <v>57</v>
      </c>
      <c r="E13" s="82" t="s">
        <v>58</v>
      </c>
      <c r="F13" s="36" t="s">
        <v>56</v>
      </c>
      <c r="G13" s="57"/>
      <c r="I13" s="57"/>
      <c r="J13" s="66"/>
      <c r="K13" s="14"/>
      <c r="L13"/>
    </row>
    <row r="14" spans="1:12" s="1" customFormat="1" ht="15" thickBot="1" x14ac:dyDescent="0.4">
      <c r="A14" s="57"/>
      <c r="B14" s="298" t="s">
        <v>282</v>
      </c>
      <c r="C14" s="71">
        <v>0</v>
      </c>
      <c r="D14" s="68" t="s">
        <v>118</v>
      </c>
      <c r="E14" s="98">
        <f>ROUND(+C14*$J$19,0)</f>
        <v>0</v>
      </c>
      <c r="F14" s="61">
        <f t="shared" ref="F14:F19" si="0">+E14/$E$19</f>
        <v>0</v>
      </c>
      <c r="G14" s="57"/>
      <c r="H14" s="57"/>
      <c r="I14" s="57"/>
      <c r="J14" s="57"/>
      <c r="K14" s="57"/>
      <c r="L14" s="57"/>
    </row>
    <row r="15" spans="1:12" s="1" customFormat="1" ht="15" thickBot="1" x14ac:dyDescent="0.4">
      <c r="A15" s="57"/>
      <c r="B15" t="s">
        <v>280</v>
      </c>
      <c r="C15" s="71">
        <v>2</v>
      </c>
      <c r="D15" s="68" t="s">
        <v>118</v>
      </c>
      <c r="E15" s="98">
        <f>ROUND(+C15*$J$19,0)</f>
        <v>1233</v>
      </c>
      <c r="F15" s="61">
        <f t="shared" si="0"/>
        <v>0.31647425015247077</v>
      </c>
      <c r="G15" s="57"/>
      <c r="H15" s="118" t="s">
        <v>81</v>
      </c>
      <c r="I15" s="119"/>
      <c r="J15" s="120">
        <v>0.36</v>
      </c>
      <c r="L15"/>
    </row>
    <row r="16" spans="1:12" s="1" customFormat="1" ht="15" thickBot="1" x14ac:dyDescent="0.4">
      <c r="A16" s="57"/>
      <c r="B16" t="s">
        <v>59</v>
      </c>
      <c r="C16" s="94">
        <v>1</v>
      </c>
      <c r="D16" s="42">
        <v>8.5000000000000006E-2</v>
      </c>
      <c r="E16" s="103">
        <f>ROUND(+C16*$J$19,0)</f>
        <v>617</v>
      </c>
      <c r="F16" s="70">
        <f t="shared" si="0"/>
        <v>0.15836546013306929</v>
      </c>
      <c r="G16" s="57"/>
      <c r="L16"/>
    </row>
    <row r="17" spans="1:12" s="1" customFormat="1" x14ac:dyDescent="0.35">
      <c r="A17" s="57"/>
      <c r="B17" t="s">
        <v>78</v>
      </c>
      <c r="C17" s="95">
        <f>+E17/J19</f>
        <v>3.0003243593902047</v>
      </c>
      <c r="D17" s="42"/>
      <c r="E17" s="104">
        <f>+E16+E15</f>
        <v>1850</v>
      </c>
      <c r="F17" s="70">
        <f t="shared" si="0"/>
        <v>0.47483971028554006</v>
      </c>
      <c r="G17" s="57"/>
      <c r="H17" s="110" t="s">
        <v>114</v>
      </c>
      <c r="I17" s="111"/>
      <c r="J17" s="112">
        <f>+Historical!G12</f>
        <v>364.4</v>
      </c>
      <c r="L17"/>
    </row>
    <row r="18" spans="1:12" s="1" customFormat="1" x14ac:dyDescent="0.35">
      <c r="A18" s="57"/>
      <c r="B18" t="s">
        <v>60</v>
      </c>
      <c r="C18" s="72">
        <f>+E18/J19</f>
        <v>3.3182802021069584</v>
      </c>
      <c r="D18" s="63"/>
      <c r="E18" s="98">
        <f>+E19-E16-E15</f>
        <v>2046.0515726191502</v>
      </c>
      <c r="F18" s="61">
        <f t="shared" si="0"/>
        <v>0.52516028971445994</v>
      </c>
      <c r="G18" s="57"/>
      <c r="H18" s="113" t="s">
        <v>115</v>
      </c>
      <c r="I18" s="109"/>
      <c r="J18" s="114">
        <f>+Historical!G17</f>
        <v>252.2</v>
      </c>
      <c r="L18"/>
    </row>
    <row r="19" spans="1:12" s="1" customFormat="1" ht="15" thickBot="1" x14ac:dyDescent="0.4">
      <c r="A19" s="57"/>
      <c r="B19" t="s">
        <v>62</v>
      </c>
      <c r="C19" s="73">
        <f>+E19/J19</f>
        <v>6.3186045614971631</v>
      </c>
      <c r="D19" s="18"/>
      <c r="E19" s="99">
        <f>+G11</f>
        <v>3896.0515726191502</v>
      </c>
      <c r="F19" s="62">
        <f t="shared" si="0"/>
        <v>1</v>
      </c>
      <c r="G19" s="57"/>
      <c r="H19" s="115" t="s">
        <v>95</v>
      </c>
      <c r="I19" s="116"/>
      <c r="J19" s="117">
        <f>+J18+J17</f>
        <v>616.59999999999991</v>
      </c>
      <c r="L19"/>
    </row>
    <row r="20" spans="1:12" s="1" customFormat="1" x14ac:dyDescent="0.35">
      <c r="A20" s="57"/>
      <c r="B20"/>
      <c r="C20" s="18"/>
      <c r="D20" s="18"/>
      <c r="E20" s="18"/>
      <c r="F20" s="18"/>
      <c r="G20" s="66"/>
      <c r="H20" s="66"/>
      <c r="I20" s="66"/>
      <c r="J20" s="66"/>
      <c r="L20"/>
    </row>
    <row r="21" spans="1:12" s="1" customFormat="1" x14ac:dyDescent="0.35">
      <c r="B21"/>
      <c r="C21" s="18"/>
      <c r="D21" s="18"/>
      <c r="E21"/>
      <c r="G21" s="57"/>
      <c r="H21" s="57"/>
      <c r="I21" s="66"/>
      <c r="J21" s="66"/>
      <c r="L21" s="18"/>
    </row>
    <row r="22" spans="1:12" s="1" customFormat="1" ht="21" x14ac:dyDescent="0.5">
      <c r="A22"/>
      <c r="B22" s="182" t="s">
        <v>369</v>
      </c>
      <c r="C22"/>
      <c r="D22"/>
      <c r="E22"/>
      <c r="F22"/>
      <c r="G22"/>
      <c r="H22"/>
      <c r="I22" s="57"/>
      <c r="J22" s="57"/>
      <c r="K22" s="57"/>
    </row>
    <row r="23" spans="1:12" s="1" customFormat="1" x14ac:dyDescent="0.35">
      <c r="A23"/>
      <c r="B23"/>
      <c r="C23"/>
      <c r="D23"/>
      <c r="E23"/>
      <c r="F23"/>
      <c r="G23"/>
      <c r="H23" s="297" t="s">
        <v>273</v>
      </c>
      <c r="I23" s="57"/>
      <c r="J23" s="57"/>
      <c r="K23" s="57"/>
    </row>
    <row r="24" spans="1:12" s="1" customFormat="1" ht="58" x14ac:dyDescent="0.35">
      <c r="A24"/>
      <c r="B24" s="8" t="s">
        <v>255</v>
      </c>
      <c r="C24" s="295" t="s">
        <v>370</v>
      </c>
      <c r="D24" s="296"/>
      <c r="E24" s="420" t="s">
        <v>276</v>
      </c>
      <c r="F24" s="421"/>
      <c r="G24" s="293"/>
      <c r="H24" s="295" t="s">
        <v>371</v>
      </c>
      <c r="I24" s="57"/>
      <c r="J24" s="57"/>
      <c r="K24" s="57"/>
    </row>
    <row r="25" spans="1:12" s="1" customFormat="1" x14ac:dyDescent="0.35">
      <c r="A25"/>
      <c r="B25"/>
      <c r="C25" s="294">
        <v>2018</v>
      </c>
      <c r="D25" s="14"/>
      <c r="E25" s="294" t="s">
        <v>271</v>
      </c>
      <c r="F25" s="294" t="s">
        <v>272</v>
      </c>
      <c r="G25" s="14"/>
      <c r="H25" s="294">
        <f>+C25</f>
        <v>2018</v>
      </c>
      <c r="I25" s="57"/>
      <c r="J25" s="57"/>
      <c r="K25" s="57"/>
    </row>
    <row r="26" spans="1:12" x14ac:dyDescent="0.35">
      <c r="F26" s="4"/>
      <c r="G26"/>
    </row>
    <row r="27" spans="1:12" x14ac:dyDescent="0.35">
      <c r="B27" s="8" t="s">
        <v>254</v>
      </c>
      <c r="F27" s="4"/>
      <c r="G27"/>
      <c r="I27" s="319" t="s">
        <v>311</v>
      </c>
    </row>
    <row r="28" spans="1:12" x14ac:dyDescent="0.35">
      <c r="B28" s="4" t="s">
        <v>244</v>
      </c>
      <c r="C28" s="4">
        <v>48.6</v>
      </c>
      <c r="D28" s="4"/>
      <c r="E28" s="13">
        <f>G7</f>
        <v>50</v>
      </c>
      <c r="F28" s="4"/>
      <c r="G28"/>
      <c r="H28" s="13">
        <f>C28+E28-F28</f>
        <v>98.6</v>
      </c>
    </row>
    <row r="29" spans="1:12" x14ac:dyDescent="0.35">
      <c r="B29" s="4" t="s">
        <v>245</v>
      </c>
      <c r="C29" s="4">
        <v>635.79999999999995</v>
      </c>
      <c r="D29" s="4"/>
      <c r="E29" s="4"/>
      <c r="F29" s="4"/>
      <c r="G29"/>
      <c r="H29" s="13">
        <f t="shared" ref="H29:H31" si="1">C29+E29-F29</f>
        <v>635.79999999999995</v>
      </c>
    </row>
    <row r="30" spans="1:12" x14ac:dyDescent="0.35">
      <c r="B30" s="4" t="s">
        <v>246</v>
      </c>
      <c r="C30" s="4">
        <v>1419.9</v>
      </c>
      <c r="D30" s="4"/>
      <c r="E30" s="4"/>
      <c r="F30" s="4"/>
      <c r="G30"/>
      <c r="H30" s="13">
        <f t="shared" si="1"/>
        <v>1419.9</v>
      </c>
    </row>
    <row r="31" spans="1:12" x14ac:dyDescent="0.35">
      <c r="B31" s="4" t="s">
        <v>247</v>
      </c>
      <c r="C31" s="6">
        <v>97</v>
      </c>
      <c r="D31" s="4"/>
      <c r="E31" s="4"/>
      <c r="F31" s="4"/>
      <c r="G31"/>
      <c r="H31" s="13">
        <f t="shared" si="1"/>
        <v>97</v>
      </c>
    </row>
    <row r="32" spans="1:12" x14ac:dyDescent="0.35">
      <c r="B32" s="4" t="s">
        <v>248</v>
      </c>
      <c r="C32" s="197">
        <f>SUM(C28:C31)</f>
        <v>2201.3000000000002</v>
      </c>
      <c r="D32" s="4"/>
      <c r="E32" s="4"/>
      <c r="F32" s="4"/>
      <c r="G32"/>
      <c r="H32" s="197">
        <f>SUM(H28:H31)</f>
        <v>2251.3000000000002</v>
      </c>
    </row>
    <row r="33" spans="2:9" x14ac:dyDescent="0.35">
      <c r="B33" s="4"/>
      <c r="C33" s="4"/>
      <c r="D33" s="4"/>
      <c r="E33" s="4"/>
      <c r="F33" s="4"/>
      <c r="G33"/>
    </row>
    <row r="34" spans="2:9" x14ac:dyDescent="0.35">
      <c r="B34" s="4" t="s">
        <v>249</v>
      </c>
      <c r="C34" s="4">
        <v>1911.6</v>
      </c>
      <c r="D34" s="4"/>
      <c r="E34" s="4">
        <f>G8</f>
        <v>100</v>
      </c>
      <c r="F34" s="4"/>
      <c r="G34"/>
      <c r="H34" s="13">
        <f>C34+E34-F34</f>
        <v>2011.6</v>
      </c>
    </row>
    <row r="35" spans="2:9" x14ac:dyDescent="0.35">
      <c r="B35" s="4" t="s">
        <v>250</v>
      </c>
      <c r="C35" s="4">
        <v>80.5</v>
      </c>
      <c r="D35" s="4"/>
      <c r="E35" s="4"/>
      <c r="F35" s="4"/>
      <c r="G35"/>
      <c r="H35" s="13">
        <f>C35+E35-F35</f>
        <v>80.5</v>
      </c>
    </row>
    <row r="36" spans="2:9" x14ac:dyDescent="0.35">
      <c r="B36" s="4" t="s">
        <v>251</v>
      </c>
      <c r="C36" s="4">
        <v>255</v>
      </c>
      <c r="D36" s="4"/>
      <c r="E36" s="4">
        <f>G6-C63</f>
        <v>1213.2396836899995</v>
      </c>
      <c r="F36" s="4"/>
      <c r="G36"/>
      <c r="H36" s="13">
        <f>C36+E36-F36</f>
        <v>1468.2396836899995</v>
      </c>
    </row>
    <row r="37" spans="2:9" x14ac:dyDescent="0.35">
      <c r="B37" s="4" t="s">
        <v>286</v>
      </c>
      <c r="C37" s="4">
        <v>0</v>
      </c>
      <c r="D37" s="4"/>
      <c r="E37" s="4">
        <f>G10</f>
        <v>126.71188892915002</v>
      </c>
      <c r="F37" s="4"/>
      <c r="G37"/>
      <c r="H37" s="13">
        <f>C37+E37-F37</f>
        <v>126.71188892915002</v>
      </c>
    </row>
    <row r="38" spans="2:9" x14ac:dyDescent="0.35">
      <c r="B38" s="4" t="s">
        <v>275</v>
      </c>
      <c r="C38" s="4">
        <v>43.9</v>
      </c>
      <c r="D38" s="4"/>
      <c r="E38" s="4"/>
      <c r="F38" s="4"/>
      <c r="G38"/>
      <c r="H38" s="13">
        <f t="shared" ref="H38:H39" si="2">C38+E38-F38</f>
        <v>43.9</v>
      </c>
    </row>
    <row r="39" spans="2:9" x14ac:dyDescent="0.35">
      <c r="B39" s="4" t="s">
        <v>252</v>
      </c>
      <c r="C39" s="4">
        <v>23.4</v>
      </c>
      <c r="D39" s="4"/>
      <c r="E39" s="4"/>
      <c r="F39" s="4"/>
      <c r="G39"/>
      <c r="H39" s="13">
        <f t="shared" si="2"/>
        <v>23.4</v>
      </c>
    </row>
    <row r="40" spans="2:9" ht="15" thickBot="1" x14ac:dyDescent="0.4">
      <c r="B40" s="4" t="s">
        <v>253</v>
      </c>
      <c r="C40" s="177">
        <f>SUM(C32:C39)</f>
        <v>4515.6999999999989</v>
      </c>
      <c r="D40" s="4"/>
      <c r="E40" s="4"/>
      <c r="F40" s="4"/>
      <c r="G40"/>
      <c r="H40" s="177">
        <f>SUM(H32:H39)</f>
        <v>6005.6515726191483</v>
      </c>
    </row>
    <row r="41" spans="2:9" ht="15" thickTop="1" x14ac:dyDescent="0.35">
      <c r="B41" s="4"/>
      <c r="C41" s="4"/>
      <c r="D41" s="4"/>
      <c r="E41" s="4"/>
      <c r="F41" s="4"/>
      <c r="G41"/>
    </row>
    <row r="42" spans="2:9" x14ac:dyDescent="0.35">
      <c r="B42" s="291" t="s">
        <v>256</v>
      </c>
      <c r="C42" s="4"/>
      <c r="D42" s="4"/>
      <c r="E42" s="4"/>
      <c r="F42" s="4"/>
      <c r="G42"/>
    </row>
    <row r="43" spans="2:9" x14ac:dyDescent="0.35">
      <c r="B43" s="4" t="s">
        <v>257</v>
      </c>
      <c r="C43" s="4">
        <v>801</v>
      </c>
      <c r="D43" s="4"/>
      <c r="E43" s="4"/>
      <c r="F43" s="4"/>
      <c r="G43"/>
      <c r="H43" s="13">
        <f>+C43+F43-E43</f>
        <v>801</v>
      </c>
      <c r="I43" s="319" t="s">
        <v>312</v>
      </c>
    </row>
    <row r="44" spans="2:9" x14ac:dyDescent="0.35">
      <c r="B44" s="4" t="s">
        <v>258</v>
      </c>
      <c r="C44" s="4">
        <v>15.1</v>
      </c>
      <c r="D44" s="4"/>
      <c r="E44" s="4"/>
      <c r="F44" s="4"/>
      <c r="G44"/>
      <c r="H44" s="13">
        <f t="shared" ref="H44:H45" si="3">+C44+F44-E44</f>
        <v>15.1</v>
      </c>
    </row>
    <row r="45" spans="2:9" x14ac:dyDescent="0.35">
      <c r="B45" s="4" t="s">
        <v>259</v>
      </c>
      <c r="C45" s="6">
        <v>0</v>
      </c>
      <c r="D45" s="4"/>
      <c r="E45" s="4"/>
      <c r="F45" s="4"/>
      <c r="G45"/>
      <c r="H45" s="13">
        <f t="shared" si="3"/>
        <v>0</v>
      </c>
    </row>
    <row r="46" spans="2:9" x14ac:dyDescent="0.35">
      <c r="B46" s="4" t="s">
        <v>260</v>
      </c>
      <c r="C46" s="197">
        <f>SUM(C43:C45)</f>
        <v>816.1</v>
      </c>
      <c r="D46" s="4"/>
      <c r="E46" s="4"/>
      <c r="F46" s="4"/>
      <c r="G46"/>
      <c r="H46" s="197">
        <f>SUM(H43:H45)</f>
        <v>816.1</v>
      </c>
    </row>
    <row r="47" spans="2:9" x14ac:dyDescent="0.35">
      <c r="B47" s="4"/>
      <c r="C47" s="4"/>
      <c r="D47" s="4"/>
      <c r="E47" s="4"/>
      <c r="F47" s="4"/>
      <c r="G47"/>
    </row>
    <row r="48" spans="2:9" x14ac:dyDescent="0.35">
      <c r="B48" s="4" t="s">
        <v>277</v>
      </c>
      <c r="C48" s="4">
        <f>+G9</f>
        <v>2354.1</v>
      </c>
      <c r="D48" s="4"/>
      <c r="E48" s="4">
        <f>G9</f>
        <v>2354.1</v>
      </c>
      <c r="F48" s="4"/>
      <c r="G48"/>
      <c r="H48" s="13">
        <f>+C48+F48-E48</f>
        <v>0</v>
      </c>
    </row>
    <row r="49" spans="2:8" x14ac:dyDescent="0.35">
      <c r="B49" s="4" t="s">
        <v>281</v>
      </c>
      <c r="C49" s="4"/>
      <c r="D49" s="4"/>
      <c r="E49" s="4"/>
      <c r="F49" s="4">
        <f>E14</f>
        <v>0</v>
      </c>
      <c r="G49"/>
      <c r="H49" s="13">
        <f t="shared" ref="H49:H51" si="4">+C49+F49-E49</f>
        <v>0</v>
      </c>
    </row>
    <row r="50" spans="2:8" x14ac:dyDescent="0.35">
      <c r="B50" s="4" t="s">
        <v>280</v>
      </c>
      <c r="C50" s="4"/>
      <c r="D50" s="4"/>
      <c r="E50" s="4"/>
      <c r="F50" s="4">
        <f>+E15</f>
        <v>1233</v>
      </c>
      <c r="G50"/>
      <c r="H50" s="13">
        <f t="shared" si="4"/>
        <v>1233</v>
      </c>
    </row>
    <row r="51" spans="2:8" x14ac:dyDescent="0.35">
      <c r="B51" s="4" t="s">
        <v>278</v>
      </c>
      <c r="C51" s="4"/>
      <c r="D51" s="4"/>
      <c r="E51" s="4"/>
      <c r="F51" s="4">
        <f t="shared" ref="F51" si="5">E16</f>
        <v>617</v>
      </c>
      <c r="G51"/>
      <c r="H51" s="13">
        <f t="shared" si="4"/>
        <v>617</v>
      </c>
    </row>
    <row r="52" spans="2:8" x14ac:dyDescent="0.35">
      <c r="B52" s="4" t="s">
        <v>279</v>
      </c>
      <c r="C52" s="197">
        <f>SUM(C48:C51)</f>
        <v>2354.1</v>
      </c>
      <c r="D52" s="4"/>
      <c r="E52" s="4"/>
      <c r="F52" s="4"/>
      <c r="G52"/>
      <c r="H52" s="197">
        <f>SUM(H48:H51)</f>
        <v>1850</v>
      </c>
    </row>
    <row r="53" spans="2:8" x14ac:dyDescent="0.35">
      <c r="B53" s="4"/>
      <c r="C53" s="4"/>
      <c r="D53" s="4"/>
      <c r="E53" s="4"/>
      <c r="F53" s="4"/>
      <c r="G53"/>
      <c r="H53" s="13"/>
    </row>
    <row r="54" spans="2:8" x14ac:dyDescent="0.35">
      <c r="B54" s="4" t="s">
        <v>261</v>
      </c>
      <c r="C54" s="4">
        <v>963.9</v>
      </c>
      <c r="D54" s="4"/>
      <c r="E54" s="4"/>
      <c r="F54" s="4"/>
      <c r="G54"/>
      <c r="H54" s="13">
        <f t="shared" ref="H54:H55" si="6">+C54+F54-E54</f>
        <v>963.9</v>
      </c>
    </row>
    <row r="55" spans="2:8" x14ac:dyDescent="0.35">
      <c r="B55" s="4" t="s">
        <v>262</v>
      </c>
      <c r="C55" s="6">
        <v>329.6</v>
      </c>
      <c r="D55" s="4"/>
      <c r="E55" s="4"/>
      <c r="F55" s="4"/>
      <c r="G55"/>
      <c r="H55" s="13">
        <f t="shared" si="6"/>
        <v>329.6</v>
      </c>
    </row>
    <row r="56" spans="2:8" x14ac:dyDescent="0.35">
      <c r="B56" s="4" t="s">
        <v>263</v>
      </c>
      <c r="C56" s="197">
        <f>SUM(C52:C55)+C46</f>
        <v>4463.7</v>
      </c>
      <c r="D56" s="4"/>
      <c r="E56" s="4"/>
      <c r="F56" s="4"/>
      <c r="G56"/>
      <c r="H56" s="197">
        <f>SUM(H52:H55)+H46</f>
        <v>3959.6</v>
      </c>
    </row>
    <row r="57" spans="2:8" x14ac:dyDescent="0.35">
      <c r="B57" s="4"/>
      <c r="C57" s="4"/>
      <c r="D57" s="4"/>
      <c r="E57" s="4"/>
      <c r="F57" s="4"/>
      <c r="G57"/>
    </row>
    <row r="58" spans="2:8" x14ac:dyDescent="0.35">
      <c r="B58" s="291" t="s">
        <v>264</v>
      </c>
      <c r="F58" s="4"/>
      <c r="G58"/>
    </row>
    <row r="59" spans="2:8" x14ac:dyDescent="0.35">
      <c r="B59" s="4" t="s">
        <v>265</v>
      </c>
      <c r="C59" s="4">
        <v>3.2</v>
      </c>
      <c r="E59" s="13">
        <f>C59</f>
        <v>3.2</v>
      </c>
      <c r="F59" s="4">
        <f>+E18</f>
        <v>2046.0515726191502</v>
      </c>
      <c r="G59"/>
      <c r="H59" s="13">
        <f>+C59+F59-E59</f>
        <v>2046.05157261915</v>
      </c>
    </row>
    <row r="60" spans="2:8" x14ac:dyDescent="0.35">
      <c r="B60" s="4" t="s">
        <v>266</v>
      </c>
      <c r="C60" s="4">
        <v>-106.4</v>
      </c>
      <c r="E60" s="13">
        <f t="shared" ref="E60:E62" si="7">C60</f>
        <v>-106.4</v>
      </c>
      <c r="F60" s="4"/>
      <c r="G60"/>
      <c r="H60" s="13">
        <f t="shared" ref="H60:H62" si="8">+C60+F60-E60</f>
        <v>0</v>
      </c>
    </row>
    <row r="61" spans="2:8" x14ac:dyDescent="0.35">
      <c r="B61" s="4" t="s">
        <v>267</v>
      </c>
      <c r="C61" s="4">
        <v>2894.9</v>
      </c>
      <c r="E61" s="13">
        <f t="shared" si="7"/>
        <v>2894.9</v>
      </c>
      <c r="F61" s="4"/>
      <c r="G61"/>
      <c r="H61" s="13">
        <f t="shared" si="8"/>
        <v>0</v>
      </c>
    </row>
    <row r="62" spans="2:8" x14ac:dyDescent="0.35">
      <c r="B62" s="4" t="s">
        <v>268</v>
      </c>
      <c r="C62" s="6">
        <v>-2739.7</v>
      </c>
      <c r="D62" s="13"/>
      <c r="E62" s="13">
        <f t="shared" si="7"/>
        <v>-2739.7</v>
      </c>
      <c r="F62" s="4"/>
      <c r="G62"/>
      <c r="H62" s="13">
        <f t="shared" si="8"/>
        <v>0</v>
      </c>
    </row>
    <row r="63" spans="2:8" x14ac:dyDescent="0.35">
      <c r="B63" s="4" t="s">
        <v>269</v>
      </c>
      <c r="C63" s="197">
        <f>SUM(C59:C62)</f>
        <v>52.000000000000455</v>
      </c>
      <c r="F63" s="4"/>
      <c r="G63"/>
      <c r="H63" s="197">
        <f>SUM(H59:H62)</f>
        <v>2046.05157261915</v>
      </c>
    </row>
    <row r="64" spans="2:8" x14ac:dyDescent="0.35">
      <c r="F64" s="4"/>
      <c r="G64"/>
    </row>
    <row r="65" spans="2:8" ht="15" thickBot="1" x14ac:dyDescent="0.4">
      <c r="B65" s="4" t="s">
        <v>270</v>
      </c>
      <c r="C65" s="292">
        <f>+C63+C56</f>
        <v>4515.7000000000007</v>
      </c>
      <c r="E65" s="177">
        <f>SUM(E26:E64)</f>
        <v>3896.0515726191497</v>
      </c>
      <c r="F65" s="177">
        <f>SUM(F27:F64)</f>
        <v>3896.0515726191502</v>
      </c>
      <c r="G65"/>
      <c r="H65" s="292">
        <f>+H63+H56</f>
        <v>6005.6515726191501</v>
      </c>
    </row>
    <row r="66" spans="2:8" ht="15" thickTop="1" x14ac:dyDescent="0.35"/>
  </sheetData>
  <mergeCells count="1">
    <mergeCell ref="E24:F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DB5CA-FF6A-43B0-8075-4BFCCD724776}">
  <dimension ref="B1:L46"/>
  <sheetViews>
    <sheetView showGridLines="0" workbookViewId="0">
      <selection activeCell="L8" sqref="L8"/>
    </sheetView>
  </sheetViews>
  <sheetFormatPr defaultRowHeight="14.5" x14ac:dyDescent="0.35"/>
  <cols>
    <col min="2" max="2" width="31.54296875" customWidth="1"/>
    <col min="3" max="3" width="11.08984375" customWidth="1"/>
    <col min="4" max="4" width="4.81640625" customWidth="1"/>
    <col min="5" max="5" width="11.08984375" customWidth="1"/>
    <col min="6" max="6" width="11.26953125" customWidth="1"/>
    <col min="7" max="7" width="4.81640625" customWidth="1"/>
    <col min="8" max="8" width="11.7265625" customWidth="1"/>
    <col min="9" max="9" width="4.1796875" customWidth="1"/>
    <col min="10" max="10" width="11.6328125" customWidth="1"/>
    <col min="11" max="11" width="4.54296875" customWidth="1"/>
    <col min="12" max="12" width="12.08984375" customWidth="1"/>
  </cols>
  <sheetData>
    <row r="1" spans="2:12" ht="21" x14ac:dyDescent="0.5">
      <c r="B1" s="182" t="s">
        <v>373</v>
      </c>
    </row>
    <row r="2" spans="2:12" x14ac:dyDescent="0.35">
      <c r="B2" t="s">
        <v>274</v>
      </c>
    </row>
    <row r="3" spans="2:12" x14ac:dyDescent="0.35">
      <c r="H3" s="426" t="s">
        <v>273</v>
      </c>
      <c r="I3" s="426"/>
      <c r="J3" s="426"/>
      <c r="K3" s="426"/>
      <c r="L3" s="426"/>
    </row>
    <row r="4" spans="2:12" ht="43" customHeight="1" x14ac:dyDescent="0.35">
      <c r="B4" s="8" t="s">
        <v>255</v>
      </c>
      <c r="C4" s="295" t="s">
        <v>320</v>
      </c>
      <c r="D4" s="296"/>
      <c r="E4" s="420" t="s">
        <v>276</v>
      </c>
      <c r="F4" s="421"/>
      <c r="G4" s="293"/>
      <c r="H4" s="295" t="s">
        <v>321</v>
      </c>
      <c r="I4" s="296"/>
      <c r="J4" s="295" t="s">
        <v>372</v>
      </c>
      <c r="L4" s="295" t="s">
        <v>374</v>
      </c>
    </row>
    <row r="5" spans="2:12" x14ac:dyDescent="0.35">
      <c r="C5" s="294">
        <v>2021</v>
      </c>
      <c r="D5" s="14"/>
      <c r="E5" s="294" t="s">
        <v>271</v>
      </c>
      <c r="F5" s="294" t="s">
        <v>272</v>
      </c>
      <c r="G5" s="14"/>
      <c r="H5" s="294">
        <f>+C5</f>
        <v>2021</v>
      </c>
      <c r="I5" s="14"/>
      <c r="J5" s="294">
        <v>2021</v>
      </c>
      <c r="K5" s="14"/>
      <c r="L5" s="294">
        <v>2021</v>
      </c>
    </row>
    <row r="6" spans="2:12" x14ac:dyDescent="0.35">
      <c r="F6" s="4"/>
    </row>
    <row r="7" spans="2:12" x14ac:dyDescent="0.35">
      <c r="B7" s="8" t="s">
        <v>254</v>
      </c>
      <c r="F7" s="4"/>
    </row>
    <row r="8" spans="2:12" x14ac:dyDescent="0.35">
      <c r="B8" s="4" t="s">
        <v>244</v>
      </c>
      <c r="C8" s="4">
        <v>48.6</v>
      </c>
      <c r="D8" s="4"/>
      <c r="E8" s="13"/>
      <c r="F8" s="4"/>
      <c r="H8" s="13">
        <f>+C8+E8-F8</f>
        <v>48.6</v>
      </c>
      <c r="J8" s="4">
        <v>1057.0029999999999</v>
      </c>
      <c r="L8" s="4">
        <f>+J8+H8</f>
        <v>1105.6029999999998</v>
      </c>
    </row>
    <row r="9" spans="2:12" x14ac:dyDescent="0.35">
      <c r="B9" s="4" t="s">
        <v>245</v>
      </c>
      <c r="C9" s="4">
        <v>635.79999999999995</v>
      </c>
      <c r="D9" s="4"/>
      <c r="E9" s="4"/>
      <c r="F9" s="4"/>
      <c r="H9" s="13">
        <f t="shared" ref="H9:H11" si="0">+C9+E9-F9</f>
        <v>635.79999999999995</v>
      </c>
      <c r="J9" s="4">
        <v>1043.7560000000001</v>
      </c>
      <c r="L9" s="4">
        <f t="shared" ref="L9:L11" si="1">+J9+H9</f>
        <v>1679.556</v>
      </c>
    </row>
    <row r="10" spans="2:12" x14ac:dyDescent="0.35">
      <c r="B10" s="4" t="s">
        <v>246</v>
      </c>
      <c r="C10" s="4">
        <v>1419.9</v>
      </c>
      <c r="D10" s="4"/>
      <c r="E10" s="4"/>
      <c r="F10" s="4"/>
      <c r="H10" s="13">
        <f t="shared" si="0"/>
        <v>1419.9</v>
      </c>
      <c r="J10" s="4">
        <v>1859.1679999999999</v>
      </c>
      <c r="L10" s="4">
        <f t="shared" si="1"/>
        <v>3279.0680000000002</v>
      </c>
    </row>
    <row r="11" spans="2:12" x14ac:dyDescent="0.35">
      <c r="B11" s="4" t="s">
        <v>247</v>
      </c>
      <c r="C11" s="6">
        <v>97</v>
      </c>
      <c r="D11" s="4"/>
      <c r="E11" s="4"/>
      <c r="F11" s="4"/>
      <c r="H11" s="13">
        <f t="shared" si="0"/>
        <v>97</v>
      </c>
      <c r="J11" s="6">
        <v>72.73</v>
      </c>
      <c r="L11" s="4">
        <f t="shared" si="1"/>
        <v>169.73000000000002</v>
      </c>
    </row>
    <row r="12" spans="2:12" x14ac:dyDescent="0.35">
      <c r="B12" s="4" t="s">
        <v>248</v>
      </c>
      <c r="C12" s="197">
        <f>SUM(C8:C11)</f>
        <v>2201.3000000000002</v>
      </c>
      <c r="D12" s="4"/>
      <c r="E12" s="4"/>
      <c r="F12" s="4"/>
      <c r="H12" s="197">
        <f>SUM(H8:H11)</f>
        <v>2201.3000000000002</v>
      </c>
      <c r="J12" s="197">
        <f>SUM(J8:J11)</f>
        <v>4032.6569999999997</v>
      </c>
      <c r="L12" s="197">
        <f>SUM(L8:L11)</f>
        <v>6233.9570000000003</v>
      </c>
    </row>
    <row r="13" spans="2:12" x14ac:dyDescent="0.35">
      <c r="B13" s="4"/>
      <c r="C13" s="4"/>
      <c r="D13" s="4"/>
      <c r="E13" s="4"/>
      <c r="F13" s="4"/>
      <c r="J13" s="4"/>
      <c r="L13" s="4"/>
    </row>
    <row r="14" spans="2:12" x14ac:dyDescent="0.35">
      <c r="B14" s="4" t="s">
        <v>249</v>
      </c>
      <c r="C14" s="4">
        <v>1911.6</v>
      </c>
      <c r="D14" s="4"/>
      <c r="E14" s="4"/>
      <c r="F14" s="4"/>
      <c r="H14" s="13">
        <f t="shared" ref="H14:H19" si="2">+C14+E14-F14</f>
        <v>1911.6</v>
      </c>
      <c r="J14" s="4">
        <v>2945.7669999999998</v>
      </c>
      <c r="L14" s="4">
        <f t="shared" ref="L14:L19" si="3">+J14+H14</f>
        <v>4857.3670000000002</v>
      </c>
    </row>
    <row r="15" spans="2:12" x14ac:dyDescent="0.35">
      <c r="B15" s="4" t="s">
        <v>250</v>
      </c>
      <c r="C15" s="4">
        <v>80.5</v>
      </c>
      <c r="D15" s="4"/>
      <c r="E15" s="4"/>
      <c r="F15" s="4"/>
      <c r="H15" s="13">
        <f t="shared" si="2"/>
        <v>80.5</v>
      </c>
      <c r="J15" s="4">
        <v>0</v>
      </c>
      <c r="L15" s="4">
        <f t="shared" si="3"/>
        <v>80.5</v>
      </c>
    </row>
    <row r="16" spans="2:12" x14ac:dyDescent="0.35">
      <c r="B16" s="4" t="s">
        <v>251</v>
      </c>
      <c r="C16" s="4">
        <v>255</v>
      </c>
      <c r="D16" s="4"/>
      <c r="E16" s="4">
        <f>'Transaction Sources &amp; Uses'!G6-'Combined Merger Proforma'!C43</f>
        <v>1009.5396836899997</v>
      </c>
      <c r="F16" s="4"/>
      <c r="H16" s="13">
        <f t="shared" si="2"/>
        <v>1264.5396836899997</v>
      </c>
      <c r="J16" s="4">
        <v>429.64499999999998</v>
      </c>
      <c r="L16" s="4">
        <f t="shared" si="3"/>
        <v>1694.1846836899997</v>
      </c>
    </row>
    <row r="17" spans="2:12" x14ac:dyDescent="0.35">
      <c r="B17" s="4" t="s">
        <v>283</v>
      </c>
      <c r="C17" s="4">
        <v>0</v>
      </c>
      <c r="D17" s="4"/>
      <c r="E17" s="4">
        <f>'Transaction Sources &amp; Uses'!G8</f>
        <v>126.71188892915002</v>
      </c>
      <c r="F17" s="4"/>
      <c r="H17" s="13">
        <f>+C17+E17-F17</f>
        <v>126.71188892915002</v>
      </c>
      <c r="J17" s="4"/>
      <c r="L17" s="4">
        <f t="shared" si="3"/>
        <v>126.71188892915002</v>
      </c>
    </row>
    <row r="18" spans="2:12" x14ac:dyDescent="0.35">
      <c r="B18" s="4" t="s">
        <v>275</v>
      </c>
      <c r="C18" s="4">
        <v>43.9</v>
      </c>
      <c r="D18" s="4"/>
      <c r="E18" s="4"/>
      <c r="F18" s="4"/>
      <c r="H18" s="13">
        <f t="shared" si="2"/>
        <v>43.9</v>
      </c>
      <c r="J18" s="4">
        <v>270.32799999999997</v>
      </c>
      <c r="L18" s="4">
        <f t="shared" si="3"/>
        <v>314.22799999999995</v>
      </c>
    </row>
    <row r="19" spans="2:12" x14ac:dyDescent="0.35">
      <c r="B19" s="4" t="s">
        <v>252</v>
      </c>
      <c r="C19" s="4">
        <v>23.4</v>
      </c>
      <c r="D19" s="4"/>
      <c r="E19" s="4"/>
      <c r="F19" s="4"/>
      <c r="H19" s="13">
        <f t="shared" si="2"/>
        <v>23.4</v>
      </c>
      <c r="J19" s="4">
        <v>25.166</v>
      </c>
      <c r="L19" s="4">
        <f t="shared" si="3"/>
        <v>48.566000000000003</v>
      </c>
    </row>
    <row r="20" spans="2:12" ht="15" thickBot="1" x14ac:dyDescent="0.4">
      <c r="B20" s="4" t="s">
        <v>253</v>
      </c>
      <c r="C20" s="177">
        <f>SUM(C12:C19)</f>
        <v>4515.6999999999989</v>
      </c>
      <c r="D20" s="4"/>
      <c r="E20" s="4"/>
      <c r="F20" s="4"/>
      <c r="H20" s="177">
        <f>SUM(H12:H19)</f>
        <v>5651.9515726191485</v>
      </c>
      <c r="J20" s="177">
        <f>SUM(J12:J19)</f>
        <v>7703.5629999999992</v>
      </c>
      <c r="L20" s="177">
        <f>SUM(L12:L19)</f>
        <v>13355.514572619151</v>
      </c>
    </row>
    <row r="21" spans="2:12" ht="15" thickTop="1" x14ac:dyDescent="0.35">
      <c r="B21" s="4"/>
      <c r="C21" s="4"/>
      <c r="D21" s="4"/>
      <c r="E21" s="4"/>
      <c r="F21" s="4"/>
      <c r="J21" s="4"/>
      <c r="L21" s="4"/>
    </row>
    <row r="22" spans="2:12" x14ac:dyDescent="0.35">
      <c r="B22" s="291" t="s">
        <v>256</v>
      </c>
      <c r="C22" s="4"/>
      <c r="D22" s="4"/>
      <c r="E22" s="4"/>
      <c r="F22" s="4"/>
      <c r="J22" s="4"/>
      <c r="L22" s="4"/>
    </row>
    <row r="23" spans="2:12" x14ac:dyDescent="0.35">
      <c r="B23" s="4" t="s">
        <v>257</v>
      </c>
      <c r="C23" s="4">
        <v>801</v>
      </c>
      <c r="D23" s="4"/>
      <c r="E23" s="4"/>
      <c r="F23" s="4"/>
      <c r="H23" s="13">
        <f>+C23-E23+F23</f>
        <v>801</v>
      </c>
      <c r="J23" s="4">
        <v>550.75400000000002</v>
      </c>
      <c r="L23" s="4">
        <f t="shared" ref="L23:L25" si="4">+J23+H23</f>
        <v>1351.7539999999999</v>
      </c>
    </row>
    <row r="24" spans="2:12" x14ac:dyDescent="0.35">
      <c r="B24" s="4" t="s">
        <v>258</v>
      </c>
      <c r="C24" s="4">
        <v>15.1</v>
      </c>
      <c r="D24" s="4"/>
      <c r="E24" s="4"/>
      <c r="F24" s="4"/>
      <c r="H24" s="13">
        <f t="shared" ref="H24:H25" si="5">+C24-E24+F24</f>
        <v>15.1</v>
      </c>
      <c r="J24" s="4">
        <v>444.149</v>
      </c>
      <c r="L24" s="4">
        <f t="shared" si="4"/>
        <v>459.24900000000002</v>
      </c>
    </row>
    <row r="25" spans="2:12" x14ac:dyDescent="0.35">
      <c r="B25" s="4" t="s">
        <v>259</v>
      </c>
      <c r="C25" s="6">
        <v>0</v>
      </c>
      <c r="D25" s="4"/>
      <c r="E25" s="4"/>
      <c r="F25" s="4"/>
      <c r="H25" s="13">
        <f t="shared" si="5"/>
        <v>0</v>
      </c>
      <c r="J25" s="6">
        <v>24.234000000000002</v>
      </c>
      <c r="L25" s="4">
        <f t="shared" si="4"/>
        <v>24.234000000000002</v>
      </c>
    </row>
    <row r="26" spans="2:12" x14ac:dyDescent="0.35">
      <c r="B26" s="4" t="s">
        <v>260</v>
      </c>
      <c r="C26" s="197">
        <f>SUM(C23:C25)</f>
        <v>816.1</v>
      </c>
      <c r="D26" s="4"/>
      <c r="E26" s="4"/>
      <c r="F26" s="4"/>
      <c r="H26" s="197">
        <f>SUM(H23:H25)</f>
        <v>816.1</v>
      </c>
      <c r="J26" s="197">
        <f>SUM(J23:J25)</f>
        <v>1019.1370000000001</v>
      </c>
      <c r="L26" s="197">
        <f>SUM(L23:L25)</f>
        <v>1835.2369999999999</v>
      </c>
    </row>
    <row r="27" spans="2:12" x14ac:dyDescent="0.35">
      <c r="B27" s="4"/>
      <c r="C27" s="4"/>
      <c r="D27" s="4"/>
      <c r="E27" s="4"/>
      <c r="F27" s="4"/>
      <c r="J27" s="4"/>
      <c r="L27" s="4"/>
    </row>
    <row r="28" spans="2:12" x14ac:dyDescent="0.35">
      <c r="B28" s="4" t="s">
        <v>277</v>
      </c>
      <c r="C28" s="4">
        <f>+'Transaction Sources &amp; Uses'!G7</f>
        <v>2354.1</v>
      </c>
      <c r="D28" s="4"/>
      <c r="E28" s="4">
        <f>+'Transaction Sources &amp; Uses'!G7</f>
        <v>2354.1</v>
      </c>
      <c r="F28" s="4"/>
      <c r="H28" s="13">
        <f t="shared" ref="H28:H35" si="6">+C28-E28+F28</f>
        <v>0</v>
      </c>
      <c r="J28" s="4">
        <v>2352.489</v>
      </c>
      <c r="L28" s="4">
        <f t="shared" ref="L28:L35" si="7">+J28+H28</f>
        <v>2352.489</v>
      </c>
    </row>
    <row r="29" spans="2:12" x14ac:dyDescent="0.35">
      <c r="B29" s="4" t="s">
        <v>281</v>
      </c>
      <c r="C29" s="4"/>
      <c r="D29" s="4"/>
      <c r="E29" s="4"/>
      <c r="F29" s="4">
        <f>+'Transaction Sources &amp; Uses'!E12</f>
        <v>0</v>
      </c>
      <c r="H29" s="13">
        <f t="shared" si="6"/>
        <v>0</v>
      </c>
      <c r="J29" s="4"/>
      <c r="L29" s="4">
        <f t="shared" si="7"/>
        <v>0</v>
      </c>
    </row>
    <row r="30" spans="2:12" x14ac:dyDescent="0.35">
      <c r="B30" s="4" t="s">
        <v>280</v>
      </c>
      <c r="C30" s="4"/>
      <c r="D30" s="4"/>
      <c r="E30" s="4"/>
      <c r="F30" s="4">
        <f>+'Transaction Sources &amp; Uses'!E13</f>
        <v>1233</v>
      </c>
      <c r="H30" s="13">
        <f t="shared" si="6"/>
        <v>1233</v>
      </c>
      <c r="J30" s="4"/>
      <c r="L30" s="4">
        <f t="shared" si="7"/>
        <v>1233</v>
      </c>
    </row>
    <row r="31" spans="2:12" x14ac:dyDescent="0.35">
      <c r="B31" s="4" t="s">
        <v>278</v>
      </c>
      <c r="C31" s="4"/>
      <c r="D31" s="4"/>
      <c r="E31" s="4"/>
      <c r="F31" s="4">
        <f>+'Transaction Sources &amp; Uses'!E14</f>
        <v>617</v>
      </c>
      <c r="H31" s="13">
        <f t="shared" si="6"/>
        <v>617</v>
      </c>
      <c r="J31" s="4"/>
      <c r="L31" s="4">
        <f t="shared" si="7"/>
        <v>617</v>
      </c>
    </row>
    <row r="32" spans="2:12" x14ac:dyDescent="0.35">
      <c r="B32" s="4" t="s">
        <v>279</v>
      </c>
      <c r="C32" s="197">
        <f>SUM(C28:C31)</f>
        <v>2354.1</v>
      </c>
      <c r="D32" s="4"/>
      <c r="E32" s="4"/>
      <c r="F32" s="4"/>
      <c r="H32" s="197">
        <f>SUM(H28:H31)</f>
        <v>1850</v>
      </c>
      <c r="J32" s="197">
        <f>SUM(J28:J31)</f>
        <v>2352.489</v>
      </c>
      <c r="L32" s="197">
        <f>SUM(L28:L31)</f>
        <v>4202.4889999999996</v>
      </c>
    </row>
    <row r="33" spans="2:12" x14ac:dyDescent="0.35">
      <c r="B33" s="4"/>
      <c r="C33" s="4"/>
      <c r="D33" s="4"/>
      <c r="E33" s="4"/>
      <c r="F33" s="4"/>
      <c r="H33" s="13"/>
      <c r="J33" s="4"/>
      <c r="L33" s="4"/>
    </row>
    <row r="34" spans="2:12" x14ac:dyDescent="0.35">
      <c r="B34" s="4" t="s">
        <v>261</v>
      </c>
      <c r="C34" s="4">
        <v>963.9</v>
      </c>
      <c r="D34" s="4"/>
      <c r="E34" s="4"/>
      <c r="F34" s="4"/>
      <c r="H34" s="13">
        <f t="shared" si="6"/>
        <v>963.9</v>
      </c>
      <c r="J34" s="4">
        <v>444.70800000000003</v>
      </c>
      <c r="L34" s="4">
        <f t="shared" si="7"/>
        <v>1408.6079999999999</v>
      </c>
    </row>
    <row r="35" spans="2:12" x14ac:dyDescent="0.35">
      <c r="B35" s="4" t="s">
        <v>262</v>
      </c>
      <c r="C35" s="6">
        <v>329.6</v>
      </c>
      <c r="D35" s="4"/>
      <c r="E35" s="4"/>
      <c r="F35" s="4"/>
      <c r="H35" s="13">
        <f t="shared" si="6"/>
        <v>329.6</v>
      </c>
      <c r="J35" s="6">
        <v>-47.841999999999999</v>
      </c>
      <c r="L35" s="4">
        <f t="shared" si="7"/>
        <v>281.75800000000004</v>
      </c>
    </row>
    <row r="36" spans="2:12" x14ac:dyDescent="0.35">
      <c r="B36" s="4" t="s">
        <v>263</v>
      </c>
      <c r="C36" s="197">
        <f>SUM(C32:C35)+C26</f>
        <v>4463.7</v>
      </c>
      <c r="D36" s="4"/>
      <c r="E36" s="4"/>
      <c r="F36" s="4"/>
      <c r="H36" s="197">
        <f>SUM(H32:H35)+H26</f>
        <v>3959.6</v>
      </c>
      <c r="J36" s="197">
        <f>SUM(J32:J35)+J26</f>
        <v>3768.4920000000002</v>
      </c>
      <c r="L36" s="197">
        <f>SUM(L32:L35)+L26</f>
        <v>7728.0919999999996</v>
      </c>
    </row>
    <row r="37" spans="2:12" x14ac:dyDescent="0.35">
      <c r="B37" s="4"/>
      <c r="C37" s="4"/>
      <c r="D37" s="4"/>
      <c r="E37" s="4"/>
      <c r="F37" s="4"/>
      <c r="J37" s="4"/>
      <c r="L37" s="4"/>
    </row>
    <row r="38" spans="2:12" x14ac:dyDescent="0.35">
      <c r="B38" s="291" t="s">
        <v>264</v>
      </c>
      <c r="F38" s="4"/>
    </row>
    <row r="39" spans="2:12" x14ac:dyDescent="0.35">
      <c r="B39" s="4" t="s">
        <v>265</v>
      </c>
      <c r="C39" s="4">
        <v>3.2</v>
      </c>
      <c r="E39" s="13">
        <f>C39</f>
        <v>3.2</v>
      </c>
      <c r="F39" s="4">
        <f>+'Transaction Sources &amp; Uses'!E16</f>
        <v>1896.0515726191502</v>
      </c>
      <c r="H39" s="13">
        <f t="shared" ref="H39:H42" si="8">+C39-E39+F39</f>
        <v>1896.0515726191502</v>
      </c>
      <c r="J39" s="4">
        <v>0.64500000000000002</v>
      </c>
      <c r="L39" s="4">
        <f t="shared" ref="L39:L42" si="9">+J39+H39</f>
        <v>1896.6965726191502</v>
      </c>
    </row>
    <row r="40" spans="2:12" x14ac:dyDescent="0.35">
      <c r="B40" s="4" t="s">
        <v>266</v>
      </c>
      <c r="C40" s="4">
        <v>-106.4</v>
      </c>
      <c r="E40" s="13">
        <f>C40</f>
        <v>-106.4</v>
      </c>
      <c r="F40" s="4"/>
      <c r="H40" s="13">
        <f t="shared" si="8"/>
        <v>0</v>
      </c>
      <c r="J40" s="4">
        <v>-1183.942</v>
      </c>
      <c r="L40" s="4">
        <f t="shared" si="9"/>
        <v>-1183.942</v>
      </c>
    </row>
    <row r="41" spans="2:12" x14ac:dyDescent="0.35">
      <c r="B41" s="4" t="s">
        <v>267</v>
      </c>
      <c r="C41" s="4">
        <v>2894.9</v>
      </c>
      <c r="E41" s="13">
        <f>C41</f>
        <v>2894.9</v>
      </c>
      <c r="F41" s="4"/>
      <c r="H41" s="13">
        <f t="shared" si="8"/>
        <v>0</v>
      </c>
      <c r="J41" s="4">
        <v>1160.048</v>
      </c>
      <c r="L41" s="4">
        <f t="shared" si="9"/>
        <v>1160.048</v>
      </c>
    </row>
    <row r="42" spans="2:12" x14ac:dyDescent="0.35">
      <c r="B42" s="4" t="s">
        <v>268</v>
      </c>
      <c r="C42" s="6">
        <v>-2536</v>
      </c>
      <c r="E42" s="13">
        <f>C42</f>
        <v>-2536</v>
      </c>
      <c r="F42" s="4"/>
      <c r="H42" s="13">
        <f t="shared" si="8"/>
        <v>0</v>
      </c>
      <c r="J42" s="6">
        <v>3958.32</v>
      </c>
      <c r="L42" s="4">
        <f t="shared" si="9"/>
        <v>3958.32</v>
      </c>
    </row>
    <row r="43" spans="2:12" x14ac:dyDescent="0.35">
      <c r="B43" s="4" t="s">
        <v>269</v>
      </c>
      <c r="C43" s="197">
        <f>SUM(C39:C42)</f>
        <v>255.70000000000027</v>
      </c>
      <c r="F43" s="4"/>
      <c r="H43" s="197">
        <f>SUM(H39:H42)</f>
        <v>1896.0515726191502</v>
      </c>
      <c r="J43" s="197">
        <f>SUM(J39:J42)</f>
        <v>3935.0709999999999</v>
      </c>
      <c r="L43" s="197">
        <f>SUM(L39:L42)</f>
        <v>5831.1225726191506</v>
      </c>
    </row>
    <row r="44" spans="2:12" x14ac:dyDescent="0.35">
      <c r="F44" s="4"/>
    </row>
    <row r="45" spans="2:12" ht="15" thickBot="1" x14ac:dyDescent="0.4">
      <c r="B45" s="4" t="s">
        <v>270</v>
      </c>
      <c r="C45" s="292">
        <f>+C43+C36</f>
        <v>4719.3999999999996</v>
      </c>
      <c r="E45" s="177">
        <f>SUM(E6:E44)</f>
        <v>3746.0515726191497</v>
      </c>
      <c r="F45" s="177">
        <f>SUM(F6:F44)</f>
        <v>3746.0515726191502</v>
      </c>
      <c r="H45" s="292">
        <f>+H43+H36</f>
        <v>5855.6515726191501</v>
      </c>
      <c r="J45" s="292">
        <f>+J43+J36</f>
        <v>7703.5630000000001</v>
      </c>
      <c r="L45" s="292">
        <f>+L43+L36</f>
        <v>13559.21457261915</v>
      </c>
    </row>
    <row r="46" spans="2:12" ht="15" thickTop="1" x14ac:dyDescent="0.35"/>
  </sheetData>
  <mergeCells count="2">
    <mergeCell ref="E4:F4"/>
    <mergeCell ref="H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8600-10FD-4272-A93A-A8DDD2C0A158}">
  <dimension ref="B1:I23"/>
  <sheetViews>
    <sheetView showGridLines="0" topLeftCell="A4" workbookViewId="0">
      <selection activeCell="J14" sqref="J14"/>
    </sheetView>
  </sheetViews>
  <sheetFormatPr defaultRowHeight="14.5" x14ac:dyDescent="0.35"/>
  <cols>
    <col min="2" max="2" width="24.36328125" customWidth="1"/>
    <col min="3" max="3" width="2.81640625" customWidth="1"/>
    <col min="8" max="8" width="3.26953125" customWidth="1"/>
  </cols>
  <sheetData>
    <row r="1" spans="2:7" ht="18.5" x14ac:dyDescent="0.45">
      <c r="B1" s="85" t="str">
        <f>INPUT!B1</f>
        <v>Proud Steel Holding Corp. (PRST)</v>
      </c>
    </row>
    <row r="2" spans="2:7" ht="19" customHeight="1" x14ac:dyDescent="0.35">
      <c r="B2" s="87" t="s">
        <v>97</v>
      </c>
    </row>
    <row r="3" spans="2:7" ht="21.75" customHeight="1" thickBot="1" x14ac:dyDescent="0.4">
      <c r="B3" s="88"/>
      <c r="C3" s="89"/>
      <c r="D3" s="86">
        <v>2018</v>
      </c>
      <c r="E3" s="86">
        <v>2019</v>
      </c>
      <c r="F3" s="86">
        <v>2020</v>
      </c>
      <c r="G3" s="86">
        <v>2021</v>
      </c>
    </row>
    <row r="4" spans="2:7" ht="16.75" customHeight="1" thickTop="1" thickBot="1" x14ac:dyDescent="0.4">
      <c r="B4" s="91" t="s">
        <v>104</v>
      </c>
    </row>
    <row r="5" spans="2:7" ht="15" thickTop="1" x14ac:dyDescent="0.35">
      <c r="B5" s="8" t="s">
        <v>96</v>
      </c>
      <c r="D5" s="75">
        <v>6692.9</v>
      </c>
      <c r="E5" s="75">
        <v>5882.5</v>
      </c>
      <c r="F5" s="75">
        <v>6080.5</v>
      </c>
      <c r="G5" s="75">
        <v>6818.2</v>
      </c>
    </row>
    <row r="6" spans="2:7" x14ac:dyDescent="0.35">
      <c r="B6" s="83" t="s">
        <v>98</v>
      </c>
      <c r="C6" s="83"/>
      <c r="D6" s="83"/>
      <c r="E6" s="84">
        <f>+E5/D5-1</f>
        <v>-0.12108353628471957</v>
      </c>
      <c r="F6" s="84">
        <f>+F5/E5-1</f>
        <v>3.3659158521037069E-2</v>
      </c>
      <c r="G6" s="84">
        <f>+G5/F5-1</f>
        <v>0.1213222596825918</v>
      </c>
    </row>
    <row r="7" spans="2:7" ht="9.75" customHeight="1" x14ac:dyDescent="0.35"/>
    <row r="8" spans="2:7" x14ac:dyDescent="0.35">
      <c r="B8" t="s">
        <v>99</v>
      </c>
      <c r="D8" s="76">
        <v>6032</v>
      </c>
      <c r="E8" s="76">
        <v>5064.7</v>
      </c>
      <c r="F8" s="76">
        <v>5359.7</v>
      </c>
      <c r="G8" s="76">
        <v>5911</v>
      </c>
    </row>
    <row r="9" spans="2:7" x14ac:dyDescent="0.35">
      <c r="B9" t="s">
        <v>100</v>
      </c>
      <c r="D9" s="75">
        <f>+D5-D8</f>
        <v>660.89999999999964</v>
      </c>
      <c r="E9" s="75">
        <f t="shared" ref="E9:G9" si="0">+E5-E8</f>
        <v>817.80000000000018</v>
      </c>
      <c r="F9" s="75">
        <f t="shared" si="0"/>
        <v>720.80000000000018</v>
      </c>
      <c r="G9" s="75">
        <f t="shared" si="0"/>
        <v>907.19999999999982</v>
      </c>
    </row>
    <row r="10" spans="2:7" x14ac:dyDescent="0.35">
      <c r="B10" t="s">
        <v>101</v>
      </c>
      <c r="D10" s="74">
        <f>+D9/D5</f>
        <v>9.8746432786983168E-2</v>
      </c>
      <c r="E10" s="74">
        <f t="shared" ref="E10:G10" si="1">+E9/E5</f>
        <v>0.13902252443688912</v>
      </c>
      <c r="F10" s="74">
        <f t="shared" si="1"/>
        <v>0.11854288298659653</v>
      </c>
      <c r="G10" s="74">
        <f t="shared" si="1"/>
        <v>0.13305564518494614</v>
      </c>
    </row>
    <row r="12" spans="2:7" x14ac:dyDescent="0.35">
      <c r="B12" t="s">
        <v>2</v>
      </c>
      <c r="D12" s="76">
        <v>86.7</v>
      </c>
      <c r="E12" s="76">
        <v>230.2</v>
      </c>
      <c r="F12" s="76">
        <v>220</v>
      </c>
      <c r="G12" s="76">
        <v>364.4</v>
      </c>
    </row>
    <row r="13" spans="2:7" x14ac:dyDescent="0.35">
      <c r="B13" t="s">
        <v>102</v>
      </c>
      <c r="D13" s="74">
        <f>+D12/D5</f>
        <v>1.2954025908051817E-2</v>
      </c>
      <c r="E13" s="74">
        <f t="shared" ref="E13:G13" si="2">+E12/E5</f>
        <v>3.9133021674458139E-2</v>
      </c>
      <c r="F13" s="74">
        <f t="shared" si="2"/>
        <v>3.6181235095798042E-2</v>
      </c>
      <c r="G13" s="74">
        <f t="shared" si="2"/>
        <v>5.3445190812824499E-2</v>
      </c>
    </row>
    <row r="15" spans="2:7" ht="18" customHeight="1" thickBot="1" x14ac:dyDescent="0.4">
      <c r="B15" s="90" t="s">
        <v>103</v>
      </c>
    </row>
    <row r="16" spans="2:7" ht="6.75" customHeight="1" thickTop="1" x14ac:dyDescent="0.35"/>
    <row r="17" spans="2:9" x14ac:dyDescent="0.35">
      <c r="B17" t="s">
        <v>105</v>
      </c>
      <c r="D17" s="75">
        <f>201.7+14.3+21.2</f>
        <v>237.2</v>
      </c>
      <c r="E17" s="75">
        <f>201.7+14.9+18.4</f>
        <v>235</v>
      </c>
      <c r="F17" s="75">
        <f>209.8+16.2+24.1</f>
        <v>250.1</v>
      </c>
      <c r="G17" s="75">
        <v>252.2</v>
      </c>
      <c r="I17" s="321"/>
    </row>
    <row r="18" spans="2:9" x14ac:dyDescent="0.35">
      <c r="B18" t="s">
        <v>106</v>
      </c>
      <c r="D18" s="75">
        <v>-99</v>
      </c>
      <c r="E18" s="75">
        <v>-127.6</v>
      </c>
      <c r="F18" s="75">
        <v>-152.5</v>
      </c>
      <c r="G18" s="75">
        <v>-152</v>
      </c>
    </row>
    <row r="20" spans="2:9" ht="15" thickBot="1" x14ac:dyDescent="0.4">
      <c r="B20" s="90" t="s">
        <v>107</v>
      </c>
    </row>
    <row r="21" spans="2:9" ht="15" thickTop="1" x14ac:dyDescent="0.35">
      <c r="B21" t="s">
        <v>83</v>
      </c>
      <c r="E21" s="75">
        <f>41.3+1816.6</f>
        <v>1857.8999999999999</v>
      </c>
      <c r="F21" s="75">
        <f>40.1+2110.1</f>
        <v>2150.1999999999998</v>
      </c>
      <c r="G21" s="75">
        <v>2354.1</v>
      </c>
    </row>
    <row r="23" spans="2:9" x14ac:dyDescent="0.35">
      <c r="B23" t="s">
        <v>1</v>
      </c>
      <c r="D23" s="315">
        <f>+D12+D17</f>
        <v>323.89999999999998</v>
      </c>
      <c r="E23" s="315">
        <f t="shared" ref="E23:G23" si="3">+E12+E17</f>
        <v>465.2</v>
      </c>
      <c r="F23" s="315">
        <f t="shared" si="3"/>
        <v>470.1</v>
      </c>
      <c r="G23" s="315">
        <f t="shared" si="3"/>
        <v>616.59999999999991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2B7B-C494-41F4-97BA-AB310CB90784}">
  <dimension ref="A1:L24"/>
  <sheetViews>
    <sheetView showGridLines="0" zoomScaleNormal="100" workbookViewId="0">
      <selection activeCell="E17" sqref="E17"/>
    </sheetView>
  </sheetViews>
  <sheetFormatPr defaultRowHeight="14.5" x14ac:dyDescent="0.35"/>
  <cols>
    <col min="1" max="1" width="3.54296875" customWidth="1"/>
    <col min="2" max="2" width="33.7265625" customWidth="1"/>
    <col min="3" max="3" width="10.7265625" customWidth="1"/>
    <col min="4" max="4" width="9.36328125" customWidth="1"/>
    <col min="5" max="5" width="8.7265625" customWidth="1"/>
    <col min="6" max="6" width="13.453125" customWidth="1"/>
    <col min="7" max="7" width="10.7265625" style="14" customWidth="1"/>
    <col min="8" max="8" width="10.08984375" customWidth="1"/>
    <col min="9" max="9" width="9.7265625" style="14" customWidth="1"/>
    <col min="10" max="11" width="10.26953125" style="14" customWidth="1"/>
    <col min="12" max="12" width="11.54296875" customWidth="1"/>
    <col min="13" max="13" width="11.08984375" customWidth="1"/>
  </cols>
  <sheetData>
    <row r="1" spans="1:12" ht="18.5" x14ac:dyDescent="0.45">
      <c r="A1" s="14"/>
      <c r="B1" s="85" t="str">
        <f>+Historical!B1</f>
        <v>Proud Steel Holding Corp. (PRST)</v>
      </c>
      <c r="C1" s="16"/>
    </row>
    <row r="2" spans="1:12" x14ac:dyDescent="0.35">
      <c r="B2" t="s">
        <v>318</v>
      </c>
    </row>
    <row r="3" spans="1:12" ht="15.5" x14ac:dyDescent="0.35">
      <c r="A3" s="14"/>
      <c r="B3" s="34" t="s">
        <v>121</v>
      </c>
      <c r="C3" s="35"/>
      <c r="D3" s="35"/>
      <c r="E3" s="35"/>
      <c r="F3" s="35"/>
      <c r="G3" s="96"/>
      <c r="H3" s="35"/>
      <c r="I3" s="96"/>
      <c r="J3" s="96"/>
    </row>
    <row r="4" spans="1:12" s="1" customFormat="1" ht="15.5" x14ac:dyDescent="0.35">
      <c r="A4" s="57"/>
      <c r="B4" s="58"/>
      <c r="C4" s="18"/>
      <c r="D4" s="18"/>
      <c r="E4" s="18"/>
      <c r="F4" s="18"/>
      <c r="G4" s="66"/>
      <c r="H4" s="18"/>
      <c r="I4" s="66"/>
      <c r="J4" s="66"/>
      <c r="K4" s="14"/>
      <c r="L4"/>
    </row>
    <row r="5" spans="1:12" s="1" customFormat="1" ht="71.400000000000006" customHeight="1" thickBot="1" x14ac:dyDescent="0.4">
      <c r="A5" s="57"/>
      <c r="B5" s="36" t="s">
        <v>51</v>
      </c>
      <c r="C5" s="92" t="s">
        <v>112</v>
      </c>
      <c r="D5" s="82" t="s">
        <v>111</v>
      </c>
      <c r="E5" s="92" t="s">
        <v>110</v>
      </c>
      <c r="F5" s="92" t="s">
        <v>53</v>
      </c>
      <c r="G5" s="82" t="s">
        <v>108</v>
      </c>
      <c r="H5" s="82" t="s">
        <v>64</v>
      </c>
      <c r="I5" s="82" t="s">
        <v>79</v>
      </c>
      <c r="K5" s="14"/>
      <c r="L5"/>
    </row>
    <row r="6" spans="1:12" s="1" customFormat="1" x14ac:dyDescent="0.35">
      <c r="A6" s="57"/>
      <c r="B6" t="s">
        <v>52</v>
      </c>
      <c r="C6" s="93">
        <v>3</v>
      </c>
      <c r="D6" s="59">
        <v>0.33333299999999999</v>
      </c>
      <c r="E6" s="93">
        <f>+C6*(1+D6)</f>
        <v>3.9999990000000003</v>
      </c>
      <c r="F6" s="101">
        <v>316.31</v>
      </c>
      <c r="G6" s="97">
        <f>+F6*E6</f>
        <v>1265.23968369</v>
      </c>
      <c r="H6" s="64">
        <f>+G6/$G$9</f>
        <v>0.3377528737025301</v>
      </c>
      <c r="I6" s="72"/>
      <c r="K6" s="14"/>
      <c r="L6"/>
    </row>
    <row r="7" spans="1:12" s="1" customFormat="1" x14ac:dyDescent="0.35">
      <c r="A7" s="57"/>
      <c r="B7" t="s">
        <v>54</v>
      </c>
      <c r="C7" s="18"/>
      <c r="D7" s="18"/>
      <c r="E7" s="66"/>
      <c r="F7" s="18"/>
      <c r="G7" s="97">
        <f>+Historical!G21</f>
        <v>2354.1</v>
      </c>
      <c r="H7" s="64">
        <f>+G7/$G$9</f>
        <v>0.62842167395844717</v>
      </c>
      <c r="I7" s="72"/>
      <c r="K7" s="14"/>
      <c r="L7"/>
    </row>
    <row r="8" spans="1:12" s="1" customFormat="1" x14ac:dyDescent="0.35">
      <c r="A8" s="57"/>
      <c r="B8" t="s">
        <v>91</v>
      </c>
      <c r="C8" s="24">
        <v>3.5000000000000003E-2</v>
      </c>
      <c r="D8" s="18"/>
      <c r="E8" s="66"/>
      <c r="F8" s="18"/>
      <c r="G8" s="98">
        <f>+C8*(1+G6+G7)</f>
        <v>126.71188892915002</v>
      </c>
      <c r="H8" s="64">
        <f>+G8/$G$9</f>
        <v>3.3825452339022677E-2</v>
      </c>
      <c r="I8" s="72"/>
      <c r="K8" s="14"/>
      <c r="L8"/>
    </row>
    <row r="9" spans="1:12" s="1" customFormat="1" ht="15" thickBot="1" x14ac:dyDescent="0.4">
      <c r="A9" s="57"/>
      <c r="B9" t="s">
        <v>61</v>
      </c>
      <c r="C9" s="18"/>
      <c r="D9" s="18"/>
      <c r="E9" s="66"/>
      <c r="F9" s="18"/>
      <c r="G9" s="105">
        <f>SUM(G6:G8)</f>
        <v>3746.0515726191502</v>
      </c>
      <c r="H9" s="106">
        <f>+G9/$G$9</f>
        <v>1</v>
      </c>
      <c r="I9" s="102">
        <f>+G9/J17</f>
        <v>6.0753350188439033</v>
      </c>
      <c r="K9" s="14"/>
      <c r="L9"/>
    </row>
    <row r="10" spans="1:12" s="1" customFormat="1" ht="15" thickTop="1" x14ac:dyDescent="0.35">
      <c r="A10" s="57"/>
      <c r="B10"/>
      <c r="C10" s="18"/>
      <c r="D10" s="18"/>
      <c r="E10" s="66"/>
      <c r="F10" s="18"/>
      <c r="G10" s="66"/>
      <c r="J10" s="66"/>
      <c r="K10" s="14"/>
      <c r="L10"/>
    </row>
    <row r="11" spans="1:12" s="1" customFormat="1" ht="53" thickBot="1" x14ac:dyDescent="0.4">
      <c r="A11" s="57"/>
      <c r="B11" s="36" t="s">
        <v>55</v>
      </c>
      <c r="C11" s="82" t="s">
        <v>63</v>
      </c>
      <c r="D11" s="92" t="s">
        <v>57</v>
      </c>
      <c r="E11" s="82" t="s">
        <v>58</v>
      </c>
      <c r="F11" s="36" t="s">
        <v>56</v>
      </c>
      <c r="G11" s="57"/>
      <c r="I11" s="57"/>
      <c r="J11" s="66"/>
      <c r="K11" s="14"/>
      <c r="L11"/>
    </row>
    <row r="12" spans="1:12" s="1" customFormat="1" ht="15" thickBot="1" x14ac:dyDescent="0.4">
      <c r="A12" s="57"/>
      <c r="B12" s="298" t="s">
        <v>282</v>
      </c>
      <c r="C12" s="71">
        <v>0</v>
      </c>
      <c r="D12" s="68" t="s">
        <v>118</v>
      </c>
      <c r="E12" s="98">
        <f>ROUND(+C12*$J$17,0)</f>
        <v>0</v>
      </c>
      <c r="F12" s="61">
        <f t="shared" ref="F12:F17" si="0">+E12/$E$17</f>
        <v>0</v>
      </c>
      <c r="G12" s="57"/>
      <c r="H12" s="57"/>
      <c r="I12" s="57"/>
      <c r="J12" s="57"/>
      <c r="K12" s="57"/>
      <c r="L12" s="57"/>
    </row>
    <row r="13" spans="1:12" s="1" customFormat="1" ht="15" thickBot="1" x14ac:dyDescent="0.4">
      <c r="A13" s="57"/>
      <c r="B13" t="s">
        <v>280</v>
      </c>
      <c r="C13" s="71">
        <v>2</v>
      </c>
      <c r="D13" s="68" t="s">
        <v>118</v>
      </c>
      <c r="E13" s="98">
        <f>ROUND(+C13*$J$17,0)</f>
        <v>1233</v>
      </c>
      <c r="F13" s="61">
        <f t="shared" si="0"/>
        <v>0.32914656301379103</v>
      </c>
      <c r="G13" s="57"/>
      <c r="H13" s="118" t="s">
        <v>81</v>
      </c>
      <c r="I13" s="119"/>
      <c r="J13" s="120">
        <v>0.36</v>
      </c>
      <c r="L13"/>
    </row>
    <row r="14" spans="1:12" s="1" customFormat="1" ht="15" thickBot="1" x14ac:dyDescent="0.4">
      <c r="A14" s="57"/>
      <c r="B14" t="s">
        <v>59</v>
      </c>
      <c r="C14" s="94">
        <v>1</v>
      </c>
      <c r="D14" s="42">
        <v>8.5000000000000006E-2</v>
      </c>
      <c r="E14" s="103">
        <f>ROUND(+C14*$J$17,0)</f>
        <v>617</v>
      </c>
      <c r="F14" s="70">
        <f t="shared" si="0"/>
        <v>0.16470675537673077</v>
      </c>
      <c r="G14" s="57"/>
      <c r="L14"/>
    </row>
    <row r="15" spans="1:12" s="1" customFormat="1" x14ac:dyDescent="0.35">
      <c r="A15" s="57"/>
      <c r="B15" t="s">
        <v>78</v>
      </c>
      <c r="C15" s="95">
        <f>+E15/J17</f>
        <v>3.0003243593902047</v>
      </c>
      <c r="D15" s="42"/>
      <c r="E15" s="104">
        <f>+E14+E13</f>
        <v>1850</v>
      </c>
      <c r="F15" s="70">
        <f t="shared" si="0"/>
        <v>0.49385331839052177</v>
      </c>
      <c r="G15" s="57"/>
      <c r="H15" s="110" t="s">
        <v>114</v>
      </c>
      <c r="I15" s="111"/>
      <c r="J15" s="112">
        <f>+Historical!G12</f>
        <v>364.4</v>
      </c>
      <c r="L15"/>
    </row>
    <row r="16" spans="1:12" s="1" customFormat="1" x14ac:dyDescent="0.35">
      <c r="A16" s="57"/>
      <c r="B16" t="s">
        <v>60</v>
      </c>
      <c r="C16" s="72">
        <f>+E16/J17</f>
        <v>3.0750106594536986</v>
      </c>
      <c r="D16" s="63"/>
      <c r="E16" s="98">
        <f>+E17-E14-E13</f>
        <v>1896.0515726191502</v>
      </c>
      <c r="F16" s="61">
        <f t="shared" si="0"/>
        <v>0.50614668160947818</v>
      </c>
      <c r="G16" s="57"/>
      <c r="H16" s="113" t="s">
        <v>115</v>
      </c>
      <c r="I16" s="109"/>
      <c r="J16" s="114">
        <f>+Historical!G17</f>
        <v>252.2</v>
      </c>
      <c r="L16"/>
    </row>
    <row r="17" spans="1:12" s="1" customFormat="1" ht="15" thickBot="1" x14ac:dyDescent="0.4">
      <c r="A17" s="57"/>
      <c r="B17" t="s">
        <v>62</v>
      </c>
      <c r="C17" s="73">
        <f>+E17/J17</f>
        <v>6.0753350188439033</v>
      </c>
      <c r="D17" s="18"/>
      <c r="E17" s="99">
        <f>+G9</f>
        <v>3746.0515726191502</v>
      </c>
      <c r="F17" s="62">
        <f t="shared" si="0"/>
        <v>1</v>
      </c>
      <c r="G17" s="57"/>
      <c r="H17" s="115" t="s">
        <v>95</v>
      </c>
      <c r="I17" s="116"/>
      <c r="J17" s="117">
        <f>+J16+J15</f>
        <v>616.59999999999991</v>
      </c>
      <c r="L17"/>
    </row>
    <row r="18" spans="1:12" s="1" customFormat="1" x14ac:dyDescent="0.35">
      <c r="A18" s="57"/>
      <c r="B18"/>
      <c r="C18" s="18"/>
      <c r="D18" s="18"/>
      <c r="E18" s="18"/>
      <c r="F18" s="18"/>
      <c r="G18" s="66"/>
      <c r="H18" s="66"/>
      <c r="I18" s="66"/>
      <c r="J18" s="66"/>
      <c r="L18"/>
    </row>
    <row r="19" spans="1:12" s="1" customFormat="1" x14ac:dyDescent="0.35">
      <c r="B19"/>
      <c r="C19" s="18"/>
      <c r="D19" s="18"/>
      <c r="E19"/>
      <c r="G19" s="57"/>
      <c r="H19" s="57"/>
      <c r="I19" s="66"/>
      <c r="J19" s="66" t="s">
        <v>113</v>
      </c>
      <c r="L19" s="18"/>
    </row>
    <row r="20" spans="1:12" s="1" customFormat="1" x14ac:dyDescent="0.35">
      <c r="B20"/>
      <c r="C20" s="18"/>
      <c r="D20" s="18"/>
      <c r="E20"/>
      <c r="G20" s="57"/>
      <c r="I20" s="57"/>
      <c r="J20" s="57"/>
      <c r="K20" s="57"/>
    </row>
    <row r="21" spans="1:12" s="1" customFormat="1" x14ac:dyDescent="0.35">
      <c r="B21"/>
      <c r="C21" s="18"/>
      <c r="D21" s="18"/>
      <c r="E21"/>
      <c r="G21" s="57"/>
      <c r="I21" s="57"/>
      <c r="J21" s="57"/>
      <c r="K21" s="57"/>
    </row>
    <row r="22" spans="1:12" s="1" customFormat="1" x14ac:dyDescent="0.35">
      <c r="B22"/>
      <c r="C22" s="18"/>
      <c r="D22" s="18"/>
      <c r="E22"/>
      <c r="G22" s="57"/>
      <c r="I22" s="57"/>
      <c r="J22" s="57"/>
      <c r="K22" s="57"/>
    </row>
    <row r="23" spans="1:12" s="1" customFormat="1" x14ac:dyDescent="0.35">
      <c r="B23"/>
      <c r="C23" s="18"/>
      <c r="D23" s="18"/>
      <c r="E23"/>
      <c r="F23"/>
      <c r="G23" s="14"/>
      <c r="I23" s="57"/>
      <c r="J23" s="57"/>
      <c r="K23" s="57"/>
    </row>
    <row r="24" spans="1:12" s="1" customFormat="1" x14ac:dyDescent="0.35">
      <c r="B24"/>
      <c r="C24" s="18"/>
      <c r="D24" s="18"/>
      <c r="E24"/>
      <c r="F24"/>
      <c r="G24" s="14"/>
      <c r="I24" s="57"/>
      <c r="J24" s="57"/>
      <c r="K24" s="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33489-0BAF-482E-BE8C-39E0835E8220}">
  <dimension ref="B1:H47"/>
  <sheetViews>
    <sheetView showGridLines="0" topLeftCell="A23" workbookViewId="0">
      <selection activeCell="O42" sqref="O42"/>
    </sheetView>
  </sheetViews>
  <sheetFormatPr defaultRowHeight="14.5" x14ac:dyDescent="0.35"/>
  <cols>
    <col min="1" max="1" width="6.7265625" customWidth="1"/>
    <col min="2" max="2" width="31.54296875" customWidth="1"/>
    <col min="3" max="3" width="11.08984375" customWidth="1"/>
    <col min="4" max="4" width="4.81640625" customWidth="1"/>
    <col min="5" max="5" width="11.08984375" customWidth="1"/>
    <col min="6" max="6" width="11.26953125" customWidth="1"/>
    <col min="7" max="7" width="4.81640625" customWidth="1"/>
    <col min="8" max="8" width="11.7265625" customWidth="1"/>
  </cols>
  <sheetData>
    <row r="1" spans="2:8" ht="21" x14ac:dyDescent="0.5">
      <c r="B1" s="182" t="s">
        <v>319</v>
      </c>
    </row>
    <row r="3" spans="2:8" x14ac:dyDescent="0.35">
      <c r="H3" s="297" t="s">
        <v>273</v>
      </c>
    </row>
    <row r="4" spans="2:8" ht="43" customHeight="1" x14ac:dyDescent="0.35">
      <c r="B4" s="8" t="s">
        <v>255</v>
      </c>
      <c r="C4" s="295" t="s">
        <v>320</v>
      </c>
      <c r="D4" s="296"/>
      <c r="E4" s="420" t="s">
        <v>276</v>
      </c>
      <c r="F4" s="421"/>
      <c r="G4" s="293"/>
      <c r="H4" s="295" t="s">
        <v>321</v>
      </c>
    </row>
    <row r="5" spans="2:8" x14ac:dyDescent="0.35">
      <c r="C5" s="294">
        <v>2021</v>
      </c>
      <c r="D5" s="14"/>
      <c r="E5" s="294" t="s">
        <v>271</v>
      </c>
      <c r="F5" s="294" t="s">
        <v>272</v>
      </c>
      <c r="G5" s="14"/>
      <c r="H5" s="294">
        <f>+C5</f>
        <v>2021</v>
      </c>
    </row>
    <row r="6" spans="2:8" x14ac:dyDescent="0.35">
      <c r="F6" s="4"/>
    </row>
    <row r="7" spans="2:8" x14ac:dyDescent="0.35">
      <c r="B7" s="8" t="s">
        <v>254</v>
      </c>
      <c r="F7" s="4"/>
    </row>
    <row r="8" spans="2:8" x14ac:dyDescent="0.35">
      <c r="B8" s="4" t="s">
        <v>244</v>
      </c>
      <c r="C8" s="4">
        <v>48.6</v>
      </c>
      <c r="D8" s="4"/>
      <c r="E8" s="13"/>
      <c r="F8" s="4"/>
      <c r="H8" s="13">
        <f>+C8+E8-F8</f>
        <v>48.6</v>
      </c>
    </row>
    <row r="9" spans="2:8" x14ac:dyDescent="0.35">
      <c r="B9" s="4" t="s">
        <v>245</v>
      </c>
      <c r="C9" s="4">
        <v>635.79999999999995</v>
      </c>
      <c r="D9" s="4"/>
      <c r="E9" s="4"/>
      <c r="F9" s="4"/>
      <c r="H9" s="13">
        <f t="shared" ref="H9:H11" si="0">+C9+E9-F9</f>
        <v>635.79999999999995</v>
      </c>
    </row>
    <row r="10" spans="2:8" x14ac:dyDescent="0.35">
      <c r="B10" s="4" t="s">
        <v>246</v>
      </c>
      <c r="C10" s="4">
        <v>1419.9</v>
      </c>
      <c r="D10" s="4"/>
      <c r="E10" s="4"/>
      <c r="F10" s="4"/>
      <c r="H10" s="13">
        <f t="shared" si="0"/>
        <v>1419.9</v>
      </c>
    </row>
    <row r="11" spans="2:8" x14ac:dyDescent="0.35">
      <c r="B11" s="4" t="s">
        <v>247</v>
      </c>
      <c r="C11" s="6">
        <v>97</v>
      </c>
      <c r="D11" s="4"/>
      <c r="E11" s="4"/>
      <c r="F11" s="4"/>
      <c r="H11" s="13">
        <f t="shared" si="0"/>
        <v>97</v>
      </c>
    </row>
    <row r="12" spans="2:8" x14ac:dyDescent="0.35">
      <c r="B12" s="4" t="s">
        <v>248</v>
      </c>
      <c r="C12" s="197">
        <f>SUM(C8:C11)</f>
        <v>2201.3000000000002</v>
      </c>
      <c r="D12" s="4"/>
      <c r="E12" s="4"/>
      <c r="F12" s="4"/>
      <c r="H12" s="197">
        <f>SUM(H8:H11)</f>
        <v>2201.3000000000002</v>
      </c>
    </row>
    <row r="13" spans="2:8" x14ac:dyDescent="0.35">
      <c r="B13" s="4"/>
      <c r="C13" s="4"/>
      <c r="D13" s="4"/>
      <c r="E13" s="4"/>
      <c r="F13" s="4"/>
    </row>
    <row r="14" spans="2:8" x14ac:dyDescent="0.35">
      <c r="B14" s="4" t="s">
        <v>249</v>
      </c>
      <c r="C14" s="4">
        <v>1911.6</v>
      </c>
      <c r="D14" s="4"/>
      <c r="E14" s="4"/>
      <c r="F14" s="4"/>
      <c r="H14" s="13">
        <f t="shared" ref="H14:H19" si="1">+C14+E14-F14</f>
        <v>1911.6</v>
      </c>
    </row>
    <row r="15" spans="2:8" x14ac:dyDescent="0.35">
      <c r="B15" s="4" t="s">
        <v>250</v>
      </c>
      <c r="C15" s="4">
        <v>80.5</v>
      </c>
      <c r="D15" s="4"/>
      <c r="E15" s="4"/>
      <c r="F15" s="4"/>
      <c r="H15" s="13">
        <f t="shared" si="1"/>
        <v>80.5</v>
      </c>
    </row>
    <row r="16" spans="2:8" x14ac:dyDescent="0.35">
      <c r="B16" s="4" t="s">
        <v>251</v>
      </c>
      <c r="C16" s="4">
        <v>255</v>
      </c>
      <c r="D16" s="4"/>
      <c r="E16" s="4">
        <f>+'Transaction Sources &amp; Uses'!G6-'Proforma BS'!C43</f>
        <v>1213.2396836900004</v>
      </c>
      <c r="F16" s="4"/>
      <c r="H16" s="13">
        <f t="shared" si="1"/>
        <v>1468.2396836900004</v>
      </c>
    </row>
    <row r="17" spans="2:8" x14ac:dyDescent="0.35">
      <c r="B17" s="4" t="s">
        <v>286</v>
      </c>
      <c r="C17" s="4">
        <v>0</v>
      </c>
      <c r="D17" s="4"/>
      <c r="E17" s="4">
        <f>+'Transaction Sources &amp; Uses'!G8</f>
        <v>126.71188892915002</v>
      </c>
      <c r="F17" s="4"/>
      <c r="H17" s="13"/>
    </row>
    <row r="18" spans="2:8" x14ac:dyDescent="0.35">
      <c r="B18" s="4" t="s">
        <v>275</v>
      </c>
      <c r="C18" s="4">
        <v>43.9</v>
      </c>
      <c r="D18" s="4"/>
      <c r="E18" s="4"/>
      <c r="F18" s="4"/>
      <c r="H18" s="13">
        <f t="shared" si="1"/>
        <v>43.9</v>
      </c>
    </row>
    <row r="19" spans="2:8" x14ac:dyDescent="0.35">
      <c r="B19" s="4" t="s">
        <v>252</v>
      </c>
      <c r="C19" s="4">
        <v>23.4</v>
      </c>
      <c r="D19" s="4"/>
      <c r="E19" s="4"/>
      <c r="F19" s="4"/>
      <c r="H19" s="13">
        <f t="shared" si="1"/>
        <v>23.4</v>
      </c>
    </row>
    <row r="20" spans="2:8" ht="15" thickBot="1" x14ac:dyDescent="0.4">
      <c r="B20" s="4" t="s">
        <v>253</v>
      </c>
      <c r="C20" s="177">
        <f>SUM(C12:C19)</f>
        <v>4515.6999999999989</v>
      </c>
      <c r="D20" s="4"/>
      <c r="E20" s="4"/>
      <c r="F20" s="4"/>
      <c r="H20" s="177">
        <f>SUM(H12:H19)</f>
        <v>5728.9396836899996</v>
      </c>
    </row>
    <row r="21" spans="2:8" ht="15" thickTop="1" x14ac:dyDescent="0.35">
      <c r="B21" s="4"/>
      <c r="C21" s="4"/>
      <c r="D21" s="4"/>
      <c r="E21" s="4"/>
      <c r="F21" s="4"/>
    </row>
    <row r="22" spans="2:8" x14ac:dyDescent="0.35">
      <c r="B22" s="291" t="s">
        <v>256</v>
      </c>
      <c r="C22" s="4"/>
      <c r="D22" s="4"/>
      <c r="E22" s="4"/>
      <c r="F22" s="4"/>
    </row>
    <row r="23" spans="2:8" x14ac:dyDescent="0.35">
      <c r="B23" s="4" t="s">
        <v>257</v>
      </c>
      <c r="C23" s="4">
        <v>801</v>
      </c>
      <c r="D23" s="4"/>
      <c r="E23" s="4"/>
      <c r="F23" s="4"/>
      <c r="H23" s="13">
        <f>+C23-E23+F23</f>
        <v>801</v>
      </c>
    </row>
    <row r="24" spans="2:8" x14ac:dyDescent="0.35">
      <c r="B24" s="4" t="s">
        <v>258</v>
      </c>
      <c r="C24" s="4">
        <v>15.1</v>
      </c>
      <c r="D24" s="4"/>
      <c r="E24" s="4"/>
      <c r="F24" s="4"/>
      <c r="H24" s="13">
        <f t="shared" ref="H24:H25" si="2">+C24-E24+F24</f>
        <v>15.1</v>
      </c>
    </row>
    <row r="25" spans="2:8" x14ac:dyDescent="0.35">
      <c r="B25" s="4" t="s">
        <v>259</v>
      </c>
      <c r="C25" s="6">
        <v>0</v>
      </c>
      <c r="D25" s="4"/>
      <c r="E25" s="4"/>
      <c r="F25" s="4"/>
      <c r="H25" s="13">
        <f t="shared" si="2"/>
        <v>0</v>
      </c>
    </row>
    <row r="26" spans="2:8" x14ac:dyDescent="0.35">
      <c r="B26" s="4" t="s">
        <v>260</v>
      </c>
      <c r="C26" s="197">
        <f>SUM(C23:C25)</f>
        <v>816.1</v>
      </c>
      <c r="D26" s="4"/>
      <c r="E26" s="4"/>
      <c r="F26" s="4"/>
      <c r="H26" s="197">
        <f>SUM(H23:H25)</f>
        <v>816.1</v>
      </c>
    </row>
    <row r="27" spans="2:8" x14ac:dyDescent="0.35">
      <c r="B27" s="4"/>
      <c r="C27" s="4"/>
      <c r="D27" s="4"/>
      <c r="E27" s="4"/>
      <c r="F27" s="4"/>
    </row>
    <row r="28" spans="2:8" x14ac:dyDescent="0.35">
      <c r="B28" s="4" t="s">
        <v>277</v>
      </c>
      <c r="C28" s="4">
        <f>+'Transaction Sources &amp; Uses'!G7</f>
        <v>2354.1</v>
      </c>
      <c r="D28" s="4"/>
      <c r="E28" s="4">
        <f>+C28</f>
        <v>2354.1</v>
      </c>
      <c r="F28" s="4"/>
      <c r="H28" s="13">
        <f t="shared" ref="H28:H35" si="3">+C28-E28+F28</f>
        <v>0</v>
      </c>
    </row>
    <row r="29" spans="2:8" x14ac:dyDescent="0.35">
      <c r="B29" s="4" t="s">
        <v>281</v>
      </c>
      <c r="C29" s="4"/>
      <c r="D29" s="4"/>
      <c r="E29" s="4"/>
      <c r="F29" s="4">
        <f>+'Transaction Sources &amp; Uses'!E12</f>
        <v>0</v>
      </c>
      <c r="H29" s="13">
        <f t="shared" si="3"/>
        <v>0</v>
      </c>
    </row>
    <row r="30" spans="2:8" x14ac:dyDescent="0.35">
      <c r="B30" s="4" t="s">
        <v>280</v>
      </c>
      <c r="C30" s="4"/>
      <c r="D30" s="4"/>
      <c r="E30" s="4"/>
      <c r="F30" s="4">
        <f>+'Transaction Sources &amp; Uses'!E13</f>
        <v>1233</v>
      </c>
      <c r="H30" s="13">
        <f t="shared" si="3"/>
        <v>1233</v>
      </c>
    </row>
    <row r="31" spans="2:8" x14ac:dyDescent="0.35">
      <c r="B31" s="4" t="s">
        <v>278</v>
      </c>
      <c r="C31" s="4"/>
      <c r="D31" s="4"/>
      <c r="E31" s="4"/>
      <c r="F31" s="4">
        <f>+'Transaction Sources &amp; Uses'!E14</f>
        <v>617</v>
      </c>
      <c r="H31" s="13">
        <f t="shared" si="3"/>
        <v>617</v>
      </c>
    </row>
    <row r="32" spans="2:8" x14ac:dyDescent="0.35">
      <c r="B32" s="4" t="s">
        <v>279</v>
      </c>
      <c r="C32" s="197">
        <f>SUM(C28:C31)</f>
        <v>2354.1</v>
      </c>
      <c r="D32" s="4"/>
      <c r="E32" s="4"/>
      <c r="F32" s="4"/>
      <c r="H32" s="197">
        <f>SUM(H28:H31)</f>
        <v>1850</v>
      </c>
    </row>
    <row r="33" spans="2:8" x14ac:dyDescent="0.35">
      <c r="B33" s="4"/>
      <c r="C33" s="4"/>
      <c r="D33" s="4"/>
      <c r="E33" s="4"/>
      <c r="F33" s="4"/>
      <c r="H33" s="13"/>
    </row>
    <row r="34" spans="2:8" x14ac:dyDescent="0.35">
      <c r="B34" s="4" t="s">
        <v>261</v>
      </c>
      <c r="C34" s="4">
        <v>963.9</v>
      </c>
      <c r="D34" s="4"/>
      <c r="E34" s="4"/>
      <c r="F34" s="4"/>
      <c r="H34" s="13">
        <f t="shared" si="3"/>
        <v>963.9</v>
      </c>
    </row>
    <row r="35" spans="2:8" x14ac:dyDescent="0.35">
      <c r="B35" s="4" t="s">
        <v>262</v>
      </c>
      <c r="C35" s="6">
        <v>329.6</v>
      </c>
      <c r="D35" s="4"/>
      <c r="E35" s="4"/>
      <c r="F35" s="4"/>
      <c r="H35" s="13">
        <f t="shared" si="3"/>
        <v>329.6</v>
      </c>
    </row>
    <row r="36" spans="2:8" x14ac:dyDescent="0.35">
      <c r="B36" s="4" t="s">
        <v>263</v>
      </c>
      <c r="C36" s="197">
        <f>SUM(C32:C35)+C26</f>
        <v>4463.7</v>
      </c>
      <c r="D36" s="4"/>
      <c r="E36" s="4"/>
      <c r="F36" s="4"/>
      <c r="H36" s="197">
        <f>SUM(H32:H35)+H26</f>
        <v>3959.6</v>
      </c>
    </row>
    <row r="37" spans="2:8" x14ac:dyDescent="0.35">
      <c r="B37" s="4"/>
      <c r="C37" s="4"/>
      <c r="D37" s="4"/>
      <c r="E37" s="4"/>
      <c r="F37" s="4"/>
    </row>
    <row r="38" spans="2:8" x14ac:dyDescent="0.35">
      <c r="B38" s="291" t="s">
        <v>264</v>
      </c>
      <c r="F38" s="4"/>
    </row>
    <row r="39" spans="2:8" x14ac:dyDescent="0.35">
      <c r="B39" s="4" t="s">
        <v>265</v>
      </c>
      <c r="C39" s="4">
        <v>3.2</v>
      </c>
      <c r="E39" s="13">
        <f>+C39</f>
        <v>3.2</v>
      </c>
      <c r="F39" s="4">
        <f>+'Transaction Sources &amp; Uses'!E16</f>
        <v>1896.0515726191502</v>
      </c>
      <c r="H39" s="13">
        <f t="shared" ref="H39:H42" si="4">+C39-E39+F39</f>
        <v>1896.0515726191502</v>
      </c>
    </row>
    <row r="40" spans="2:8" x14ac:dyDescent="0.35">
      <c r="B40" s="4" t="s">
        <v>266</v>
      </c>
      <c r="C40" s="4">
        <v>-106.4</v>
      </c>
      <c r="E40" s="13">
        <f>+C40</f>
        <v>-106.4</v>
      </c>
      <c r="F40" s="4"/>
      <c r="H40" s="13">
        <f t="shared" si="4"/>
        <v>0</v>
      </c>
    </row>
    <row r="41" spans="2:8" x14ac:dyDescent="0.35">
      <c r="B41" s="4" t="s">
        <v>267</v>
      </c>
      <c r="C41" s="4">
        <v>2894.9</v>
      </c>
      <c r="E41" s="13">
        <f>+C41</f>
        <v>2894.9</v>
      </c>
      <c r="F41" s="4"/>
      <c r="H41" s="13">
        <f t="shared" si="4"/>
        <v>0</v>
      </c>
    </row>
    <row r="42" spans="2:8" x14ac:dyDescent="0.35">
      <c r="B42" s="4" t="s">
        <v>268</v>
      </c>
      <c r="C42" s="6">
        <v>-2739.7000000000007</v>
      </c>
      <c r="D42" s="13"/>
      <c r="E42" s="13">
        <f>+C42</f>
        <v>-2739.7000000000007</v>
      </c>
      <c r="F42" s="4"/>
      <c r="H42" s="13">
        <f t="shared" si="4"/>
        <v>0</v>
      </c>
    </row>
    <row r="43" spans="2:8" x14ac:dyDescent="0.35">
      <c r="B43" s="4" t="s">
        <v>269</v>
      </c>
      <c r="C43" s="197">
        <f>SUM(C39:C42)</f>
        <v>51.999999999999545</v>
      </c>
      <c r="F43" s="4"/>
      <c r="H43" s="197">
        <f>SUM(H39:H42)</f>
        <v>1896.0515726191502</v>
      </c>
    </row>
    <row r="44" spans="2:8" x14ac:dyDescent="0.35">
      <c r="F44" s="4"/>
    </row>
    <row r="45" spans="2:8" ht="15" thickBot="1" x14ac:dyDescent="0.4">
      <c r="B45" s="4" t="s">
        <v>270</v>
      </c>
      <c r="C45" s="292">
        <f>+C43+C36</f>
        <v>4515.6999999999989</v>
      </c>
      <c r="E45" s="177">
        <f>SUM(E6:E44)</f>
        <v>3746.0515726191497</v>
      </c>
      <c r="F45" s="177">
        <f>SUM(F6:F44)</f>
        <v>3746.0515726191502</v>
      </c>
      <c r="H45" s="292">
        <f>+H43+H36</f>
        <v>5855.6515726191501</v>
      </c>
    </row>
    <row r="46" spans="2:8" ht="15" thickTop="1" x14ac:dyDescent="0.35"/>
    <row r="47" spans="2:8" x14ac:dyDescent="0.35">
      <c r="H47" s="10" t="s">
        <v>284</v>
      </c>
    </row>
  </sheetData>
  <mergeCells count="1">
    <mergeCell ref="E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F009-A2FD-40EE-99CA-749B1D9CB433}">
  <dimension ref="A1:M27"/>
  <sheetViews>
    <sheetView showGridLines="0" workbookViewId="0">
      <selection activeCell="F7" sqref="F7:L7"/>
    </sheetView>
  </sheetViews>
  <sheetFormatPr defaultRowHeight="14.5" x14ac:dyDescent="0.35"/>
  <cols>
    <col min="1" max="1" width="3.54296875" customWidth="1"/>
    <col min="2" max="2" width="33.7265625" customWidth="1"/>
    <col min="3" max="3" width="10.7265625" customWidth="1"/>
    <col min="4" max="4" width="9.36328125" customWidth="1"/>
    <col min="5" max="5" width="10.36328125" customWidth="1"/>
    <col min="6" max="6" width="10.7265625" customWidth="1"/>
    <col min="7" max="7" width="10.7265625" style="14" customWidth="1"/>
    <col min="8" max="8" width="10.08984375" customWidth="1"/>
    <col min="9" max="9" width="9.7265625" style="14" customWidth="1"/>
    <col min="10" max="11" width="10.26953125" style="14" customWidth="1"/>
    <col min="12" max="12" width="11.54296875" customWidth="1"/>
    <col min="13" max="13" width="11.08984375" customWidth="1"/>
  </cols>
  <sheetData>
    <row r="1" spans="1:13" ht="18.5" x14ac:dyDescent="0.45">
      <c r="A1" s="14"/>
      <c r="B1" s="85" t="str">
        <f>+INPUT!B1</f>
        <v>Proud Steel Holding Corp. (PRST)</v>
      </c>
      <c r="C1" s="16"/>
    </row>
    <row r="3" spans="1:13" ht="15.5" x14ac:dyDescent="0.35">
      <c r="A3" s="14"/>
      <c r="B3" s="34" t="s">
        <v>122</v>
      </c>
      <c r="C3" s="35"/>
      <c r="D3" s="35"/>
      <c r="E3" s="35"/>
      <c r="F3" s="35"/>
      <c r="G3" s="96"/>
      <c r="H3" s="35"/>
      <c r="I3" s="96"/>
      <c r="J3" s="96"/>
      <c r="K3" s="96"/>
      <c r="L3" s="96"/>
      <c r="M3" s="96"/>
    </row>
    <row r="4" spans="1:13" s="1" customFormat="1" ht="29" customHeight="1" thickBot="1" x14ac:dyDescent="0.4">
      <c r="A4" s="57"/>
      <c r="B4" s="36" t="s">
        <v>69</v>
      </c>
      <c r="C4" s="36" t="s">
        <v>74</v>
      </c>
      <c r="D4" s="39" t="s">
        <v>44</v>
      </c>
      <c r="E4" s="131">
        <v>44561</v>
      </c>
      <c r="F4" s="40">
        <f>+E4+365</f>
        <v>44926</v>
      </c>
      <c r="G4" s="40">
        <f>+F4+365</f>
        <v>45291</v>
      </c>
      <c r="H4" s="40">
        <f>+G4+366</f>
        <v>45657</v>
      </c>
      <c r="I4" s="40">
        <f t="shared" ref="I4:M4" si="0">+H4+365</f>
        <v>46022</v>
      </c>
      <c r="J4" s="40">
        <f t="shared" si="0"/>
        <v>46387</v>
      </c>
      <c r="K4" s="40">
        <f>+J4+365</f>
        <v>46752</v>
      </c>
      <c r="L4" s="40">
        <f>+K4+366</f>
        <v>47118</v>
      </c>
      <c r="M4" s="40">
        <f t="shared" si="0"/>
        <v>47483</v>
      </c>
    </row>
    <row r="5" spans="1:13" s="1" customFormat="1" x14ac:dyDescent="0.35">
      <c r="A5" s="57"/>
      <c r="B5" s="8" t="s">
        <v>123</v>
      </c>
      <c r="C5" s="66">
        <v>7</v>
      </c>
      <c r="D5" s="136" t="s">
        <v>118</v>
      </c>
      <c r="E5" s="132"/>
      <c r="G5" s="57"/>
      <c r="I5" s="57"/>
      <c r="J5" s="57"/>
      <c r="K5" s="57"/>
    </row>
    <row r="6" spans="1:13" s="1" customFormat="1" x14ac:dyDescent="0.35">
      <c r="A6" s="57"/>
      <c r="B6" t="s">
        <v>70</v>
      </c>
      <c r="C6" s="66"/>
      <c r="D6" s="137"/>
      <c r="E6" s="133">
        <v>1233</v>
      </c>
      <c r="F6" s="122">
        <f t="shared" ref="F6:M6" si="1">+E6-F7</f>
        <v>1183</v>
      </c>
      <c r="G6" s="108">
        <f t="shared" si="1"/>
        <v>1108</v>
      </c>
      <c r="H6" s="122">
        <f t="shared" si="1"/>
        <v>1008</v>
      </c>
      <c r="I6" s="108">
        <f t="shared" si="1"/>
        <v>883</v>
      </c>
      <c r="J6" s="108">
        <f t="shared" si="1"/>
        <v>733</v>
      </c>
      <c r="K6" s="108">
        <f t="shared" si="1"/>
        <v>533</v>
      </c>
      <c r="L6" s="122">
        <f t="shared" si="1"/>
        <v>0</v>
      </c>
      <c r="M6" s="122">
        <f t="shared" si="1"/>
        <v>0</v>
      </c>
    </row>
    <row r="7" spans="1:13" s="1" customFormat="1" x14ac:dyDescent="0.35">
      <c r="A7" s="57"/>
      <c r="B7" t="s">
        <v>72</v>
      </c>
      <c r="C7" s="66"/>
      <c r="D7" s="137"/>
      <c r="E7" s="133"/>
      <c r="F7" s="77">
        <v>50</v>
      </c>
      <c r="G7" s="107">
        <v>75</v>
      </c>
      <c r="H7" s="77">
        <v>100</v>
      </c>
      <c r="I7" s="107">
        <v>125</v>
      </c>
      <c r="J7" s="107">
        <v>150</v>
      </c>
      <c r="K7" s="107">
        <v>200</v>
      </c>
      <c r="L7" s="77">
        <f>+K6</f>
        <v>533</v>
      </c>
      <c r="M7" s="77">
        <f>+L6</f>
        <v>0</v>
      </c>
    </row>
    <row r="8" spans="1:13" s="1" customFormat="1" x14ac:dyDescent="0.35">
      <c r="A8" s="57"/>
      <c r="B8" t="s">
        <v>73</v>
      </c>
      <c r="C8" s="66"/>
      <c r="D8" s="137"/>
      <c r="E8" s="134"/>
      <c r="F8" s="122">
        <f>+E6*F14</f>
        <v>83.227500000000006</v>
      </c>
      <c r="G8" s="122">
        <f t="shared" ref="G8:M8" si="2">+F6*G14</f>
        <v>85.767500000000013</v>
      </c>
      <c r="H8" s="122">
        <f t="shared" si="2"/>
        <v>91.410000000000011</v>
      </c>
      <c r="I8" s="122">
        <f t="shared" si="2"/>
        <v>83.160000000000011</v>
      </c>
      <c r="J8" s="122">
        <f t="shared" si="2"/>
        <v>72.847499999999997</v>
      </c>
      <c r="K8" s="122">
        <f t="shared" si="2"/>
        <v>60.472500000000004</v>
      </c>
      <c r="L8" s="122">
        <f t="shared" si="2"/>
        <v>43.972500000000004</v>
      </c>
      <c r="M8" s="122">
        <f t="shared" si="2"/>
        <v>0</v>
      </c>
    </row>
    <row r="9" spans="1:13" ht="15" thickBot="1" x14ac:dyDescent="0.4">
      <c r="A9" s="57"/>
      <c r="B9" t="s">
        <v>71</v>
      </c>
      <c r="C9" s="66"/>
      <c r="D9" s="137"/>
      <c r="E9" s="133"/>
      <c r="F9" s="123">
        <f t="shared" ref="F9:M9" si="3">+F8+F7</f>
        <v>133.22750000000002</v>
      </c>
      <c r="G9" s="124">
        <f t="shared" si="3"/>
        <v>160.76750000000001</v>
      </c>
      <c r="H9" s="123">
        <f t="shared" si="3"/>
        <v>191.41000000000003</v>
      </c>
      <c r="I9" s="124">
        <f t="shared" si="3"/>
        <v>208.16000000000003</v>
      </c>
      <c r="J9" s="124">
        <f t="shared" si="3"/>
        <v>222.8475</v>
      </c>
      <c r="K9" s="124">
        <f t="shared" si="3"/>
        <v>260.47250000000003</v>
      </c>
      <c r="L9" s="123">
        <f t="shared" si="3"/>
        <v>576.97249999999997</v>
      </c>
      <c r="M9" s="123">
        <f t="shared" si="3"/>
        <v>0</v>
      </c>
    </row>
    <row r="10" spans="1:13" x14ac:dyDescent="0.35">
      <c r="A10" s="57"/>
      <c r="C10" s="66"/>
      <c r="D10" s="137"/>
      <c r="E10" s="121"/>
      <c r="F10" s="60"/>
      <c r="G10" s="100"/>
      <c r="H10" s="60"/>
      <c r="I10" s="100"/>
      <c r="J10" s="100"/>
      <c r="K10" s="100"/>
      <c r="L10" s="60"/>
      <c r="M10" s="60"/>
    </row>
    <row r="11" spans="1:13" x14ac:dyDescent="0.35">
      <c r="A11" s="57"/>
      <c r="B11" t="s">
        <v>116</v>
      </c>
      <c r="C11" s="66"/>
      <c r="D11" s="137"/>
      <c r="E11" s="135">
        <v>2.2499999999999999E-2</v>
      </c>
      <c r="F11" s="61">
        <f>+E11+F12</f>
        <v>2.75E-2</v>
      </c>
      <c r="G11" s="61">
        <f t="shared" ref="G11:M11" si="4">+F11+G12</f>
        <v>3.2500000000000001E-2</v>
      </c>
      <c r="H11" s="61">
        <f t="shared" si="4"/>
        <v>4.2500000000000003E-2</v>
      </c>
      <c r="I11" s="61">
        <f t="shared" si="4"/>
        <v>4.2500000000000003E-2</v>
      </c>
      <c r="J11" s="61">
        <f t="shared" si="4"/>
        <v>4.2500000000000003E-2</v>
      </c>
      <c r="K11" s="61">
        <f t="shared" si="4"/>
        <v>4.2500000000000003E-2</v>
      </c>
      <c r="L11" s="61">
        <f t="shared" si="4"/>
        <v>4.2500000000000003E-2</v>
      </c>
      <c r="M11" s="61">
        <f t="shared" si="4"/>
        <v>4.2500000000000003E-2</v>
      </c>
    </row>
    <row r="12" spans="1:13" x14ac:dyDescent="0.35">
      <c r="A12" s="57"/>
      <c r="B12" t="s">
        <v>117</v>
      </c>
      <c r="C12" s="66"/>
      <c r="D12" s="137"/>
      <c r="E12" s="121"/>
      <c r="F12" s="61">
        <v>5.0000000000000001E-3</v>
      </c>
      <c r="G12" s="61">
        <v>5.0000000000000001E-3</v>
      </c>
      <c r="H12" s="61">
        <v>0.01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</row>
    <row r="13" spans="1:13" x14ac:dyDescent="0.35">
      <c r="A13" s="57"/>
      <c r="B13" t="s">
        <v>119</v>
      </c>
      <c r="C13" s="66"/>
      <c r="D13" s="137"/>
      <c r="E13" s="121"/>
      <c r="F13" s="61">
        <v>0.04</v>
      </c>
      <c r="G13" s="61">
        <f>+F13</f>
        <v>0.04</v>
      </c>
      <c r="H13" s="61">
        <f t="shared" ref="H13:M13" si="5">+G13</f>
        <v>0.04</v>
      </c>
      <c r="I13" s="61">
        <f t="shared" si="5"/>
        <v>0.04</v>
      </c>
      <c r="J13" s="61">
        <f t="shared" si="5"/>
        <v>0.04</v>
      </c>
      <c r="K13" s="61">
        <f t="shared" si="5"/>
        <v>0.04</v>
      </c>
      <c r="L13" s="61">
        <f t="shared" si="5"/>
        <v>0.04</v>
      </c>
      <c r="M13" s="61">
        <f t="shared" si="5"/>
        <v>0.04</v>
      </c>
    </row>
    <row r="14" spans="1:13" x14ac:dyDescent="0.35">
      <c r="A14" s="57"/>
      <c r="B14" t="s">
        <v>120</v>
      </c>
      <c r="C14" s="66"/>
      <c r="D14" s="137"/>
      <c r="E14" s="121"/>
      <c r="F14" s="61">
        <f>+F13+F11</f>
        <v>6.7500000000000004E-2</v>
      </c>
      <c r="G14" s="61">
        <f t="shared" ref="G14:M14" si="6">+G13+G11</f>
        <v>7.2500000000000009E-2</v>
      </c>
      <c r="H14" s="61">
        <f t="shared" si="6"/>
        <v>8.2500000000000004E-2</v>
      </c>
      <c r="I14" s="61">
        <f t="shared" si="6"/>
        <v>8.2500000000000004E-2</v>
      </c>
      <c r="J14" s="61">
        <f t="shared" si="6"/>
        <v>8.2500000000000004E-2</v>
      </c>
      <c r="K14" s="61">
        <f t="shared" si="6"/>
        <v>8.2500000000000004E-2</v>
      </c>
      <c r="L14" s="61">
        <f t="shared" si="6"/>
        <v>8.2500000000000004E-2</v>
      </c>
      <c r="M14" s="61">
        <f t="shared" si="6"/>
        <v>8.2500000000000004E-2</v>
      </c>
    </row>
    <row r="15" spans="1:13" x14ac:dyDescent="0.35">
      <c r="A15" s="57"/>
      <c r="C15" s="66"/>
      <c r="D15" s="137"/>
      <c r="E15" s="121"/>
      <c r="F15" s="60"/>
      <c r="G15" s="100"/>
      <c r="H15" s="60"/>
      <c r="I15" s="100"/>
      <c r="J15" s="100"/>
      <c r="K15" s="100"/>
      <c r="L15" s="60"/>
      <c r="M15" s="60"/>
    </row>
    <row r="16" spans="1:13" x14ac:dyDescent="0.35">
      <c r="A16" s="57"/>
      <c r="B16" s="8" t="s">
        <v>59</v>
      </c>
      <c r="C16" s="66">
        <v>8</v>
      </c>
      <c r="D16" s="138">
        <v>8.5000000000000006E-2</v>
      </c>
      <c r="E16" s="132"/>
      <c r="F16" s="1"/>
      <c r="G16" s="57"/>
      <c r="H16" s="1"/>
      <c r="I16" s="57"/>
      <c r="J16" s="57"/>
      <c r="K16" s="57"/>
      <c r="L16" s="1"/>
      <c r="M16" s="1"/>
    </row>
    <row r="17" spans="1:13" x14ac:dyDescent="0.35">
      <c r="A17" s="57"/>
      <c r="B17" t="s">
        <v>70</v>
      </c>
      <c r="C17" s="66"/>
      <c r="D17" s="137"/>
      <c r="E17" s="133">
        <v>617</v>
      </c>
      <c r="F17" s="122">
        <f t="shared" ref="F17:M17" si="7">+E17-F18</f>
        <v>617</v>
      </c>
      <c r="G17" s="108">
        <f t="shared" si="7"/>
        <v>617</v>
      </c>
      <c r="H17" s="122">
        <f t="shared" si="7"/>
        <v>617</v>
      </c>
      <c r="I17" s="108">
        <f t="shared" si="7"/>
        <v>617</v>
      </c>
      <c r="J17" s="108">
        <f t="shared" si="7"/>
        <v>617</v>
      </c>
      <c r="K17" s="108">
        <f t="shared" si="7"/>
        <v>617</v>
      </c>
      <c r="L17" s="122">
        <f t="shared" si="7"/>
        <v>617</v>
      </c>
      <c r="M17" s="122">
        <f t="shared" si="7"/>
        <v>0</v>
      </c>
    </row>
    <row r="18" spans="1:13" x14ac:dyDescent="0.35">
      <c r="A18" s="57"/>
      <c r="B18" t="s">
        <v>72</v>
      </c>
      <c r="C18" s="66"/>
      <c r="D18" s="137"/>
      <c r="E18" s="133"/>
      <c r="F18" s="122">
        <v>0</v>
      </c>
      <c r="G18" s="108">
        <v>0</v>
      </c>
      <c r="H18" s="122">
        <v>0</v>
      </c>
      <c r="I18" s="108">
        <v>0</v>
      </c>
      <c r="J18" s="108">
        <v>0</v>
      </c>
      <c r="K18" s="108">
        <v>0</v>
      </c>
      <c r="L18" s="122">
        <v>0</v>
      </c>
      <c r="M18" s="122">
        <f>+L17</f>
        <v>617</v>
      </c>
    </row>
    <row r="19" spans="1:13" x14ac:dyDescent="0.35">
      <c r="A19" s="57"/>
      <c r="B19" t="s">
        <v>73</v>
      </c>
      <c r="C19" s="66"/>
      <c r="D19" s="137"/>
      <c r="E19" s="134"/>
      <c r="F19" s="122">
        <f>+E17*D16</f>
        <v>52.445</v>
      </c>
      <c r="G19" s="108">
        <f t="shared" ref="G19:M19" si="8">+F17*$D$16</f>
        <v>52.445</v>
      </c>
      <c r="H19" s="122">
        <f t="shared" si="8"/>
        <v>52.445</v>
      </c>
      <c r="I19" s="108">
        <f t="shared" si="8"/>
        <v>52.445</v>
      </c>
      <c r="J19" s="108">
        <f t="shared" si="8"/>
        <v>52.445</v>
      </c>
      <c r="K19" s="108">
        <f t="shared" si="8"/>
        <v>52.445</v>
      </c>
      <c r="L19" s="122">
        <f t="shared" si="8"/>
        <v>52.445</v>
      </c>
      <c r="M19" s="122">
        <f t="shared" si="8"/>
        <v>52.445</v>
      </c>
    </row>
    <row r="20" spans="1:13" ht="15" thickBot="1" x14ac:dyDescent="0.4">
      <c r="A20" s="57"/>
      <c r="B20" t="s">
        <v>71</v>
      </c>
      <c r="C20" s="66"/>
      <c r="D20" s="137"/>
      <c r="E20" s="133"/>
      <c r="F20" s="125">
        <f t="shared" ref="F20:M20" si="9">+F19+F18</f>
        <v>52.445</v>
      </c>
      <c r="G20" s="126">
        <f t="shared" si="9"/>
        <v>52.445</v>
      </c>
      <c r="H20" s="125">
        <f t="shared" si="9"/>
        <v>52.445</v>
      </c>
      <c r="I20" s="126">
        <f t="shared" si="9"/>
        <v>52.445</v>
      </c>
      <c r="J20" s="126">
        <f t="shared" si="9"/>
        <v>52.445</v>
      </c>
      <c r="K20" s="126">
        <f t="shared" si="9"/>
        <v>52.445</v>
      </c>
      <c r="L20" s="125">
        <f t="shared" si="9"/>
        <v>52.445</v>
      </c>
      <c r="M20" s="125">
        <f t="shared" si="9"/>
        <v>669.44500000000005</v>
      </c>
    </row>
    <row r="21" spans="1:13" x14ac:dyDescent="0.35">
      <c r="A21" s="57"/>
      <c r="C21" s="18"/>
      <c r="D21" s="67"/>
      <c r="E21" s="121"/>
      <c r="F21" s="18"/>
      <c r="G21" s="66"/>
      <c r="H21" s="18"/>
      <c r="I21" s="66"/>
      <c r="J21" s="66"/>
      <c r="K21" s="66"/>
      <c r="L21" s="18"/>
      <c r="M21" s="18"/>
    </row>
    <row r="22" spans="1:13" x14ac:dyDescent="0.35">
      <c r="A22" s="57"/>
      <c r="B22" t="s">
        <v>93</v>
      </c>
      <c r="C22" s="18"/>
      <c r="D22" s="67"/>
      <c r="E22" s="121"/>
      <c r="F22" s="127">
        <f t="shared" ref="F22:M22" si="10">+F8+F19</f>
        <v>135.67250000000001</v>
      </c>
      <c r="G22" s="128">
        <f t="shared" si="10"/>
        <v>138.21250000000001</v>
      </c>
      <c r="H22" s="127">
        <f t="shared" si="10"/>
        <v>143.85500000000002</v>
      </c>
      <c r="I22" s="128">
        <f t="shared" si="10"/>
        <v>135.60500000000002</v>
      </c>
      <c r="J22" s="128">
        <f t="shared" si="10"/>
        <v>125.29249999999999</v>
      </c>
      <c r="K22" s="128">
        <f t="shared" si="10"/>
        <v>112.9175</v>
      </c>
      <c r="L22" s="127">
        <f t="shared" si="10"/>
        <v>96.417500000000004</v>
      </c>
      <c r="M22" s="127">
        <f t="shared" si="10"/>
        <v>52.445</v>
      </c>
    </row>
    <row r="23" spans="1:13" x14ac:dyDescent="0.35">
      <c r="A23" s="57"/>
      <c r="B23" t="s">
        <v>94</v>
      </c>
      <c r="C23" s="18"/>
      <c r="D23" s="67"/>
      <c r="E23" s="121"/>
      <c r="F23" s="127">
        <f t="shared" ref="F23:M23" si="11">+F7+F18</f>
        <v>50</v>
      </c>
      <c r="G23" s="128">
        <f t="shared" si="11"/>
        <v>75</v>
      </c>
      <c r="H23" s="127">
        <f t="shared" si="11"/>
        <v>100</v>
      </c>
      <c r="I23" s="128">
        <f t="shared" si="11"/>
        <v>125</v>
      </c>
      <c r="J23" s="128">
        <f t="shared" si="11"/>
        <v>150</v>
      </c>
      <c r="K23" s="128">
        <f t="shared" si="11"/>
        <v>200</v>
      </c>
      <c r="L23" s="127">
        <f t="shared" si="11"/>
        <v>533</v>
      </c>
      <c r="M23" s="127">
        <f t="shared" si="11"/>
        <v>617</v>
      </c>
    </row>
    <row r="24" spans="1:13" x14ac:dyDescent="0.35">
      <c r="A24" s="57"/>
      <c r="B24" t="s">
        <v>75</v>
      </c>
      <c r="C24" s="18"/>
      <c r="D24" s="67"/>
      <c r="E24" s="121"/>
      <c r="F24" s="129">
        <f>+F23+F22</f>
        <v>185.67250000000001</v>
      </c>
      <c r="G24" s="130">
        <f t="shared" ref="G24:M24" si="12">+G23+G22</f>
        <v>213.21250000000001</v>
      </c>
      <c r="H24" s="129">
        <f t="shared" si="12"/>
        <v>243.85500000000002</v>
      </c>
      <c r="I24" s="130">
        <f t="shared" si="12"/>
        <v>260.60500000000002</v>
      </c>
      <c r="J24" s="130">
        <f t="shared" si="12"/>
        <v>275.29250000000002</v>
      </c>
      <c r="K24" s="130">
        <f t="shared" si="12"/>
        <v>312.91750000000002</v>
      </c>
      <c r="L24" s="129">
        <f t="shared" si="12"/>
        <v>629.41750000000002</v>
      </c>
      <c r="M24" s="129">
        <f t="shared" si="12"/>
        <v>669.44500000000005</v>
      </c>
    </row>
    <row r="25" spans="1:13" x14ac:dyDescent="0.35">
      <c r="A25" s="57"/>
      <c r="B25" t="s">
        <v>76</v>
      </c>
      <c r="C25" s="18"/>
      <c r="D25" s="67"/>
      <c r="E25" s="121"/>
      <c r="F25" s="127">
        <f t="shared" ref="F25:M25" si="13">+F17+F6</f>
        <v>1800</v>
      </c>
      <c r="G25" s="128">
        <f t="shared" si="13"/>
        <v>1725</v>
      </c>
      <c r="H25" s="127">
        <f t="shared" si="13"/>
        <v>1625</v>
      </c>
      <c r="I25" s="128">
        <f t="shared" si="13"/>
        <v>1500</v>
      </c>
      <c r="J25" s="128">
        <f t="shared" si="13"/>
        <v>1350</v>
      </c>
      <c r="K25" s="128">
        <f t="shared" si="13"/>
        <v>1150</v>
      </c>
      <c r="L25" s="127">
        <f t="shared" si="13"/>
        <v>617</v>
      </c>
      <c r="M25" s="127">
        <f t="shared" si="13"/>
        <v>0</v>
      </c>
    </row>
    <row r="27" spans="1:13" x14ac:dyDescent="0.35">
      <c r="L27" s="10"/>
      <c r="M27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2D64-880B-4E8D-AC5E-4A6177DF0CD7}">
  <dimension ref="A1:O44"/>
  <sheetViews>
    <sheetView showGridLines="0" workbookViewId="0">
      <selection activeCell="D27" sqref="D27"/>
    </sheetView>
  </sheetViews>
  <sheetFormatPr defaultRowHeight="14.5" x14ac:dyDescent="0.35"/>
  <cols>
    <col min="1" max="1" width="8.81640625" customWidth="1"/>
    <col min="2" max="2" width="32.90625" customWidth="1"/>
    <col min="3" max="6" width="10.453125" customWidth="1"/>
    <col min="7" max="7" width="11.90625" customWidth="1"/>
    <col min="8" max="8" width="12.7265625" customWidth="1"/>
    <col min="9" max="14" width="10.453125" customWidth="1"/>
  </cols>
  <sheetData>
    <row r="1" spans="1:15" ht="18.5" x14ac:dyDescent="0.45">
      <c r="A1" s="14"/>
      <c r="B1" s="85" t="str">
        <f>+INPUT!B1</f>
        <v>Proud Steel Holding Corp. (PRST)</v>
      </c>
      <c r="G1" s="16"/>
    </row>
    <row r="2" spans="1:15" ht="10.5" customHeight="1" x14ac:dyDescent="0.35">
      <c r="A2" s="14"/>
      <c r="B2" s="17"/>
      <c r="G2" s="16"/>
    </row>
    <row r="3" spans="1:15" ht="16" thickBot="1" x14ac:dyDescent="0.4">
      <c r="A3" s="14"/>
      <c r="B3" s="34" t="s">
        <v>124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181"/>
      <c r="N3" s="35"/>
    </row>
    <row r="4" spans="1:15" ht="11.5" customHeight="1" x14ac:dyDescent="0.4">
      <c r="A4" s="14"/>
      <c r="B4" s="15"/>
      <c r="F4" s="141" t="s">
        <v>29</v>
      </c>
      <c r="I4" s="142">
        <v>1</v>
      </c>
      <c r="J4" s="142">
        <v>2</v>
      </c>
      <c r="K4" s="142">
        <v>3</v>
      </c>
      <c r="L4" s="142">
        <v>4</v>
      </c>
      <c r="M4" s="169">
        <v>5</v>
      </c>
      <c r="N4" s="142">
        <v>6</v>
      </c>
    </row>
    <row r="5" spans="1:15" ht="15" thickBot="1" x14ac:dyDescent="0.4">
      <c r="A5" s="14"/>
      <c r="B5" t="s">
        <v>137</v>
      </c>
      <c r="C5" s="424" t="s">
        <v>127</v>
      </c>
      <c r="D5" s="423"/>
      <c r="E5" s="423"/>
      <c r="F5" s="425"/>
      <c r="G5" s="146" t="s">
        <v>30</v>
      </c>
      <c r="H5" s="146" t="s">
        <v>128</v>
      </c>
      <c r="I5" s="422" t="s">
        <v>126</v>
      </c>
      <c r="J5" s="423"/>
      <c r="K5" s="423"/>
      <c r="L5" s="423"/>
      <c r="M5" s="2" t="s">
        <v>0</v>
      </c>
    </row>
    <row r="6" spans="1:15" ht="30" customHeight="1" thickBot="1" x14ac:dyDescent="0.4">
      <c r="A6" s="14"/>
      <c r="C6" s="167">
        <v>43465</v>
      </c>
      <c r="D6" s="167">
        <v>43830</v>
      </c>
      <c r="E6" s="167">
        <v>44196</v>
      </c>
      <c r="F6" s="168">
        <v>44561</v>
      </c>
      <c r="G6" s="69" t="s">
        <v>125</v>
      </c>
      <c r="H6" s="69" t="s">
        <v>129</v>
      </c>
      <c r="I6" s="40">
        <f>+F6+365</f>
        <v>44926</v>
      </c>
      <c r="J6" s="40">
        <f>+I6+365</f>
        <v>45291</v>
      </c>
      <c r="K6" s="40">
        <f>+J6+366</f>
        <v>45657</v>
      </c>
      <c r="L6" s="40">
        <f>+K6+365</f>
        <v>46022</v>
      </c>
      <c r="M6" s="41">
        <f>+L6+365</f>
        <v>46387</v>
      </c>
      <c r="N6" s="40">
        <f>+M6+365</f>
        <v>46752</v>
      </c>
    </row>
    <row r="7" spans="1:15" x14ac:dyDescent="0.35">
      <c r="A7" s="14"/>
      <c r="B7" t="s">
        <v>96</v>
      </c>
      <c r="C7" s="4">
        <f>+Historical!D5</f>
        <v>6692.9</v>
      </c>
      <c r="D7" s="4">
        <f>+Historical!E5</f>
        <v>5882.5</v>
      </c>
      <c r="E7" s="4">
        <f>+Historical!F5</f>
        <v>6080.5</v>
      </c>
      <c r="F7" s="161">
        <f>+Historical!G5</f>
        <v>6818.2</v>
      </c>
      <c r="G7" s="147"/>
      <c r="H7" s="147"/>
      <c r="I7" s="4">
        <f>+F7*(1+I8)</f>
        <v>7090.9279999999999</v>
      </c>
      <c r="J7" s="4">
        <f t="shared" ref="J7:N7" si="0">+I7*(1+J8)</f>
        <v>7374.5651200000002</v>
      </c>
      <c r="K7" s="4">
        <f t="shared" si="0"/>
        <v>7669.5477248000007</v>
      </c>
      <c r="L7" s="4">
        <f t="shared" si="0"/>
        <v>7976.329633792001</v>
      </c>
      <c r="M7" s="5">
        <f t="shared" si="0"/>
        <v>8295.3828191436805</v>
      </c>
      <c r="N7" s="4">
        <f t="shared" si="0"/>
        <v>8627.1981319094284</v>
      </c>
    </row>
    <row r="8" spans="1:15" x14ac:dyDescent="0.35">
      <c r="A8" s="14"/>
      <c r="B8" t="s">
        <v>136</v>
      </c>
      <c r="C8" s="144"/>
      <c r="D8" s="145">
        <f>+D7/C7-1</f>
        <v>-0.12108353628471957</v>
      </c>
      <c r="E8" s="145">
        <f t="shared" ref="E8:F8" si="1">+E7/D7-1</f>
        <v>3.3659158521037069E-2</v>
      </c>
      <c r="F8" s="157">
        <f t="shared" si="1"/>
        <v>0.1213222596825918</v>
      </c>
      <c r="G8" s="153">
        <f>AVERAGE(C8:F8)</f>
        <v>1.1299293972969767E-2</v>
      </c>
      <c r="H8" s="148"/>
      <c r="I8" s="43">
        <v>0.04</v>
      </c>
      <c r="J8" s="43">
        <v>0.04</v>
      </c>
      <c r="K8" s="43">
        <v>0.04</v>
      </c>
      <c r="L8" s="43">
        <v>0.04</v>
      </c>
      <c r="M8" s="44">
        <v>0.04</v>
      </c>
      <c r="N8" s="43">
        <v>0.04</v>
      </c>
    </row>
    <row r="9" spans="1:15" x14ac:dyDescent="0.35">
      <c r="A9" s="14"/>
      <c r="B9" t="s">
        <v>99</v>
      </c>
      <c r="C9" s="4">
        <f>-Historical!D8</f>
        <v>-6032</v>
      </c>
      <c r="D9" s="4">
        <f>-Historical!E8</f>
        <v>-5064.7</v>
      </c>
      <c r="E9" s="4">
        <f>-Historical!F8</f>
        <v>-5359.7</v>
      </c>
      <c r="F9" s="161">
        <f>-Historical!G8</f>
        <v>-5911</v>
      </c>
      <c r="G9" s="154">
        <f>-SUM(C9:F9)/SUM(C7:F7)</f>
        <v>0.87804475918678182</v>
      </c>
      <c r="H9" s="148">
        <v>0.87</v>
      </c>
      <c r="I9" s="4">
        <f t="shared" ref="I9:N9" si="2">-$H$9*I7</f>
        <v>-6169.10736</v>
      </c>
      <c r="J9" s="4">
        <f t="shared" si="2"/>
        <v>-6415.8716543999999</v>
      </c>
      <c r="K9" s="4">
        <f t="shared" si="2"/>
        <v>-6672.5065205760002</v>
      </c>
      <c r="L9" s="4">
        <f t="shared" si="2"/>
        <v>-6939.4067813990405</v>
      </c>
      <c r="M9" s="5">
        <f t="shared" si="2"/>
        <v>-7216.9830526550022</v>
      </c>
      <c r="N9" s="4">
        <f t="shared" si="2"/>
        <v>-7505.662374761203</v>
      </c>
    </row>
    <row r="10" spans="1:15" x14ac:dyDescent="0.35">
      <c r="A10" s="14"/>
      <c r="B10" t="s">
        <v>32</v>
      </c>
      <c r="C10" s="6">
        <f>-(C7+C9-C11)</f>
        <v>-574.19999999999959</v>
      </c>
      <c r="D10" s="6">
        <f t="shared" ref="D10:F10" si="3">-(D7+D9-D11)</f>
        <v>-587.60000000000014</v>
      </c>
      <c r="E10" s="6">
        <f t="shared" si="3"/>
        <v>-500.80000000000018</v>
      </c>
      <c r="F10" s="166">
        <f t="shared" si="3"/>
        <v>-542.79999999999984</v>
      </c>
      <c r="G10" s="149">
        <f>-SUM(C10:F10)/SUM(C7:F7)</f>
        <v>8.657420674331967E-2</v>
      </c>
      <c r="H10" s="149">
        <v>0.08</v>
      </c>
      <c r="I10" s="6">
        <f t="shared" ref="I10:N10" si="4">-$H$10*I7</f>
        <v>-567.27423999999996</v>
      </c>
      <c r="J10" s="6">
        <f t="shared" si="4"/>
        <v>-589.96520959999998</v>
      </c>
      <c r="K10" s="6">
        <f t="shared" si="4"/>
        <v>-613.56381798400002</v>
      </c>
      <c r="L10" s="6">
        <f t="shared" si="4"/>
        <v>-638.10637070336008</v>
      </c>
      <c r="M10" s="7">
        <f t="shared" si="4"/>
        <v>-663.6306255314945</v>
      </c>
      <c r="N10" s="6">
        <f t="shared" si="4"/>
        <v>-690.17585055275424</v>
      </c>
    </row>
    <row r="11" spans="1:15" x14ac:dyDescent="0.35">
      <c r="A11" s="14"/>
      <c r="B11" t="s">
        <v>33</v>
      </c>
      <c r="C11" s="60">
        <f>+Historical!D12</f>
        <v>86.7</v>
      </c>
      <c r="D11" s="60">
        <f>+Historical!E12</f>
        <v>230.2</v>
      </c>
      <c r="E11" s="60">
        <f>+Historical!F12</f>
        <v>220</v>
      </c>
      <c r="F11" s="158">
        <f>+Historical!G12</f>
        <v>364.4</v>
      </c>
      <c r="G11" s="150"/>
      <c r="H11" s="150"/>
      <c r="I11" s="4">
        <f t="shared" ref="I11:N11" si="5">+I7+I9+I10</f>
        <v>354.54639999999995</v>
      </c>
      <c r="J11" s="4">
        <f t="shared" si="5"/>
        <v>368.72825600000033</v>
      </c>
      <c r="K11" s="4">
        <f t="shared" si="5"/>
        <v>383.47738624000044</v>
      </c>
      <c r="L11" s="4">
        <f t="shared" si="5"/>
        <v>398.81648168960044</v>
      </c>
      <c r="M11" s="5">
        <f t="shared" si="5"/>
        <v>414.76914095718382</v>
      </c>
      <c r="N11" s="4">
        <f t="shared" si="5"/>
        <v>431.35990659547122</v>
      </c>
      <c r="O11" s="13"/>
    </row>
    <row r="12" spans="1:15" x14ac:dyDescent="0.35">
      <c r="A12" s="14"/>
      <c r="B12" t="s">
        <v>3</v>
      </c>
      <c r="C12" s="60"/>
      <c r="D12" s="60"/>
      <c r="E12" s="60"/>
      <c r="F12" s="158"/>
      <c r="G12" s="150"/>
      <c r="H12" s="151"/>
      <c r="I12" s="6">
        <f>+'Debt Schedule'!F22</f>
        <v>135.67250000000001</v>
      </c>
      <c r="J12" s="6">
        <f>+'Debt Schedule'!G22</f>
        <v>138.21250000000001</v>
      </c>
      <c r="K12" s="6">
        <f>+'Debt Schedule'!H22</f>
        <v>143.85500000000002</v>
      </c>
      <c r="L12" s="6">
        <f>+'Debt Schedule'!I22</f>
        <v>135.60500000000002</v>
      </c>
      <c r="M12" s="7">
        <f>+'Debt Schedule'!J22</f>
        <v>125.29249999999999</v>
      </c>
      <c r="N12" s="6">
        <f>+'Debt Schedule'!K22</f>
        <v>112.9175</v>
      </c>
      <c r="O12" s="13"/>
    </row>
    <row r="13" spans="1:15" x14ac:dyDescent="0.35">
      <c r="A13" s="14"/>
      <c r="B13" t="s">
        <v>65</v>
      </c>
      <c r="C13" s="60"/>
      <c r="D13" s="60"/>
      <c r="E13" s="60"/>
      <c r="F13" s="158"/>
      <c r="G13" s="150"/>
      <c r="H13" s="150"/>
      <c r="I13" s="6">
        <f t="shared" ref="I13:N13" si="6">+I11+I12</f>
        <v>490.21889999999996</v>
      </c>
      <c r="J13" s="6">
        <f t="shared" si="6"/>
        <v>506.94075600000031</v>
      </c>
      <c r="K13" s="6">
        <f t="shared" si="6"/>
        <v>527.33238624000046</v>
      </c>
      <c r="L13" s="6">
        <f t="shared" si="6"/>
        <v>534.42148168960045</v>
      </c>
      <c r="M13" s="7">
        <f t="shared" si="6"/>
        <v>540.06164095718384</v>
      </c>
      <c r="N13" s="6">
        <f t="shared" si="6"/>
        <v>544.27740659547123</v>
      </c>
      <c r="O13" s="13"/>
    </row>
    <row r="14" spans="1:15" x14ac:dyDescent="0.35">
      <c r="A14" s="14"/>
      <c r="B14" t="s">
        <v>34</v>
      </c>
      <c r="C14" s="60"/>
      <c r="D14" s="60"/>
      <c r="E14" s="60"/>
      <c r="F14" s="158"/>
      <c r="G14" s="148"/>
      <c r="H14" s="148">
        <v>0.36</v>
      </c>
      <c r="I14" s="4">
        <f t="shared" ref="I14:N14" si="7">-$H$14*I13</f>
        <v>-176.47880399999997</v>
      </c>
      <c r="J14" s="4">
        <f t="shared" si="7"/>
        <v>-182.4986721600001</v>
      </c>
      <c r="K14" s="4">
        <f t="shared" si="7"/>
        <v>-189.83965904640016</v>
      </c>
      <c r="L14" s="4">
        <f t="shared" si="7"/>
        <v>-192.39173340825616</v>
      </c>
      <c r="M14" s="5">
        <f t="shared" si="7"/>
        <v>-194.42219074458617</v>
      </c>
      <c r="N14" s="4">
        <f t="shared" si="7"/>
        <v>-195.93986637436964</v>
      </c>
    </row>
    <row r="15" spans="1:15" x14ac:dyDescent="0.35">
      <c r="A15" s="14"/>
      <c r="B15" t="s">
        <v>66</v>
      </c>
      <c r="C15" s="60"/>
      <c r="D15" s="60"/>
      <c r="E15" s="60"/>
      <c r="F15" s="158"/>
      <c r="G15" s="148"/>
      <c r="H15" s="148"/>
      <c r="I15" s="4">
        <f t="shared" ref="I15:N15" si="8">+I13+I14</f>
        <v>313.74009599999999</v>
      </c>
      <c r="J15" s="4">
        <f t="shared" si="8"/>
        <v>324.44208384000024</v>
      </c>
      <c r="K15" s="4">
        <f t="shared" si="8"/>
        <v>337.49272719360033</v>
      </c>
      <c r="L15" s="4">
        <f t="shared" si="8"/>
        <v>342.02974828134427</v>
      </c>
      <c r="M15" s="5">
        <f t="shared" si="8"/>
        <v>345.63945021259769</v>
      </c>
      <c r="N15" s="4">
        <f t="shared" si="8"/>
        <v>348.33754022110156</v>
      </c>
    </row>
    <row r="16" spans="1:15" x14ac:dyDescent="0.35">
      <c r="A16" s="14"/>
      <c r="B16" t="s">
        <v>4</v>
      </c>
      <c r="C16" s="122">
        <f>+Historical!D17</f>
        <v>237.2</v>
      </c>
      <c r="D16" s="122">
        <f>+Historical!E17</f>
        <v>235</v>
      </c>
      <c r="E16" s="122">
        <f>+Historical!F17</f>
        <v>250.1</v>
      </c>
      <c r="F16" s="156">
        <f>+Historical!G17</f>
        <v>252.2</v>
      </c>
      <c r="G16" s="148">
        <f>SUM(C16:F16)/SUM(C7:F7)</f>
        <v>3.8254540886626019E-2</v>
      </c>
      <c r="H16" s="148">
        <f>+G16</f>
        <v>3.8254540886626019E-2</v>
      </c>
      <c r="I16" s="4">
        <f t="shared" ref="I16:N16" si="9">+$H$16*I7</f>
        <v>271.26019510012128</v>
      </c>
      <c r="J16" s="4">
        <f t="shared" si="9"/>
        <v>282.1106029041261</v>
      </c>
      <c r="K16" s="4">
        <f t="shared" si="9"/>
        <v>293.3950270202912</v>
      </c>
      <c r="L16" s="4">
        <f t="shared" si="9"/>
        <v>305.13082810110285</v>
      </c>
      <c r="M16" s="5">
        <f t="shared" si="9"/>
        <v>317.33606122514692</v>
      </c>
      <c r="N16" s="4">
        <f t="shared" si="9"/>
        <v>330.02950367415286</v>
      </c>
    </row>
    <row r="17" spans="1:14" x14ac:dyDescent="0.35">
      <c r="A17" s="14"/>
      <c r="B17" t="s">
        <v>109</v>
      </c>
      <c r="C17" s="143"/>
      <c r="D17" s="143"/>
      <c r="E17" s="143"/>
      <c r="F17" s="159"/>
      <c r="G17" s="148"/>
      <c r="H17" s="152" t="s">
        <v>77</v>
      </c>
      <c r="I17" s="4">
        <f>+'Transaction Sources &amp; Uses'!$G$8/7</f>
        <v>18.101698418450002</v>
      </c>
      <c r="J17" s="4">
        <f>+'Transaction Sources &amp; Uses'!$G$8/7</f>
        <v>18.101698418450002</v>
      </c>
      <c r="K17" s="4">
        <f>+'Transaction Sources &amp; Uses'!$G$8/7</f>
        <v>18.101698418450002</v>
      </c>
      <c r="L17" s="4">
        <f>+'Transaction Sources &amp; Uses'!$G$8/7</f>
        <v>18.101698418450002</v>
      </c>
      <c r="M17" s="5">
        <f>+'Transaction Sources &amp; Uses'!$G$8/7</f>
        <v>18.101698418450002</v>
      </c>
      <c r="N17" s="4">
        <f>+'Transaction Sources &amp; Uses'!$G$8/7</f>
        <v>18.101698418450002</v>
      </c>
    </row>
    <row r="18" spans="1:14" x14ac:dyDescent="0.35">
      <c r="A18" s="14"/>
      <c r="B18" t="s">
        <v>35</v>
      </c>
      <c r="C18" s="122">
        <f>+Historical!D18</f>
        <v>-99</v>
      </c>
      <c r="D18" s="122">
        <f>+Historical!E18</f>
        <v>-127.6</v>
      </c>
      <c r="E18" s="122">
        <f>+Historical!F18</f>
        <v>-152.5</v>
      </c>
      <c r="F18" s="156">
        <f>+Historical!G18</f>
        <v>-152</v>
      </c>
      <c r="G18" s="148">
        <f>-SUM(C18:F18)/SUM(C7:F7)</f>
        <v>2.0848626644317168E-2</v>
      </c>
      <c r="H18" s="148">
        <f>+G18</f>
        <v>2.0848626644317168E-2</v>
      </c>
      <c r="I18" s="175">
        <f t="shared" ref="I18:N18" si="10">-$H$18*I7</f>
        <v>-147.83611043373463</v>
      </c>
      <c r="J18" s="6">
        <f t="shared" si="10"/>
        <v>-153.74955485108404</v>
      </c>
      <c r="K18" s="6">
        <f t="shared" si="10"/>
        <v>-159.8995370451274</v>
      </c>
      <c r="L18" s="6">
        <f t="shared" si="10"/>
        <v>-166.29551852693251</v>
      </c>
      <c r="M18" s="7">
        <f t="shared" si="10"/>
        <v>-172.94733926800978</v>
      </c>
      <c r="N18" s="6">
        <f t="shared" si="10"/>
        <v>-179.86523283873021</v>
      </c>
    </row>
    <row r="19" spans="1:14" ht="15" customHeight="1" x14ac:dyDescent="0.35">
      <c r="A19" s="14"/>
      <c r="B19" t="s">
        <v>67</v>
      </c>
      <c r="C19" s="65"/>
      <c r="D19" s="65"/>
      <c r="E19" s="65"/>
      <c r="F19" s="160"/>
      <c r="G19" s="132"/>
      <c r="H19" s="132"/>
      <c r="I19" s="65">
        <f t="shared" ref="I19:N19" si="11">SUM(I15:I18)</f>
        <v>455.26587908483674</v>
      </c>
      <c r="J19" s="65">
        <f t="shared" si="11"/>
        <v>470.90483031149228</v>
      </c>
      <c r="K19" s="65">
        <f t="shared" si="11"/>
        <v>489.08991558721414</v>
      </c>
      <c r="L19" s="65">
        <f t="shared" si="11"/>
        <v>498.96675627396462</v>
      </c>
      <c r="M19" s="163">
        <f t="shared" si="11"/>
        <v>508.12987058818493</v>
      </c>
      <c r="N19" s="65">
        <f t="shared" si="11"/>
        <v>516.60350947497432</v>
      </c>
    </row>
    <row r="20" spans="1:14" ht="15" customHeight="1" x14ac:dyDescent="0.35">
      <c r="A20" s="14"/>
      <c r="B20" t="s">
        <v>68</v>
      </c>
      <c r="C20" s="4"/>
      <c r="D20" s="4"/>
      <c r="E20" s="4"/>
      <c r="F20" s="161"/>
      <c r="G20" s="132"/>
      <c r="H20" s="132"/>
      <c r="I20" s="175">
        <f>-'Debt Schedule'!F23</f>
        <v>-50</v>
      </c>
      <c r="J20" s="6">
        <f>-'Debt Schedule'!G23</f>
        <v>-75</v>
      </c>
      <c r="K20" s="6">
        <f>-'Debt Schedule'!H23</f>
        <v>-100</v>
      </c>
      <c r="L20" s="6">
        <f>-'Debt Schedule'!I23</f>
        <v>-125</v>
      </c>
      <c r="M20" s="7">
        <f>-'Debt Schedule'!J23</f>
        <v>-150</v>
      </c>
      <c r="N20" s="6">
        <f>-'Debt Schedule'!K23</f>
        <v>-200</v>
      </c>
    </row>
    <row r="21" spans="1:14" ht="15" customHeight="1" thickBot="1" x14ac:dyDescent="0.4">
      <c r="A21" s="14"/>
      <c r="B21" t="s">
        <v>5</v>
      </c>
      <c r="C21" s="4"/>
      <c r="D21" s="4"/>
      <c r="E21" s="4"/>
      <c r="F21" s="161"/>
      <c r="G21" s="132"/>
      <c r="H21" s="132"/>
      <c r="I21" s="176">
        <f t="shared" ref="I21:N21" si="12">+I19+I20</f>
        <v>405.26587908483674</v>
      </c>
      <c r="J21" s="177">
        <f t="shared" si="12"/>
        <v>395.90483031149228</v>
      </c>
      <c r="K21" s="177">
        <f t="shared" si="12"/>
        <v>389.08991558721414</v>
      </c>
      <c r="L21" s="177">
        <f t="shared" si="12"/>
        <v>373.96675627396462</v>
      </c>
      <c r="M21" s="178">
        <f t="shared" si="12"/>
        <v>358.12987058818493</v>
      </c>
      <c r="N21" s="177">
        <f t="shared" si="12"/>
        <v>316.60350947497432</v>
      </c>
    </row>
    <row r="22" spans="1:14" ht="15" customHeight="1" thickTop="1" x14ac:dyDescent="0.35">
      <c r="A22" s="14"/>
      <c r="C22" s="4"/>
      <c r="D22" s="4"/>
      <c r="E22" s="4"/>
      <c r="F22" s="161"/>
      <c r="G22" s="132"/>
      <c r="H22" s="132"/>
      <c r="I22" s="4"/>
      <c r="J22" s="4"/>
      <c r="K22" s="4"/>
      <c r="L22" s="4"/>
      <c r="M22" s="5"/>
      <c r="N22" s="4"/>
    </row>
    <row r="23" spans="1:14" ht="15" customHeight="1" x14ac:dyDescent="0.35">
      <c r="A23" s="14"/>
      <c r="B23" t="s">
        <v>1</v>
      </c>
      <c r="F23" s="162">
        <f t="shared" ref="F23:N23" si="13">+F11+F16</f>
        <v>616.59999999999991</v>
      </c>
      <c r="G23" s="132"/>
      <c r="H23" s="132"/>
      <c r="I23" s="55">
        <f t="shared" si="13"/>
        <v>625.80659510012129</v>
      </c>
      <c r="J23" s="55">
        <f t="shared" si="13"/>
        <v>650.83885890412648</v>
      </c>
      <c r="K23" s="55">
        <f t="shared" si="13"/>
        <v>676.87241326029164</v>
      </c>
      <c r="L23" s="55">
        <f t="shared" si="13"/>
        <v>703.94730979070323</v>
      </c>
      <c r="M23" s="164">
        <f t="shared" si="13"/>
        <v>732.10520218233069</v>
      </c>
      <c r="N23" s="55">
        <f t="shared" si="13"/>
        <v>761.38941026962402</v>
      </c>
    </row>
    <row r="24" spans="1:14" ht="12" customHeight="1" x14ac:dyDescent="0.35">
      <c r="A24" s="14"/>
      <c r="B24" s="3" t="s">
        <v>80</v>
      </c>
      <c r="C24" s="3"/>
      <c r="D24" s="3"/>
      <c r="E24" s="3"/>
      <c r="F24" s="162"/>
      <c r="G24" s="155"/>
      <c r="H24" s="3"/>
      <c r="I24" s="55">
        <f>+'Debt Schedule'!F25</f>
        <v>1800</v>
      </c>
      <c r="J24" s="55">
        <f>+'Debt Schedule'!G25</f>
        <v>1725</v>
      </c>
      <c r="K24" s="55">
        <f>+'Debt Schedule'!H25</f>
        <v>1625</v>
      </c>
      <c r="L24" s="55">
        <f>+'Debt Schedule'!I25</f>
        <v>1500</v>
      </c>
      <c r="M24" s="164">
        <f>+'Debt Schedule'!J25</f>
        <v>1350</v>
      </c>
      <c r="N24" s="55">
        <f>+'Debt Schedule'!K25</f>
        <v>1150</v>
      </c>
    </row>
    <row r="25" spans="1:14" ht="7.5" customHeight="1" x14ac:dyDescent="0.35">
      <c r="A25" s="14"/>
      <c r="M25" s="9"/>
    </row>
    <row r="26" spans="1:14" ht="15" thickBot="1" x14ac:dyDescent="0.4">
      <c r="A26" s="14"/>
      <c r="B26" s="45" t="s">
        <v>36</v>
      </c>
      <c r="F26" s="47" t="s">
        <v>37</v>
      </c>
      <c r="G26" s="46" t="s">
        <v>31</v>
      </c>
      <c r="M26" s="9"/>
    </row>
    <row r="27" spans="1:14" x14ac:dyDescent="0.35">
      <c r="A27" s="14"/>
      <c r="B27" t="s">
        <v>38</v>
      </c>
      <c r="F27" s="48"/>
      <c r="G27" s="38">
        <f>+'Transaction Sources &amp; Uses'!I9</f>
        <v>6.0753350188439033</v>
      </c>
      <c r="I27" s="26" t="s">
        <v>39</v>
      </c>
      <c r="M27" s="11">
        <f>+$G$27*M23</f>
        <v>4447.7843722961097</v>
      </c>
    </row>
    <row r="28" spans="1:14" ht="15" thickBot="1" x14ac:dyDescent="0.4">
      <c r="A28" s="14"/>
      <c r="B28" t="s">
        <v>40</v>
      </c>
      <c r="F28" s="50">
        <f>+N8</f>
        <v>0.04</v>
      </c>
      <c r="G28" s="49">
        <v>0.1</v>
      </c>
      <c r="H28" s="26" t="s">
        <v>135</v>
      </c>
      <c r="I28" s="26" t="s">
        <v>130</v>
      </c>
      <c r="M28" s="165">
        <f>+(N19-N12)/(G28-F28)</f>
        <v>6728.1001579162375</v>
      </c>
    </row>
    <row r="29" spans="1:14" x14ac:dyDescent="0.35">
      <c r="A29" s="14"/>
      <c r="B29" t="s">
        <v>28</v>
      </c>
      <c r="F29" s="51"/>
      <c r="M29" s="5">
        <f>+(M27+M28)/2</f>
        <v>5587.9422651061741</v>
      </c>
    </row>
    <row r="30" spans="1:14" x14ac:dyDescent="0.35">
      <c r="A30" s="14"/>
      <c r="B30" t="s">
        <v>41</v>
      </c>
      <c r="F30" s="13"/>
      <c r="M30" s="11">
        <f>-M24</f>
        <v>-1350</v>
      </c>
    </row>
    <row r="31" spans="1:14" x14ac:dyDescent="0.35">
      <c r="A31" s="14"/>
      <c r="B31" t="s">
        <v>42</v>
      </c>
      <c r="F31" s="13"/>
      <c r="M31" s="12">
        <v>0</v>
      </c>
    </row>
    <row r="32" spans="1:14" x14ac:dyDescent="0.35">
      <c r="A32" s="14"/>
      <c r="B32" t="s">
        <v>43</v>
      </c>
      <c r="M32" s="11">
        <f>+M30+M29</f>
        <v>4237.9422651061741</v>
      </c>
    </row>
    <row r="33" spans="1:14" ht="15" thickBot="1" x14ac:dyDescent="0.4">
      <c r="A33" s="14"/>
      <c r="M33" s="11"/>
    </row>
    <row r="34" spans="1:14" ht="15" thickBot="1" x14ac:dyDescent="0.4">
      <c r="A34" s="14"/>
      <c r="B34" t="s">
        <v>92</v>
      </c>
      <c r="G34" s="81">
        <v>0.3</v>
      </c>
      <c r="M34" s="9"/>
    </row>
    <row r="35" spans="1:14" ht="15" thickBot="1" x14ac:dyDescent="0.4">
      <c r="A35" s="14"/>
      <c r="B35" s="52" t="s">
        <v>5</v>
      </c>
      <c r="C35" s="139"/>
      <c r="D35" s="139"/>
      <c r="E35" s="139"/>
      <c r="F35" s="37"/>
      <c r="G35" s="53"/>
      <c r="H35" s="37">
        <f>-'Transaction Sources &amp; Uses'!E16</f>
        <v>-1896.0515726191502</v>
      </c>
      <c r="I35" s="37">
        <f>+I21</f>
        <v>405.26587908483674</v>
      </c>
      <c r="J35" s="37">
        <f>+J21</f>
        <v>395.90483031149228</v>
      </c>
      <c r="K35" s="37">
        <f>+K21</f>
        <v>389.08991558721414</v>
      </c>
      <c r="L35" s="37">
        <f>+L21</f>
        <v>373.96675627396462</v>
      </c>
      <c r="M35" s="170">
        <f>+M21+M32</f>
        <v>4596.0721356943586</v>
      </c>
    </row>
    <row r="36" spans="1:14" ht="15" thickTop="1" x14ac:dyDescent="0.35">
      <c r="A36" s="14"/>
      <c r="C36" s="140"/>
      <c r="D36" s="140"/>
      <c r="E36" s="140"/>
      <c r="F36" s="54"/>
      <c r="G36" s="54" t="s">
        <v>287</v>
      </c>
      <c r="H36" s="54"/>
      <c r="I36" s="65">
        <f>+I35/((1+$G$34)^I4)</f>
        <v>311.74298391141286</v>
      </c>
      <c r="J36" s="65">
        <f t="shared" ref="J36:M36" si="14">+J35/((1+$G$34)^J4)</f>
        <v>234.26321320206642</v>
      </c>
      <c r="K36" s="65">
        <f t="shared" si="14"/>
        <v>177.10055329413476</v>
      </c>
      <c r="L36" s="65">
        <f t="shared" si="14"/>
        <v>130.93615639297101</v>
      </c>
      <c r="M36" s="65">
        <f t="shared" si="14"/>
        <v>1237.855853919777</v>
      </c>
      <c r="N36" s="54"/>
    </row>
    <row r="37" spans="1:14" x14ac:dyDescent="0.35">
      <c r="A37" s="14"/>
      <c r="F37" s="54"/>
      <c r="G37" s="54"/>
      <c r="H37" s="54"/>
      <c r="I37" s="54"/>
      <c r="J37" s="54"/>
      <c r="K37" s="54"/>
      <c r="L37" s="54"/>
      <c r="M37" s="54"/>
      <c r="N37" s="54"/>
    </row>
    <row r="38" spans="1:14" x14ac:dyDescent="0.35">
      <c r="A38" s="14"/>
      <c r="F38" s="173" t="s">
        <v>131</v>
      </c>
      <c r="G38" s="171">
        <f>SUM(I36:M36)</f>
        <v>2091.8987607203621</v>
      </c>
      <c r="I38" s="20"/>
    </row>
    <row r="39" spans="1:14" x14ac:dyDescent="0.35">
      <c r="A39" s="14"/>
      <c r="F39" s="173" t="s">
        <v>132</v>
      </c>
      <c r="G39" s="172">
        <f>+H35</f>
        <v>-1896.0515726191502</v>
      </c>
    </row>
    <row r="40" spans="1:14" x14ac:dyDescent="0.35">
      <c r="A40" s="14"/>
      <c r="F40" s="171" t="s">
        <v>133</v>
      </c>
      <c r="G40" s="174">
        <f>+G38+G39</f>
        <v>195.84718810121194</v>
      </c>
    </row>
    <row r="41" spans="1:14" ht="15" thickBot="1" x14ac:dyDescent="0.4">
      <c r="A41" s="14"/>
    </row>
    <row r="42" spans="1:14" ht="15" thickBot="1" x14ac:dyDescent="0.4">
      <c r="A42" s="14"/>
      <c r="F42" s="179" t="s">
        <v>134</v>
      </c>
      <c r="G42" s="180">
        <f>IRR(H35:M35)</f>
        <v>0.33402931054821772</v>
      </c>
    </row>
    <row r="44" spans="1:14" x14ac:dyDescent="0.35">
      <c r="N44" s="10" t="s">
        <v>285</v>
      </c>
    </row>
  </sheetData>
  <mergeCells count="2">
    <mergeCell ref="I5:L5"/>
    <mergeCell ref="C5:F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B79E7-68EF-4FD8-ADC0-DB57B0DE0512}">
  <dimension ref="A1:L26"/>
  <sheetViews>
    <sheetView showGridLines="0" topLeftCell="A10" workbookViewId="0">
      <selection activeCell="C24" sqref="C24"/>
    </sheetView>
  </sheetViews>
  <sheetFormatPr defaultRowHeight="14.5" x14ac:dyDescent="0.35"/>
  <cols>
    <col min="1" max="1" width="5.26953125" customWidth="1"/>
    <col min="2" max="2" width="28" customWidth="1"/>
    <col min="3" max="3" width="12.7265625" customWidth="1"/>
    <col min="4" max="4" width="10.54296875" customWidth="1"/>
    <col min="5" max="5" width="11.36328125" customWidth="1"/>
    <col min="6" max="6" width="11.1796875" customWidth="1"/>
    <col min="9" max="9" width="10.6328125" customWidth="1"/>
    <col min="13" max="13" width="2.1796875" customWidth="1"/>
  </cols>
  <sheetData>
    <row r="1" spans="1:12" ht="20" x14ac:dyDescent="0.4">
      <c r="A1" s="14"/>
      <c r="B1" s="15" t="str">
        <f>+INPUT!B1</f>
        <v>Proud Steel Holding Corp. (PRST)</v>
      </c>
      <c r="C1" s="16"/>
    </row>
    <row r="2" spans="1:12" ht="10.5" customHeight="1" x14ac:dyDescent="0.35">
      <c r="A2" s="14"/>
      <c r="B2" s="17" t="s">
        <v>6</v>
      </c>
      <c r="C2" s="16"/>
    </row>
    <row r="3" spans="1:12" ht="10.5" customHeight="1" x14ac:dyDescent="0.35">
      <c r="A3" s="14"/>
      <c r="B3" s="17"/>
      <c r="C3" s="16"/>
    </row>
    <row r="4" spans="1:12" ht="15.5" x14ac:dyDescent="0.35">
      <c r="A4" s="14"/>
      <c r="B4" s="222" t="s">
        <v>203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20" x14ac:dyDescent="0.4">
      <c r="A5" s="14"/>
      <c r="B5" s="223"/>
    </row>
    <row r="6" spans="1:12" ht="11.25" customHeight="1" x14ac:dyDescent="0.35">
      <c r="A6" s="14"/>
      <c r="B6" s="3"/>
      <c r="D6" s="224" t="s">
        <v>174</v>
      </c>
      <c r="E6" s="224" t="s">
        <v>175</v>
      </c>
      <c r="F6" s="224" t="s">
        <v>176</v>
      </c>
      <c r="G6" s="224" t="s">
        <v>177</v>
      </c>
      <c r="H6" s="224" t="s">
        <v>178</v>
      </c>
      <c r="I6" s="225" t="s">
        <v>179</v>
      </c>
      <c r="J6" s="224" t="s">
        <v>180</v>
      </c>
      <c r="K6" s="224" t="s">
        <v>181</v>
      </c>
    </row>
    <row r="7" spans="1:12" ht="15" thickBot="1" x14ac:dyDescent="0.4">
      <c r="A7" s="14"/>
      <c r="B7" s="3"/>
      <c r="D7" s="14"/>
      <c r="E7" s="14"/>
      <c r="F7" s="14"/>
      <c r="G7" s="14"/>
      <c r="H7" s="14"/>
    </row>
    <row r="8" spans="1:12" ht="40" thickBot="1" x14ac:dyDescent="0.4">
      <c r="A8" s="14"/>
      <c r="B8" s="226" t="s">
        <v>182</v>
      </c>
      <c r="C8" s="227" t="s">
        <v>183</v>
      </c>
      <c r="D8" s="228" t="str">
        <f>+'[1]Method #1'!D8</f>
        <v xml:space="preserve">Stock Price </v>
      </c>
      <c r="E8" s="228" t="s">
        <v>184</v>
      </c>
      <c r="F8" s="228" t="s">
        <v>185</v>
      </c>
      <c r="G8" s="229" t="s">
        <v>186</v>
      </c>
      <c r="H8" s="230" t="s">
        <v>187</v>
      </c>
      <c r="I8" s="231" t="s">
        <v>188</v>
      </c>
      <c r="J8" s="229" t="s">
        <v>189</v>
      </c>
      <c r="K8" s="232" t="s">
        <v>190</v>
      </c>
      <c r="L8" s="233" t="s">
        <v>191</v>
      </c>
    </row>
    <row r="9" spans="1:12" ht="15.65" customHeight="1" x14ac:dyDescent="0.35">
      <c r="A9" s="14"/>
      <c r="B9" s="234" t="s">
        <v>192</v>
      </c>
      <c r="C9" s="235" t="s">
        <v>193</v>
      </c>
      <c r="D9" s="264">
        <v>22.93</v>
      </c>
      <c r="E9" s="236">
        <v>177270</v>
      </c>
      <c r="F9" s="236">
        <f t="shared" ref="F9:F13" si="0">+E9*D9</f>
        <v>4064801.1</v>
      </c>
      <c r="G9" s="253">
        <v>2500000</v>
      </c>
      <c r="H9" s="254">
        <v>1340000</v>
      </c>
      <c r="I9" s="237">
        <f t="shared" ref="I9:I13" si="1">+F9+G9-H9</f>
        <v>5224801.0999999996</v>
      </c>
      <c r="J9" s="253">
        <v>1360000</v>
      </c>
      <c r="K9" s="238">
        <f t="shared" ref="K9:K13" si="2">+I9/J9</f>
        <v>3.841765514705882</v>
      </c>
      <c r="L9" s="255">
        <v>4.04</v>
      </c>
    </row>
    <row r="10" spans="1:12" x14ac:dyDescent="0.35">
      <c r="A10" s="14"/>
      <c r="B10" s="234" t="s">
        <v>173</v>
      </c>
      <c r="C10" s="235" t="s">
        <v>194</v>
      </c>
      <c r="D10" s="264">
        <v>35.119999999999997</v>
      </c>
      <c r="E10" s="236">
        <v>229550</v>
      </c>
      <c r="F10" s="236">
        <f t="shared" si="0"/>
        <v>8061795.9999999991</v>
      </c>
      <c r="G10" s="253">
        <v>2370000</v>
      </c>
      <c r="H10" s="254">
        <v>999320</v>
      </c>
      <c r="I10" s="237">
        <f t="shared" si="1"/>
        <v>9432476</v>
      </c>
      <c r="J10" s="253">
        <v>1860000</v>
      </c>
      <c r="K10" s="238">
        <f t="shared" si="2"/>
        <v>5.0712236559139781</v>
      </c>
      <c r="L10" s="255">
        <v>1.5</v>
      </c>
    </row>
    <row r="11" spans="1:12" x14ac:dyDescent="0.35">
      <c r="A11" s="14"/>
      <c r="B11" s="239" t="s">
        <v>195</v>
      </c>
      <c r="C11" s="240" t="s">
        <v>196</v>
      </c>
      <c r="D11" s="265">
        <v>79.989999999999995</v>
      </c>
      <c r="E11" s="256">
        <v>70430</v>
      </c>
      <c r="F11" s="236">
        <f t="shared" si="0"/>
        <v>5633695.6999999993</v>
      </c>
      <c r="G11" s="257">
        <v>2070000</v>
      </c>
      <c r="H11" s="258">
        <v>112100</v>
      </c>
      <c r="I11" s="237">
        <f t="shared" si="1"/>
        <v>7591595.6999999993</v>
      </c>
      <c r="J11" s="257">
        <v>1180000</v>
      </c>
      <c r="K11" s="238">
        <f t="shared" si="2"/>
        <v>6.4335556779661012</v>
      </c>
      <c r="L11" s="255">
        <v>1.08</v>
      </c>
    </row>
    <row r="12" spans="1:12" x14ac:dyDescent="0.35">
      <c r="A12" s="14"/>
      <c r="B12" s="239" t="s">
        <v>197</v>
      </c>
      <c r="C12" s="241" t="s">
        <v>198</v>
      </c>
      <c r="D12" s="265">
        <v>26.66</v>
      </c>
      <c r="E12" s="256">
        <v>25690</v>
      </c>
      <c r="F12" s="236">
        <f t="shared" si="0"/>
        <v>684895.4</v>
      </c>
      <c r="G12" s="257">
        <v>107380</v>
      </c>
      <c r="H12" s="258">
        <v>4700</v>
      </c>
      <c r="I12" s="237">
        <f t="shared" si="1"/>
        <v>787575.4</v>
      </c>
      <c r="J12" s="257">
        <v>195020</v>
      </c>
      <c r="K12" s="238">
        <f t="shared" si="2"/>
        <v>4.0384340067685365</v>
      </c>
      <c r="L12" s="255">
        <v>0.78</v>
      </c>
    </row>
    <row r="13" spans="1:12" x14ac:dyDescent="0.35">
      <c r="A13" s="14"/>
      <c r="B13" s="239" t="s">
        <v>199</v>
      </c>
      <c r="C13" s="241" t="s">
        <v>200</v>
      </c>
      <c r="D13" s="265">
        <v>18.190000000000001</v>
      </c>
      <c r="E13" s="256">
        <v>11010</v>
      </c>
      <c r="F13" s="236">
        <f t="shared" si="0"/>
        <v>200271.90000000002</v>
      </c>
      <c r="G13" s="257">
        <v>304480</v>
      </c>
      <c r="H13" s="258">
        <v>4270</v>
      </c>
      <c r="I13" s="237">
        <f t="shared" si="1"/>
        <v>500481.9</v>
      </c>
      <c r="J13" s="257">
        <v>70450</v>
      </c>
      <c r="K13" s="238">
        <f t="shared" si="2"/>
        <v>7.1040723917672111</v>
      </c>
      <c r="L13" s="255">
        <v>2.52</v>
      </c>
    </row>
    <row r="14" spans="1:12" ht="15" thickBot="1" x14ac:dyDescent="0.4">
      <c r="A14" s="14"/>
      <c r="B14" s="1"/>
      <c r="C14" s="1"/>
      <c r="D14" s="266"/>
      <c r="E14" s="1"/>
      <c r="F14" s="1"/>
      <c r="G14" s="1"/>
      <c r="H14" s="1"/>
      <c r="I14" s="1"/>
      <c r="J14" s="1"/>
      <c r="K14" s="1"/>
      <c r="L14" s="57"/>
    </row>
    <row r="15" spans="1:12" ht="15" thickBot="1" x14ac:dyDescent="0.4">
      <c r="A15" s="14"/>
      <c r="B15" s="242" t="str">
        <f>+B1</f>
        <v>Proud Steel Holding Corp. (PRST)</v>
      </c>
      <c r="C15" s="243" t="s">
        <v>316</v>
      </c>
      <c r="D15" s="267">
        <v>3</v>
      </c>
      <c r="E15" s="244">
        <v>315540</v>
      </c>
      <c r="F15" s="244">
        <f>+E15*D15</f>
        <v>946620</v>
      </c>
      <c r="G15" s="245">
        <v>2354100</v>
      </c>
      <c r="H15" s="246">
        <v>48600</v>
      </c>
      <c r="I15" s="247">
        <f>+G15+F15-H15</f>
        <v>3252120</v>
      </c>
      <c r="J15" s="245">
        <v>616600</v>
      </c>
      <c r="K15" s="248">
        <f>+I15/J15</f>
        <v>5.2742783003567952</v>
      </c>
      <c r="L15" s="259">
        <f>+[1]INPUT!G14</f>
        <v>2.91</v>
      </c>
    </row>
    <row r="16" spans="1:12" x14ac:dyDescent="0.35">
      <c r="A16" s="14"/>
      <c r="B16" s="3"/>
      <c r="C16" s="1"/>
      <c r="D16" s="260"/>
      <c r="E16" s="260"/>
      <c r="F16" s="1"/>
      <c r="G16" s="1"/>
      <c r="H16" s="1"/>
      <c r="I16" s="1"/>
      <c r="J16" s="1"/>
      <c r="K16" s="249"/>
      <c r="L16" s="1"/>
    </row>
    <row r="17" spans="1:12" x14ac:dyDescent="0.35">
      <c r="A17" s="14"/>
      <c r="B17" s="3" t="s">
        <v>201</v>
      </c>
      <c r="C17" s="261">
        <f>+J15</f>
        <v>616600</v>
      </c>
      <c r="D17" s="262">
        <f>+K17</f>
        <v>5.2978102494243418</v>
      </c>
      <c r="E17" s="1"/>
      <c r="F17" s="1"/>
      <c r="G17" s="1"/>
      <c r="H17" s="1"/>
      <c r="I17" s="1"/>
      <c r="J17" s="3" t="s">
        <v>28</v>
      </c>
      <c r="K17" s="250">
        <f>AVERAGE(K9:K13)</f>
        <v>5.2978102494243418</v>
      </c>
      <c r="L17" s="250">
        <f>AVERAGE(L9:L15)</f>
        <v>2.1383333333333332</v>
      </c>
    </row>
    <row r="18" spans="1:12" x14ac:dyDescent="0.35">
      <c r="A18" s="14"/>
      <c r="B18" s="3"/>
      <c r="C18" s="1"/>
      <c r="D18" s="1"/>
      <c r="E18" s="1"/>
      <c r="F18" s="3"/>
      <c r="G18" s="250"/>
      <c r="H18" s="250"/>
      <c r="I18" s="1"/>
      <c r="J18" s="1"/>
      <c r="K18" s="250"/>
      <c r="L18" s="1"/>
    </row>
    <row r="19" spans="1:12" x14ac:dyDescent="0.35">
      <c r="A19" s="14"/>
      <c r="B19" s="269" t="s">
        <v>202</v>
      </c>
      <c r="C19" s="270">
        <f>+C17*D17</f>
        <v>3266629.7997950492</v>
      </c>
      <c r="D19" s="1"/>
      <c r="E19" s="1"/>
      <c r="F19" s="3"/>
      <c r="G19" s="250"/>
      <c r="H19" s="250"/>
      <c r="I19" s="1"/>
      <c r="J19" s="1"/>
      <c r="K19" s="251"/>
      <c r="L19" s="1"/>
    </row>
    <row r="20" spans="1:12" x14ac:dyDescent="0.35">
      <c r="A20" s="14"/>
      <c r="B20" s="269" t="s">
        <v>204</v>
      </c>
      <c r="C20" s="270">
        <f>-G15</f>
        <v>-2354100</v>
      </c>
      <c r="D20" s="1"/>
      <c r="E20" s="1"/>
      <c r="F20" s="3"/>
      <c r="G20" s="250"/>
      <c r="H20" s="250"/>
      <c r="I20" s="1"/>
      <c r="J20" s="1"/>
      <c r="K20" s="251"/>
      <c r="L20" s="1"/>
    </row>
    <row r="21" spans="1:12" x14ac:dyDescent="0.35">
      <c r="A21" s="14"/>
      <c r="B21" s="269" t="s">
        <v>205</v>
      </c>
      <c r="C21" s="270">
        <f>+H15</f>
        <v>48600</v>
      </c>
      <c r="D21" s="1"/>
      <c r="E21" s="1"/>
      <c r="F21" s="3"/>
      <c r="G21" s="250"/>
      <c r="H21" s="250"/>
      <c r="I21" s="1"/>
      <c r="J21" s="1"/>
      <c r="K21" s="251"/>
      <c r="L21" s="1"/>
    </row>
    <row r="22" spans="1:12" ht="15" thickBot="1" x14ac:dyDescent="0.4">
      <c r="A22" s="14"/>
      <c r="B22" s="269" t="s">
        <v>206</v>
      </c>
      <c r="C22" s="271">
        <f>SUM(C19:C21)</f>
        <v>961129.79979504924</v>
      </c>
      <c r="D22" s="1"/>
      <c r="E22" s="1"/>
      <c r="F22" s="3"/>
      <c r="G22" s="250"/>
      <c r="H22" s="250"/>
      <c r="I22" s="1"/>
      <c r="J22" s="1"/>
      <c r="K22" s="251"/>
      <c r="L22" s="1"/>
    </row>
    <row r="23" spans="1:12" ht="15" thickTop="1" x14ac:dyDescent="0.35">
      <c r="B23" s="269" t="s">
        <v>209</v>
      </c>
      <c r="C23" s="270">
        <f>+E15</f>
        <v>315540</v>
      </c>
      <c r="D23" s="1"/>
      <c r="E23" s="1"/>
      <c r="F23" s="1"/>
      <c r="G23" s="1"/>
      <c r="H23" s="1"/>
      <c r="I23" s="1"/>
      <c r="J23" s="1"/>
      <c r="K23" s="1"/>
      <c r="L23" s="263"/>
    </row>
    <row r="24" spans="1:12" ht="15" thickBot="1" x14ac:dyDescent="0.4">
      <c r="B24" s="252" t="s">
        <v>208</v>
      </c>
      <c r="C24" s="268">
        <f>+C22/C23</f>
        <v>3.0459840267321074</v>
      </c>
      <c r="D24" s="1"/>
      <c r="E24" s="1"/>
      <c r="F24" s="1"/>
      <c r="G24" s="1"/>
      <c r="H24" s="1"/>
      <c r="I24" s="1"/>
      <c r="J24" s="1"/>
      <c r="K24" s="1"/>
      <c r="L24" s="263"/>
    </row>
    <row r="25" spans="1:12" ht="15.5" thickTop="1" thickBot="1" x14ac:dyDescent="0.4">
      <c r="B25" s="269" t="s">
        <v>210</v>
      </c>
      <c r="C25" s="272">
        <f>+C24/D15-1</f>
        <v>1.5328008910702406E-2</v>
      </c>
    </row>
    <row r="26" spans="1:12" ht="15" thickTop="1" x14ac:dyDescent="0.3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3A031-D56B-4CD2-8B49-B4B0307893C0}">
  <dimension ref="A1:N23"/>
  <sheetViews>
    <sheetView showGridLines="0" topLeftCell="A9" workbookViewId="0">
      <selection activeCell="B6" sqref="B6:J25"/>
    </sheetView>
  </sheetViews>
  <sheetFormatPr defaultRowHeight="14.5" x14ac:dyDescent="0.35"/>
  <cols>
    <col min="1" max="1" width="5.54296875" customWidth="1"/>
    <col min="2" max="2" width="22.26953125" customWidth="1"/>
    <col min="3" max="3" width="19.26953125" customWidth="1"/>
    <col min="5" max="5" width="11.7265625" customWidth="1"/>
    <col min="6" max="6" width="10.7265625" customWidth="1"/>
    <col min="7" max="7" width="10.08984375" customWidth="1"/>
    <col min="8" max="8" width="10.26953125" customWidth="1"/>
    <col min="9" max="9" width="9.26953125" bestFit="1" customWidth="1"/>
    <col min="11" max="11" width="3.7265625" customWidth="1"/>
  </cols>
  <sheetData>
    <row r="1" spans="1:14" ht="20" x14ac:dyDescent="0.4">
      <c r="A1" s="14"/>
      <c r="B1" s="15" t="str">
        <f>+INPUT!B1</f>
        <v>Proud Steel Holding Corp. (PRST)</v>
      </c>
      <c r="C1" s="16"/>
    </row>
    <row r="2" spans="1:14" x14ac:dyDescent="0.35">
      <c r="A2" s="14"/>
      <c r="B2" s="17" t="s">
        <v>6</v>
      </c>
      <c r="C2" s="16"/>
    </row>
    <row r="4" spans="1:14" ht="15.5" x14ac:dyDescent="0.35">
      <c r="A4" s="14"/>
      <c r="B4" s="34" t="s">
        <v>235</v>
      </c>
      <c r="C4" s="273"/>
      <c r="D4" s="273"/>
      <c r="E4" s="273"/>
      <c r="F4" s="273"/>
      <c r="G4" s="273"/>
      <c r="H4" s="273"/>
      <c r="I4" s="273"/>
      <c r="J4" s="273"/>
    </row>
    <row r="5" spans="1:14" x14ac:dyDescent="0.35">
      <c r="A5" s="14"/>
    </row>
    <row r="6" spans="1:14" x14ac:dyDescent="0.35">
      <c r="A6" s="14"/>
      <c r="C6" t="s">
        <v>211</v>
      </c>
      <c r="D6" s="224" t="s">
        <v>212</v>
      </c>
      <c r="E6" s="224" t="s">
        <v>175</v>
      </c>
      <c r="F6" s="224" t="s">
        <v>213</v>
      </c>
      <c r="G6" s="224" t="s">
        <v>214</v>
      </c>
      <c r="H6" s="224" t="s">
        <v>215</v>
      </c>
      <c r="I6" s="224" t="s">
        <v>180</v>
      </c>
      <c r="J6" s="224" t="s">
        <v>181</v>
      </c>
      <c r="M6" s="14"/>
      <c r="N6" s="14"/>
    </row>
    <row r="7" spans="1:14" ht="15" thickBot="1" x14ac:dyDescent="0.4">
      <c r="A7" s="14"/>
      <c r="D7" s="14"/>
      <c r="E7" s="14"/>
      <c r="F7" s="14"/>
      <c r="G7" s="14"/>
      <c r="H7" s="14"/>
      <c r="I7" s="274"/>
      <c r="J7" s="14"/>
      <c r="M7" s="14"/>
      <c r="N7" s="14"/>
    </row>
    <row r="8" spans="1:14" ht="40" thickBot="1" x14ac:dyDescent="0.4">
      <c r="A8" s="14"/>
      <c r="B8" s="228" t="s">
        <v>216</v>
      </c>
      <c r="C8" s="228" t="s">
        <v>217</v>
      </c>
      <c r="D8" s="228" t="s">
        <v>218</v>
      </c>
      <c r="E8" s="228" t="s">
        <v>207</v>
      </c>
      <c r="F8" s="228" t="s">
        <v>219</v>
      </c>
      <c r="G8" s="228" t="s">
        <v>220</v>
      </c>
      <c r="H8" s="228" t="s">
        <v>221</v>
      </c>
      <c r="I8" s="228" t="s">
        <v>222</v>
      </c>
      <c r="J8" s="275" t="s">
        <v>190</v>
      </c>
    </row>
    <row r="9" spans="1:14" s="251" customFormat="1" x14ac:dyDescent="0.35">
      <c r="A9" s="14"/>
      <c r="B9" s="276" t="s">
        <v>223</v>
      </c>
      <c r="C9" s="276" t="s">
        <v>224</v>
      </c>
      <c r="D9" s="277">
        <v>47.5</v>
      </c>
      <c r="E9" s="278">
        <v>24000000</v>
      </c>
      <c r="F9" s="279">
        <f>+E9*D9/1000</f>
        <v>1140000</v>
      </c>
      <c r="G9" s="280">
        <v>1500000</v>
      </c>
      <c r="H9" s="279">
        <f>+G9+F9</f>
        <v>2640000</v>
      </c>
      <c r="I9" s="279">
        <v>350000</v>
      </c>
      <c r="J9" s="281">
        <f>+H9/I9</f>
        <v>7.5428571428571427</v>
      </c>
    </row>
    <row r="10" spans="1:14" s="251" customFormat="1" x14ac:dyDescent="0.35">
      <c r="A10" s="14"/>
      <c r="B10" s="276" t="s">
        <v>225</v>
      </c>
      <c r="C10" s="276" t="s">
        <v>226</v>
      </c>
      <c r="D10" s="277">
        <v>34</v>
      </c>
      <c r="E10" s="278">
        <v>123000000</v>
      </c>
      <c r="F10" s="279">
        <f>+E10*D10/1000</f>
        <v>4182000</v>
      </c>
      <c r="G10" s="280">
        <v>2500000</v>
      </c>
      <c r="H10" s="279">
        <f>+G10+F10</f>
        <v>6682000</v>
      </c>
      <c r="I10" s="279">
        <v>1100000</v>
      </c>
      <c r="J10" s="281">
        <f>+H10/I10</f>
        <v>6.0745454545454542</v>
      </c>
    </row>
    <row r="11" spans="1:14" s="251" customFormat="1" x14ac:dyDescent="0.35">
      <c r="A11" s="14"/>
      <c r="B11" s="282" t="s">
        <v>227</v>
      </c>
      <c r="C11" s="282" t="s">
        <v>228</v>
      </c>
      <c r="D11" s="277">
        <v>45</v>
      </c>
      <c r="E11" s="278">
        <v>13500000</v>
      </c>
      <c r="F11" s="279">
        <f t="shared" ref="F11:F14" si="0">+E11*D11/1000</f>
        <v>607500</v>
      </c>
      <c r="G11" s="280">
        <v>450000</v>
      </c>
      <c r="H11" s="279">
        <f t="shared" ref="H11:H14" si="1">+G11+F11</f>
        <v>1057500</v>
      </c>
      <c r="I11" s="279">
        <v>190000</v>
      </c>
      <c r="J11" s="281">
        <f t="shared" ref="J11:J14" si="2">+H11/I11</f>
        <v>5.5657894736842106</v>
      </c>
    </row>
    <row r="12" spans="1:14" s="251" customFormat="1" x14ac:dyDescent="0.35">
      <c r="A12" s="14"/>
      <c r="B12" s="282" t="s">
        <v>229</v>
      </c>
      <c r="C12" s="282" t="s">
        <v>230</v>
      </c>
      <c r="D12" s="277">
        <v>22</v>
      </c>
      <c r="E12" s="278">
        <v>234000000</v>
      </c>
      <c r="F12" s="279">
        <f t="shared" si="0"/>
        <v>5148000</v>
      </c>
      <c r="G12" s="280">
        <v>1400000</v>
      </c>
      <c r="H12" s="279">
        <f t="shared" si="1"/>
        <v>6548000</v>
      </c>
      <c r="I12" s="279">
        <v>1230000</v>
      </c>
      <c r="J12" s="281">
        <f t="shared" si="2"/>
        <v>5.3235772357723574</v>
      </c>
    </row>
    <row r="13" spans="1:14" s="251" customFormat="1" x14ac:dyDescent="0.35">
      <c r="A13" s="14"/>
      <c r="B13" s="283" t="s">
        <v>231</v>
      </c>
      <c r="C13" s="282" t="s">
        <v>232</v>
      </c>
      <c r="D13" s="277">
        <v>12</v>
      </c>
      <c r="E13" s="278">
        <v>85000000</v>
      </c>
      <c r="F13" s="279">
        <f t="shared" si="0"/>
        <v>1020000</v>
      </c>
      <c r="G13" s="280">
        <v>1200000</v>
      </c>
      <c r="H13" s="279">
        <f t="shared" si="1"/>
        <v>2220000</v>
      </c>
      <c r="I13" s="279">
        <v>320000</v>
      </c>
      <c r="J13" s="281">
        <f t="shared" si="2"/>
        <v>6.9375</v>
      </c>
    </row>
    <row r="14" spans="1:14" s="251" customFormat="1" ht="15" thickBot="1" x14ac:dyDescent="0.4">
      <c r="A14" s="14"/>
      <c r="B14" s="284" t="s">
        <v>233</v>
      </c>
      <c r="C14" s="284" t="s">
        <v>234</v>
      </c>
      <c r="D14" s="277">
        <v>8</v>
      </c>
      <c r="E14" s="278">
        <v>45000000</v>
      </c>
      <c r="F14" s="279">
        <f t="shared" si="0"/>
        <v>360000</v>
      </c>
      <c r="G14" s="280">
        <v>240000</v>
      </c>
      <c r="H14" s="279">
        <f t="shared" si="1"/>
        <v>600000</v>
      </c>
      <c r="I14" s="279">
        <v>98000</v>
      </c>
      <c r="J14" s="281">
        <f t="shared" si="2"/>
        <v>6.1224489795918364</v>
      </c>
    </row>
    <row r="15" spans="1:14" x14ac:dyDescent="0.35">
      <c r="A15" s="14"/>
      <c r="I15" s="3" t="s">
        <v>28</v>
      </c>
      <c r="J15" s="250">
        <f>AVERAGE(J9:J14)</f>
        <v>6.2611197144085002</v>
      </c>
      <c r="K15" s="285"/>
    </row>
    <row r="16" spans="1:14" x14ac:dyDescent="0.35">
      <c r="A16" s="14"/>
      <c r="B16" s="269" t="s">
        <v>202</v>
      </c>
      <c r="C16" s="270">
        <f>+F16*G16</f>
        <v>3860606.4159042812</v>
      </c>
      <c r="E16" s="286"/>
      <c r="F16" s="13">
        <v>616600</v>
      </c>
      <c r="G16" s="38">
        <f>+J15</f>
        <v>6.2611197144085002</v>
      </c>
    </row>
    <row r="17" spans="2:10" x14ac:dyDescent="0.35">
      <c r="B17" s="269" t="s">
        <v>204</v>
      </c>
      <c r="C17" s="270">
        <v>-2354100</v>
      </c>
    </row>
    <row r="18" spans="2:10" x14ac:dyDescent="0.35">
      <c r="B18" s="269" t="s">
        <v>205</v>
      </c>
      <c r="C18" s="270">
        <v>48600</v>
      </c>
      <c r="J18" s="10"/>
    </row>
    <row r="19" spans="2:10" ht="15" thickBot="1" x14ac:dyDescent="0.4">
      <c r="B19" s="269" t="s">
        <v>206</v>
      </c>
      <c r="C19" s="271">
        <f>SUM(C16:C18)</f>
        <v>1555106.4159042812</v>
      </c>
    </row>
    <row r="20" spans="2:10" ht="28.5" thickTop="1" x14ac:dyDescent="0.35">
      <c r="B20" s="269" t="s">
        <v>209</v>
      </c>
      <c r="C20" s="270">
        <v>315540</v>
      </c>
    </row>
    <row r="21" spans="2:10" ht="28.5" thickBot="1" x14ac:dyDescent="0.4">
      <c r="B21" s="252" t="s">
        <v>208</v>
      </c>
      <c r="C21" s="268">
        <f>+C19/C20</f>
        <v>4.9283970840599647</v>
      </c>
    </row>
    <row r="22" spans="2:10" ht="15.5" thickTop="1" thickBot="1" x14ac:dyDescent="0.4">
      <c r="B22" s="269" t="s">
        <v>210</v>
      </c>
      <c r="C22" s="287">
        <f>+C21/3-1</f>
        <v>0.64279902801998823</v>
      </c>
    </row>
    <row r="23" spans="2:10" ht="15" thickTop="1" x14ac:dyDescent="0.35">
      <c r="J23" s="10" t="s">
        <v>303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BE04-BD5E-444B-B162-27DC949CCBEB}">
  <dimension ref="A1:M48"/>
  <sheetViews>
    <sheetView showGridLines="0" topLeftCell="A29" workbookViewId="0">
      <selection activeCell="F9" sqref="F9:K9"/>
    </sheetView>
  </sheetViews>
  <sheetFormatPr defaultRowHeight="14.5" x14ac:dyDescent="0.35"/>
  <cols>
    <col min="2" max="2" width="37.08984375" customWidth="1"/>
    <col min="3" max="3" width="12.6328125" customWidth="1"/>
    <col min="4" max="4" width="12.7265625" customWidth="1"/>
    <col min="5" max="5" width="11.54296875" customWidth="1"/>
    <col min="6" max="11" width="11.6328125" customWidth="1"/>
  </cols>
  <sheetData>
    <row r="1" spans="1:13" ht="20" x14ac:dyDescent="0.4">
      <c r="A1" s="14"/>
      <c r="B1" s="15" t="str">
        <f>+'[2]Method #1'!B1</f>
        <v>Proud Steel Holding Corp. (PRST)</v>
      </c>
      <c r="C1" s="16"/>
    </row>
    <row r="2" spans="1:13" ht="10.5" customHeight="1" x14ac:dyDescent="0.35">
      <c r="A2" s="14"/>
      <c r="B2" s="17" t="s">
        <v>6</v>
      </c>
      <c r="C2" s="16"/>
    </row>
    <row r="4" spans="1:13" ht="15.5" x14ac:dyDescent="0.35">
      <c r="A4" s="14"/>
      <c r="B4" s="34" t="s">
        <v>310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ht="11.5" customHeight="1" x14ac:dyDescent="0.4">
      <c r="A5" s="14"/>
      <c r="B5" s="15"/>
      <c r="C5" s="28"/>
      <c r="D5" s="28"/>
      <c r="E5" s="322" t="s">
        <v>29</v>
      </c>
      <c r="F5" s="323">
        <v>1</v>
      </c>
      <c r="G5" s="323">
        <v>2</v>
      </c>
      <c r="H5" s="323">
        <v>3</v>
      </c>
      <c r="I5" s="323">
        <v>4</v>
      </c>
      <c r="J5" s="323">
        <v>5</v>
      </c>
      <c r="K5" s="323">
        <v>6</v>
      </c>
    </row>
    <row r="6" spans="1:13" x14ac:dyDescent="0.35">
      <c r="A6" s="14"/>
      <c r="B6" t="s">
        <v>325</v>
      </c>
      <c r="C6" s="313" t="s">
        <v>30</v>
      </c>
      <c r="D6" s="324" t="s">
        <v>326</v>
      </c>
      <c r="E6" s="312" t="s">
        <v>327</v>
      </c>
      <c r="J6" s="312" t="s">
        <v>0</v>
      </c>
    </row>
    <row r="7" spans="1:13" ht="15" thickBot="1" x14ac:dyDescent="0.4">
      <c r="A7" s="14"/>
      <c r="C7" s="39" t="s">
        <v>31</v>
      </c>
      <c r="D7" s="36" t="s">
        <v>31</v>
      </c>
      <c r="E7" s="325">
        <f>+[2]INPUT!C3</f>
        <v>44561</v>
      </c>
      <c r="F7" s="40">
        <f>+E7+365</f>
        <v>44926</v>
      </c>
      <c r="G7" s="40">
        <f>+F7+365</f>
        <v>45291</v>
      </c>
      <c r="H7" s="40">
        <f>+G7+366</f>
        <v>45657</v>
      </c>
      <c r="I7" s="40">
        <f>+H7+365</f>
        <v>46022</v>
      </c>
      <c r="J7" s="41">
        <f>+I7+365</f>
        <v>46387</v>
      </c>
      <c r="K7" s="40">
        <f>+J7+365</f>
        <v>46752</v>
      </c>
    </row>
    <row r="8" spans="1:13" x14ac:dyDescent="0.35">
      <c r="A8" s="14"/>
      <c r="B8" t="s">
        <v>304</v>
      </c>
      <c r="C8" s="326"/>
      <c r="D8" s="327"/>
      <c r="E8" s="328">
        <f>+INPUT!C9</f>
        <v>6818200</v>
      </c>
      <c r="F8" s="329">
        <f t="shared" ref="F8:K8" si="0">+E8*(1+F9)</f>
        <v>7090928</v>
      </c>
      <c r="G8" s="329">
        <f t="shared" si="0"/>
        <v>7374565.1200000001</v>
      </c>
      <c r="H8" s="329">
        <f t="shared" si="0"/>
        <v>7632674.8991999999</v>
      </c>
      <c r="I8" s="329">
        <f t="shared" si="0"/>
        <v>7899818.5206719991</v>
      </c>
      <c r="J8" s="5">
        <f t="shared" si="0"/>
        <v>8176312.1688955184</v>
      </c>
      <c r="K8" s="330">
        <f t="shared" si="0"/>
        <v>8462483.0948068611</v>
      </c>
    </row>
    <row r="9" spans="1:13" x14ac:dyDescent="0.35">
      <c r="A9" s="14"/>
      <c r="B9" t="s">
        <v>328</v>
      </c>
      <c r="C9" s="331"/>
      <c r="D9" s="42"/>
      <c r="E9" s="332"/>
      <c r="F9" s="333">
        <v>0.04</v>
      </c>
      <c r="G9" s="333">
        <v>0.04</v>
      </c>
      <c r="H9" s="333">
        <v>3.5000000000000003E-2</v>
      </c>
      <c r="I9" s="333">
        <v>3.5000000000000003E-2</v>
      </c>
      <c r="J9" s="44">
        <v>3.5000000000000003E-2</v>
      </c>
      <c r="K9" s="334">
        <v>3.5000000000000003E-2</v>
      </c>
      <c r="L9" s="335"/>
    </row>
    <row r="10" spans="1:13" x14ac:dyDescent="0.35">
      <c r="A10" s="14"/>
      <c r="B10" t="s">
        <v>329</v>
      </c>
      <c r="C10" s="331">
        <f>-E10/E8</f>
        <v>0.86694435481505383</v>
      </c>
      <c r="D10" s="42">
        <v>0.86</v>
      </c>
      <c r="E10" s="328">
        <f>-Historical!G8*1000</f>
        <v>-5911000</v>
      </c>
      <c r="F10" s="329">
        <f t="shared" ref="F10:K10" si="1">-$D$10*F8</f>
        <v>-6098198.0800000001</v>
      </c>
      <c r="G10" s="329">
        <f t="shared" si="1"/>
        <v>-6342126.0032000002</v>
      </c>
      <c r="H10" s="329">
        <f t="shared" si="1"/>
        <v>-6564100.4133120002</v>
      </c>
      <c r="I10" s="329">
        <f t="shared" si="1"/>
        <v>-6793843.927777919</v>
      </c>
      <c r="J10" s="5">
        <f t="shared" si="1"/>
        <v>-7031628.4652501456</v>
      </c>
      <c r="K10" s="330">
        <f t="shared" si="1"/>
        <v>-7277735.4615339004</v>
      </c>
    </row>
    <row r="11" spans="1:13" x14ac:dyDescent="0.35">
      <c r="A11" s="14"/>
      <c r="B11" t="s">
        <v>32</v>
      </c>
      <c r="C11" s="331">
        <f>-E11/E8</f>
        <v>7.9610454372121678E-2</v>
      </c>
      <c r="D11" s="42">
        <v>0.08</v>
      </c>
      <c r="E11" s="336">
        <f>-(+E8+E10-E12)</f>
        <v>-542800</v>
      </c>
      <c r="F11" s="6">
        <f t="shared" ref="F11:K11" si="2">-$D$11*F8</f>
        <v>-567274.23999999999</v>
      </c>
      <c r="G11" s="6">
        <f t="shared" si="2"/>
        <v>-589965.20960000006</v>
      </c>
      <c r="H11" s="6">
        <f t="shared" si="2"/>
        <v>-610613.99193599995</v>
      </c>
      <c r="I11" s="6">
        <f t="shared" si="2"/>
        <v>-631985.48165375995</v>
      </c>
      <c r="J11" s="7">
        <f t="shared" si="2"/>
        <v>-654104.9735116415</v>
      </c>
      <c r="K11" s="337">
        <f t="shared" si="2"/>
        <v>-676998.64758454892</v>
      </c>
    </row>
    <row r="12" spans="1:13" x14ac:dyDescent="0.35">
      <c r="A12" s="14"/>
      <c r="B12" t="s">
        <v>33</v>
      </c>
      <c r="C12" s="338"/>
      <c r="D12" s="339"/>
      <c r="E12" s="332">
        <f>+Historical!G12*1000</f>
        <v>364400</v>
      </c>
      <c r="F12" s="329">
        <f t="shared" ref="F12:K12" si="3">+F8+F10+F11</f>
        <v>425455.67999999993</v>
      </c>
      <c r="G12" s="329">
        <f t="shared" si="3"/>
        <v>442473.9071999999</v>
      </c>
      <c r="H12" s="329">
        <f t="shared" si="3"/>
        <v>457960.4939519997</v>
      </c>
      <c r="I12" s="329">
        <f t="shared" si="3"/>
        <v>473989.11124032014</v>
      </c>
      <c r="J12" s="5">
        <f t="shared" si="3"/>
        <v>490578.73013373127</v>
      </c>
      <c r="K12" s="330">
        <f t="shared" si="3"/>
        <v>507748.98568841186</v>
      </c>
      <c r="M12" s="13"/>
    </row>
    <row r="13" spans="1:13" x14ac:dyDescent="0.35">
      <c r="A13" s="14"/>
      <c r="B13" t="s">
        <v>34</v>
      </c>
      <c r="C13" s="331"/>
      <c r="D13" s="42">
        <v>0.22</v>
      </c>
      <c r="E13" s="332">
        <v>0</v>
      </c>
      <c r="F13" s="329">
        <f t="shared" ref="F13:K13" si="4">-$D$13*F12</f>
        <v>-93600.249599999981</v>
      </c>
      <c r="G13" s="329">
        <f t="shared" si="4"/>
        <v>-97344.259583999985</v>
      </c>
      <c r="H13" s="329">
        <f t="shared" si="4"/>
        <v>-100751.30866943994</v>
      </c>
      <c r="I13" s="329">
        <f t="shared" si="4"/>
        <v>-104277.60447287043</v>
      </c>
      <c r="J13" s="5">
        <f t="shared" si="4"/>
        <v>-107927.32062942088</v>
      </c>
      <c r="K13" s="330">
        <f t="shared" si="4"/>
        <v>-111704.77685145062</v>
      </c>
    </row>
    <row r="14" spans="1:13" x14ac:dyDescent="0.35">
      <c r="A14" s="14"/>
      <c r="B14" t="s">
        <v>330</v>
      </c>
      <c r="C14" s="331">
        <f>+E14/E8</f>
        <v>3.6989234695374143E-2</v>
      </c>
      <c r="D14" s="42">
        <v>0.04</v>
      </c>
      <c r="E14" s="328">
        <f>+Historical!G17*1000</f>
        <v>252200</v>
      </c>
      <c r="F14" s="329">
        <f t="shared" ref="F14:K14" si="5">+$D$14*F8</f>
        <v>283637.12</v>
      </c>
      <c r="G14" s="329">
        <f t="shared" si="5"/>
        <v>294982.60480000003</v>
      </c>
      <c r="H14" s="329">
        <f t="shared" si="5"/>
        <v>305306.99596799997</v>
      </c>
      <c r="I14" s="329">
        <f t="shared" si="5"/>
        <v>315992.74082687998</v>
      </c>
      <c r="J14" s="5">
        <f t="shared" si="5"/>
        <v>327052.48675582075</v>
      </c>
      <c r="K14" s="330">
        <f t="shared" si="5"/>
        <v>338499.32379227446</v>
      </c>
    </row>
    <row r="15" spans="1:13" x14ac:dyDescent="0.35">
      <c r="A15" s="14"/>
      <c r="B15" s="18" t="s">
        <v>305</v>
      </c>
      <c r="C15" s="331">
        <v>0</v>
      </c>
      <c r="D15" s="42">
        <v>0</v>
      </c>
      <c r="E15" s="328"/>
      <c r="F15" s="329">
        <f t="shared" ref="F15:K15" si="6">-$D$15*F8</f>
        <v>0</v>
      </c>
      <c r="G15" s="329">
        <f t="shared" si="6"/>
        <v>0</v>
      </c>
      <c r="H15" s="329">
        <f t="shared" si="6"/>
        <v>0</v>
      </c>
      <c r="I15" s="329">
        <f t="shared" si="6"/>
        <v>0</v>
      </c>
      <c r="J15" s="5">
        <f t="shared" si="6"/>
        <v>0</v>
      </c>
      <c r="K15" s="330">
        <f t="shared" si="6"/>
        <v>0</v>
      </c>
    </row>
    <row r="16" spans="1:13" x14ac:dyDescent="0.35">
      <c r="A16" s="14"/>
      <c r="B16" t="s">
        <v>35</v>
      </c>
      <c r="C16" s="331">
        <f>-E16/E8</f>
        <v>2.2293273884602973E-2</v>
      </c>
      <c r="D16" s="42">
        <v>2.5000000000000001E-2</v>
      </c>
      <c r="E16" s="328">
        <f>+Historical!G18*1000</f>
        <v>-152000</v>
      </c>
      <c r="F16" s="329">
        <f t="shared" ref="F16:K16" si="7">-$D$16*F8</f>
        <v>-177273.2</v>
      </c>
      <c r="G16" s="329">
        <f t="shared" si="7"/>
        <v>-184364.12800000003</v>
      </c>
      <c r="H16" s="329">
        <f t="shared" si="7"/>
        <v>-190816.87248000002</v>
      </c>
      <c r="I16" s="329">
        <f t="shared" si="7"/>
        <v>-197495.4630168</v>
      </c>
      <c r="J16" s="5">
        <f t="shared" si="7"/>
        <v>-204407.80422238796</v>
      </c>
      <c r="K16" s="330">
        <f t="shared" si="7"/>
        <v>-211562.07737017155</v>
      </c>
    </row>
    <row r="17" spans="1:11" ht="15" thickBot="1" x14ac:dyDescent="0.4">
      <c r="A17" s="14"/>
      <c r="B17" t="s">
        <v>331</v>
      </c>
      <c r="C17" s="314"/>
      <c r="E17" s="340">
        <f t="shared" ref="E17:K17" si="8">SUM(E12:E16)</f>
        <v>464600</v>
      </c>
      <c r="F17" s="341">
        <f t="shared" si="8"/>
        <v>438219.35039999994</v>
      </c>
      <c r="G17" s="341">
        <f t="shared" si="8"/>
        <v>455748.12441599998</v>
      </c>
      <c r="H17" s="341">
        <f t="shared" si="8"/>
        <v>471699.30877055973</v>
      </c>
      <c r="I17" s="341">
        <f t="shared" si="8"/>
        <v>488208.78457752976</v>
      </c>
      <c r="J17" s="342">
        <f t="shared" si="8"/>
        <v>505296.09203774319</v>
      </c>
      <c r="K17" s="343">
        <f t="shared" si="8"/>
        <v>522981.4552590641</v>
      </c>
    </row>
    <row r="18" spans="1:11" ht="7.5" customHeight="1" thickTop="1" x14ac:dyDescent="0.35">
      <c r="A18" s="14"/>
      <c r="B18" s="28"/>
      <c r="C18" s="28"/>
      <c r="D18" s="28"/>
      <c r="E18" s="6"/>
      <c r="F18" s="6"/>
      <c r="G18" s="6"/>
      <c r="H18" s="6"/>
      <c r="I18" s="6"/>
      <c r="J18" s="7"/>
      <c r="K18" s="337"/>
    </row>
    <row r="19" spans="1:11" x14ac:dyDescent="0.35">
      <c r="A19" s="14"/>
      <c r="B19" s="344" t="s">
        <v>1</v>
      </c>
      <c r="C19" s="344"/>
      <c r="D19" s="344"/>
      <c r="E19" s="316">
        <f t="shared" ref="E19:K19" si="9">+E12+E14</f>
        <v>616600</v>
      </c>
      <c r="F19" s="316">
        <f t="shared" si="9"/>
        <v>709092.79999999993</v>
      </c>
      <c r="G19" s="316">
        <f t="shared" si="9"/>
        <v>737456.51199999987</v>
      </c>
      <c r="H19" s="316">
        <f t="shared" si="9"/>
        <v>763267.48991999961</v>
      </c>
      <c r="I19" s="316">
        <f t="shared" si="9"/>
        <v>789981.85206720012</v>
      </c>
      <c r="J19" s="345">
        <f t="shared" si="9"/>
        <v>817631.21688955207</v>
      </c>
      <c r="K19" s="346">
        <f t="shared" si="9"/>
        <v>846248.30948068632</v>
      </c>
    </row>
    <row r="20" spans="1:11" ht="12" customHeight="1" x14ac:dyDescent="0.35">
      <c r="A20" s="14"/>
      <c r="B20" s="347" t="s">
        <v>332</v>
      </c>
      <c r="C20" s="347"/>
      <c r="D20" s="347"/>
      <c r="E20" s="348">
        <f>+[2]INPUT!C15</f>
        <v>2030000</v>
      </c>
      <c r="F20" s="348">
        <f t="shared" ref="F20:K20" si="10">+E20-(0.05*$E$20)</f>
        <v>1928500</v>
      </c>
      <c r="G20" s="348">
        <f t="shared" si="10"/>
        <v>1827000</v>
      </c>
      <c r="H20" s="348">
        <f t="shared" si="10"/>
        <v>1725500</v>
      </c>
      <c r="I20" s="348">
        <f t="shared" si="10"/>
        <v>1624000</v>
      </c>
      <c r="J20" s="349">
        <f t="shared" si="10"/>
        <v>1522500</v>
      </c>
      <c r="K20" s="350">
        <f t="shared" si="10"/>
        <v>1421000</v>
      </c>
    </row>
    <row r="21" spans="1:11" ht="7.5" customHeight="1" x14ac:dyDescent="0.35">
      <c r="A21" s="14"/>
      <c r="J21" s="9"/>
    </row>
    <row r="22" spans="1:11" ht="15" thickBot="1" x14ac:dyDescent="0.4">
      <c r="A22" s="14"/>
      <c r="B22" s="45" t="s">
        <v>36</v>
      </c>
      <c r="C22" s="46" t="s">
        <v>31</v>
      </c>
      <c r="E22" s="47" t="s">
        <v>37</v>
      </c>
      <c r="J22" s="9"/>
    </row>
    <row r="23" spans="1:11" x14ac:dyDescent="0.35">
      <c r="A23" s="14"/>
      <c r="B23" t="s">
        <v>38</v>
      </c>
      <c r="C23" s="38">
        <f>+'[2]Method #4'!D17</f>
        <v>5.2978102494243418</v>
      </c>
      <c r="E23" s="48"/>
      <c r="F23" s="26" t="s">
        <v>39</v>
      </c>
      <c r="J23" s="11">
        <f>+$C$23*J19</f>
        <v>4331655.0410867659</v>
      </c>
    </row>
    <row r="24" spans="1:11" x14ac:dyDescent="0.35">
      <c r="A24" s="14"/>
      <c r="B24" t="s">
        <v>40</v>
      </c>
      <c r="C24" s="49">
        <f>+K46</f>
        <v>0.13169769767307343</v>
      </c>
      <c r="E24" s="50">
        <v>0.03</v>
      </c>
      <c r="F24" s="26" t="s">
        <v>333</v>
      </c>
      <c r="J24" s="5">
        <f>+K17/(C24-E24)</f>
        <v>5142510.2753091548</v>
      </c>
    </row>
    <row r="25" spans="1:11" x14ac:dyDescent="0.35">
      <c r="A25" s="14"/>
      <c r="B25" t="s">
        <v>28</v>
      </c>
      <c r="E25" s="51"/>
      <c r="J25" s="351">
        <f>+(J23+J24)/2</f>
        <v>4737082.6581979599</v>
      </c>
    </row>
    <row r="26" spans="1:11" x14ac:dyDescent="0.35">
      <c r="A26" s="14"/>
      <c r="B26" t="s">
        <v>41</v>
      </c>
      <c r="E26" s="13"/>
      <c r="J26" s="11">
        <f>-J20</f>
        <v>-1522500</v>
      </c>
    </row>
    <row r="27" spans="1:11" x14ac:dyDescent="0.35">
      <c r="A27" s="14"/>
      <c r="B27" t="s">
        <v>42</v>
      </c>
      <c r="E27" s="13"/>
      <c r="J27" s="12">
        <v>0</v>
      </c>
    </row>
    <row r="28" spans="1:11" x14ac:dyDescent="0.35">
      <c r="A28" s="14"/>
      <c r="B28" t="s">
        <v>43</v>
      </c>
      <c r="J28" s="11">
        <f>+J26+J25</f>
        <v>3214582.6581979599</v>
      </c>
    </row>
    <row r="29" spans="1:11" x14ac:dyDescent="0.35">
      <c r="A29" s="14"/>
      <c r="J29" s="9"/>
    </row>
    <row r="30" spans="1:11" ht="15" thickBot="1" x14ac:dyDescent="0.4">
      <c r="A30" s="14"/>
      <c r="J30" s="9"/>
    </row>
    <row r="31" spans="1:11" ht="15" thickBot="1" x14ac:dyDescent="0.4">
      <c r="A31" s="14"/>
      <c r="B31" s="52" t="s">
        <v>5</v>
      </c>
      <c r="C31" s="81">
        <f>+I41</f>
        <v>0.28500000000000003</v>
      </c>
      <c r="D31" s="352" t="s">
        <v>334</v>
      </c>
      <c r="E31" s="37"/>
      <c r="F31" s="37">
        <f>+F17</f>
        <v>438219.35039999994</v>
      </c>
      <c r="G31" s="37">
        <f>+G17</f>
        <v>455748.12441599998</v>
      </c>
      <c r="H31" s="37">
        <f>+H17</f>
        <v>471699.30877055973</v>
      </c>
      <c r="I31" s="37">
        <f>+I17</f>
        <v>488208.78457752976</v>
      </c>
      <c r="J31" s="317">
        <f>+J28+J17</f>
        <v>3719878.7502357028</v>
      </c>
    </row>
    <row r="32" spans="1:11" ht="15" thickTop="1" x14ac:dyDescent="0.35">
      <c r="A32" s="14"/>
      <c r="B32">
        <f>+F5</f>
        <v>1</v>
      </c>
      <c r="C32" s="286" t="s">
        <v>335</v>
      </c>
      <c r="D32" s="353">
        <f>1/((1+$C$31)^B32)</f>
        <v>0.77821011673151741</v>
      </c>
      <c r="E32" s="54">
        <f>+D32*F31</f>
        <v>341026.73182879371</v>
      </c>
      <c r="F32" s="321"/>
    </row>
    <row r="33" spans="1:12" x14ac:dyDescent="0.35">
      <c r="A33" s="14"/>
      <c r="B33">
        <f>+G5</f>
        <v>2</v>
      </c>
      <c r="C33" s="286" t="s">
        <v>336</v>
      </c>
      <c r="D33" s="353">
        <f>1/((1+$C$31)^B33)</f>
        <v>0.60561098578328199</v>
      </c>
      <c r="E33" s="54">
        <f>+D33*G31</f>
        <v>276006.07089645561</v>
      </c>
    </row>
    <row r="34" spans="1:12" x14ac:dyDescent="0.35">
      <c r="A34" s="14"/>
      <c r="B34">
        <f>+H5</f>
        <v>3</v>
      </c>
      <c r="C34" s="286" t="s">
        <v>337</v>
      </c>
      <c r="D34" s="353">
        <f>1/((1+$C$31)^B34)</f>
        <v>0.47129259594029721</v>
      </c>
      <c r="E34" s="54">
        <f>+D34*H31</f>
        <v>222308.3917337209</v>
      </c>
    </row>
    <row r="35" spans="1:12" x14ac:dyDescent="0.35">
      <c r="A35" s="14"/>
      <c r="B35">
        <f>+I5</f>
        <v>4</v>
      </c>
      <c r="C35" s="286" t="s">
        <v>338</v>
      </c>
      <c r="D35" s="353">
        <f>1/((1+$C$31)^B35)</f>
        <v>0.36676466610139852</v>
      </c>
      <c r="E35" s="54">
        <f>+D35*I31</f>
        <v>179057.73186334729</v>
      </c>
    </row>
    <row r="36" spans="1:12" ht="15" thickBot="1" x14ac:dyDescent="0.4">
      <c r="A36" s="14"/>
      <c r="B36">
        <f>+J5</f>
        <v>5</v>
      </c>
      <c r="C36" s="286" t="s">
        <v>339</v>
      </c>
      <c r="D36" s="353">
        <f>1/((1+$C$31)^B36)</f>
        <v>0.2854199736197654</v>
      </c>
      <c r="E36" s="54">
        <f>+D36*J31</f>
        <v>1061727.6947610001</v>
      </c>
    </row>
    <row r="37" spans="1:12" ht="15" thickBot="1" x14ac:dyDescent="0.4">
      <c r="A37" s="14"/>
      <c r="C37" s="286" t="s">
        <v>340</v>
      </c>
      <c r="D37" s="314"/>
      <c r="E37" s="354">
        <f>SUM(E32:E36)</f>
        <v>2080126.6210833176</v>
      </c>
      <c r="F37" s="26"/>
      <c r="G37" s="355" t="s">
        <v>341</v>
      </c>
      <c r="H37" s="356"/>
      <c r="I37" s="357"/>
      <c r="K37" s="358" t="s">
        <v>342</v>
      </c>
      <c r="L37" s="359"/>
    </row>
    <row r="38" spans="1:12" ht="15" thickTop="1" x14ac:dyDescent="0.35">
      <c r="A38" s="14"/>
      <c r="C38" s="286"/>
      <c r="E38" s="54"/>
      <c r="F38" s="26"/>
      <c r="G38" s="360" t="s">
        <v>343</v>
      </c>
      <c r="H38" s="3"/>
      <c r="I38" s="361">
        <v>2.5000000000000001E-2</v>
      </c>
      <c r="K38" s="362">
        <v>150500</v>
      </c>
      <c r="L38" s="363"/>
    </row>
    <row r="39" spans="1:12" x14ac:dyDescent="0.35">
      <c r="A39" s="14"/>
      <c r="C39" s="364" t="s">
        <v>344</v>
      </c>
      <c r="E39" s="365" t="s">
        <v>345</v>
      </c>
      <c r="F39" s="20"/>
      <c r="G39" s="360" t="s">
        <v>346</v>
      </c>
      <c r="H39" s="3"/>
      <c r="I39" s="366">
        <v>0.1</v>
      </c>
      <c r="K39" s="367">
        <f>+K38/'[2]Method #4'!G15</f>
        <v>7.4137931034482754E-2</v>
      </c>
      <c r="L39" s="368" t="s">
        <v>44</v>
      </c>
    </row>
    <row r="40" spans="1:12" ht="15" thickBot="1" x14ac:dyDescent="0.4">
      <c r="A40" s="14"/>
      <c r="C40" s="10" t="s">
        <v>347</v>
      </c>
      <c r="E40" s="54">
        <f>+E37</f>
        <v>2080126.6210833176</v>
      </c>
      <c r="G40" s="360" t="s">
        <v>348</v>
      </c>
      <c r="H40" s="3"/>
      <c r="I40" s="369">
        <v>2.6</v>
      </c>
      <c r="K40" s="370"/>
      <c r="L40" s="371"/>
    </row>
    <row r="41" spans="1:12" ht="15" thickBot="1" x14ac:dyDescent="0.4">
      <c r="A41" s="14"/>
      <c r="C41" s="372" t="s">
        <v>349</v>
      </c>
      <c r="E41" s="55">
        <f>+[2]INPUT!C15</f>
        <v>2030000</v>
      </c>
      <c r="G41" s="373" t="s">
        <v>350</v>
      </c>
      <c r="H41" s="374"/>
      <c r="I41" s="375">
        <f>+I38+(I39*I40)</f>
        <v>0.28500000000000003</v>
      </c>
    </row>
    <row r="42" spans="1:12" ht="15" thickBot="1" x14ac:dyDescent="0.4">
      <c r="A42" s="14"/>
      <c r="C42" s="372" t="s">
        <v>351</v>
      </c>
      <c r="E42" s="55">
        <f>-[2]INPUT!C16</f>
        <v>-47300</v>
      </c>
    </row>
    <row r="43" spans="1:12" ht="12.65" customHeight="1" thickBot="1" x14ac:dyDescent="0.4">
      <c r="A43" s="14"/>
      <c r="B43" s="376" t="s">
        <v>352</v>
      </c>
      <c r="C43" s="377"/>
      <c r="D43" s="377"/>
      <c r="E43" s="378">
        <f>+E41+E40+E42</f>
        <v>4062826.6210833173</v>
      </c>
      <c r="G43" s="355" t="s">
        <v>353</v>
      </c>
      <c r="H43" s="356"/>
      <c r="I43" s="379" t="s">
        <v>354</v>
      </c>
      <c r="J43" s="379" t="s">
        <v>355</v>
      </c>
      <c r="K43" s="380" t="s">
        <v>306</v>
      </c>
    </row>
    <row r="44" spans="1:12" ht="15" thickBot="1" x14ac:dyDescent="0.4">
      <c r="A44" s="14"/>
      <c r="G44" s="360" t="s">
        <v>356</v>
      </c>
      <c r="H44" s="55">
        <f>+'[2]Method #4'!G15</f>
        <v>2030000</v>
      </c>
      <c r="I44" s="381">
        <f>+H44/SUM($H$44:$H$45)</f>
        <v>0.6748279853492517</v>
      </c>
      <c r="J44" s="382">
        <f>+K39*(1-D13)</f>
        <v>5.7827586206896549E-2</v>
      </c>
      <c r="K44" s="383">
        <f>+J44*I44</f>
        <v>3.9023673497610177E-2</v>
      </c>
    </row>
    <row r="45" spans="1:12" ht="15" thickBot="1" x14ac:dyDescent="0.4">
      <c r="A45" s="14"/>
      <c r="E45" s="318">
        <f>+E40/'Method 3 Comp Val'!C20</f>
        <v>6.5922755311000749</v>
      </c>
      <c r="G45" s="360" t="s">
        <v>357</v>
      </c>
      <c r="H45" s="55">
        <f>+'[2]Method #1'!F10</f>
        <v>978174</v>
      </c>
      <c r="I45" s="381">
        <f>+H45/SUM($H$44:$H$45)</f>
        <v>0.32517201465074824</v>
      </c>
      <c r="J45" s="384">
        <f>+I41</f>
        <v>0.28500000000000003</v>
      </c>
      <c r="K45" s="383">
        <f>+J45*I45</f>
        <v>9.2674024175463263E-2</v>
      </c>
    </row>
    <row r="46" spans="1:12" ht="15" thickBot="1" x14ac:dyDescent="0.4">
      <c r="A46" s="14"/>
      <c r="G46" s="373"/>
      <c r="H46" s="385"/>
      <c r="I46" s="386">
        <f>SUM(I44:I45)</f>
        <v>1</v>
      </c>
      <c r="J46" s="387"/>
      <c r="K46" s="388">
        <f>SUM(K44:K45)</f>
        <v>0.13169769767307343</v>
      </c>
    </row>
    <row r="48" spans="1:12" x14ac:dyDescent="0.35">
      <c r="L48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INPUT</vt:lpstr>
      <vt:lpstr>Historical</vt:lpstr>
      <vt:lpstr>Transaction Sources &amp; Uses</vt:lpstr>
      <vt:lpstr>Proforma BS</vt:lpstr>
      <vt:lpstr>Debt Schedule</vt:lpstr>
      <vt:lpstr>Equity Return</vt:lpstr>
      <vt:lpstr>Method 2 DCF Val</vt:lpstr>
      <vt:lpstr>Method 3 Comp Val</vt:lpstr>
      <vt:lpstr>Method 4 DCF</vt:lpstr>
      <vt:lpstr>Method 5 LBO-A</vt:lpstr>
      <vt:lpstr>Method 5 LBO_B</vt:lpstr>
      <vt:lpstr>Accretion Dillution</vt:lpstr>
      <vt:lpstr>Merger Savings</vt:lpstr>
      <vt:lpstr>INSTRUCTION'S PAGE</vt:lpstr>
      <vt:lpstr>Combined Merger Proforma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2018-09-23T13:46:11Z</dcterms:created>
  <dcterms:modified xsi:type="dcterms:W3CDTF">2023-04-25T12:51:06Z</dcterms:modified>
</cp:coreProperties>
</file>