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CREDIT RISK MANAGEMENT and ANALYSIS/Chapters - Spreadsheets/PART II/"/>
    </mc:Choice>
  </mc:AlternateContent>
  <xr:revisionPtr revIDLastSave="1392" documentId="13_ncr:1_{74A81486-774F-4C0E-83F7-EF5B469EECA8}" xr6:coauthVersionLast="47" xr6:coauthVersionMax="47" xr10:uidLastSave="{98545E97-6131-4FAA-9855-E80E42D855BD}"/>
  <bookViews>
    <workbookView xWindow="28680" yWindow="-120" windowWidth="29040" windowHeight="15720" activeTab="9" xr2:uid="{ED33CBAD-C7E4-4213-88DF-0DE2E18DB980}"/>
  </bookViews>
  <sheets>
    <sheet name="Fig. 7.1" sheetId="5" r:id="rId1"/>
    <sheet name="Fig. 7.2" sheetId="1" r:id="rId2"/>
    <sheet name="Fig. 7.3" sheetId="2" r:id="rId3"/>
    <sheet name="Fig. 7.4" sheetId="3" r:id="rId4"/>
    <sheet name="Fig. 7.5" sheetId="4" r:id="rId5"/>
    <sheet name="Fig. 7.6" sheetId="8" r:id="rId6"/>
    <sheet name="Fig. 7.7" sheetId="7" r:id="rId7"/>
    <sheet name="Fig. 7.8" sheetId="9" r:id="rId8"/>
    <sheet name="Fig. 7.9" sheetId="10" r:id="rId9"/>
    <sheet name="Fig. 7.10" sheetId="11" r:id="rId10"/>
    <sheet name="Fig. 7.11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2" l="1"/>
  <c r="E6" i="12"/>
  <c r="E4" i="12"/>
  <c r="D6" i="12"/>
  <c r="C6" i="12"/>
  <c r="C5" i="12"/>
  <c r="D5" i="12" s="1"/>
  <c r="C4" i="12"/>
  <c r="C7" i="12" s="1"/>
  <c r="D7" i="12" s="1"/>
  <c r="I12" i="11"/>
  <c r="H12" i="11"/>
  <c r="I4" i="11"/>
  <c r="I5" i="11"/>
  <c r="I6" i="11"/>
  <c r="H6" i="11"/>
  <c r="H5" i="11"/>
  <c r="H4" i="11"/>
  <c r="D4" i="12" l="1"/>
  <c r="C7" i="11" l="1"/>
  <c r="C12" i="11" s="1"/>
  <c r="C6" i="11"/>
  <c r="C5" i="11"/>
  <c r="C4" i="11"/>
  <c r="F8" i="10"/>
  <c r="E8" i="10"/>
  <c r="D8" i="10"/>
  <c r="E24" i="10" s="1"/>
  <c r="C8" i="10"/>
  <c r="C24" i="10" s="1"/>
  <c r="F7" i="10"/>
  <c r="E7" i="10"/>
  <c r="D7" i="10"/>
  <c r="E23" i="10" s="1"/>
  <c r="C7" i="10"/>
  <c r="C23" i="10" s="1"/>
  <c r="F6" i="10"/>
  <c r="E6" i="10"/>
  <c r="D6" i="10"/>
  <c r="E22" i="10" s="1"/>
  <c r="C6" i="10"/>
  <c r="C22" i="10" s="1"/>
  <c r="F5" i="10"/>
  <c r="E5" i="10"/>
  <c r="D5" i="10"/>
  <c r="E21" i="10" s="1"/>
  <c r="C5" i="10"/>
  <c r="C21" i="10" s="1"/>
  <c r="E5" i="9"/>
  <c r="F5" i="9"/>
  <c r="G5" i="9"/>
  <c r="E6" i="9"/>
  <c r="F6" i="9"/>
  <c r="G6" i="9"/>
  <c r="E7" i="9"/>
  <c r="F7" i="9"/>
  <c r="G7" i="9"/>
  <c r="E8" i="9"/>
  <c r="F8" i="9"/>
  <c r="G8" i="9"/>
  <c r="D6" i="9"/>
  <c r="D7" i="9"/>
  <c r="D8" i="9"/>
  <c r="D5" i="9"/>
  <c r="E9" i="9"/>
  <c r="C8" i="9"/>
  <c r="C7" i="9"/>
  <c r="C6" i="9"/>
  <c r="C5" i="9"/>
  <c r="C7" i="8"/>
  <c r="C8" i="8"/>
  <c r="C9" i="8"/>
  <c r="C6" i="8"/>
  <c r="E7" i="8"/>
  <c r="E8" i="8"/>
  <c r="E9" i="8"/>
  <c r="E6" i="8"/>
  <c r="D7" i="8"/>
  <c r="D8" i="8"/>
  <c r="D9" i="8"/>
  <c r="D6" i="8"/>
  <c r="C10" i="8"/>
  <c r="R26" i="7"/>
  <c r="W6" i="7"/>
  <c r="W12" i="7"/>
  <c r="W19" i="7"/>
  <c r="W18" i="7"/>
  <c r="X18" i="7" s="1"/>
  <c r="Z18" i="7" s="1"/>
  <c r="X33" i="7"/>
  <c r="W7" i="7"/>
  <c r="X7" i="7" s="1"/>
  <c r="Z5" i="7"/>
  <c r="S25" i="7"/>
  <c r="R25" i="7"/>
  <c r="R28" i="7" s="1"/>
  <c r="X21" i="7"/>
  <c r="X27" i="7"/>
  <c r="W26" i="7"/>
  <c r="X26" i="7" s="1"/>
  <c r="Z26" i="7" s="1"/>
  <c r="W27" i="7"/>
  <c r="W24" i="7"/>
  <c r="X24" i="7" s="1"/>
  <c r="Z24" i="7" s="1"/>
  <c r="W21" i="7"/>
  <c r="R19" i="7"/>
  <c r="R20" i="7"/>
  <c r="V20" i="7" s="1"/>
  <c r="V7" i="7" s="1"/>
  <c r="V13" i="7" s="1"/>
  <c r="R18" i="7"/>
  <c r="V18" i="7" s="1"/>
  <c r="V5" i="7" s="1"/>
  <c r="W5" i="7" s="1"/>
  <c r="R14" i="7"/>
  <c r="U14" i="7" s="1"/>
  <c r="V14" i="7" s="1"/>
  <c r="W14" i="7" s="1"/>
  <c r="R13" i="7"/>
  <c r="U13" i="7" s="1"/>
  <c r="R12" i="7"/>
  <c r="U12" i="7" s="1"/>
  <c r="U6" i="7" s="1"/>
  <c r="V21" i="7"/>
  <c r="U11" i="7"/>
  <c r="T6" i="7"/>
  <c r="T7" i="7"/>
  <c r="T8" i="7"/>
  <c r="T5" i="7"/>
  <c r="U5" i="7" s="1"/>
  <c r="R9" i="7"/>
  <c r="D21" i="10" l="1"/>
  <c r="D24" i="10"/>
  <c r="F24" i="10" s="1"/>
  <c r="D23" i="10"/>
  <c r="D25" i="10" s="1"/>
  <c r="D22" i="10"/>
  <c r="F22" i="10" s="1"/>
  <c r="G22" i="10" s="1"/>
  <c r="F21" i="10"/>
  <c r="C25" i="10"/>
  <c r="F9" i="10"/>
  <c r="D9" i="10"/>
  <c r="E9" i="10"/>
  <c r="C9" i="10"/>
  <c r="E25" i="10"/>
  <c r="C9" i="9"/>
  <c r="D9" i="9"/>
  <c r="Z7" i="7"/>
  <c r="W20" i="7"/>
  <c r="X20" i="7" s="1"/>
  <c r="Z20" i="7" s="1"/>
  <c r="X11" i="7"/>
  <c r="Z11" i="7" s="1"/>
  <c r="W13" i="7"/>
  <c r="X13" i="7" s="1"/>
  <c r="Z13" i="7" s="1"/>
  <c r="W25" i="7"/>
  <c r="U7" i="7"/>
  <c r="X5" i="7"/>
  <c r="V11" i="7"/>
  <c r="R15" i="7"/>
  <c r="R22" i="7"/>
  <c r="W28" i="7"/>
  <c r="V19" i="7"/>
  <c r="U8" i="7"/>
  <c r="V8" i="7" s="1"/>
  <c r="W8" i="7" s="1"/>
  <c r="U15" i="7"/>
  <c r="T9" i="7"/>
  <c r="T34" i="7" s="1"/>
  <c r="F23" i="10" l="1"/>
  <c r="F25" i="10" s="1"/>
  <c r="G21" i="10"/>
  <c r="F9" i="9"/>
  <c r="G9" i="9"/>
  <c r="X25" i="7"/>
  <c r="U9" i="7"/>
  <c r="U34" i="7" s="1"/>
  <c r="V22" i="7"/>
  <c r="V6" i="7"/>
  <c r="V12" i="7" s="1"/>
  <c r="V9" i="7"/>
  <c r="W9" i="7"/>
  <c r="G25" i="10" l="1"/>
  <c r="G7" i="12"/>
  <c r="H7" i="12" s="1"/>
  <c r="Z25" i="7"/>
  <c r="X28" i="7"/>
  <c r="X6" i="7"/>
  <c r="V15" i="7"/>
  <c r="V34" i="7" s="1"/>
  <c r="H6" i="12" l="1"/>
  <c r="I6" i="12" s="1"/>
  <c r="J6" i="12" s="1"/>
  <c r="H5" i="12"/>
  <c r="I5" i="12" s="1"/>
  <c r="J5" i="12" s="1"/>
  <c r="H4" i="12"/>
  <c r="I4" i="12" s="1"/>
  <c r="J4" i="12" s="1"/>
  <c r="J7" i="12" s="1"/>
  <c r="X12" i="7"/>
  <c r="W15" i="7"/>
  <c r="Z6" i="7"/>
  <c r="X9" i="7"/>
  <c r="Z9" i="7" l="1"/>
  <c r="Z12" i="7"/>
  <c r="X15" i="7"/>
  <c r="Z15" i="7" l="1"/>
  <c r="X19" i="7"/>
  <c r="W22" i="7"/>
  <c r="W34" i="7" s="1"/>
  <c r="Z19" i="7" l="1"/>
  <c r="Z22" i="7" s="1"/>
  <c r="X22" i="7"/>
  <c r="X34" i="7" s="1"/>
  <c r="D8" i="2" l="1"/>
  <c r="D10" i="2" s="1"/>
  <c r="D13" i="2" s="1"/>
  <c r="G12" i="2"/>
  <c r="G7" i="2"/>
  <c r="G9" i="2"/>
  <c r="G6" i="2"/>
  <c r="J13" i="2"/>
  <c r="E8" i="2" l="1"/>
  <c r="G8" i="2" s="1"/>
  <c r="E10" i="2" l="1"/>
  <c r="G10" i="2" s="1"/>
  <c r="E13" i="2" l="1"/>
  <c r="F10" i="2" l="1"/>
  <c r="G13" i="2"/>
  <c r="F13" i="2"/>
  <c r="F12" i="2"/>
  <c r="F6" i="2"/>
  <c r="F7" i="2"/>
  <c r="F8" i="2"/>
  <c r="F9" i="2"/>
  <c r="E30" i="1" l="1"/>
  <c r="F30" i="1"/>
  <c r="G30" i="1"/>
  <c r="H30" i="1"/>
  <c r="I30" i="1"/>
  <c r="J30" i="1"/>
  <c r="D30" i="1"/>
  <c r="E19" i="1"/>
  <c r="F19" i="1"/>
  <c r="G19" i="1"/>
  <c r="D19" i="1"/>
  <c r="D7" i="1"/>
  <c r="D17" i="1" s="1"/>
  <c r="E7" i="1" l="1"/>
  <c r="D28" i="1"/>
  <c r="E17" i="1" l="1"/>
  <c r="F7" i="1"/>
  <c r="E28" i="1"/>
  <c r="F28" i="1" l="1"/>
  <c r="F17" i="1"/>
  <c r="G7" i="1"/>
  <c r="G17" i="1" l="1"/>
  <c r="H7" i="1"/>
  <c r="G28" i="1"/>
  <c r="C14" i="1"/>
  <c r="D13" i="1"/>
  <c r="D22" i="1"/>
  <c r="D24" i="1"/>
  <c r="C25" i="1"/>
  <c r="H28" i="1" l="1"/>
  <c r="I7" i="1"/>
  <c r="H17" i="1"/>
  <c r="D14" i="1"/>
  <c r="D25" i="1"/>
  <c r="E22" i="1"/>
  <c r="E24" i="1"/>
  <c r="D11" i="1"/>
  <c r="I28" i="1" l="1"/>
  <c r="J7" i="1"/>
  <c r="E25" i="1"/>
  <c r="F24" i="1"/>
  <c r="F22" i="1"/>
  <c r="E13" i="1"/>
  <c r="E11" i="1"/>
  <c r="J28" i="1" l="1"/>
  <c r="F13" i="1"/>
  <c r="F11" i="1"/>
  <c r="E14" i="1"/>
  <c r="G24" i="1"/>
  <c r="G22" i="1"/>
  <c r="F25" i="1"/>
  <c r="G25" i="1" l="1"/>
  <c r="G13" i="1"/>
  <c r="G11" i="1"/>
  <c r="H12" i="1" s="1"/>
  <c r="H19" i="1" s="1"/>
  <c r="H24" i="1"/>
  <c r="H22" i="1"/>
  <c r="F14" i="1"/>
  <c r="H25" i="1" l="1"/>
  <c r="H11" i="1"/>
  <c r="H13" i="1"/>
  <c r="G14" i="1"/>
  <c r="I22" i="1"/>
  <c r="I24" i="1"/>
  <c r="I11" i="1" l="1"/>
  <c r="I13" i="1"/>
  <c r="J24" i="1"/>
  <c r="J22" i="1"/>
  <c r="I25" i="1"/>
  <c r="H14" i="1"/>
  <c r="J25" i="1" l="1"/>
  <c r="J13" i="1"/>
  <c r="J11" i="1"/>
  <c r="I14" i="1"/>
  <c r="J14" i="1" l="1"/>
</calcChain>
</file>

<file path=xl/sharedStrings.xml><?xml version="1.0" encoding="utf-8"?>
<sst xmlns="http://schemas.openxmlformats.org/spreadsheetml/2006/main" count="412" uniqueCount="235">
  <si>
    <t>Colorado Dental</t>
  </si>
  <si>
    <t>TRANSACTION SOURCES &amp; USES</t>
  </si>
  <si>
    <t>Sources</t>
  </si>
  <si>
    <t>Funded
($ 000's)</t>
  </si>
  <si>
    <t>% Cap</t>
  </si>
  <si>
    <t xml:space="preserve">  EBITDA
 x</t>
  </si>
  <si>
    <t>Uses</t>
  </si>
  <si>
    <t>Amount
($ 000's)</t>
  </si>
  <si>
    <t>Cash</t>
  </si>
  <si>
    <t>Term Loan A</t>
  </si>
  <si>
    <t>Purchase of Equity (100% shares)</t>
  </si>
  <si>
    <t>Term Loan B</t>
  </si>
  <si>
    <t>Refinance Existing Debt</t>
  </si>
  <si>
    <t xml:space="preserve">   Total Bank Debt</t>
  </si>
  <si>
    <t>Transaction Fees &amp; Expenses</t>
  </si>
  <si>
    <t>Senior Unsecured / Subordinated Notes</t>
  </si>
  <si>
    <t>10% FIXED</t>
  </si>
  <si>
    <t>Total Debt</t>
  </si>
  <si>
    <t>Cash Equity</t>
  </si>
  <si>
    <t>Total Sources</t>
  </si>
  <si>
    <t>Total Uses</t>
  </si>
  <si>
    <t>($ 000's)</t>
  </si>
  <si>
    <t>Historical</t>
  </si>
  <si>
    <t>PROJECTED</t>
  </si>
  <si>
    <t>Interest Rate Assumptions</t>
  </si>
  <si>
    <t>Outstanding</t>
  </si>
  <si>
    <t>Increase / (Decrease)</t>
  </si>
  <si>
    <t>Interest Payment</t>
  </si>
  <si>
    <t>Spread</t>
  </si>
  <si>
    <t>Interest rate</t>
  </si>
  <si>
    <t xml:space="preserve"> Total Payment (Interest + Principal)</t>
  </si>
  <si>
    <t>Schedule Repayment based on Percentage %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</si>
  <si>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</si>
  <si>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</si>
  <si>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</si>
  <si>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</si>
  <si>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</si>
  <si>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</si>
  <si>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</si>
  <si>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</si>
  <si>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DEBT SCHEDULES</t>
  </si>
  <si>
    <t>Acquisition Target EBITDA =</t>
  </si>
  <si>
    <t>Commited
($ 000's)</t>
  </si>
  <si>
    <t>Term
(Years)</t>
  </si>
  <si>
    <t>Interest 
Rate</t>
  </si>
  <si>
    <t>Revolving Credit</t>
  </si>
  <si>
    <t>Description</t>
  </si>
  <si>
    <t>Standard &amp; Poor's</t>
  </si>
  <si>
    <t>Moody's</t>
  </si>
  <si>
    <t>Fitch</t>
  </si>
  <si>
    <t>INVESTMENT GRADE</t>
  </si>
  <si>
    <t>Highest Quality (Risk Free)</t>
  </si>
  <si>
    <t>AAA</t>
  </si>
  <si>
    <t>Aaa</t>
  </si>
  <si>
    <t>High Quality</t>
  </si>
  <si>
    <t>AA+</t>
  </si>
  <si>
    <t>Aa1</t>
  </si>
  <si>
    <t>Aa2</t>
  </si>
  <si>
    <t>AA-</t>
  </si>
  <si>
    <t>Aa3</t>
  </si>
  <si>
    <t>Strong Payment Capacity</t>
  </si>
  <si>
    <t>A+</t>
  </si>
  <si>
    <t>A1</t>
  </si>
  <si>
    <t>A2</t>
  </si>
  <si>
    <t>A-</t>
  </si>
  <si>
    <t>A3</t>
  </si>
  <si>
    <t>Adequate Payment Capacity</t>
  </si>
  <si>
    <t>BBB+</t>
  </si>
  <si>
    <t>Baa1</t>
  </si>
  <si>
    <t>BBB</t>
  </si>
  <si>
    <t>Baa2</t>
  </si>
  <si>
    <t>BBB-</t>
  </si>
  <si>
    <t>Baa3</t>
  </si>
  <si>
    <t>Likely to fullfill Obligations</t>
  </si>
  <si>
    <t>NON-INVESTMENT GRADE 
(HIGH YEILD)</t>
  </si>
  <si>
    <t>BB+</t>
  </si>
  <si>
    <t>Ba1</t>
  </si>
  <si>
    <t>BB</t>
  </si>
  <si>
    <t>Ba2</t>
  </si>
  <si>
    <t>BB-</t>
  </si>
  <si>
    <t>Ba3</t>
  </si>
  <si>
    <t>High-risk Obligations</t>
  </si>
  <si>
    <t>B+</t>
  </si>
  <si>
    <t>B1</t>
  </si>
  <si>
    <t>B</t>
  </si>
  <si>
    <t>B2</t>
  </si>
  <si>
    <t>B-</t>
  </si>
  <si>
    <t>B3</t>
  </si>
  <si>
    <t>Current Vulnarable to Default</t>
  </si>
  <si>
    <t xml:space="preserve">DISTRESS </t>
  </si>
  <si>
    <t>CCC+</t>
  </si>
  <si>
    <t>Caa</t>
  </si>
  <si>
    <t>CCC</t>
  </si>
  <si>
    <t>CCC-</t>
  </si>
  <si>
    <t>CC</t>
  </si>
  <si>
    <t>C</t>
  </si>
  <si>
    <t>Default</t>
  </si>
  <si>
    <t>DEFAULT</t>
  </si>
  <si>
    <t>D</t>
  </si>
  <si>
    <t>DDD,DD,D</t>
  </si>
  <si>
    <t>CORPORATE LOAN RATING AGENCIES' SCALES</t>
  </si>
  <si>
    <t>AA</t>
  </si>
  <si>
    <t>A</t>
  </si>
  <si>
    <t>THE LOAN SYNDICATION PROCESS</t>
  </si>
  <si>
    <t>Bank</t>
  </si>
  <si>
    <t>LEAD ARANGER BANK
Administrative Agent</t>
  </si>
  <si>
    <t>Co-Mgr
Bank #1</t>
  </si>
  <si>
    <t>Co-Mgr
Bank #2</t>
  </si>
  <si>
    <t>Co-Mgr
Bank #3</t>
  </si>
  <si>
    <t>Co-Mgr
Bank #4</t>
  </si>
  <si>
    <t>Co-Mgr
Bank #5</t>
  </si>
  <si>
    <t>Co-Mgr
Bank #6</t>
  </si>
  <si>
    <t>LEFT LEAD</t>
  </si>
  <si>
    <t>FIRST TIER</t>
  </si>
  <si>
    <t>SECOND TIER</t>
  </si>
  <si>
    <t>"RETAIL LEVEL"</t>
  </si>
  <si>
    <t>Figured 7.5</t>
  </si>
  <si>
    <t>COMPANY/ISSUER</t>
  </si>
  <si>
    <t>"WATERFALL" PRIORITY OF PAYMENT</t>
  </si>
  <si>
    <t>Figure 7.1</t>
  </si>
  <si>
    <t>Figure 7.2</t>
  </si>
  <si>
    <t>Figure 7.3</t>
  </si>
  <si>
    <t>Figure 7.4</t>
  </si>
  <si>
    <t>Unitranche Term Loan</t>
  </si>
  <si>
    <t>CO-LEAD ARRANGER #1
Syndication 
Agent</t>
  </si>
  <si>
    <t>CO-LEAD ARRANGER #3
Documentation Agent</t>
  </si>
  <si>
    <t>CO-LEAD ARRANGER #2
Documentation Agent</t>
  </si>
  <si>
    <t>COMPANY/ ISSUER</t>
  </si>
  <si>
    <t>FGH Bank
Co-Mgr
Bank #1</t>
  </si>
  <si>
    <t>EFG Bank
Co-Mgr
Bank #1</t>
  </si>
  <si>
    <t>DEF Bank
Co-Mgr
Bank #1</t>
  </si>
  <si>
    <t>CDE Bank
Co-Mgr
Bank #1</t>
  </si>
  <si>
    <t>BCD Bank
Co-Mgr
Bank #1</t>
  </si>
  <si>
    <t>ABC Bank
Co-Mgr
Bank #1</t>
  </si>
  <si>
    <t>Bank 1</t>
  </si>
  <si>
    <t>Bank 2</t>
  </si>
  <si>
    <t>Bank 3</t>
  </si>
  <si>
    <t>Bank 4</t>
  </si>
  <si>
    <t>Bank 5</t>
  </si>
  <si>
    <t>Bank 6</t>
  </si>
  <si>
    <t>Bank 7</t>
  </si>
  <si>
    <t>Bank 8</t>
  </si>
  <si>
    <t>Bank 10</t>
  </si>
  <si>
    <t>Bank 9</t>
  </si>
  <si>
    <t xml:space="preserve">Initial </t>
  </si>
  <si>
    <t>Facility</t>
  </si>
  <si>
    <t>Revolver</t>
  </si>
  <si>
    <t>Total</t>
  </si>
  <si>
    <t>Bridge Loan</t>
  </si>
  <si>
    <t xml:space="preserve">Total </t>
  </si>
  <si>
    <t>First Tier
Allocation</t>
  </si>
  <si>
    <t>Second Tier
Allocation</t>
  </si>
  <si>
    <t>Retail Level
Allocation</t>
  </si>
  <si>
    <t>After Bond
Issuance</t>
  </si>
  <si>
    <r>
      <rPr>
        <b/>
        <sz val="9"/>
        <color rgb="FFFF0000"/>
        <rFont val="Calibri"/>
        <family val="2"/>
        <scheme val="minor"/>
      </rPr>
      <t>TOPBANC BANK</t>
    </r>
    <r>
      <rPr>
        <b/>
        <sz val="9"/>
        <color theme="1"/>
        <rFont val="Calibri"/>
        <family val="2"/>
        <scheme val="minor"/>
      </rPr>
      <t xml:space="preserve">
LEAD ARANGER BANK
Administrative Agent</t>
    </r>
  </si>
  <si>
    <r>
      <rPr>
        <b/>
        <sz val="9"/>
        <color rgb="FFFF0000"/>
        <rFont val="Calibri"/>
        <family val="2"/>
        <scheme val="minor"/>
      </rPr>
      <t>DROU BANK</t>
    </r>
    <r>
      <rPr>
        <b/>
        <sz val="9"/>
        <color theme="1"/>
        <rFont val="Calibri"/>
        <family val="2"/>
        <scheme val="minor"/>
      </rPr>
      <t xml:space="preserve">
CO-LEAD ARRANGER #1
Syndication 
Agent</t>
    </r>
  </si>
  <si>
    <r>
      <rPr>
        <b/>
        <sz val="9"/>
        <color rgb="FFFF0000"/>
        <rFont val="Calibri"/>
        <family val="2"/>
        <scheme val="minor"/>
      </rPr>
      <t>SPRING BANK</t>
    </r>
    <r>
      <rPr>
        <b/>
        <sz val="9"/>
        <color theme="1"/>
        <rFont val="Calibri"/>
        <family val="2"/>
        <scheme val="minor"/>
      </rPr>
      <t xml:space="preserve">
CO-LEAD ARRANGER #2
Documentation Agent</t>
    </r>
  </si>
  <si>
    <r>
      <rPr>
        <b/>
        <sz val="9"/>
        <color rgb="FFFF0000"/>
        <rFont val="Calibri"/>
        <family val="2"/>
        <scheme val="minor"/>
      </rPr>
      <t>SUMMER BANK</t>
    </r>
    <r>
      <rPr>
        <b/>
        <sz val="9"/>
        <color theme="1"/>
        <rFont val="Calibri"/>
        <family val="2"/>
        <scheme val="minor"/>
      </rPr>
      <t xml:space="preserve">
CO-LEAD ARRANGER #3
Documentation Agent</t>
    </r>
  </si>
  <si>
    <t>Figure 7.6</t>
  </si>
  <si>
    <t>Commitm.</t>
  </si>
  <si>
    <t>CLO/PF</t>
  </si>
  <si>
    <t>RETAIL LEVEL</t>
  </si>
  <si>
    <t>Syndication</t>
  </si>
  <si>
    <t>Level</t>
  </si>
  <si>
    <t>SYNDICATION TIERS</t>
  </si>
  <si>
    <t>Bond Investors</t>
  </si>
  <si>
    <t>Per Bank</t>
  </si>
  <si>
    <t>Banks</t>
  </si>
  <si>
    <t>Average Hold CLO/PF</t>
  </si>
  <si>
    <t>Global</t>
  </si>
  <si>
    <t>Tier 1</t>
  </si>
  <si>
    <t>Tier 2</t>
  </si>
  <si>
    <t>Commitment</t>
  </si>
  <si>
    <t>LOAN SYNDICATION INITIAL COMMITMENTS</t>
  </si>
  <si>
    <t>Figure 7.7</t>
  </si>
  <si>
    <t xml:space="preserve">SYNDICATION STRATEGY </t>
  </si>
  <si>
    <t>Figure 7.8</t>
  </si>
  <si>
    <t>SYNDICATION STRATEGY AND FEE BREAKDOWN</t>
  </si>
  <si>
    <t>Fees % 
before 
skimming</t>
  </si>
  <si>
    <t>(Includes 1.5% Bridge and 1.5% Bond Economics)</t>
  </si>
  <si>
    <t>Figure 7.9</t>
  </si>
  <si>
    <t>Bridge Loan*</t>
  </si>
  <si>
    <t>First Tier
Fees</t>
  </si>
  <si>
    <t>Second Tier
Fee Skim</t>
  </si>
  <si>
    <t>Retail Level
Skim</t>
  </si>
  <si>
    <t>Final Fee</t>
  </si>
  <si>
    <t>Retail</t>
  </si>
  <si>
    <t xml:space="preserve"> Effective
Fee %</t>
  </si>
  <si>
    <t>Figure 7.10</t>
  </si>
  <si>
    <t>Initial 
Commitment</t>
  </si>
  <si>
    <t>Offered
OID</t>
  </si>
  <si>
    <t>Max Flex
OID</t>
  </si>
  <si>
    <t>Bonds</t>
  </si>
  <si>
    <t>Drou Bank
Initial 
Commitment</t>
  </si>
  <si>
    <t>Max Flex
Fixed Rate
Pricing</t>
  </si>
  <si>
    <t>Offered
Fixed Rate
Pricing</t>
  </si>
  <si>
    <t>SYNDICATION RISK ANALYSIS - PRICING FLEX</t>
  </si>
  <si>
    <t>SYNDICATION RISK ANALYSIS - STRUCTURE FLEX</t>
  </si>
  <si>
    <t>Senior Leverage</t>
  </si>
  <si>
    <t>Total Leverage</t>
  </si>
  <si>
    <t>Equity %</t>
  </si>
  <si>
    <t>Figure 7.11</t>
  </si>
  <si>
    <t>Offered
Structure</t>
  </si>
  <si>
    <t>Max Flex
Structure</t>
  </si>
  <si>
    <t>3.9x</t>
  </si>
  <si>
    <t>6.0x</t>
  </si>
  <si>
    <t>3.0x</t>
  </si>
  <si>
    <t>5.0x</t>
  </si>
  <si>
    <t>Offered
Initial Yield</t>
  </si>
  <si>
    <t>Max Flex
Initial Yield</t>
  </si>
  <si>
    <t>Offered
Initial Yield*</t>
  </si>
  <si>
    <t>Max Flex
Initial Yield*</t>
  </si>
  <si>
    <t>LIBOR Floor=</t>
  </si>
  <si>
    <t>*Bank Yield = LIBOR Floor + Spread + [(100 - OID)/4]</t>
  </si>
  <si>
    <t>Max Contractual
Flex
Initial Yield*</t>
  </si>
  <si>
    <t>* Bond Yield (YTM) = (Coupon Rate % x 100) / OID</t>
  </si>
  <si>
    <t>SYNDICATION BREAK EVEN RISK ANALYSIS - BEYONG PRICING FLEX</t>
  </si>
  <si>
    <t>Fees to give back to the Market 
Break Even
$</t>
  </si>
  <si>
    <t xml:space="preserve">  Total</t>
  </si>
  <si>
    <t xml:space="preserve"> % of Total
(Weights)</t>
  </si>
  <si>
    <t>Additional Fees to give back to the Market 
Break Even
%</t>
  </si>
  <si>
    <t>Total
Fees to give back to the Market 
Break Even
%</t>
  </si>
  <si>
    <t xml:space="preserve"> % higher 
than 
initial 
offered 
Price</t>
  </si>
  <si>
    <t xml:space="preserve">Offered
All-In 
Yield*
</t>
  </si>
  <si>
    <t>No Skim for RC</t>
  </si>
  <si>
    <t>No Skim for TL A</t>
  </si>
  <si>
    <t>SOFR Rate</t>
  </si>
  <si>
    <t>SOFR Iincrease / Decrease</t>
  </si>
  <si>
    <t xml:space="preserve"> 0.50%/SOFR+3.5%</t>
  </si>
  <si>
    <t xml:space="preserve"> SOFR + 3.5%</t>
  </si>
  <si>
    <t xml:space="preserve"> SOFR + 4.0%</t>
  </si>
  <si>
    <t>Offered
SOFR
Spread</t>
  </si>
  <si>
    <t>Max Flex
SOFR
Spread</t>
  </si>
  <si>
    <t>SOFR Floor=</t>
  </si>
  <si>
    <t>*Bank Yield = SOFR Floor + Spread + [(100 - OID)/4]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</si>
</sst>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\x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\x"/>
    <numFmt numFmtId="169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rgb="FF0066FF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4" fillId="0" borderId="0" xfId="0" applyFo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Continuous"/>
    </xf>
    <xf numFmtId="0" fontId="0" fillId="0" borderId="0" xfId="0" applyFont="1"/>
    <xf numFmtId="10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0" fontId="6" fillId="0" borderId="0" xfId="3" applyNumberFormat="1" applyFont="1" applyAlignment="1">
      <alignment horizontal="center" wrapText="1"/>
    </xf>
    <xf numFmtId="0" fontId="7" fillId="2" borderId="0" xfId="0" applyFont="1" applyFill="1"/>
    <xf numFmtId="0" fontId="8" fillId="2" borderId="0" xfId="0" applyFont="1" applyFill="1"/>
    <xf numFmtId="0" fontId="2" fillId="0" borderId="0" xfId="0" quotePrefix="1" applyFont="1"/>
    <xf numFmtId="0" fontId="6" fillId="3" borderId="5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6" fillId="0" borderId="0" xfId="0" applyFont="1"/>
    <xf numFmtId="10" fontId="9" fillId="0" borderId="0" xfId="2" applyNumberFormat="1" applyFont="1"/>
    <xf numFmtId="166" fontId="0" fillId="0" borderId="0" xfId="0" applyNumberFormat="1" applyFont="1"/>
    <xf numFmtId="10" fontId="0" fillId="0" borderId="0" xfId="2" applyNumberFormat="1" applyFont="1"/>
    <xf numFmtId="167" fontId="10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166" fontId="1" fillId="0" borderId="0" xfId="2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1" applyNumberFormat="1" applyFont="1" applyAlignment="1">
      <alignment horizontal="center"/>
    </xf>
    <xf numFmtId="166" fontId="1" fillId="0" borderId="7" xfId="2" applyNumberFormat="1" applyFont="1" applyBorder="1" applyAlignment="1">
      <alignment horizontal="center"/>
    </xf>
    <xf numFmtId="164" fontId="1" fillId="0" borderId="0" xfId="0" applyNumberFormat="1" applyFont="1"/>
    <xf numFmtId="166" fontId="1" fillId="0" borderId="0" xfId="2" quotePrefix="1" applyNumberFormat="1" applyFont="1" applyAlignment="1">
      <alignment horizontal="center"/>
    </xf>
    <xf numFmtId="166" fontId="1" fillId="0" borderId="0" xfId="2" applyNumberFormat="1" applyFont="1"/>
    <xf numFmtId="0" fontId="1" fillId="0" borderId="0" xfId="2" applyNumberFormat="1" applyFont="1"/>
    <xf numFmtId="166" fontId="1" fillId="0" borderId="3" xfId="2" applyNumberFormat="1" applyFont="1" applyBorder="1" applyAlignment="1">
      <alignment horizontal="center"/>
    </xf>
    <xf numFmtId="166" fontId="1" fillId="0" borderId="10" xfId="2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0" xfId="0" applyNumberFormat="1" applyFont="1"/>
    <xf numFmtId="43" fontId="1" fillId="0" borderId="0" xfId="0" applyNumberFormat="1" applyFont="1"/>
    <xf numFmtId="0" fontId="7" fillId="2" borderId="0" xfId="3" applyFont="1" applyFill="1"/>
    <xf numFmtId="0" fontId="8" fillId="2" borderId="0" xfId="3" applyFont="1" applyFill="1"/>
    <xf numFmtId="0" fontId="6" fillId="3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165" fontId="1" fillId="0" borderId="0" xfId="1" applyNumberFormat="1" applyFont="1"/>
    <xf numFmtId="165" fontId="14" fillId="0" borderId="0" xfId="1" applyNumberFormat="1" applyFont="1"/>
    <xf numFmtId="165" fontId="15" fillId="0" borderId="0" xfId="1" applyNumberFormat="1" applyFont="1"/>
    <xf numFmtId="164" fontId="1" fillId="0" borderId="0" xfId="1" applyNumberFormat="1" applyFont="1" applyAlignment="1">
      <alignment horizontal="center"/>
    </xf>
    <xf numFmtId="165" fontId="10" fillId="0" borderId="0" xfId="1" applyNumberFormat="1" applyFont="1"/>
    <xf numFmtId="165" fontId="15" fillId="0" borderId="7" xfId="1" applyNumberFormat="1" applyFont="1" applyBorder="1"/>
    <xf numFmtId="164" fontId="1" fillId="0" borderId="7" xfId="1" applyNumberFormat="1" applyFont="1" applyBorder="1" applyAlignment="1">
      <alignment horizontal="center"/>
    </xf>
    <xf numFmtId="165" fontId="10" fillId="0" borderId="0" xfId="0" applyNumberFormat="1" applyFont="1"/>
    <xf numFmtId="0" fontId="15" fillId="0" borderId="0" xfId="0" applyFont="1"/>
    <xf numFmtId="165" fontId="6" fillId="0" borderId="3" xfId="1" applyNumberFormat="1" applyFont="1" applyBorder="1"/>
    <xf numFmtId="164" fontId="1" fillId="0" borderId="3" xfId="1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/>
    <xf numFmtId="165" fontId="6" fillId="0" borderId="10" xfId="1" applyNumberFormat="1" applyFont="1" applyBorder="1"/>
    <xf numFmtId="0" fontId="6" fillId="0" borderId="0" xfId="0" applyFont="1" applyAlignment="1">
      <alignment horizontal="right"/>
    </xf>
    <xf numFmtId="165" fontId="6" fillId="0" borderId="2" xfId="1" applyNumberFormat="1" applyFont="1" applyBorder="1"/>
    <xf numFmtId="165" fontId="6" fillId="0" borderId="0" xfId="1" applyNumberFormat="1" applyFont="1"/>
    <xf numFmtId="166" fontId="9" fillId="0" borderId="0" xfId="2" applyNumberFormat="1" applyFont="1"/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7" xfId="0" applyBorder="1" applyAlignment="1"/>
    <xf numFmtId="0" fontId="2" fillId="4" borderId="12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0" borderId="0" xfId="1" quotePrefix="1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6" xfId="0" applyFill="1" applyBorder="1" applyAlignment="1">
      <alignment horizontal="center" wrapText="1"/>
    </xf>
    <xf numFmtId="0" fontId="0" fillId="4" borderId="27" xfId="0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5" fontId="2" fillId="0" borderId="1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4" borderId="27" xfId="0" applyFont="1" applyFill="1" applyBorder="1" applyAlignment="1">
      <alignment horizontal="left"/>
    </xf>
    <xf numFmtId="168" fontId="2" fillId="0" borderId="0" xfId="1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0" xfId="0" applyAlignment="1">
      <alignment horizontal="left" vertical="center"/>
    </xf>
    <xf numFmtId="0" fontId="0" fillId="4" borderId="0" xfId="0" applyFill="1" applyBorder="1" applyAlignment="1">
      <alignment horizontal="center"/>
    </xf>
    <xf numFmtId="165" fontId="0" fillId="5" borderId="0" xfId="1" applyNumberFormat="1" applyFont="1" applyFill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10" fontId="0" fillId="0" borderId="0" xfId="0" applyNumberFormat="1"/>
    <xf numFmtId="0" fontId="2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0" borderId="7" xfId="0" applyBorder="1" applyAlignment="1">
      <alignment horizontal="left"/>
    </xf>
    <xf numFmtId="10" fontId="0" fillId="0" borderId="7" xfId="0" applyNumberFormat="1" applyBorder="1"/>
    <xf numFmtId="0" fontId="0" fillId="4" borderId="10" xfId="0" applyFill="1" applyBorder="1" applyAlignment="1">
      <alignment horizont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166" fontId="2" fillId="0" borderId="10" xfId="2" applyNumberFormat="1" applyFont="1" applyBorder="1"/>
    <xf numFmtId="165" fontId="0" fillId="0" borderId="7" xfId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1" applyNumberFormat="1" applyFont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0" fontId="0" fillId="6" borderId="10" xfId="0" applyFill="1" applyBorder="1" applyAlignment="1">
      <alignment horizontal="center" wrapText="1"/>
    </xf>
    <xf numFmtId="169" fontId="0" fillId="6" borderId="0" xfId="2" applyNumberFormat="1" applyFont="1" applyFill="1" applyAlignment="1">
      <alignment horizontal="center"/>
    </xf>
    <xf numFmtId="169" fontId="0" fillId="6" borderId="7" xfId="2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 wrapText="1"/>
    </xf>
    <xf numFmtId="43" fontId="0" fillId="5" borderId="0" xfId="1" applyNumberFormat="1" applyFont="1" applyFill="1" applyAlignment="1">
      <alignment horizontal="center"/>
    </xf>
    <xf numFmtId="165" fontId="0" fillId="5" borderId="7" xfId="1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7" borderId="10" xfId="0" applyFill="1" applyBorder="1" applyAlignment="1">
      <alignment horizontal="center" wrapText="1"/>
    </xf>
    <xf numFmtId="165" fontId="0" fillId="7" borderId="7" xfId="1" applyNumberFormat="1" applyFont="1" applyFill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7" borderId="0" xfId="2" applyNumberFormat="1" applyFont="1" applyFill="1" applyAlignment="1">
      <alignment horizontal="center"/>
    </xf>
    <xf numFmtId="0" fontId="0" fillId="0" borderId="29" xfId="0" applyBorder="1" applyAlignment="1">
      <alignment horizontal="left"/>
    </xf>
    <xf numFmtId="165" fontId="0" fillId="0" borderId="29" xfId="1" applyNumberFormat="1" applyFont="1" applyBorder="1" applyAlignment="1">
      <alignment horizontal="center"/>
    </xf>
    <xf numFmtId="169" fontId="0" fillId="0" borderId="29" xfId="2" applyNumberFormat="1" applyFont="1" applyBorder="1" applyAlignment="1">
      <alignment horizontal="center"/>
    </xf>
    <xf numFmtId="43" fontId="0" fillId="5" borderId="29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0" fontId="0" fillId="7" borderId="29" xfId="2" applyNumberFormat="1" applyFont="1" applyFill="1" applyBorder="1" applyAlignment="1">
      <alignment horizontal="center"/>
    </xf>
    <xf numFmtId="10" fontId="0" fillId="7" borderId="29" xfId="1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5" fontId="0" fillId="0" borderId="0" xfId="1" applyNumberFormat="1" applyFont="1" applyFill="1" applyAlignment="1">
      <alignment horizontal="center"/>
    </xf>
    <xf numFmtId="169" fontId="0" fillId="0" borderId="0" xfId="2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9" fontId="0" fillId="0" borderId="0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>
      <alignment horizontal="center" vertical="center"/>
    </xf>
    <xf numFmtId="10" fontId="0" fillId="0" borderId="26" xfId="2" applyNumberFormat="1" applyFont="1" applyFill="1" applyBorder="1" applyAlignment="1">
      <alignment horizontal="center" vertical="center"/>
    </xf>
    <xf numFmtId="0" fontId="0" fillId="0" borderId="0" xfId="0" applyBorder="1"/>
    <xf numFmtId="165" fontId="0" fillId="0" borderId="26" xfId="1" applyNumberFormat="1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165" fontId="0" fillId="0" borderId="26" xfId="1" applyNumberFormat="1" applyFont="1" applyBorder="1" applyAlignment="1">
      <alignment horizontal="center"/>
    </xf>
    <xf numFmtId="169" fontId="0" fillId="0" borderId="26" xfId="2" applyNumberFormat="1" applyFont="1" applyBorder="1" applyAlignment="1">
      <alignment horizontal="center"/>
    </xf>
    <xf numFmtId="0" fontId="0" fillId="0" borderId="26" xfId="0" applyBorder="1"/>
    <xf numFmtId="0" fontId="0" fillId="0" borderId="3" xfId="0" applyBorder="1" applyAlignment="1">
      <alignment horizontal="left"/>
    </xf>
    <xf numFmtId="10" fontId="0" fillId="0" borderId="3" xfId="2" applyNumberFormat="1" applyFont="1" applyBorder="1" applyAlignment="1">
      <alignment horizontal="center"/>
    </xf>
    <xf numFmtId="169" fontId="0" fillId="0" borderId="3" xfId="2" applyNumberFormat="1" applyFont="1" applyBorder="1" applyAlignment="1">
      <alignment horizontal="center"/>
    </xf>
    <xf numFmtId="0" fontId="0" fillId="0" borderId="3" xfId="0" applyBorder="1"/>
    <xf numFmtId="165" fontId="0" fillId="0" borderId="3" xfId="1" applyNumberFormat="1" applyFont="1" applyBorder="1"/>
    <xf numFmtId="169" fontId="0" fillId="0" borderId="3" xfId="2" applyNumberFormat="1" applyFont="1" applyBorder="1" applyAlignment="1">
      <alignment horizontal="center" vertical="center"/>
    </xf>
    <xf numFmtId="10" fontId="0" fillId="7" borderId="12" xfId="2" applyNumberFormat="1" applyFont="1" applyFill="1" applyBorder="1" applyAlignment="1">
      <alignment horizontal="center"/>
    </xf>
    <xf numFmtId="0" fontId="0" fillId="8" borderId="2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40" fontId="5" fillId="0" borderId="0" xfId="3" applyNumberFormat="1" applyFont="1" applyAlignment="1">
      <alignment horizontal="left"/>
    </xf>
    <xf numFmtId="0" fontId="11" fillId="0" borderId="0" xfId="0" applyFont="1" applyAlignment="1">
      <alignment horizontal="left"/>
    </xf>
    <xf numFmtId="40" fontId="13" fillId="0" borderId="0" xfId="3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16" fillId="2" borderId="0" xfId="0" applyFont="1" applyFill="1" applyAlignment="1">
      <alignment horizontal="center"/>
    </xf>
    <xf numFmtId="0" fontId="17" fillId="0" borderId="0" xfId="0" applyFont="1" applyAlignment="1"/>
    <xf numFmtId="0" fontId="0" fillId="0" borderId="0" xfId="0" applyAlignment="1"/>
    <xf numFmtId="0" fontId="2" fillId="7" borderId="19" xfId="0" applyFont="1" applyFill="1" applyBorder="1" applyAlignment="1">
      <alignment horizontal="center" wrapText="1"/>
    </xf>
    <xf numFmtId="0" fontId="2" fillId="7" borderId="2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19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24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0" fillId="0" borderId="7" xfId="0" applyBorder="1" applyAlignment="1"/>
  </cellXfs>
  <cellStyles count="4">
    <cellStyle name="Comma" xfId="1" builtinId="3"/>
    <cellStyle name="Normal" xfId="0" builtinId="0"/>
    <cellStyle name="Normal_OSK Spreads - 2006-3Q 10Q" xfId="3" xr:uid="{4BDE048F-00D0-4FDC-B622-BAB4656CBE7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85724</xdr:rowOff>
    </xdr:from>
    <xdr:to>
      <xdr:col>2</xdr:col>
      <xdr:colOff>504825</xdr:colOff>
      <xdr:row>4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E02E1F-1EEA-4802-9151-F994753D7BD5}"/>
            </a:ext>
          </a:extLst>
        </xdr:cNvPr>
        <xdr:cNvSpPr/>
      </xdr:nvSpPr>
      <xdr:spPr>
        <a:xfrm>
          <a:off x="333375" y="507999"/>
          <a:ext cx="1120775" cy="596901"/>
        </a:xfrm>
        <a:prstGeom prst="rect">
          <a:avLst/>
        </a:prstGeom>
        <a:solidFill>
          <a:srgbClr val="FFFF00"/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Bank</a:t>
          </a:r>
          <a:r>
            <a:rPr lang="en-US" sz="1100" b="1" baseline="0">
              <a:solidFill>
                <a:sysClr val="windowText" lastClr="000000"/>
              </a:solidFill>
            </a:rPr>
            <a:t> Debt</a:t>
          </a:r>
        </a:p>
      </xdr:txBody>
    </xdr:sp>
    <xdr:clientData/>
  </xdr:twoCellAnchor>
  <xdr:twoCellAnchor>
    <xdr:from>
      <xdr:col>1</xdr:col>
      <xdr:colOff>0</xdr:colOff>
      <xdr:row>8</xdr:row>
      <xdr:rowOff>66674</xdr:rowOff>
    </xdr:from>
    <xdr:to>
      <xdr:col>2</xdr:col>
      <xdr:colOff>504825</xdr:colOff>
      <xdr:row>10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8CDFB16-8E99-4811-B6EA-0496B2F63591}"/>
            </a:ext>
          </a:extLst>
        </xdr:cNvPr>
        <xdr:cNvSpPr/>
      </xdr:nvSpPr>
      <xdr:spPr>
        <a:xfrm>
          <a:off x="333375" y="1517649"/>
          <a:ext cx="1120775" cy="59690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High</a:t>
          </a:r>
          <a:r>
            <a:rPr lang="en-US" sz="1100" b="1" baseline="0">
              <a:solidFill>
                <a:sysClr val="windowText" lastClr="000000"/>
              </a:solidFill>
            </a:rPr>
            <a:t> Yield Bonds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12</xdr:row>
      <xdr:rowOff>28574</xdr:rowOff>
    </xdr:from>
    <xdr:to>
      <xdr:col>2</xdr:col>
      <xdr:colOff>504825</xdr:colOff>
      <xdr:row>14</xdr:row>
      <xdr:rowOff>114300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1352834-0F30-4FD2-BA4B-DFE95D60DD27}"/>
            </a:ext>
          </a:extLst>
        </xdr:cNvPr>
        <xdr:cNvSpPr/>
      </xdr:nvSpPr>
      <xdr:spPr>
        <a:xfrm>
          <a:off x="333375" y="2508249"/>
          <a:ext cx="1120775" cy="59690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Mezzanine</a:t>
          </a:r>
          <a:r>
            <a:rPr lang="en-US" sz="1100" b="1" baseline="0">
              <a:solidFill>
                <a:sysClr val="windowText" lastClr="000000"/>
              </a:solidFill>
            </a:rPr>
            <a:t> Debt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19049</xdr:rowOff>
    </xdr:from>
    <xdr:to>
      <xdr:col>2</xdr:col>
      <xdr:colOff>504825</xdr:colOff>
      <xdr:row>18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F76C2D8-6130-4AF1-A850-8D6724D8D3D2}"/>
            </a:ext>
          </a:extLst>
        </xdr:cNvPr>
        <xdr:cNvSpPr/>
      </xdr:nvSpPr>
      <xdr:spPr>
        <a:xfrm>
          <a:off x="333375" y="3524249"/>
          <a:ext cx="1120775" cy="59690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Equity Contribution</a:t>
          </a:r>
        </a:p>
      </xdr:txBody>
    </xdr:sp>
    <xdr:clientData/>
  </xdr:twoCellAnchor>
  <xdr:twoCellAnchor>
    <xdr:from>
      <xdr:col>1</xdr:col>
      <xdr:colOff>557213</xdr:colOff>
      <xdr:row>4</xdr:row>
      <xdr:rowOff>171450</xdr:rowOff>
    </xdr:from>
    <xdr:to>
      <xdr:col>1</xdr:col>
      <xdr:colOff>557213</xdr:colOff>
      <xdr:row>8</xdr:row>
      <xdr:rowOff>66674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EE9A347E-3753-46FE-880B-6DC8B5070FBE}"/>
            </a:ext>
          </a:extLst>
        </xdr:cNvPr>
        <xdr:cNvCxnSpPr>
          <a:stCxn id="2" idx="2"/>
          <a:endCxn id="3" idx="0"/>
        </xdr:cNvCxnSpPr>
      </xdr:nvCxnSpPr>
      <xdr:spPr>
        <a:xfrm>
          <a:off x="893763" y="1104900"/>
          <a:ext cx="0" cy="41274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557213</xdr:colOff>
      <xdr:row>10</xdr:row>
      <xdr:rowOff>152400</xdr:rowOff>
    </xdr:from>
    <xdr:to>
      <xdr:col>1</xdr:col>
      <xdr:colOff>557213</xdr:colOff>
      <xdr:row>12</xdr:row>
      <xdr:rowOff>28574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3A15E32-767A-4505-A9D9-6D718FDB5C4D}"/>
            </a:ext>
          </a:extLst>
        </xdr:cNvPr>
        <xdr:cNvCxnSpPr>
          <a:stCxn id="3" idx="2"/>
          <a:endCxn id="4" idx="0"/>
        </xdr:cNvCxnSpPr>
      </xdr:nvCxnSpPr>
      <xdr:spPr>
        <a:xfrm>
          <a:off x="893763" y="2114550"/>
          <a:ext cx="0" cy="3936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557213</xdr:colOff>
      <xdr:row>14</xdr:row>
      <xdr:rowOff>114300</xdr:rowOff>
    </xdr:from>
    <xdr:to>
      <xdr:col>1</xdr:col>
      <xdr:colOff>557213</xdr:colOff>
      <xdr:row>16</xdr:row>
      <xdr:rowOff>19049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2D3EA24-CDBC-4D77-9219-182F7E301D78}"/>
            </a:ext>
          </a:extLst>
        </xdr:cNvPr>
        <xdr:cNvCxnSpPr>
          <a:stCxn id="4" idx="2"/>
          <a:endCxn id="5" idx="0"/>
        </xdr:cNvCxnSpPr>
      </xdr:nvCxnSpPr>
      <xdr:spPr>
        <a:xfrm>
          <a:off x="893763" y="3105150"/>
          <a:ext cx="0" cy="4190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501650</xdr:colOff>
      <xdr:row>3</xdr:row>
      <xdr:rowOff>130175</xdr:rowOff>
    </xdr:from>
    <xdr:to>
      <xdr:col>3</xdr:col>
      <xdr:colOff>590550</xdr:colOff>
      <xdr:row>6</xdr:row>
      <xdr:rowOff>100012</xdr:rowOff>
    </xdr:to>
    <xdr:cxnSp macro="">
      <xdr:nvCxnSpPr>
        <xdr:cNvPr id="9" name="Elbow Connector 8">
          <a:extLst>
            <a:ext uri="{FF2B5EF4-FFF2-40B4-BE49-F238E27FC236}">
              <a16:creationId xmlns:a16="http://schemas.microsoft.com/office/drawing/2014/main" id="{1E275DEF-50FD-4ED7-8E3C-986D82D8F204}"/>
            </a:ext>
          </a:extLst>
        </xdr:cNvPr>
        <xdr:cNvCxnSpPr>
          <a:stCxn id="2" idx="3"/>
          <a:endCxn id="28" idx="1"/>
        </xdr:cNvCxnSpPr>
      </xdr:nvCxnSpPr>
      <xdr:spPr>
        <a:xfrm>
          <a:off x="1454150" y="806450"/>
          <a:ext cx="708025" cy="741362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501650</xdr:colOff>
      <xdr:row>2</xdr:row>
      <xdr:rowOff>190500</xdr:rowOff>
    </xdr:from>
    <xdr:to>
      <xdr:col>3</xdr:col>
      <xdr:colOff>560389</xdr:colOff>
      <xdr:row>3</xdr:row>
      <xdr:rowOff>130175</xdr:rowOff>
    </xdr:to>
    <xdr:cxnSp macro="">
      <xdr:nvCxnSpPr>
        <xdr:cNvPr id="10" name="Elbow Connector 9">
          <a:extLst>
            <a:ext uri="{FF2B5EF4-FFF2-40B4-BE49-F238E27FC236}">
              <a16:creationId xmlns:a16="http://schemas.microsoft.com/office/drawing/2014/main" id="{2FB6B871-C8A6-4EAF-84C6-647279AFC0B7}"/>
            </a:ext>
          </a:extLst>
        </xdr:cNvPr>
        <xdr:cNvCxnSpPr>
          <a:stCxn id="2" idx="3"/>
          <a:endCxn id="15" idx="1"/>
        </xdr:cNvCxnSpPr>
      </xdr:nvCxnSpPr>
      <xdr:spPr>
        <a:xfrm flipV="1">
          <a:off x="1454150" y="609600"/>
          <a:ext cx="677864" cy="196850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8</xdr:row>
      <xdr:rowOff>90296</xdr:rowOff>
    </xdr:from>
    <xdr:to>
      <xdr:col>3</xdr:col>
      <xdr:colOff>566737</xdr:colOff>
      <xdr:row>9</xdr:row>
      <xdr:rowOff>109537</xdr:rowOff>
    </xdr:to>
    <xdr:cxnSp macro="">
      <xdr:nvCxnSpPr>
        <xdr:cNvPr id="11" name="Elbow Connector 10">
          <a:extLst>
            <a:ext uri="{FF2B5EF4-FFF2-40B4-BE49-F238E27FC236}">
              <a16:creationId xmlns:a16="http://schemas.microsoft.com/office/drawing/2014/main" id="{FDAF2222-BFE1-4289-A608-F5803BAB090D}"/>
            </a:ext>
          </a:extLst>
        </xdr:cNvPr>
        <xdr:cNvCxnSpPr>
          <a:stCxn id="3" idx="3"/>
          <a:endCxn id="17" idx="1"/>
        </xdr:cNvCxnSpPr>
      </xdr:nvCxnSpPr>
      <xdr:spPr>
        <a:xfrm flipV="1">
          <a:off x="1454150" y="1534921"/>
          <a:ext cx="681037" cy="276416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9</xdr:row>
      <xdr:rowOff>109537</xdr:rowOff>
    </xdr:from>
    <xdr:to>
      <xdr:col>3</xdr:col>
      <xdr:colOff>581024</xdr:colOff>
      <xdr:row>10</xdr:row>
      <xdr:rowOff>114109</xdr:rowOff>
    </xdr:to>
    <xdr:cxnSp macro="">
      <xdr:nvCxnSpPr>
        <xdr:cNvPr id="12" name="Elbow Connector 11">
          <a:extLst>
            <a:ext uri="{FF2B5EF4-FFF2-40B4-BE49-F238E27FC236}">
              <a16:creationId xmlns:a16="http://schemas.microsoft.com/office/drawing/2014/main" id="{73AE7F71-339B-4452-B10D-3A964A933F50}"/>
            </a:ext>
          </a:extLst>
        </xdr:cNvPr>
        <xdr:cNvCxnSpPr>
          <a:stCxn id="3" idx="3"/>
          <a:endCxn id="18" idx="1"/>
        </xdr:cNvCxnSpPr>
      </xdr:nvCxnSpPr>
      <xdr:spPr>
        <a:xfrm>
          <a:off x="1454150" y="1811337"/>
          <a:ext cx="701674" cy="264922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12</xdr:row>
      <xdr:rowOff>76008</xdr:rowOff>
    </xdr:from>
    <xdr:to>
      <xdr:col>3</xdr:col>
      <xdr:colOff>581024</xdr:colOff>
      <xdr:row>13</xdr:row>
      <xdr:rowOff>71437</xdr:rowOff>
    </xdr:to>
    <xdr:cxnSp macro="">
      <xdr:nvCxnSpPr>
        <xdr:cNvPr id="13" name="Elbow Connector 12">
          <a:extLst>
            <a:ext uri="{FF2B5EF4-FFF2-40B4-BE49-F238E27FC236}">
              <a16:creationId xmlns:a16="http://schemas.microsoft.com/office/drawing/2014/main" id="{B14C2894-D65D-44FC-9146-54E6B3F32818}"/>
            </a:ext>
          </a:extLst>
        </xdr:cNvPr>
        <xdr:cNvCxnSpPr>
          <a:stCxn id="4" idx="3"/>
          <a:endCxn id="19" idx="1"/>
        </xdr:cNvCxnSpPr>
      </xdr:nvCxnSpPr>
      <xdr:spPr>
        <a:xfrm flipV="1">
          <a:off x="1454150" y="2552508"/>
          <a:ext cx="701674" cy="24942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13</xdr:row>
      <xdr:rowOff>71437</xdr:rowOff>
    </xdr:from>
    <xdr:to>
      <xdr:col>3</xdr:col>
      <xdr:colOff>581024</xdr:colOff>
      <xdr:row>14</xdr:row>
      <xdr:rowOff>109346</xdr:rowOff>
    </xdr:to>
    <xdr:cxnSp macro="">
      <xdr:nvCxnSpPr>
        <xdr:cNvPr id="14" name="Elbow Connector 13">
          <a:extLst>
            <a:ext uri="{FF2B5EF4-FFF2-40B4-BE49-F238E27FC236}">
              <a16:creationId xmlns:a16="http://schemas.microsoft.com/office/drawing/2014/main" id="{BA15B49D-AA25-40BC-AF99-84CBB3FDAF8A}"/>
            </a:ext>
          </a:extLst>
        </xdr:cNvPr>
        <xdr:cNvCxnSpPr>
          <a:stCxn id="4" idx="3"/>
          <a:endCxn id="20" idx="1"/>
        </xdr:cNvCxnSpPr>
      </xdr:nvCxnSpPr>
      <xdr:spPr>
        <a:xfrm>
          <a:off x="1454150" y="2801937"/>
          <a:ext cx="701674" cy="295084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560389</xdr:colOff>
      <xdr:row>2</xdr:row>
      <xdr:rowOff>0</xdr:rowOff>
    </xdr:from>
    <xdr:to>
      <xdr:col>7</xdr:col>
      <xdr:colOff>95250</xdr:colOff>
      <xdr:row>3</xdr:row>
      <xdr:rowOff>123825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C022C8E-A5B6-44A5-8514-EFC271FF3515}"/>
            </a:ext>
          </a:extLst>
        </xdr:cNvPr>
        <xdr:cNvSpPr/>
      </xdr:nvSpPr>
      <xdr:spPr>
        <a:xfrm>
          <a:off x="2132014" y="419100"/>
          <a:ext cx="2011361" cy="381000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Revolving</a:t>
          </a:r>
          <a:r>
            <a:rPr lang="en-US" sz="1100" baseline="0">
              <a:solidFill>
                <a:sysClr val="windowText" lastClr="000000"/>
              </a:solidFill>
            </a:rPr>
            <a:t> Line of Credit / ABL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581024</xdr:colOff>
      <xdr:row>4</xdr:row>
      <xdr:rowOff>30162</xdr:rowOff>
    </xdr:from>
    <xdr:to>
      <xdr:col>7</xdr:col>
      <xdr:colOff>95250</xdr:colOff>
      <xdr:row>5</xdr:row>
      <xdr:rowOff>76200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1022468-32C8-406D-BAE0-72B01975455A}"/>
            </a:ext>
          </a:extLst>
        </xdr:cNvPr>
        <xdr:cNvSpPr/>
      </xdr:nvSpPr>
      <xdr:spPr>
        <a:xfrm>
          <a:off x="2152649" y="963612"/>
          <a:ext cx="1990726" cy="303213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Loans (A,B,C)</a:t>
          </a:r>
        </a:p>
      </xdr:txBody>
    </xdr:sp>
    <xdr:clientData/>
  </xdr:twoCellAnchor>
  <xdr:twoCellAnchor>
    <xdr:from>
      <xdr:col>3</xdr:col>
      <xdr:colOff>566737</xdr:colOff>
      <xdr:row>7</xdr:row>
      <xdr:rowOff>161924</xdr:rowOff>
    </xdr:from>
    <xdr:to>
      <xdr:col>7</xdr:col>
      <xdr:colOff>103441</xdr:colOff>
      <xdr:row>9</xdr:row>
      <xdr:rowOff>18668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0A26E57-3151-4C6D-BBCB-3A1996CBBACB}"/>
            </a:ext>
          </a:extLst>
        </xdr:cNvPr>
        <xdr:cNvSpPr/>
      </xdr:nvSpPr>
      <xdr:spPr>
        <a:xfrm>
          <a:off x="2135187" y="1355724"/>
          <a:ext cx="2019554" cy="367919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Senior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Unsecured Debt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581024</xdr:colOff>
      <xdr:row>9</xdr:row>
      <xdr:rowOff>185737</xdr:rowOff>
    </xdr:from>
    <xdr:to>
      <xdr:col>7</xdr:col>
      <xdr:colOff>117728</xdr:colOff>
      <xdr:row>11</xdr:row>
      <xdr:rowOff>42481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7A5DF22-D6EC-4482-9D2F-461E457A2713}"/>
            </a:ext>
          </a:extLst>
        </xdr:cNvPr>
        <xdr:cNvSpPr/>
      </xdr:nvSpPr>
      <xdr:spPr>
        <a:xfrm>
          <a:off x="2155824" y="1887537"/>
          <a:ext cx="2013204" cy="377444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Senior</a:t>
          </a:r>
          <a:r>
            <a:rPr lang="en-US" sz="1100" baseline="0">
              <a:solidFill>
                <a:sysClr val="windowText" lastClr="000000"/>
              </a:solidFill>
            </a:rPr>
            <a:t> Subordinated Debt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581024</xdr:colOff>
      <xdr:row>11</xdr:row>
      <xdr:rowOff>147636</xdr:rowOff>
    </xdr:from>
    <xdr:to>
      <xdr:col>7</xdr:col>
      <xdr:colOff>117728</xdr:colOff>
      <xdr:row>13</xdr:row>
      <xdr:rowOff>4380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48DFE74C-C19D-4EEA-90FE-6CAB6F39FA5F}"/>
            </a:ext>
          </a:extLst>
        </xdr:cNvPr>
        <xdr:cNvSpPr/>
      </xdr:nvSpPr>
      <xdr:spPr>
        <a:xfrm>
          <a:off x="2155824" y="2363786"/>
          <a:ext cx="2013204" cy="377444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Subordinated Debt</a:t>
          </a:r>
        </a:p>
      </xdr:txBody>
    </xdr:sp>
    <xdr:clientData/>
  </xdr:twoCellAnchor>
  <xdr:twoCellAnchor>
    <xdr:from>
      <xdr:col>3</xdr:col>
      <xdr:colOff>581024</xdr:colOff>
      <xdr:row>13</xdr:row>
      <xdr:rowOff>180974</xdr:rowOff>
    </xdr:from>
    <xdr:to>
      <xdr:col>7</xdr:col>
      <xdr:colOff>117728</xdr:colOff>
      <xdr:row>15</xdr:row>
      <xdr:rowOff>37718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153A2193-57B3-4600-AE48-46BB4B29C97D}"/>
            </a:ext>
          </a:extLst>
        </xdr:cNvPr>
        <xdr:cNvSpPr/>
      </xdr:nvSpPr>
      <xdr:spPr>
        <a:xfrm>
          <a:off x="2155824" y="2917824"/>
          <a:ext cx="2013204" cy="367919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Preferred Stock</a:t>
          </a:r>
        </a:p>
      </xdr:txBody>
    </xdr:sp>
    <xdr:clientData/>
  </xdr:twoCellAnchor>
  <xdr:twoCellAnchor>
    <xdr:from>
      <xdr:col>2</xdr:col>
      <xdr:colOff>504825</xdr:colOff>
      <xdr:row>16</xdr:row>
      <xdr:rowOff>61721</xdr:rowOff>
    </xdr:from>
    <xdr:to>
      <xdr:col>3</xdr:col>
      <xdr:colOff>584200</xdr:colOff>
      <xdr:row>17</xdr:row>
      <xdr:rowOff>61912</xdr:rowOff>
    </xdr:to>
    <xdr:cxnSp macro="">
      <xdr:nvCxnSpPr>
        <xdr:cNvPr id="21" name="Elbow Connector 20">
          <a:extLst>
            <a:ext uri="{FF2B5EF4-FFF2-40B4-BE49-F238E27FC236}">
              <a16:creationId xmlns:a16="http://schemas.microsoft.com/office/drawing/2014/main" id="{DCFB816B-6D41-42EE-9699-646DBF98863A}"/>
            </a:ext>
          </a:extLst>
        </xdr:cNvPr>
        <xdr:cNvCxnSpPr>
          <a:stCxn id="5" idx="3"/>
          <a:endCxn id="23" idx="1"/>
        </xdr:cNvCxnSpPr>
      </xdr:nvCxnSpPr>
      <xdr:spPr>
        <a:xfrm flipV="1">
          <a:off x="1454150" y="3570096"/>
          <a:ext cx="698500" cy="257366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17</xdr:row>
      <xdr:rowOff>61912</xdr:rowOff>
    </xdr:from>
    <xdr:to>
      <xdr:col>3</xdr:col>
      <xdr:colOff>581025</xdr:colOff>
      <xdr:row>18</xdr:row>
      <xdr:rowOff>93471</xdr:rowOff>
    </xdr:to>
    <xdr:cxnSp macro="">
      <xdr:nvCxnSpPr>
        <xdr:cNvPr id="22" name="Elbow Connector 21">
          <a:extLst>
            <a:ext uri="{FF2B5EF4-FFF2-40B4-BE49-F238E27FC236}">
              <a16:creationId xmlns:a16="http://schemas.microsoft.com/office/drawing/2014/main" id="{490DC82C-94E4-44EB-9698-63CDD27CFAEF}"/>
            </a:ext>
          </a:extLst>
        </xdr:cNvPr>
        <xdr:cNvCxnSpPr>
          <a:stCxn id="5" idx="3"/>
          <a:endCxn id="24" idx="1"/>
        </xdr:cNvCxnSpPr>
      </xdr:nvCxnSpPr>
      <xdr:spPr>
        <a:xfrm>
          <a:off x="1454150" y="3827462"/>
          <a:ext cx="695325" cy="285559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584200</xdr:colOff>
      <xdr:row>15</xdr:row>
      <xdr:rowOff>133349</xdr:rowOff>
    </xdr:from>
    <xdr:to>
      <xdr:col>7</xdr:col>
      <xdr:colOff>120904</xdr:colOff>
      <xdr:row>16</xdr:row>
      <xdr:rowOff>180593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6932D0EE-93C6-45E2-AD60-8EEBAE967BDD}"/>
            </a:ext>
          </a:extLst>
        </xdr:cNvPr>
        <xdr:cNvSpPr/>
      </xdr:nvSpPr>
      <xdr:spPr>
        <a:xfrm>
          <a:off x="2152650" y="3381374"/>
          <a:ext cx="2019554" cy="307594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Preferred</a:t>
          </a:r>
          <a:r>
            <a:rPr lang="en-US" sz="1100" baseline="0">
              <a:solidFill>
                <a:sysClr val="windowText" lastClr="000000"/>
              </a:solidFill>
            </a:rPr>
            <a:t> Stock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581025</xdr:colOff>
      <xdr:row>17</xdr:row>
      <xdr:rowOff>165099</xdr:rowOff>
    </xdr:from>
    <xdr:to>
      <xdr:col>7</xdr:col>
      <xdr:colOff>117729</xdr:colOff>
      <xdr:row>19</xdr:row>
      <xdr:rowOff>21843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2A440AB2-317A-4147-A125-41C910A02479}"/>
            </a:ext>
          </a:extLst>
        </xdr:cNvPr>
        <xdr:cNvSpPr/>
      </xdr:nvSpPr>
      <xdr:spPr>
        <a:xfrm>
          <a:off x="2149475" y="3924299"/>
          <a:ext cx="2019554" cy="374269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Common</a:t>
          </a:r>
          <a:r>
            <a:rPr lang="en-US" sz="1100" baseline="0">
              <a:solidFill>
                <a:sysClr val="windowText" lastClr="000000"/>
              </a:solidFill>
            </a:rPr>
            <a:t> Stock</a:t>
          </a:r>
        </a:p>
      </xdr:txBody>
    </xdr:sp>
    <xdr:clientData/>
  </xdr:twoCellAnchor>
  <xdr:twoCellAnchor>
    <xdr:from>
      <xdr:col>3</xdr:col>
      <xdr:colOff>590550</xdr:colOff>
      <xdr:row>5</xdr:row>
      <xdr:rowOff>209549</xdr:rowOff>
    </xdr:from>
    <xdr:to>
      <xdr:col>7</xdr:col>
      <xdr:colOff>114300</xdr:colOff>
      <xdr:row>6</xdr:row>
      <xdr:rowOff>247649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86B25455-E390-4B98-B700-9B01DDE3BB56}"/>
            </a:ext>
          </a:extLst>
        </xdr:cNvPr>
        <xdr:cNvSpPr/>
      </xdr:nvSpPr>
      <xdr:spPr>
        <a:xfrm>
          <a:off x="2162175" y="1400174"/>
          <a:ext cx="2000250" cy="295275"/>
        </a:xfrm>
        <a:prstGeom prst="rect">
          <a:avLst/>
        </a:prstGeom>
        <a:solidFill>
          <a:srgbClr val="00B0F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Second-Lien</a:t>
          </a:r>
          <a:r>
            <a:rPr lang="en-US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Term Loans</a:t>
          </a:r>
          <a:endParaRPr 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247650</xdr:colOff>
      <xdr:row>4</xdr:row>
      <xdr:rowOff>180181</xdr:rowOff>
    </xdr:from>
    <xdr:to>
      <xdr:col>3</xdr:col>
      <xdr:colOff>584199</xdr:colOff>
      <xdr:row>4</xdr:row>
      <xdr:rowOff>181769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FA297671-7873-456E-BB6F-72799856468F}"/>
            </a:ext>
          </a:extLst>
        </xdr:cNvPr>
        <xdr:cNvCxnSpPr>
          <a:endCxn id="16" idx="1"/>
        </xdr:cNvCxnSpPr>
      </xdr:nvCxnSpPr>
      <xdr:spPr>
        <a:xfrm flipV="1">
          <a:off x="1819275" y="1113631"/>
          <a:ext cx="336549" cy="158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152401</xdr:colOff>
      <xdr:row>3</xdr:row>
      <xdr:rowOff>15875</xdr:rowOff>
    </xdr:from>
    <xdr:to>
      <xdr:col>8</xdr:col>
      <xdr:colOff>215901</xdr:colOff>
      <xdr:row>11</xdr:row>
      <xdr:rowOff>247650</xdr:rowOff>
    </xdr:to>
    <xdr:sp macro="" textlink="">
      <xdr:nvSpPr>
        <xdr:cNvPr id="39" name="Right Brace 38">
          <a:extLst>
            <a:ext uri="{FF2B5EF4-FFF2-40B4-BE49-F238E27FC236}">
              <a16:creationId xmlns:a16="http://schemas.microsoft.com/office/drawing/2014/main" id="{E6C0148B-922E-43F5-9D08-4D49ADBD6130}"/>
            </a:ext>
          </a:extLst>
        </xdr:cNvPr>
        <xdr:cNvSpPr/>
      </xdr:nvSpPr>
      <xdr:spPr>
        <a:xfrm>
          <a:off x="4200526" y="692150"/>
          <a:ext cx="301625" cy="22891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4</xdr:row>
      <xdr:rowOff>177800</xdr:rowOff>
    </xdr:from>
    <xdr:to>
      <xdr:col>4</xdr:col>
      <xdr:colOff>419100</xdr:colOff>
      <xdr:row>4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262542D-C643-494A-8061-A955C6BB796B}"/>
            </a:ext>
          </a:extLst>
        </xdr:cNvPr>
        <xdr:cNvCxnSpPr/>
      </xdr:nvCxnSpPr>
      <xdr:spPr>
        <a:xfrm>
          <a:off x="1873250" y="1330325"/>
          <a:ext cx="1050925" cy="3175"/>
        </a:xfrm>
        <a:prstGeom prst="straightConnector1">
          <a:avLst/>
        </a:prstGeom>
        <a:ln w="635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5</xdr:row>
      <xdr:rowOff>177800</xdr:rowOff>
    </xdr:from>
    <xdr:to>
      <xdr:col>4</xdr:col>
      <xdr:colOff>419100</xdr:colOff>
      <xdr:row>5</xdr:row>
      <xdr:rowOff>180975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5DB320F-797E-4CB3-8966-33FDF6AB7014}"/>
            </a:ext>
          </a:extLst>
        </xdr:cNvPr>
        <xdr:cNvCxnSpPr/>
      </xdr:nvCxnSpPr>
      <xdr:spPr>
        <a:xfrm>
          <a:off x="1628775" y="1333500"/>
          <a:ext cx="1047750" cy="0"/>
        </a:xfrm>
        <a:prstGeom prst="straightConnector1">
          <a:avLst/>
        </a:prstGeom>
        <a:ln w="635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0DF5-EC22-4658-A85D-93E870DA7E62}">
  <dimension ref="B1:K22"/>
  <sheetViews>
    <sheetView showGridLines="0" workbookViewId="0">
      <selection activeCell="M12" sqref="M12"/>
    </sheetView>
  </sheetViews>
  <sheetFormatPr defaultColWidth="8.81640625" defaultRowHeight="14.5" x14ac:dyDescent="0.35"/>
  <cols>
    <col min="1" max="1" width="4.7265625" customWidth="1"/>
    <col min="8" max="8" width="3.36328125" customWidth="1"/>
    <col min="9" max="9" width="4.1796875" customWidth="1"/>
    <col min="11" max="11" width="11.81640625" customWidth="1"/>
  </cols>
  <sheetData>
    <row r="1" spans="2:11" ht="18.5" x14ac:dyDescent="0.45">
      <c r="B1" s="3" t="s">
        <v>118</v>
      </c>
    </row>
    <row r="3" spans="2:11" ht="20.5" customHeight="1" x14ac:dyDescent="0.35"/>
    <row r="4" spans="2:11" ht="20.5" customHeight="1" x14ac:dyDescent="0.35"/>
    <row r="5" spans="2:11" ht="20.5" customHeight="1" x14ac:dyDescent="0.35"/>
    <row r="6" spans="2:11" ht="20.5" customHeight="1" x14ac:dyDescent="0.35"/>
    <row r="7" spans="2:11" ht="20.5" customHeight="1" x14ac:dyDescent="0.35"/>
    <row r="8" spans="2:11" ht="20.5" customHeight="1" x14ac:dyDescent="0.35">
      <c r="J8" s="184" t="s">
        <v>123</v>
      </c>
      <c r="K8" s="185"/>
    </row>
    <row r="9" spans="2:11" ht="20.5" customHeight="1" x14ac:dyDescent="0.35"/>
    <row r="10" spans="2:11" ht="20.5" customHeight="1" x14ac:dyDescent="0.35"/>
    <row r="11" spans="2:11" ht="20.5" customHeight="1" x14ac:dyDescent="0.35"/>
    <row r="12" spans="2:11" ht="20.5" customHeight="1" x14ac:dyDescent="0.35"/>
    <row r="13" spans="2:11" ht="20.5" customHeight="1" x14ac:dyDescent="0.35"/>
    <row r="14" spans="2:11" ht="20.5" customHeight="1" x14ac:dyDescent="0.35"/>
    <row r="15" spans="2:11" ht="20.5" customHeight="1" x14ac:dyDescent="0.35"/>
    <row r="16" spans="2:11" ht="20.5" customHeight="1" x14ac:dyDescent="0.35"/>
    <row r="17" spans="7:11" ht="20.5" customHeight="1" x14ac:dyDescent="0.35"/>
    <row r="18" spans="7:11" ht="20.5" customHeight="1" x14ac:dyDescent="0.35"/>
    <row r="19" spans="7:11" ht="20.5" customHeight="1" x14ac:dyDescent="0.35"/>
    <row r="20" spans="7:11" ht="20.5" customHeight="1" x14ac:dyDescent="0.35"/>
    <row r="22" spans="7:11" x14ac:dyDescent="0.35">
      <c r="G22" s="84"/>
      <c r="K22" s="84" t="s">
        <v>119</v>
      </c>
    </row>
  </sheetData>
  <mergeCells count="1">
    <mergeCell ref="J8:K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28F3-AAB1-4425-91AD-9306EAF2A202}">
  <dimension ref="B2:J21"/>
  <sheetViews>
    <sheetView showGridLines="0" tabSelected="1" workbookViewId="0">
      <selection activeCell="N3" sqref="N3"/>
    </sheetView>
  </sheetViews>
  <sheetFormatPr defaultRowHeight="14.5" x14ac:dyDescent="0.35"/>
  <cols>
    <col min="1" max="1" width="4.1796875" customWidth="1"/>
    <col min="2" max="2" width="15.08984375" customWidth="1"/>
    <col min="3" max="3" width="12.54296875" customWidth="1"/>
    <col min="4" max="7" width="9.54296875" bestFit="1" customWidth="1"/>
    <col min="10" max="10" width="10.90625" bestFit="1" customWidth="1"/>
  </cols>
  <sheetData>
    <row r="2" spans="2:10" ht="18.5" x14ac:dyDescent="0.45">
      <c r="B2" s="255" t="s">
        <v>196</v>
      </c>
      <c r="C2" s="256"/>
      <c r="D2" s="256"/>
      <c r="E2" s="256"/>
      <c r="F2" s="256"/>
      <c r="G2" s="256"/>
      <c r="H2" s="199"/>
      <c r="I2" s="199"/>
      <c r="J2" s="199"/>
    </row>
    <row r="3" spans="2:10" ht="62" customHeight="1" thickBot="1" x14ac:dyDescent="0.4">
      <c r="B3" s="133" t="s">
        <v>21</v>
      </c>
      <c r="C3" s="136" t="s">
        <v>193</v>
      </c>
      <c r="D3" s="145" t="s">
        <v>231</v>
      </c>
      <c r="E3" s="145" t="s">
        <v>232</v>
      </c>
      <c r="F3" s="148" t="s">
        <v>190</v>
      </c>
      <c r="G3" s="148" t="s">
        <v>191</v>
      </c>
      <c r="H3" s="152" t="s">
        <v>210</v>
      </c>
      <c r="I3" s="152" t="s">
        <v>211</v>
      </c>
      <c r="J3" s="152" t="s">
        <v>214</v>
      </c>
    </row>
    <row r="4" spans="2:10" ht="15" thickTop="1" x14ac:dyDescent="0.35">
      <c r="B4" s="75" t="s">
        <v>146</v>
      </c>
      <c r="C4" s="93">
        <f>+'Fig. 7.7'!R11</f>
        <v>100000</v>
      </c>
      <c r="D4" s="146">
        <v>3.5000000000000003E-2</v>
      </c>
      <c r="E4" s="146">
        <v>0.04</v>
      </c>
      <c r="F4" s="149">
        <v>97.75</v>
      </c>
      <c r="G4" s="149">
        <v>97.75</v>
      </c>
      <c r="H4" s="155">
        <f t="shared" ref="H4:I6" si="0">+$C$8+D4+(((100-F4)/100)/4)</f>
        <v>5.0625000000000003E-2</v>
      </c>
      <c r="I4" s="155">
        <f t="shared" si="0"/>
        <v>5.5625000000000001E-2</v>
      </c>
      <c r="J4" s="155">
        <v>5.5E-2</v>
      </c>
    </row>
    <row r="5" spans="2:10" x14ac:dyDescent="0.35">
      <c r="B5" s="75" t="s">
        <v>9</v>
      </c>
      <c r="C5" s="93">
        <f>+'Fig. 7.7'!R12</f>
        <v>175000</v>
      </c>
      <c r="D5" s="146">
        <v>3.5000000000000003E-2</v>
      </c>
      <c r="E5" s="146">
        <v>0.04</v>
      </c>
      <c r="F5" s="149">
        <v>97.75</v>
      </c>
      <c r="G5" s="149">
        <v>97.75</v>
      </c>
      <c r="H5" s="155">
        <f t="shared" si="0"/>
        <v>5.0625000000000003E-2</v>
      </c>
      <c r="I5" s="155">
        <f t="shared" si="0"/>
        <v>5.5625000000000001E-2</v>
      </c>
      <c r="J5" s="155">
        <v>5.5E-2</v>
      </c>
    </row>
    <row r="6" spans="2:10" x14ac:dyDescent="0.35">
      <c r="B6" s="75" t="s">
        <v>11</v>
      </c>
      <c r="C6" s="93">
        <f>+'Fig. 7.7'!R13</f>
        <v>200000</v>
      </c>
      <c r="D6" s="146">
        <v>0.04</v>
      </c>
      <c r="E6" s="146">
        <v>5.5E-2</v>
      </c>
      <c r="F6" s="149">
        <v>99.75</v>
      </c>
      <c r="G6" s="149">
        <v>96.5</v>
      </c>
      <c r="H6" s="155">
        <f t="shared" si="0"/>
        <v>5.0625000000000003E-2</v>
      </c>
      <c r="I6" s="155">
        <f t="shared" si="0"/>
        <v>7.375000000000001E-2</v>
      </c>
      <c r="J6" s="155">
        <v>6.5000000000000002E-2</v>
      </c>
    </row>
    <row r="7" spans="2:10" x14ac:dyDescent="0.35">
      <c r="B7" s="134" t="s">
        <v>148</v>
      </c>
      <c r="C7" s="141">
        <f>+'Fig. 7.7'!R14</f>
        <v>198750</v>
      </c>
      <c r="D7" s="147">
        <v>6.5000000000000002E-2</v>
      </c>
      <c r="E7" s="147">
        <v>7.0000000000000007E-2</v>
      </c>
      <c r="F7" s="150"/>
      <c r="G7" s="150"/>
      <c r="H7" s="153"/>
      <c r="I7" s="153"/>
      <c r="J7" s="153"/>
    </row>
    <row r="8" spans="2:10" x14ac:dyDescent="0.35">
      <c r="B8" s="142" t="s">
        <v>233</v>
      </c>
      <c r="C8" s="154">
        <v>0.01</v>
      </c>
      <c r="D8" s="144"/>
      <c r="E8" s="144"/>
      <c r="F8" s="143"/>
      <c r="G8" s="143"/>
    </row>
    <row r="9" spans="2:10" x14ac:dyDescent="0.35">
      <c r="B9" s="142" t="s">
        <v>234</v>
      </c>
      <c r="C9" s="143"/>
      <c r="D9" s="144"/>
      <c r="E9" s="144"/>
      <c r="F9" s="143"/>
      <c r="G9" s="143"/>
    </row>
    <row r="10" spans="2:10" x14ac:dyDescent="0.35">
      <c r="B10" s="142"/>
      <c r="C10" s="143"/>
      <c r="D10" s="144"/>
      <c r="E10" s="144"/>
      <c r="F10" s="143"/>
      <c r="G10" s="143"/>
    </row>
    <row r="11" spans="2:10" ht="58.5" thickBot="1" x14ac:dyDescent="0.4">
      <c r="B11" s="133" t="s">
        <v>21</v>
      </c>
      <c r="C11" s="136" t="s">
        <v>189</v>
      </c>
      <c r="D11" s="145" t="s">
        <v>195</v>
      </c>
      <c r="E11" s="145" t="s">
        <v>194</v>
      </c>
      <c r="F11" s="148" t="s">
        <v>190</v>
      </c>
      <c r="G11" s="148" t="s">
        <v>191</v>
      </c>
      <c r="H11" s="152" t="s">
        <v>208</v>
      </c>
      <c r="I11" s="152" t="s">
        <v>209</v>
      </c>
      <c r="J11" s="152" t="s">
        <v>214</v>
      </c>
    </row>
    <row r="12" spans="2:10" ht="15" thickTop="1" x14ac:dyDescent="0.35">
      <c r="B12" s="156" t="s">
        <v>192</v>
      </c>
      <c r="C12" s="157">
        <f>+C7</f>
        <v>198750</v>
      </c>
      <c r="D12" s="158">
        <v>7.4999999999999997E-2</v>
      </c>
      <c r="E12" s="158">
        <v>0.09</v>
      </c>
      <c r="F12" s="159">
        <v>99</v>
      </c>
      <c r="G12" s="159">
        <v>96</v>
      </c>
      <c r="H12" s="161">
        <f>+D12*100/F12</f>
        <v>7.575757575757576E-2</v>
      </c>
      <c r="I12" s="161">
        <f>+E12*100/G12</f>
        <v>9.375E-2</v>
      </c>
      <c r="J12" s="162">
        <v>0.09</v>
      </c>
    </row>
    <row r="13" spans="2:10" x14ac:dyDescent="0.35">
      <c r="B13" s="160" t="s">
        <v>215</v>
      </c>
    </row>
    <row r="15" spans="2:10" ht="18.5" x14ac:dyDescent="0.45">
      <c r="B15" s="255" t="s">
        <v>197</v>
      </c>
      <c r="C15" s="256"/>
      <c r="D15" s="256"/>
      <c r="E15" s="256"/>
      <c r="F15" s="256"/>
      <c r="G15" s="256"/>
      <c r="H15" s="199"/>
      <c r="I15" s="199"/>
      <c r="J15" s="199"/>
    </row>
    <row r="16" spans="2:10" ht="29.5" thickBot="1" x14ac:dyDescent="0.4">
      <c r="B16" s="133"/>
      <c r="C16" s="133"/>
      <c r="D16" s="133"/>
      <c r="E16" s="136"/>
      <c r="F16" s="136"/>
      <c r="G16" s="136"/>
      <c r="H16" s="136"/>
      <c r="I16" s="136" t="s">
        <v>202</v>
      </c>
      <c r="J16" s="136" t="s">
        <v>203</v>
      </c>
    </row>
    <row r="17" spans="2:10" ht="15" thickTop="1" x14ac:dyDescent="0.35">
      <c r="B17" t="s">
        <v>198</v>
      </c>
      <c r="I17" s="15" t="s">
        <v>204</v>
      </c>
      <c r="J17" s="15" t="s">
        <v>206</v>
      </c>
    </row>
    <row r="18" spans="2:10" x14ac:dyDescent="0.35">
      <c r="B18" t="s">
        <v>199</v>
      </c>
      <c r="I18" s="15" t="s">
        <v>205</v>
      </c>
      <c r="J18" s="15" t="s">
        <v>207</v>
      </c>
    </row>
    <row r="19" spans="2:10" x14ac:dyDescent="0.35">
      <c r="B19" t="s">
        <v>200</v>
      </c>
      <c r="I19" s="151">
        <v>0.69799999999999995</v>
      </c>
      <c r="J19" s="151">
        <v>0.75</v>
      </c>
    </row>
    <row r="20" spans="2:10" x14ac:dyDescent="0.35">
      <c r="F20" s="151"/>
      <c r="G20" s="151"/>
    </row>
    <row r="21" spans="2:10" x14ac:dyDescent="0.35">
      <c r="J21" s="84" t="s">
        <v>188</v>
      </c>
    </row>
  </sheetData>
  <mergeCells count="2">
    <mergeCell ref="B2:J2"/>
    <mergeCell ref="B15:J15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C23F-B7E6-40A2-BECE-EF3F6BEE19AB}">
  <dimension ref="B2:J10"/>
  <sheetViews>
    <sheetView showGridLines="0" workbookViewId="0">
      <selection activeCell="M8" sqref="M8"/>
    </sheetView>
  </sheetViews>
  <sheetFormatPr defaultRowHeight="14.5" x14ac:dyDescent="0.35"/>
  <cols>
    <col min="1" max="1" width="4.1796875" customWidth="1"/>
    <col min="2" max="2" width="15.08984375" customWidth="1"/>
    <col min="3" max="4" width="12.54296875" customWidth="1"/>
    <col min="5" max="5" width="9.54296875" bestFit="1" customWidth="1"/>
    <col min="6" max="6" width="10.90625" bestFit="1" customWidth="1"/>
    <col min="7" max="7" width="11.90625" customWidth="1"/>
    <col min="8" max="9" width="10.453125" bestFit="1" customWidth="1"/>
    <col min="10" max="10" width="9.453125" customWidth="1"/>
  </cols>
  <sheetData>
    <row r="2" spans="2:10" ht="18.5" x14ac:dyDescent="0.45">
      <c r="B2" s="257" t="s">
        <v>216</v>
      </c>
      <c r="C2" s="214"/>
      <c r="D2" s="214"/>
      <c r="E2" s="214"/>
      <c r="F2" s="258"/>
      <c r="G2" s="258"/>
      <c r="H2" s="258"/>
      <c r="I2" s="258"/>
      <c r="J2" s="258"/>
    </row>
    <row r="3" spans="2:10" ht="91.5" customHeight="1" thickBot="1" x14ac:dyDescent="0.4">
      <c r="B3" s="133" t="s">
        <v>21</v>
      </c>
      <c r="C3" s="136" t="s">
        <v>193</v>
      </c>
      <c r="D3" s="136" t="s">
        <v>219</v>
      </c>
      <c r="E3" s="136" t="s">
        <v>223</v>
      </c>
      <c r="F3" s="136" t="s">
        <v>214</v>
      </c>
      <c r="G3" s="136" t="s">
        <v>217</v>
      </c>
      <c r="H3" s="136" t="s">
        <v>220</v>
      </c>
      <c r="I3" s="136" t="s">
        <v>221</v>
      </c>
      <c r="J3" s="136" t="s">
        <v>222</v>
      </c>
    </row>
    <row r="4" spans="2:10" ht="15" thickTop="1" x14ac:dyDescent="0.35">
      <c r="B4" s="163" t="s">
        <v>146</v>
      </c>
      <c r="C4" s="164">
        <f>+'Fig. 7.7'!R11</f>
        <v>100000</v>
      </c>
      <c r="D4" s="169">
        <f>+C4/$C$7</f>
        <v>0.21052631578947367</v>
      </c>
      <c r="E4" s="165">
        <f>+'Fig. 7.10'!H4</f>
        <v>5.0625000000000003E-2</v>
      </c>
      <c r="F4" s="166">
        <v>5.5E-2</v>
      </c>
      <c r="G4" s="166"/>
      <c r="H4" s="169">
        <f>+D4*$H$7</f>
        <v>4.4362880886426592E-3</v>
      </c>
      <c r="I4" s="166">
        <f>+H4+F4</f>
        <v>5.9436288088642659E-2</v>
      </c>
      <c r="J4" s="166">
        <f>+I4/E4-1</f>
        <v>0.17405013508429934</v>
      </c>
    </row>
    <row r="5" spans="2:10" x14ac:dyDescent="0.35">
      <c r="B5" s="163" t="s">
        <v>9</v>
      </c>
      <c r="C5" s="164">
        <f>+'Fig. 7.7'!R12</f>
        <v>175000</v>
      </c>
      <c r="D5" s="169">
        <f>+C5/$C$7</f>
        <v>0.36842105263157893</v>
      </c>
      <c r="E5" s="165">
        <f>+'Fig. 7.10'!H5</f>
        <v>5.0625000000000003E-2</v>
      </c>
      <c r="F5" s="166">
        <v>5.5E-2</v>
      </c>
      <c r="G5" s="166"/>
      <c r="H5" s="169">
        <f>+D5*$H$7</f>
        <v>7.7635041551246536E-3</v>
      </c>
      <c r="I5" s="166">
        <f t="shared" ref="I5:I6" si="0">+H5+F5</f>
        <v>6.2763504155124661E-2</v>
      </c>
      <c r="J5" s="166">
        <f t="shared" ref="J5:J6" si="1">+I5/E5-1</f>
        <v>0.23977292158270935</v>
      </c>
    </row>
    <row r="6" spans="2:10" ht="15" thickBot="1" x14ac:dyDescent="0.4">
      <c r="B6" s="163" t="s">
        <v>11</v>
      </c>
      <c r="C6" s="164">
        <f>+'Fig. 7.7'!R13</f>
        <v>200000</v>
      </c>
      <c r="D6" s="169">
        <f>+C6/$C$7</f>
        <v>0.42105263157894735</v>
      </c>
      <c r="E6" s="165">
        <f>+'Fig. 7.10'!H6</f>
        <v>5.0625000000000003E-2</v>
      </c>
      <c r="F6" s="166">
        <v>6.5000000000000002E-2</v>
      </c>
      <c r="G6" s="166"/>
      <c r="H6" s="169">
        <f>+D6*$H$7</f>
        <v>8.8725761772853184E-3</v>
      </c>
      <c r="I6" s="166">
        <f t="shared" si="0"/>
        <v>7.3872576177285321E-2</v>
      </c>
      <c r="J6" s="166">
        <f t="shared" si="1"/>
        <v>0.45921138127970984</v>
      </c>
    </row>
    <row r="7" spans="2:10" s="171" customFormat="1" ht="15" thickBot="1" x14ac:dyDescent="0.4">
      <c r="B7" s="160" t="s">
        <v>218</v>
      </c>
      <c r="C7" s="172">
        <f>SUM(C4:C6)</f>
        <v>475000</v>
      </c>
      <c r="D7" s="170">
        <f>+C7/$C$7</f>
        <v>1</v>
      </c>
      <c r="E7" s="168"/>
      <c r="F7" s="167"/>
      <c r="G7" s="181">
        <f>+'Fig. 7.9'!F25</f>
        <v>10009.375</v>
      </c>
      <c r="H7" s="182">
        <f>+G7/C7</f>
        <v>2.1072368421052631E-2</v>
      </c>
      <c r="J7" s="183">
        <f>+J4*D4+J5*D5+J6*D6</f>
        <v>0.31833168640283371</v>
      </c>
    </row>
    <row r="8" spans="2:10" x14ac:dyDescent="0.35">
      <c r="B8" s="177" t="s">
        <v>212</v>
      </c>
      <c r="C8" s="178">
        <v>0.01</v>
      </c>
      <c r="D8" s="178"/>
      <c r="E8" s="179"/>
      <c r="F8" s="180"/>
    </row>
    <row r="9" spans="2:10" x14ac:dyDescent="0.35">
      <c r="B9" s="173" t="s">
        <v>213</v>
      </c>
      <c r="C9" s="174"/>
      <c r="D9" s="174"/>
      <c r="E9" s="175"/>
      <c r="F9" s="176"/>
      <c r="G9" s="176"/>
      <c r="H9" s="176"/>
      <c r="J9" s="77"/>
    </row>
    <row r="10" spans="2:10" x14ac:dyDescent="0.35">
      <c r="B10" s="142"/>
      <c r="C10" s="143"/>
      <c r="D10" s="143"/>
      <c r="E10" s="144"/>
      <c r="J10" s="77" t="s">
        <v>201</v>
      </c>
    </row>
  </sheetData>
  <mergeCells count="1">
    <mergeCell ref="B2:J2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BD46-C4AC-44C4-9266-3A29A3C74B72}">
  <dimension ref="A1:O37"/>
  <sheetViews>
    <sheetView showGridLines="0" workbookViewId="0">
      <selection activeCell="S21" sqref="S21"/>
    </sheetView>
  </sheetViews>
  <sheetFormatPr defaultRowHeight="14.5" x14ac:dyDescent="0.35"/>
  <cols>
    <col min="1" max="1" width="5.90625" style="14" customWidth="1"/>
    <col min="2" max="2" width="31.08984375" style="12" customWidth="1"/>
    <col min="3" max="10" width="10" style="12" customWidth="1"/>
    <col min="11" max="14" width="15" style="12" customWidth="1"/>
    <col min="15" max="252" width="8.7265625" style="12"/>
    <col min="253" max="253" width="5.08984375" style="12" customWidth="1"/>
    <col min="254" max="254" width="41.7265625" style="12" customWidth="1"/>
    <col min="255" max="255" width="14.7265625" style="12" customWidth="1"/>
    <col min="256" max="256" width="14.90625" style="12" customWidth="1"/>
    <col min="257" max="258" width="11.7265625" style="12" customWidth="1"/>
    <col min="259" max="259" width="11.90625" style="12" bestFit="1" customWidth="1"/>
    <col min="260" max="260" width="8.7265625" style="12"/>
    <col min="261" max="261" width="10.26953125" style="12" bestFit="1" customWidth="1"/>
    <col min="262" max="262" width="11.26953125" style="12" customWidth="1"/>
    <col min="263" max="263" width="5" style="12" customWidth="1"/>
    <col min="264" max="269" width="15" style="12" customWidth="1"/>
    <col min="270" max="508" width="8.7265625" style="12"/>
    <col min="509" max="509" width="5.08984375" style="12" customWidth="1"/>
    <col min="510" max="510" width="41.7265625" style="12" customWidth="1"/>
    <col min="511" max="511" width="14.7265625" style="12" customWidth="1"/>
    <col min="512" max="512" width="14.90625" style="12" customWidth="1"/>
    <col min="513" max="514" width="11.7265625" style="12" customWidth="1"/>
    <col min="515" max="515" width="11.90625" style="12" bestFit="1" customWidth="1"/>
    <col min="516" max="516" width="8.7265625" style="12"/>
    <col min="517" max="517" width="10.26953125" style="12" bestFit="1" customWidth="1"/>
    <col min="518" max="518" width="11.26953125" style="12" customWidth="1"/>
    <col min="519" max="519" width="5" style="12" customWidth="1"/>
    <col min="520" max="525" width="15" style="12" customWidth="1"/>
    <col min="526" max="764" width="8.7265625" style="12"/>
    <col min="765" max="765" width="5.08984375" style="12" customWidth="1"/>
    <col min="766" max="766" width="41.7265625" style="12" customWidth="1"/>
    <col min="767" max="767" width="14.7265625" style="12" customWidth="1"/>
    <col min="768" max="768" width="14.90625" style="12" customWidth="1"/>
    <col min="769" max="770" width="11.7265625" style="12" customWidth="1"/>
    <col min="771" max="771" width="11.90625" style="12" bestFit="1" customWidth="1"/>
    <col min="772" max="772" width="8.7265625" style="12"/>
    <col min="773" max="773" width="10.26953125" style="12" bestFit="1" customWidth="1"/>
    <col min="774" max="774" width="11.26953125" style="12" customWidth="1"/>
    <col min="775" max="775" width="5" style="12" customWidth="1"/>
    <col min="776" max="781" width="15" style="12" customWidth="1"/>
    <col min="782" max="1020" width="8.7265625" style="12"/>
    <col min="1021" max="1021" width="5.08984375" style="12" customWidth="1"/>
    <col min="1022" max="1022" width="41.7265625" style="12" customWidth="1"/>
    <col min="1023" max="1023" width="14.7265625" style="12" customWidth="1"/>
    <col min="1024" max="1024" width="14.90625" style="12" customWidth="1"/>
    <col min="1025" max="1026" width="11.7265625" style="12" customWidth="1"/>
    <col min="1027" max="1027" width="11.90625" style="12" bestFit="1" customWidth="1"/>
    <col min="1028" max="1028" width="8.7265625" style="12"/>
    <col min="1029" max="1029" width="10.26953125" style="12" bestFit="1" customWidth="1"/>
    <col min="1030" max="1030" width="11.26953125" style="12" customWidth="1"/>
    <col min="1031" max="1031" width="5" style="12" customWidth="1"/>
    <col min="1032" max="1037" width="15" style="12" customWidth="1"/>
    <col min="1038" max="1276" width="8.7265625" style="12"/>
    <col min="1277" max="1277" width="5.08984375" style="12" customWidth="1"/>
    <col min="1278" max="1278" width="41.7265625" style="12" customWidth="1"/>
    <col min="1279" max="1279" width="14.7265625" style="12" customWidth="1"/>
    <col min="1280" max="1280" width="14.90625" style="12" customWidth="1"/>
    <col min="1281" max="1282" width="11.7265625" style="12" customWidth="1"/>
    <col min="1283" max="1283" width="11.90625" style="12" bestFit="1" customWidth="1"/>
    <col min="1284" max="1284" width="8.7265625" style="12"/>
    <col min="1285" max="1285" width="10.26953125" style="12" bestFit="1" customWidth="1"/>
    <col min="1286" max="1286" width="11.26953125" style="12" customWidth="1"/>
    <col min="1287" max="1287" width="5" style="12" customWidth="1"/>
    <col min="1288" max="1293" width="15" style="12" customWidth="1"/>
    <col min="1294" max="1532" width="8.7265625" style="12"/>
    <col min="1533" max="1533" width="5.08984375" style="12" customWidth="1"/>
    <col min="1534" max="1534" width="41.7265625" style="12" customWidth="1"/>
    <col min="1535" max="1535" width="14.7265625" style="12" customWidth="1"/>
    <col min="1536" max="1536" width="14.90625" style="12" customWidth="1"/>
    <col min="1537" max="1538" width="11.7265625" style="12" customWidth="1"/>
    <col min="1539" max="1539" width="11.90625" style="12" bestFit="1" customWidth="1"/>
    <col min="1540" max="1540" width="8.7265625" style="12"/>
    <col min="1541" max="1541" width="10.26953125" style="12" bestFit="1" customWidth="1"/>
    <col min="1542" max="1542" width="11.26953125" style="12" customWidth="1"/>
    <col min="1543" max="1543" width="5" style="12" customWidth="1"/>
    <col min="1544" max="1549" width="15" style="12" customWidth="1"/>
    <col min="1550" max="1788" width="8.7265625" style="12"/>
    <col min="1789" max="1789" width="5.08984375" style="12" customWidth="1"/>
    <col min="1790" max="1790" width="41.7265625" style="12" customWidth="1"/>
    <col min="1791" max="1791" width="14.7265625" style="12" customWidth="1"/>
    <col min="1792" max="1792" width="14.90625" style="12" customWidth="1"/>
    <col min="1793" max="1794" width="11.7265625" style="12" customWidth="1"/>
    <col min="1795" max="1795" width="11.90625" style="12" bestFit="1" customWidth="1"/>
    <col min="1796" max="1796" width="8.7265625" style="12"/>
    <col min="1797" max="1797" width="10.26953125" style="12" bestFit="1" customWidth="1"/>
    <col min="1798" max="1798" width="11.26953125" style="12" customWidth="1"/>
    <col min="1799" max="1799" width="5" style="12" customWidth="1"/>
    <col min="1800" max="1805" width="15" style="12" customWidth="1"/>
    <col min="1806" max="2044" width="8.7265625" style="12"/>
    <col min="2045" max="2045" width="5.08984375" style="12" customWidth="1"/>
    <col min="2046" max="2046" width="41.7265625" style="12" customWidth="1"/>
    <col min="2047" max="2047" width="14.7265625" style="12" customWidth="1"/>
    <col min="2048" max="2048" width="14.90625" style="12" customWidth="1"/>
    <col min="2049" max="2050" width="11.7265625" style="12" customWidth="1"/>
    <col min="2051" max="2051" width="11.90625" style="12" bestFit="1" customWidth="1"/>
    <col min="2052" max="2052" width="8.7265625" style="12"/>
    <col min="2053" max="2053" width="10.26953125" style="12" bestFit="1" customWidth="1"/>
    <col min="2054" max="2054" width="11.26953125" style="12" customWidth="1"/>
    <col min="2055" max="2055" width="5" style="12" customWidth="1"/>
    <col min="2056" max="2061" width="15" style="12" customWidth="1"/>
    <col min="2062" max="2300" width="8.7265625" style="12"/>
    <col min="2301" max="2301" width="5.08984375" style="12" customWidth="1"/>
    <col min="2302" max="2302" width="41.7265625" style="12" customWidth="1"/>
    <col min="2303" max="2303" width="14.7265625" style="12" customWidth="1"/>
    <col min="2304" max="2304" width="14.90625" style="12" customWidth="1"/>
    <col min="2305" max="2306" width="11.7265625" style="12" customWidth="1"/>
    <col min="2307" max="2307" width="11.90625" style="12" bestFit="1" customWidth="1"/>
    <col min="2308" max="2308" width="8.7265625" style="12"/>
    <col min="2309" max="2309" width="10.26953125" style="12" bestFit="1" customWidth="1"/>
    <col min="2310" max="2310" width="11.26953125" style="12" customWidth="1"/>
    <col min="2311" max="2311" width="5" style="12" customWidth="1"/>
    <col min="2312" max="2317" width="15" style="12" customWidth="1"/>
    <col min="2318" max="2556" width="8.7265625" style="12"/>
    <col min="2557" max="2557" width="5.08984375" style="12" customWidth="1"/>
    <col min="2558" max="2558" width="41.7265625" style="12" customWidth="1"/>
    <col min="2559" max="2559" width="14.7265625" style="12" customWidth="1"/>
    <col min="2560" max="2560" width="14.90625" style="12" customWidth="1"/>
    <col min="2561" max="2562" width="11.7265625" style="12" customWidth="1"/>
    <col min="2563" max="2563" width="11.90625" style="12" bestFit="1" customWidth="1"/>
    <col min="2564" max="2564" width="8.7265625" style="12"/>
    <col min="2565" max="2565" width="10.26953125" style="12" bestFit="1" customWidth="1"/>
    <col min="2566" max="2566" width="11.26953125" style="12" customWidth="1"/>
    <col min="2567" max="2567" width="5" style="12" customWidth="1"/>
    <col min="2568" max="2573" width="15" style="12" customWidth="1"/>
    <col min="2574" max="2812" width="8.7265625" style="12"/>
    <col min="2813" max="2813" width="5.08984375" style="12" customWidth="1"/>
    <col min="2814" max="2814" width="41.7265625" style="12" customWidth="1"/>
    <col min="2815" max="2815" width="14.7265625" style="12" customWidth="1"/>
    <col min="2816" max="2816" width="14.90625" style="12" customWidth="1"/>
    <col min="2817" max="2818" width="11.7265625" style="12" customWidth="1"/>
    <col min="2819" max="2819" width="11.90625" style="12" bestFit="1" customWidth="1"/>
    <col min="2820" max="2820" width="8.7265625" style="12"/>
    <col min="2821" max="2821" width="10.26953125" style="12" bestFit="1" customWidth="1"/>
    <col min="2822" max="2822" width="11.26953125" style="12" customWidth="1"/>
    <col min="2823" max="2823" width="5" style="12" customWidth="1"/>
    <col min="2824" max="2829" width="15" style="12" customWidth="1"/>
    <col min="2830" max="3068" width="8.7265625" style="12"/>
    <col min="3069" max="3069" width="5.08984375" style="12" customWidth="1"/>
    <col min="3070" max="3070" width="41.7265625" style="12" customWidth="1"/>
    <col min="3071" max="3071" width="14.7265625" style="12" customWidth="1"/>
    <col min="3072" max="3072" width="14.90625" style="12" customWidth="1"/>
    <col min="3073" max="3074" width="11.7265625" style="12" customWidth="1"/>
    <col min="3075" max="3075" width="11.90625" style="12" bestFit="1" customWidth="1"/>
    <col min="3076" max="3076" width="8.7265625" style="12"/>
    <col min="3077" max="3077" width="10.26953125" style="12" bestFit="1" customWidth="1"/>
    <col min="3078" max="3078" width="11.26953125" style="12" customWidth="1"/>
    <col min="3079" max="3079" width="5" style="12" customWidth="1"/>
    <col min="3080" max="3085" width="15" style="12" customWidth="1"/>
    <col min="3086" max="3324" width="8.7265625" style="12"/>
    <col min="3325" max="3325" width="5.08984375" style="12" customWidth="1"/>
    <col min="3326" max="3326" width="41.7265625" style="12" customWidth="1"/>
    <col min="3327" max="3327" width="14.7265625" style="12" customWidth="1"/>
    <col min="3328" max="3328" width="14.90625" style="12" customWidth="1"/>
    <col min="3329" max="3330" width="11.7265625" style="12" customWidth="1"/>
    <col min="3331" max="3331" width="11.90625" style="12" bestFit="1" customWidth="1"/>
    <col min="3332" max="3332" width="8.7265625" style="12"/>
    <col min="3333" max="3333" width="10.26953125" style="12" bestFit="1" customWidth="1"/>
    <col min="3334" max="3334" width="11.26953125" style="12" customWidth="1"/>
    <col min="3335" max="3335" width="5" style="12" customWidth="1"/>
    <col min="3336" max="3341" width="15" style="12" customWidth="1"/>
    <col min="3342" max="3580" width="8.7265625" style="12"/>
    <col min="3581" max="3581" width="5.08984375" style="12" customWidth="1"/>
    <col min="3582" max="3582" width="41.7265625" style="12" customWidth="1"/>
    <col min="3583" max="3583" width="14.7265625" style="12" customWidth="1"/>
    <col min="3584" max="3584" width="14.90625" style="12" customWidth="1"/>
    <col min="3585" max="3586" width="11.7265625" style="12" customWidth="1"/>
    <col min="3587" max="3587" width="11.90625" style="12" bestFit="1" customWidth="1"/>
    <col min="3588" max="3588" width="8.7265625" style="12"/>
    <col min="3589" max="3589" width="10.26953125" style="12" bestFit="1" customWidth="1"/>
    <col min="3590" max="3590" width="11.26953125" style="12" customWidth="1"/>
    <col min="3591" max="3591" width="5" style="12" customWidth="1"/>
    <col min="3592" max="3597" width="15" style="12" customWidth="1"/>
    <col min="3598" max="3836" width="8.7265625" style="12"/>
    <col min="3837" max="3837" width="5.08984375" style="12" customWidth="1"/>
    <col min="3838" max="3838" width="41.7265625" style="12" customWidth="1"/>
    <col min="3839" max="3839" width="14.7265625" style="12" customWidth="1"/>
    <col min="3840" max="3840" width="14.90625" style="12" customWidth="1"/>
    <col min="3841" max="3842" width="11.7265625" style="12" customWidth="1"/>
    <col min="3843" max="3843" width="11.90625" style="12" bestFit="1" customWidth="1"/>
    <col min="3844" max="3844" width="8.7265625" style="12"/>
    <col min="3845" max="3845" width="10.26953125" style="12" bestFit="1" customWidth="1"/>
    <col min="3846" max="3846" width="11.26953125" style="12" customWidth="1"/>
    <col min="3847" max="3847" width="5" style="12" customWidth="1"/>
    <col min="3848" max="3853" width="15" style="12" customWidth="1"/>
    <col min="3854" max="4092" width="8.7265625" style="12"/>
    <col min="4093" max="4093" width="5.08984375" style="12" customWidth="1"/>
    <col min="4094" max="4094" width="41.7265625" style="12" customWidth="1"/>
    <col min="4095" max="4095" width="14.7265625" style="12" customWidth="1"/>
    <col min="4096" max="4096" width="14.90625" style="12" customWidth="1"/>
    <col min="4097" max="4098" width="11.7265625" style="12" customWidth="1"/>
    <col min="4099" max="4099" width="11.90625" style="12" bestFit="1" customWidth="1"/>
    <col min="4100" max="4100" width="8.7265625" style="12"/>
    <col min="4101" max="4101" width="10.26953125" style="12" bestFit="1" customWidth="1"/>
    <col min="4102" max="4102" width="11.26953125" style="12" customWidth="1"/>
    <col min="4103" max="4103" width="5" style="12" customWidth="1"/>
    <col min="4104" max="4109" width="15" style="12" customWidth="1"/>
    <col min="4110" max="4348" width="8.7265625" style="12"/>
    <col min="4349" max="4349" width="5.08984375" style="12" customWidth="1"/>
    <col min="4350" max="4350" width="41.7265625" style="12" customWidth="1"/>
    <col min="4351" max="4351" width="14.7265625" style="12" customWidth="1"/>
    <col min="4352" max="4352" width="14.90625" style="12" customWidth="1"/>
    <col min="4353" max="4354" width="11.7265625" style="12" customWidth="1"/>
    <col min="4355" max="4355" width="11.90625" style="12" bestFit="1" customWidth="1"/>
    <col min="4356" max="4356" width="8.7265625" style="12"/>
    <col min="4357" max="4357" width="10.26953125" style="12" bestFit="1" customWidth="1"/>
    <col min="4358" max="4358" width="11.26953125" style="12" customWidth="1"/>
    <col min="4359" max="4359" width="5" style="12" customWidth="1"/>
    <col min="4360" max="4365" width="15" style="12" customWidth="1"/>
    <col min="4366" max="4604" width="8.7265625" style="12"/>
    <col min="4605" max="4605" width="5.08984375" style="12" customWidth="1"/>
    <col min="4606" max="4606" width="41.7265625" style="12" customWidth="1"/>
    <col min="4607" max="4607" width="14.7265625" style="12" customWidth="1"/>
    <col min="4608" max="4608" width="14.90625" style="12" customWidth="1"/>
    <col min="4609" max="4610" width="11.7265625" style="12" customWidth="1"/>
    <col min="4611" max="4611" width="11.90625" style="12" bestFit="1" customWidth="1"/>
    <col min="4612" max="4612" width="8.7265625" style="12"/>
    <col min="4613" max="4613" width="10.26953125" style="12" bestFit="1" customWidth="1"/>
    <col min="4614" max="4614" width="11.26953125" style="12" customWidth="1"/>
    <col min="4615" max="4615" width="5" style="12" customWidth="1"/>
    <col min="4616" max="4621" width="15" style="12" customWidth="1"/>
    <col min="4622" max="4860" width="8.7265625" style="12"/>
    <col min="4861" max="4861" width="5.08984375" style="12" customWidth="1"/>
    <col min="4862" max="4862" width="41.7265625" style="12" customWidth="1"/>
    <col min="4863" max="4863" width="14.7265625" style="12" customWidth="1"/>
    <col min="4864" max="4864" width="14.90625" style="12" customWidth="1"/>
    <col min="4865" max="4866" width="11.7265625" style="12" customWidth="1"/>
    <col min="4867" max="4867" width="11.90625" style="12" bestFit="1" customWidth="1"/>
    <col min="4868" max="4868" width="8.7265625" style="12"/>
    <col min="4869" max="4869" width="10.26953125" style="12" bestFit="1" customWidth="1"/>
    <col min="4870" max="4870" width="11.26953125" style="12" customWidth="1"/>
    <col min="4871" max="4871" width="5" style="12" customWidth="1"/>
    <col min="4872" max="4877" width="15" style="12" customWidth="1"/>
    <col min="4878" max="5116" width="8.7265625" style="12"/>
    <col min="5117" max="5117" width="5.08984375" style="12" customWidth="1"/>
    <col min="5118" max="5118" width="41.7265625" style="12" customWidth="1"/>
    <col min="5119" max="5119" width="14.7265625" style="12" customWidth="1"/>
    <col min="5120" max="5120" width="14.90625" style="12" customWidth="1"/>
    <col min="5121" max="5122" width="11.7265625" style="12" customWidth="1"/>
    <col min="5123" max="5123" width="11.90625" style="12" bestFit="1" customWidth="1"/>
    <col min="5124" max="5124" width="8.7265625" style="12"/>
    <col min="5125" max="5125" width="10.26953125" style="12" bestFit="1" customWidth="1"/>
    <col min="5126" max="5126" width="11.26953125" style="12" customWidth="1"/>
    <col min="5127" max="5127" width="5" style="12" customWidth="1"/>
    <col min="5128" max="5133" width="15" style="12" customWidth="1"/>
    <col min="5134" max="5372" width="8.7265625" style="12"/>
    <col min="5373" max="5373" width="5.08984375" style="12" customWidth="1"/>
    <col min="5374" max="5374" width="41.7265625" style="12" customWidth="1"/>
    <col min="5375" max="5375" width="14.7265625" style="12" customWidth="1"/>
    <col min="5376" max="5376" width="14.90625" style="12" customWidth="1"/>
    <col min="5377" max="5378" width="11.7265625" style="12" customWidth="1"/>
    <col min="5379" max="5379" width="11.90625" style="12" bestFit="1" customWidth="1"/>
    <col min="5380" max="5380" width="8.7265625" style="12"/>
    <col min="5381" max="5381" width="10.26953125" style="12" bestFit="1" customWidth="1"/>
    <col min="5382" max="5382" width="11.26953125" style="12" customWidth="1"/>
    <col min="5383" max="5383" width="5" style="12" customWidth="1"/>
    <col min="5384" max="5389" width="15" style="12" customWidth="1"/>
    <col min="5390" max="5628" width="8.7265625" style="12"/>
    <col min="5629" max="5629" width="5.08984375" style="12" customWidth="1"/>
    <col min="5630" max="5630" width="41.7265625" style="12" customWidth="1"/>
    <col min="5631" max="5631" width="14.7265625" style="12" customWidth="1"/>
    <col min="5632" max="5632" width="14.90625" style="12" customWidth="1"/>
    <col min="5633" max="5634" width="11.7265625" style="12" customWidth="1"/>
    <col min="5635" max="5635" width="11.90625" style="12" bestFit="1" customWidth="1"/>
    <col min="5636" max="5636" width="8.7265625" style="12"/>
    <col min="5637" max="5637" width="10.26953125" style="12" bestFit="1" customWidth="1"/>
    <col min="5638" max="5638" width="11.26953125" style="12" customWidth="1"/>
    <col min="5639" max="5639" width="5" style="12" customWidth="1"/>
    <col min="5640" max="5645" width="15" style="12" customWidth="1"/>
    <col min="5646" max="5884" width="8.7265625" style="12"/>
    <col min="5885" max="5885" width="5.08984375" style="12" customWidth="1"/>
    <col min="5886" max="5886" width="41.7265625" style="12" customWidth="1"/>
    <col min="5887" max="5887" width="14.7265625" style="12" customWidth="1"/>
    <col min="5888" max="5888" width="14.90625" style="12" customWidth="1"/>
    <col min="5889" max="5890" width="11.7265625" style="12" customWidth="1"/>
    <col min="5891" max="5891" width="11.90625" style="12" bestFit="1" customWidth="1"/>
    <col min="5892" max="5892" width="8.7265625" style="12"/>
    <col min="5893" max="5893" width="10.26953125" style="12" bestFit="1" customWidth="1"/>
    <col min="5894" max="5894" width="11.26953125" style="12" customWidth="1"/>
    <col min="5895" max="5895" width="5" style="12" customWidth="1"/>
    <col min="5896" max="5901" width="15" style="12" customWidth="1"/>
    <col min="5902" max="6140" width="8.7265625" style="12"/>
    <col min="6141" max="6141" width="5.08984375" style="12" customWidth="1"/>
    <col min="6142" max="6142" width="41.7265625" style="12" customWidth="1"/>
    <col min="6143" max="6143" width="14.7265625" style="12" customWidth="1"/>
    <col min="6144" max="6144" width="14.90625" style="12" customWidth="1"/>
    <col min="6145" max="6146" width="11.7265625" style="12" customWidth="1"/>
    <col min="6147" max="6147" width="11.90625" style="12" bestFit="1" customWidth="1"/>
    <col min="6148" max="6148" width="8.7265625" style="12"/>
    <col min="6149" max="6149" width="10.26953125" style="12" bestFit="1" customWidth="1"/>
    <col min="6150" max="6150" width="11.26953125" style="12" customWidth="1"/>
    <col min="6151" max="6151" width="5" style="12" customWidth="1"/>
    <col min="6152" max="6157" width="15" style="12" customWidth="1"/>
    <col min="6158" max="6396" width="8.7265625" style="12"/>
    <col min="6397" max="6397" width="5.08984375" style="12" customWidth="1"/>
    <col min="6398" max="6398" width="41.7265625" style="12" customWidth="1"/>
    <col min="6399" max="6399" width="14.7265625" style="12" customWidth="1"/>
    <col min="6400" max="6400" width="14.90625" style="12" customWidth="1"/>
    <col min="6401" max="6402" width="11.7265625" style="12" customWidth="1"/>
    <col min="6403" max="6403" width="11.90625" style="12" bestFit="1" customWidth="1"/>
    <col min="6404" max="6404" width="8.7265625" style="12"/>
    <col min="6405" max="6405" width="10.26953125" style="12" bestFit="1" customWidth="1"/>
    <col min="6406" max="6406" width="11.26953125" style="12" customWidth="1"/>
    <col min="6407" max="6407" width="5" style="12" customWidth="1"/>
    <col min="6408" max="6413" width="15" style="12" customWidth="1"/>
    <col min="6414" max="6652" width="8.7265625" style="12"/>
    <col min="6653" max="6653" width="5.08984375" style="12" customWidth="1"/>
    <col min="6654" max="6654" width="41.7265625" style="12" customWidth="1"/>
    <col min="6655" max="6655" width="14.7265625" style="12" customWidth="1"/>
    <col min="6656" max="6656" width="14.90625" style="12" customWidth="1"/>
    <col min="6657" max="6658" width="11.7265625" style="12" customWidth="1"/>
    <col min="6659" max="6659" width="11.90625" style="12" bestFit="1" customWidth="1"/>
    <col min="6660" max="6660" width="8.7265625" style="12"/>
    <col min="6661" max="6661" width="10.26953125" style="12" bestFit="1" customWidth="1"/>
    <col min="6662" max="6662" width="11.26953125" style="12" customWidth="1"/>
    <col min="6663" max="6663" width="5" style="12" customWidth="1"/>
    <col min="6664" max="6669" width="15" style="12" customWidth="1"/>
    <col min="6670" max="6908" width="8.7265625" style="12"/>
    <col min="6909" max="6909" width="5.08984375" style="12" customWidth="1"/>
    <col min="6910" max="6910" width="41.7265625" style="12" customWidth="1"/>
    <col min="6911" max="6911" width="14.7265625" style="12" customWidth="1"/>
    <col min="6912" max="6912" width="14.90625" style="12" customWidth="1"/>
    <col min="6913" max="6914" width="11.7265625" style="12" customWidth="1"/>
    <col min="6915" max="6915" width="11.90625" style="12" bestFit="1" customWidth="1"/>
    <col min="6916" max="6916" width="8.7265625" style="12"/>
    <col min="6917" max="6917" width="10.26953125" style="12" bestFit="1" customWidth="1"/>
    <col min="6918" max="6918" width="11.26953125" style="12" customWidth="1"/>
    <col min="6919" max="6919" width="5" style="12" customWidth="1"/>
    <col min="6920" max="6925" width="15" style="12" customWidth="1"/>
    <col min="6926" max="7164" width="8.7265625" style="12"/>
    <col min="7165" max="7165" width="5.08984375" style="12" customWidth="1"/>
    <col min="7166" max="7166" width="41.7265625" style="12" customWidth="1"/>
    <col min="7167" max="7167" width="14.7265625" style="12" customWidth="1"/>
    <col min="7168" max="7168" width="14.90625" style="12" customWidth="1"/>
    <col min="7169" max="7170" width="11.7265625" style="12" customWidth="1"/>
    <col min="7171" max="7171" width="11.90625" style="12" bestFit="1" customWidth="1"/>
    <col min="7172" max="7172" width="8.7265625" style="12"/>
    <col min="7173" max="7173" width="10.26953125" style="12" bestFit="1" customWidth="1"/>
    <col min="7174" max="7174" width="11.26953125" style="12" customWidth="1"/>
    <col min="7175" max="7175" width="5" style="12" customWidth="1"/>
    <col min="7176" max="7181" width="15" style="12" customWidth="1"/>
    <col min="7182" max="7420" width="8.7265625" style="12"/>
    <col min="7421" max="7421" width="5.08984375" style="12" customWidth="1"/>
    <col min="7422" max="7422" width="41.7265625" style="12" customWidth="1"/>
    <col min="7423" max="7423" width="14.7265625" style="12" customWidth="1"/>
    <col min="7424" max="7424" width="14.90625" style="12" customWidth="1"/>
    <col min="7425" max="7426" width="11.7265625" style="12" customWidth="1"/>
    <col min="7427" max="7427" width="11.90625" style="12" bestFit="1" customWidth="1"/>
    <col min="7428" max="7428" width="8.7265625" style="12"/>
    <col min="7429" max="7429" width="10.26953125" style="12" bestFit="1" customWidth="1"/>
    <col min="7430" max="7430" width="11.26953125" style="12" customWidth="1"/>
    <col min="7431" max="7431" width="5" style="12" customWidth="1"/>
    <col min="7432" max="7437" width="15" style="12" customWidth="1"/>
    <col min="7438" max="7676" width="8.7265625" style="12"/>
    <col min="7677" max="7677" width="5.08984375" style="12" customWidth="1"/>
    <col min="7678" max="7678" width="41.7265625" style="12" customWidth="1"/>
    <col min="7679" max="7679" width="14.7265625" style="12" customWidth="1"/>
    <col min="7680" max="7680" width="14.90625" style="12" customWidth="1"/>
    <col min="7681" max="7682" width="11.7265625" style="12" customWidth="1"/>
    <col min="7683" max="7683" width="11.90625" style="12" bestFit="1" customWidth="1"/>
    <col min="7684" max="7684" width="8.7265625" style="12"/>
    <col min="7685" max="7685" width="10.26953125" style="12" bestFit="1" customWidth="1"/>
    <col min="7686" max="7686" width="11.26953125" style="12" customWidth="1"/>
    <col min="7687" max="7687" width="5" style="12" customWidth="1"/>
    <col min="7688" max="7693" width="15" style="12" customWidth="1"/>
    <col min="7694" max="7932" width="8.7265625" style="12"/>
    <col min="7933" max="7933" width="5.08984375" style="12" customWidth="1"/>
    <col min="7934" max="7934" width="41.7265625" style="12" customWidth="1"/>
    <col min="7935" max="7935" width="14.7265625" style="12" customWidth="1"/>
    <col min="7936" max="7936" width="14.90625" style="12" customWidth="1"/>
    <col min="7937" max="7938" width="11.7265625" style="12" customWidth="1"/>
    <col min="7939" max="7939" width="11.90625" style="12" bestFit="1" customWidth="1"/>
    <col min="7940" max="7940" width="8.7265625" style="12"/>
    <col min="7941" max="7941" width="10.26953125" style="12" bestFit="1" customWidth="1"/>
    <col min="7942" max="7942" width="11.26953125" style="12" customWidth="1"/>
    <col min="7943" max="7943" width="5" style="12" customWidth="1"/>
    <col min="7944" max="7949" width="15" style="12" customWidth="1"/>
    <col min="7950" max="8188" width="8.7265625" style="12"/>
    <col min="8189" max="8189" width="5.08984375" style="12" customWidth="1"/>
    <col min="8190" max="8190" width="41.7265625" style="12" customWidth="1"/>
    <col min="8191" max="8191" width="14.7265625" style="12" customWidth="1"/>
    <col min="8192" max="8192" width="14.90625" style="12" customWidth="1"/>
    <col min="8193" max="8194" width="11.7265625" style="12" customWidth="1"/>
    <col min="8195" max="8195" width="11.90625" style="12" bestFit="1" customWidth="1"/>
    <col min="8196" max="8196" width="8.7265625" style="12"/>
    <col min="8197" max="8197" width="10.26953125" style="12" bestFit="1" customWidth="1"/>
    <col min="8198" max="8198" width="11.26953125" style="12" customWidth="1"/>
    <col min="8199" max="8199" width="5" style="12" customWidth="1"/>
    <col min="8200" max="8205" width="15" style="12" customWidth="1"/>
    <col min="8206" max="8444" width="8.7265625" style="12"/>
    <col min="8445" max="8445" width="5.08984375" style="12" customWidth="1"/>
    <col min="8446" max="8446" width="41.7265625" style="12" customWidth="1"/>
    <col min="8447" max="8447" width="14.7265625" style="12" customWidth="1"/>
    <col min="8448" max="8448" width="14.90625" style="12" customWidth="1"/>
    <col min="8449" max="8450" width="11.7265625" style="12" customWidth="1"/>
    <col min="8451" max="8451" width="11.90625" style="12" bestFit="1" customWidth="1"/>
    <col min="8452" max="8452" width="8.7265625" style="12"/>
    <col min="8453" max="8453" width="10.26953125" style="12" bestFit="1" customWidth="1"/>
    <col min="8454" max="8454" width="11.26953125" style="12" customWidth="1"/>
    <col min="8455" max="8455" width="5" style="12" customWidth="1"/>
    <col min="8456" max="8461" width="15" style="12" customWidth="1"/>
    <col min="8462" max="8700" width="8.7265625" style="12"/>
    <col min="8701" max="8701" width="5.08984375" style="12" customWidth="1"/>
    <col min="8702" max="8702" width="41.7265625" style="12" customWidth="1"/>
    <col min="8703" max="8703" width="14.7265625" style="12" customWidth="1"/>
    <col min="8704" max="8704" width="14.90625" style="12" customWidth="1"/>
    <col min="8705" max="8706" width="11.7265625" style="12" customWidth="1"/>
    <col min="8707" max="8707" width="11.90625" style="12" bestFit="1" customWidth="1"/>
    <col min="8708" max="8708" width="8.7265625" style="12"/>
    <col min="8709" max="8709" width="10.26953125" style="12" bestFit="1" customWidth="1"/>
    <col min="8710" max="8710" width="11.26953125" style="12" customWidth="1"/>
    <col min="8711" max="8711" width="5" style="12" customWidth="1"/>
    <col min="8712" max="8717" width="15" style="12" customWidth="1"/>
    <col min="8718" max="8956" width="8.7265625" style="12"/>
    <col min="8957" max="8957" width="5.08984375" style="12" customWidth="1"/>
    <col min="8958" max="8958" width="41.7265625" style="12" customWidth="1"/>
    <col min="8959" max="8959" width="14.7265625" style="12" customWidth="1"/>
    <col min="8960" max="8960" width="14.90625" style="12" customWidth="1"/>
    <col min="8961" max="8962" width="11.7265625" style="12" customWidth="1"/>
    <col min="8963" max="8963" width="11.90625" style="12" bestFit="1" customWidth="1"/>
    <col min="8964" max="8964" width="8.7265625" style="12"/>
    <col min="8965" max="8965" width="10.26953125" style="12" bestFit="1" customWidth="1"/>
    <col min="8966" max="8966" width="11.26953125" style="12" customWidth="1"/>
    <col min="8967" max="8967" width="5" style="12" customWidth="1"/>
    <col min="8968" max="8973" width="15" style="12" customWidth="1"/>
    <col min="8974" max="9212" width="8.7265625" style="12"/>
    <col min="9213" max="9213" width="5.08984375" style="12" customWidth="1"/>
    <col min="9214" max="9214" width="41.7265625" style="12" customWidth="1"/>
    <col min="9215" max="9215" width="14.7265625" style="12" customWidth="1"/>
    <col min="9216" max="9216" width="14.90625" style="12" customWidth="1"/>
    <col min="9217" max="9218" width="11.7265625" style="12" customWidth="1"/>
    <col min="9219" max="9219" width="11.90625" style="12" bestFit="1" customWidth="1"/>
    <col min="9220" max="9220" width="8.7265625" style="12"/>
    <col min="9221" max="9221" width="10.26953125" style="12" bestFit="1" customWidth="1"/>
    <col min="9222" max="9222" width="11.26953125" style="12" customWidth="1"/>
    <col min="9223" max="9223" width="5" style="12" customWidth="1"/>
    <col min="9224" max="9229" width="15" style="12" customWidth="1"/>
    <col min="9230" max="9468" width="8.7265625" style="12"/>
    <col min="9469" max="9469" width="5.08984375" style="12" customWidth="1"/>
    <col min="9470" max="9470" width="41.7265625" style="12" customWidth="1"/>
    <col min="9471" max="9471" width="14.7265625" style="12" customWidth="1"/>
    <col min="9472" max="9472" width="14.90625" style="12" customWidth="1"/>
    <col min="9473" max="9474" width="11.7265625" style="12" customWidth="1"/>
    <col min="9475" max="9475" width="11.90625" style="12" bestFit="1" customWidth="1"/>
    <col min="9476" max="9476" width="8.7265625" style="12"/>
    <col min="9477" max="9477" width="10.26953125" style="12" bestFit="1" customWidth="1"/>
    <col min="9478" max="9478" width="11.26953125" style="12" customWidth="1"/>
    <col min="9479" max="9479" width="5" style="12" customWidth="1"/>
    <col min="9480" max="9485" width="15" style="12" customWidth="1"/>
    <col min="9486" max="9724" width="8.7265625" style="12"/>
    <col min="9725" max="9725" width="5.08984375" style="12" customWidth="1"/>
    <col min="9726" max="9726" width="41.7265625" style="12" customWidth="1"/>
    <col min="9727" max="9727" width="14.7265625" style="12" customWidth="1"/>
    <col min="9728" max="9728" width="14.90625" style="12" customWidth="1"/>
    <col min="9729" max="9730" width="11.7265625" style="12" customWidth="1"/>
    <col min="9731" max="9731" width="11.90625" style="12" bestFit="1" customWidth="1"/>
    <col min="9732" max="9732" width="8.7265625" style="12"/>
    <col min="9733" max="9733" width="10.26953125" style="12" bestFit="1" customWidth="1"/>
    <col min="9734" max="9734" width="11.26953125" style="12" customWidth="1"/>
    <col min="9735" max="9735" width="5" style="12" customWidth="1"/>
    <col min="9736" max="9741" width="15" style="12" customWidth="1"/>
    <col min="9742" max="9980" width="8.7265625" style="12"/>
    <col min="9981" max="9981" width="5.08984375" style="12" customWidth="1"/>
    <col min="9982" max="9982" width="41.7265625" style="12" customWidth="1"/>
    <col min="9983" max="9983" width="14.7265625" style="12" customWidth="1"/>
    <col min="9984" max="9984" width="14.90625" style="12" customWidth="1"/>
    <col min="9985" max="9986" width="11.7265625" style="12" customWidth="1"/>
    <col min="9987" max="9987" width="11.90625" style="12" bestFit="1" customWidth="1"/>
    <col min="9988" max="9988" width="8.7265625" style="12"/>
    <col min="9989" max="9989" width="10.26953125" style="12" bestFit="1" customWidth="1"/>
    <col min="9990" max="9990" width="11.26953125" style="12" customWidth="1"/>
    <col min="9991" max="9991" width="5" style="12" customWidth="1"/>
    <col min="9992" max="9997" width="15" style="12" customWidth="1"/>
    <col min="9998" max="10236" width="8.7265625" style="12"/>
    <col min="10237" max="10237" width="5.08984375" style="12" customWidth="1"/>
    <col min="10238" max="10238" width="41.7265625" style="12" customWidth="1"/>
    <col min="10239" max="10239" width="14.7265625" style="12" customWidth="1"/>
    <col min="10240" max="10240" width="14.90625" style="12" customWidth="1"/>
    <col min="10241" max="10242" width="11.7265625" style="12" customWidth="1"/>
    <col min="10243" max="10243" width="11.90625" style="12" bestFit="1" customWidth="1"/>
    <col min="10244" max="10244" width="8.7265625" style="12"/>
    <col min="10245" max="10245" width="10.26953125" style="12" bestFit="1" customWidth="1"/>
    <col min="10246" max="10246" width="11.26953125" style="12" customWidth="1"/>
    <col min="10247" max="10247" width="5" style="12" customWidth="1"/>
    <col min="10248" max="10253" width="15" style="12" customWidth="1"/>
    <col min="10254" max="10492" width="8.7265625" style="12"/>
    <col min="10493" max="10493" width="5.08984375" style="12" customWidth="1"/>
    <col min="10494" max="10494" width="41.7265625" style="12" customWidth="1"/>
    <col min="10495" max="10495" width="14.7265625" style="12" customWidth="1"/>
    <col min="10496" max="10496" width="14.90625" style="12" customWidth="1"/>
    <col min="10497" max="10498" width="11.7265625" style="12" customWidth="1"/>
    <col min="10499" max="10499" width="11.90625" style="12" bestFit="1" customWidth="1"/>
    <col min="10500" max="10500" width="8.7265625" style="12"/>
    <col min="10501" max="10501" width="10.26953125" style="12" bestFit="1" customWidth="1"/>
    <col min="10502" max="10502" width="11.26953125" style="12" customWidth="1"/>
    <col min="10503" max="10503" width="5" style="12" customWidth="1"/>
    <col min="10504" max="10509" width="15" style="12" customWidth="1"/>
    <col min="10510" max="10748" width="8.7265625" style="12"/>
    <col min="10749" max="10749" width="5.08984375" style="12" customWidth="1"/>
    <col min="10750" max="10750" width="41.7265625" style="12" customWidth="1"/>
    <col min="10751" max="10751" width="14.7265625" style="12" customWidth="1"/>
    <col min="10752" max="10752" width="14.90625" style="12" customWidth="1"/>
    <col min="10753" max="10754" width="11.7265625" style="12" customWidth="1"/>
    <col min="10755" max="10755" width="11.90625" style="12" bestFit="1" customWidth="1"/>
    <col min="10756" max="10756" width="8.7265625" style="12"/>
    <col min="10757" max="10757" width="10.26953125" style="12" bestFit="1" customWidth="1"/>
    <col min="10758" max="10758" width="11.26953125" style="12" customWidth="1"/>
    <col min="10759" max="10759" width="5" style="12" customWidth="1"/>
    <col min="10760" max="10765" width="15" style="12" customWidth="1"/>
    <col min="10766" max="11004" width="8.7265625" style="12"/>
    <col min="11005" max="11005" width="5.08984375" style="12" customWidth="1"/>
    <col min="11006" max="11006" width="41.7265625" style="12" customWidth="1"/>
    <col min="11007" max="11007" width="14.7265625" style="12" customWidth="1"/>
    <col min="11008" max="11008" width="14.90625" style="12" customWidth="1"/>
    <col min="11009" max="11010" width="11.7265625" style="12" customWidth="1"/>
    <col min="11011" max="11011" width="11.90625" style="12" bestFit="1" customWidth="1"/>
    <col min="11012" max="11012" width="8.7265625" style="12"/>
    <col min="11013" max="11013" width="10.26953125" style="12" bestFit="1" customWidth="1"/>
    <col min="11014" max="11014" width="11.26953125" style="12" customWidth="1"/>
    <col min="11015" max="11015" width="5" style="12" customWidth="1"/>
    <col min="11016" max="11021" width="15" style="12" customWidth="1"/>
    <col min="11022" max="11260" width="8.7265625" style="12"/>
    <col min="11261" max="11261" width="5.08984375" style="12" customWidth="1"/>
    <col min="11262" max="11262" width="41.7265625" style="12" customWidth="1"/>
    <col min="11263" max="11263" width="14.7265625" style="12" customWidth="1"/>
    <col min="11264" max="11264" width="14.90625" style="12" customWidth="1"/>
    <col min="11265" max="11266" width="11.7265625" style="12" customWidth="1"/>
    <col min="11267" max="11267" width="11.90625" style="12" bestFit="1" customWidth="1"/>
    <col min="11268" max="11268" width="8.7265625" style="12"/>
    <col min="11269" max="11269" width="10.26953125" style="12" bestFit="1" customWidth="1"/>
    <col min="11270" max="11270" width="11.26953125" style="12" customWidth="1"/>
    <col min="11271" max="11271" width="5" style="12" customWidth="1"/>
    <col min="11272" max="11277" width="15" style="12" customWidth="1"/>
    <col min="11278" max="11516" width="8.7265625" style="12"/>
    <col min="11517" max="11517" width="5.08984375" style="12" customWidth="1"/>
    <col min="11518" max="11518" width="41.7265625" style="12" customWidth="1"/>
    <col min="11519" max="11519" width="14.7265625" style="12" customWidth="1"/>
    <col min="11520" max="11520" width="14.90625" style="12" customWidth="1"/>
    <col min="11521" max="11522" width="11.7265625" style="12" customWidth="1"/>
    <col min="11523" max="11523" width="11.90625" style="12" bestFit="1" customWidth="1"/>
    <col min="11524" max="11524" width="8.7265625" style="12"/>
    <col min="11525" max="11525" width="10.26953125" style="12" bestFit="1" customWidth="1"/>
    <col min="11526" max="11526" width="11.26953125" style="12" customWidth="1"/>
    <col min="11527" max="11527" width="5" style="12" customWidth="1"/>
    <col min="11528" max="11533" width="15" style="12" customWidth="1"/>
    <col min="11534" max="11772" width="8.7265625" style="12"/>
    <col min="11773" max="11773" width="5.08984375" style="12" customWidth="1"/>
    <col min="11774" max="11774" width="41.7265625" style="12" customWidth="1"/>
    <col min="11775" max="11775" width="14.7265625" style="12" customWidth="1"/>
    <col min="11776" max="11776" width="14.90625" style="12" customWidth="1"/>
    <col min="11777" max="11778" width="11.7265625" style="12" customWidth="1"/>
    <col min="11779" max="11779" width="11.90625" style="12" bestFit="1" customWidth="1"/>
    <col min="11780" max="11780" width="8.7265625" style="12"/>
    <col min="11781" max="11781" width="10.26953125" style="12" bestFit="1" customWidth="1"/>
    <col min="11782" max="11782" width="11.26953125" style="12" customWidth="1"/>
    <col min="11783" max="11783" width="5" style="12" customWidth="1"/>
    <col min="11784" max="11789" width="15" style="12" customWidth="1"/>
    <col min="11790" max="12028" width="8.7265625" style="12"/>
    <col min="12029" max="12029" width="5.08984375" style="12" customWidth="1"/>
    <col min="12030" max="12030" width="41.7265625" style="12" customWidth="1"/>
    <col min="12031" max="12031" width="14.7265625" style="12" customWidth="1"/>
    <col min="12032" max="12032" width="14.90625" style="12" customWidth="1"/>
    <col min="12033" max="12034" width="11.7265625" style="12" customWidth="1"/>
    <col min="12035" max="12035" width="11.90625" style="12" bestFit="1" customWidth="1"/>
    <col min="12036" max="12036" width="8.7265625" style="12"/>
    <col min="12037" max="12037" width="10.26953125" style="12" bestFit="1" customWidth="1"/>
    <col min="12038" max="12038" width="11.26953125" style="12" customWidth="1"/>
    <col min="12039" max="12039" width="5" style="12" customWidth="1"/>
    <col min="12040" max="12045" width="15" style="12" customWidth="1"/>
    <col min="12046" max="12284" width="8.7265625" style="12"/>
    <col min="12285" max="12285" width="5.08984375" style="12" customWidth="1"/>
    <col min="12286" max="12286" width="41.7265625" style="12" customWidth="1"/>
    <col min="12287" max="12287" width="14.7265625" style="12" customWidth="1"/>
    <col min="12288" max="12288" width="14.90625" style="12" customWidth="1"/>
    <col min="12289" max="12290" width="11.7265625" style="12" customWidth="1"/>
    <col min="12291" max="12291" width="11.90625" style="12" bestFit="1" customWidth="1"/>
    <col min="12292" max="12292" width="8.7265625" style="12"/>
    <col min="12293" max="12293" width="10.26953125" style="12" bestFit="1" customWidth="1"/>
    <col min="12294" max="12294" width="11.26953125" style="12" customWidth="1"/>
    <col min="12295" max="12295" width="5" style="12" customWidth="1"/>
    <col min="12296" max="12301" width="15" style="12" customWidth="1"/>
    <col min="12302" max="12540" width="8.7265625" style="12"/>
    <col min="12541" max="12541" width="5.08984375" style="12" customWidth="1"/>
    <col min="12542" max="12542" width="41.7265625" style="12" customWidth="1"/>
    <col min="12543" max="12543" width="14.7265625" style="12" customWidth="1"/>
    <col min="12544" max="12544" width="14.90625" style="12" customWidth="1"/>
    <col min="12545" max="12546" width="11.7265625" style="12" customWidth="1"/>
    <col min="12547" max="12547" width="11.90625" style="12" bestFit="1" customWidth="1"/>
    <col min="12548" max="12548" width="8.7265625" style="12"/>
    <col min="12549" max="12549" width="10.26953125" style="12" bestFit="1" customWidth="1"/>
    <col min="12550" max="12550" width="11.26953125" style="12" customWidth="1"/>
    <col min="12551" max="12551" width="5" style="12" customWidth="1"/>
    <col min="12552" max="12557" width="15" style="12" customWidth="1"/>
    <col min="12558" max="12796" width="8.7265625" style="12"/>
    <col min="12797" max="12797" width="5.08984375" style="12" customWidth="1"/>
    <col min="12798" max="12798" width="41.7265625" style="12" customWidth="1"/>
    <col min="12799" max="12799" width="14.7265625" style="12" customWidth="1"/>
    <col min="12800" max="12800" width="14.90625" style="12" customWidth="1"/>
    <col min="12801" max="12802" width="11.7265625" style="12" customWidth="1"/>
    <col min="12803" max="12803" width="11.90625" style="12" bestFit="1" customWidth="1"/>
    <col min="12804" max="12804" width="8.7265625" style="12"/>
    <col min="12805" max="12805" width="10.26953125" style="12" bestFit="1" customWidth="1"/>
    <col min="12806" max="12806" width="11.26953125" style="12" customWidth="1"/>
    <col min="12807" max="12807" width="5" style="12" customWidth="1"/>
    <col min="12808" max="12813" width="15" style="12" customWidth="1"/>
    <col min="12814" max="13052" width="8.7265625" style="12"/>
    <col min="13053" max="13053" width="5.08984375" style="12" customWidth="1"/>
    <col min="13054" max="13054" width="41.7265625" style="12" customWidth="1"/>
    <col min="13055" max="13055" width="14.7265625" style="12" customWidth="1"/>
    <col min="13056" max="13056" width="14.90625" style="12" customWidth="1"/>
    <col min="13057" max="13058" width="11.7265625" style="12" customWidth="1"/>
    <col min="13059" max="13059" width="11.90625" style="12" bestFit="1" customWidth="1"/>
    <col min="13060" max="13060" width="8.7265625" style="12"/>
    <col min="13061" max="13061" width="10.26953125" style="12" bestFit="1" customWidth="1"/>
    <col min="13062" max="13062" width="11.26953125" style="12" customWidth="1"/>
    <col min="13063" max="13063" width="5" style="12" customWidth="1"/>
    <col min="13064" max="13069" width="15" style="12" customWidth="1"/>
    <col min="13070" max="13308" width="8.7265625" style="12"/>
    <col min="13309" max="13309" width="5.08984375" style="12" customWidth="1"/>
    <col min="13310" max="13310" width="41.7265625" style="12" customWidth="1"/>
    <col min="13311" max="13311" width="14.7265625" style="12" customWidth="1"/>
    <col min="13312" max="13312" width="14.90625" style="12" customWidth="1"/>
    <col min="13313" max="13314" width="11.7265625" style="12" customWidth="1"/>
    <col min="13315" max="13315" width="11.90625" style="12" bestFit="1" customWidth="1"/>
    <col min="13316" max="13316" width="8.7265625" style="12"/>
    <col min="13317" max="13317" width="10.26953125" style="12" bestFit="1" customWidth="1"/>
    <col min="13318" max="13318" width="11.26953125" style="12" customWidth="1"/>
    <col min="13319" max="13319" width="5" style="12" customWidth="1"/>
    <col min="13320" max="13325" width="15" style="12" customWidth="1"/>
    <col min="13326" max="13564" width="8.7265625" style="12"/>
    <col min="13565" max="13565" width="5.08984375" style="12" customWidth="1"/>
    <col min="13566" max="13566" width="41.7265625" style="12" customWidth="1"/>
    <col min="13567" max="13567" width="14.7265625" style="12" customWidth="1"/>
    <col min="13568" max="13568" width="14.90625" style="12" customWidth="1"/>
    <col min="13569" max="13570" width="11.7265625" style="12" customWidth="1"/>
    <col min="13571" max="13571" width="11.90625" style="12" bestFit="1" customWidth="1"/>
    <col min="13572" max="13572" width="8.7265625" style="12"/>
    <col min="13573" max="13573" width="10.26953125" style="12" bestFit="1" customWidth="1"/>
    <col min="13574" max="13574" width="11.26953125" style="12" customWidth="1"/>
    <col min="13575" max="13575" width="5" style="12" customWidth="1"/>
    <col min="13576" max="13581" width="15" style="12" customWidth="1"/>
    <col min="13582" max="13820" width="8.7265625" style="12"/>
    <col min="13821" max="13821" width="5.08984375" style="12" customWidth="1"/>
    <col min="13822" max="13822" width="41.7265625" style="12" customWidth="1"/>
    <col min="13823" max="13823" width="14.7265625" style="12" customWidth="1"/>
    <col min="13824" max="13824" width="14.90625" style="12" customWidth="1"/>
    <col min="13825" max="13826" width="11.7265625" style="12" customWidth="1"/>
    <col min="13827" max="13827" width="11.90625" style="12" bestFit="1" customWidth="1"/>
    <col min="13828" max="13828" width="8.7265625" style="12"/>
    <col min="13829" max="13829" width="10.26953125" style="12" bestFit="1" customWidth="1"/>
    <col min="13830" max="13830" width="11.26953125" style="12" customWidth="1"/>
    <col min="13831" max="13831" width="5" style="12" customWidth="1"/>
    <col min="13832" max="13837" width="15" style="12" customWidth="1"/>
    <col min="13838" max="14076" width="8.7265625" style="12"/>
    <col min="14077" max="14077" width="5.08984375" style="12" customWidth="1"/>
    <col min="14078" max="14078" width="41.7265625" style="12" customWidth="1"/>
    <col min="14079" max="14079" width="14.7265625" style="12" customWidth="1"/>
    <col min="14080" max="14080" width="14.90625" style="12" customWidth="1"/>
    <col min="14081" max="14082" width="11.7265625" style="12" customWidth="1"/>
    <col min="14083" max="14083" width="11.90625" style="12" bestFit="1" customWidth="1"/>
    <col min="14084" max="14084" width="8.7265625" style="12"/>
    <col min="14085" max="14085" width="10.26953125" style="12" bestFit="1" customWidth="1"/>
    <col min="14086" max="14086" width="11.26953125" style="12" customWidth="1"/>
    <col min="14087" max="14087" width="5" style="12" customWidth="1"/>
    <col min="14088" max="14093" width="15" style="12" customWidth="1"/>
    <col min="14094" max="14332" width="8.7265625" style="12"/>
    <col min="14333" max="14333" width="5.08984375" style="12" customWidth="1"/>
    <col min="14334" max="14334" width="41.7265625" style="12" customWidth="1"/>
    <col min="14335" max="14335" width="14.7265625" style="12" customWidth="1"/>
    <col min="14336" max="14336" width="14.90625" style="12" customWidth="1"/>
    <col min="14337" max="14338" width="11.7265625" style="12" customWidth="1"/>
    <col min="14339" max="14339" width="11.90625" style="12" bestFit="1" customWidth="1"/>
    <col min="14340" max="14340" width="8.7265625" style="12"/>
    <col min="14341" max="14341" width="10.26953125" style="12" bestFit="1" customWidth="1"/>
    <col min="14342" max="14342" width="11.26953125" style="12" customWidth="1"/>
    <col min="14343" max="14343" width="5" style="12" customWidth="1"/>
    <col min="14344" max="14349" width="15" style="12" customWidth="1"/>
    <col min="14350" max="14588" width="8.7265625" style="12"/>
    <col min="14589" max="14589" width="5.08984375" style="12" customWidth="1"/>
    <col min="14590" max="14590" width="41.7265625" style="12" customWidth="1"/>
    <col min="14591" max="14591" width="14.7265625" style="12" customWidth="1"/>
    <col min="14592" max="14592" width="14.90625" style="12" customWidth="1"/>
    <col min="14593" max="14594" width="11.7265625" style="12" customWidth="1"/>
    <col min="14595" max="14595" width="11.90625" style="12" bestFit="1" customWidth="1"/>
    <col min="14596" max="14596" width="8.7265625" style="12"/>
    <col min="14597" max="14597" width="10.26953125" style="12" bestFit="1" customWidth="1"/>
    <col min="14598" max="14598" width="11.26953125" style="12" customWidth="1"/>
    <col min="14599" max="14599" width="5" style="12" customWidth="1"/>
    <col min="14600" max="14605" width="15" style="12" customWidth="1"/>
    <col min="14606" max="14844" width="8.7265625" style="12"/>
    <col min="14845" max="14845" width="5.08984375" style="12" customWidth="1"/>
    <col min="14846" max="14846" width="41.7265625" style="12" customWidth="1"/>
    <col min="14847" max="14847" width="14.7265625" style="12" customWidth="1"/>
    <col min="14848" max="14848" width="14.90625" style="12" customWidth="1"/>
    <col min="14849" max="14850" width="11.7265625" style="12" customWidth="1"/>
    <col min="14851" max="14851" width="11.90625" style="12" bestFit="1" customWidth="1"/>
    <col min="14852" max="14852" width="8.7265625" style="12"/>
    <col min="14853" max="14853" width="10.26953125" style="12" bestFit="1" customWidth="1"/>
    <col min="14854" max="14854" width="11.26953125" style="12" customWidth="1"/>
    <col min="14855" max="14855" width="5" style="12" customWidth="1"/>
    <col min="14856" max="14861" width="15" style="12" customWidth="1"/>
    <col min="14862" max="15100" width="8.7265625" style="12"/>
    <col min="15101" max="15101" width="5.08984375" style="12" customWidth="1"/>
    <col min="15102" max="15102" width="41.7265625" style="12" customWidth="1"/>
    <col min="15103" max="15103" width="14.7265625" style="12" customWidth="1"/>
    <col min="15104" max="15104" width="14.90625" style="12" customWidth="1"/>
    <col min="15105" max="15106" width="11.7265625" style="12" customWidth="1"/>
    <col min="15107" max="15107" width="11.90625" style="12" bestFit="1" customWidth="1"/>
    <col min="15108" max="15108" width="8.7265625" style="12"/>
    <col min="15109" max="15109" width="10.26953125" style="12" bestFit="1" customWidth="1"/>
    <col min="15110" max="15110" width="11.26953125" style="12" customWidth="1"/>
    <col min="15111" max="15111" width="5" style="12" customWidth="1"/>
    <col min="15112" max="15117" width="15" style="12" customWidth="1"/>
    <col min="15118" max="15356" width="8.7265625" style="12"/>
    <col min="15357" max="15357" width="5.08984375" style="12" customWidth="1"/>
    <col min="15358" max="15358" width="41.7265625" style="12" customWidth="1"/>
    <col min="15359" max="15359" width="14.7265625" style="12" customWidth="1"/>
    <col min="15360" max="15360" width="14.90625" style="12" customWidth="1"/>
    <col min="15361" max="15362" width="11.7265625" style="12" customWidth="1"/>
    <col min="15363" max="15363" width="11.90625" style="12" bestFit="1" customWidth="1"/>
    <col min="15364" max="15364" width="8.7265625" style="12"/>
    <col min="15365" max="15365" width="10.26953125" style="12" bestFit="1" customWidth="1"/>
    <col min="15366" max="15366" width="11.26953125" style="12" customWidth="1"/>
    <col min="15367" max="15367" width="5" style="12" customWidth="1"/>
    <col min="15368" max="15373" width="15" style="12" customWidth="1"/>
    <col min="15374" max="15612" width="8.7265625" style="12"/>
    <col min="15613" max="15613" width="5.08984375" style="12" customWidth="1"/>
    <col min="15614" max="15614" width="41.7265625" style="12" customWidth="1"/>
    <col min="15615" max="15615" width="14.7265625" style="12" customWidth="1"/>
    <col min="15616" max="15616" width="14.90625" style="12" customWidth="1"/>
    <col min="15617" max="15618" width="11.7265625" style="12" customWidth="1"/>
    <col min="15619" max="15619" width="11.90625" style="12" bestFit="1" customWidth="1"/>
    <col min="15620" max="15620" width="8.7265625" style="12"/>
    <col min="15621" max="15621" width="10.26953125" style="12" bestFit="1" customWidth="1"/>
    <col min="15622" max="15622" width="11.26953125" style="12" customWidth="1"/>
    <col min="15623" max="15623" width="5" style="12" customWidth="1"/>
    <col min="15624" max="15629" width="15" style="12" customWidth="1"/>
    <col min="15630" max="15868" width="8.7265625" style="12"/>
    <col min="15869" max="15869" width="5.08984375" style="12" customWidth="1"/>
    <col min="15870" max="15870" width="41.7265625" style="12" customWidth="1"/>
    <col min="15871" max="15871" width="14.7265625" style="12" customWidth="1"/>
    <col min="15872" max="15872" width="14.90625" style="12" customWidth="1"/>
    <col min="15873" max="15874" width="11.7265625" style="12" customWidth="1"/>
    <col min="15875" max="15875" width="11.90625" style="12" bestFit="1" customWidth="1"/>
    <col min="15876" max="15876" width="8.7265625" style="12"/>
    <col min="15877" max="15877" width="10.26953125" style="12" bestFit="1" customWidth="1"/>
    <col min="15878" max="15878" width="11.26953125" style="12" customWidth="1"/>
    <col min="15879" max="15879" width="5" style="12" customWidth="1"/>
    <col min="15880" max="15885" width="15" style="12" customWidth="1"/>
    <col min="15886" max="16124" width="8.7265625" style="12"/>
    <col min="16125" max="16125" width="5.08984375" style="12" customWidth="1"/>
    <col min="16126" max="16126" width="41.7265625" style="12" customWidth="1"/>
    <col min="16127" max="16127" width="14.7265625" style="12" customWidth="1"/>
    <col min="16128" max="16128" width="14.90625" style="12" customWidth="1"/>
    <col min="16129" max="16130" width="11.7265625" style="12" customWidth="1"/>
    <col min="16131" max="16131" width="11.90625" style="12" bestFit="1" customWidth="1"/>
    <col min="16132" max="16132" width="8.7265625" style="12"/>
    <col min="16133" max="16133" width="10.26953125" style="12" bestFit="1" customWidth="1"/>
    <col min="16134" max="16134" width="11.26953125" style="12" customWidth="1"/>
    <col min="16135" max="16135" width="5" style="12" customWidth="1"/>
    <col min="16136" max="16141" width="15" style="12" customWidth="1"/>
    <col min="16142" max="16384" width="8.7265625" style="12"/>
  </cols>
  <sheetData>
    <row r="1" spans="1:14" ht="21.75" customHeight="1" x14ac:dyDescent="0.55000000000000004">
      <c r="A1" s="15"/>
      <c r="B1" s="187" t="s">
        <v>0</v>
      </c>
      <c r="C1" s="188"/>
      <c r="D1" s="188"/>
      <c r="E1" s="188"/>
      <c r="F1" s="188"/>
      <c r="G1" s="188"/>
      <c r="H1" s="188"/>
      <c r="I1" s="188"/>
      <c r="J1" s="188"/>
      <c r="K1" s="11"/>
      <c r="L1" s="11"/>
      <c r="M1" s="11"/>
      <c r="N1" s="11"/>
    </row>
    <row r="2" spans="1:14" ht="11.25" customHeight="1" x14ac:dyDescent="0.35">
      <c r="A2" s="15"/>
      <c r="B2" s="16"/>
      <c r="C2" s="16"/>
      <c r="D2" s="16"/>
      <c r="E2" s="16"/>
      <c r="F2" s="16"/>
      <c r="G2" s="16"/>
      <c r="H2" s="16"/>
      <c r="K2" s="11"/>
      <c r="L2" s="11"/>
      <c r="M2" s="11"/>
      <c r="N2" s="11"/>
    </row>
    <row r="3" spans="1:14" ht="21.75" customHeight="1" x14ac:dyDescent="0.35">
      <c r="A3" s="15"/>
      <c r="B3" s="17" t="s">
        <v>40</v>
      </c>
      <c r="C3" s="18"/>
      <c r="D3" s="18"/>
      <c r="E3" s="18"/>
      <c r="F3" s="18"/>
      <c r="G3" s="18"/>
      <c r="H3" s="18"/>
      <c r="I3" s="18"/>
      <c r="J3" s="18"/>
    </row>
    <row r="4" spans="1:14" ht="21.75" customHeight="1" x14ac:dyDescent="0.35">
      <c r="A4" s="15"/>
      <c r="B4" s="19" t="s">
        <v>21</v>
      </c>
      <c r="C4" s="20" t="s">
        <v>22</v>
      </c>
      <c r="D4" s="186" t="s">
        <v>23</v>
      </c>
      <c r="E4" s="186"/>
      <c r="F4" s="186"/>
      <c r="G4" s="186"/>
      <c r="H4" s="186"/>
      <c r="I4" s="186"/>
      <c r="J4" s="186"/>
    </row>
    <row r="5" spans="1:14" ht="21.75" customHeight="1" thickBot="1" x14ac:dyDescent="0.4">
      <c r="A5" s="15"/>
      <c r="C5" s="21" t="s">
        <v>32</v>
      </c>
      <c r="D5" s="22" t="s">
        <v>33</v>
      </c>
      <c r="E5" s="23" t="s">
        <v>34</v>
      </c>
      <c r="F5" s="23" t="s">
        <v>35</v>
      </c>
      <c r="G5" s="23" t="s">
        <v>36</v>
      </c>
      <c r="H5" s="23" t="s">
        <v>37</v>
      </c>
      <c r="I5" s="23" t="s">
        <v>38</v>
      </c>
      <c r="J5" s="23" t="s">
        <v>39</v>
      </c>
    </row>
    <row r="6" spans="1:14" ht="16.75" customHeight="1" x14ac:dyDescent="0.35">
      <c r="A6" s="15"/>
      <c r="B6" s="24" t="s">
        <v>24</v>
      </c>
    </row>
    <row r="7" spans="1:14" ht="16.75" customHeight="1" x14ac:dyDescent="0.35">
      <c r="A7" s="15"/>
      <c r="B7" s="12" t="s">
        <v>226</v>
      </c>
      <c r="C7" s="25">
        <v>2.5000000000000001E-2</v>
      </c>
      <c r="D7" s="13">
        <f>+C7+D8</f>
        <v>3.0000000000000002E-2</v>
      </c>
      <c r="E7" s="13">
        <f t="shared" ref="E7:J7" si="0">+D7+E8</f>
        <v>3.5000000000000003E-2</v>
      </c>
      <c r="F7" s="13">
        <f t="shared" si="0"/>
        <v>4.5000000000000005E-2</v>
      </c>
      <c r="G7" s="13">
        <f t="shared" si="0"/>
        <v>4.5000000000000005E-2</v>
      </c>
      <c r="H7" s="13">
        <f t="shared" si="0"/>
        <v>4.5000000000000005E-2</v>
      </c>
      <c r="I7" s="13">
        <f t="shared" si="0"/>
        <v>4.5000000000000005E-2</v>
      </c>
      <c r="J7" s="13">
        <f t="shared" si="0"/>
        <v>4.5000000000000005E-2</v>
      </c>
    </row>
    <row r="8" spans="1:14" ht="16.75" customHeight="1" x14ac:dyDescent="0.35">
      <c r="A8" s="15"/>
      <c r="B8" s="12" t="s">
        <v>227</v>
      </c>
      <c r="D8" s="26">
        <v>5.0000000000000001E-3</v>
      </c>
      <c r="E8" s="26">
        <v>5.0000000000000001E-3</v>
      </c>
      <c r="F8" s="26">
        <v>0.01</v>
      </c>
      <c r="G8" s="26"/>
      <c r="H8" s="26"/>
      <c r="I8" s="26"/>
      <c r="J8" s="26"/>
    </row>
    <row r="9" spans="1:14" ht="16.75" customHeight="1" x14ac:dyDescent="0.35">
      <c r="A9" s="15"/>
    </row>
    <row r="10" spans="1:14" ht="16.75" customHeight="1" x14ac:dyDescent="0.35">
      <c r="A10" s="15"/>
      <c r="B10" s="24" t="s">
        <v>9</v>
      </c>
    </row>
    <row r="11" spans="1:14" ht="16.75" customHeight="1" x14ac:dyDescent="0.35">
      <c r="A11" s="15"/>
      <c r="B11" s="12" t="s">
        <v>25</v>
      </c>
      <c r="C11" s="2">
        <v>180000</v>
      </c>
      <c r="D11" s="2">
        <f>+C11-D12</f>
        <v>160000</v>
      </c>
      <c r="E11" s="2">
        <f t="shared" ref="E11:J11" si="1">+D11-E12</f>
        <v>130000</v>
      </c>
      <c r="F11" s="2">
        <f t="shared" si="1"/>
        <v>95000</v>
      </c>
      <c r="G11" s="2">
        <f t="shared" si="1"/>
        <v>55000</v>
      </c>
      <c r="H11" s="2">
        <f t="shared" si="1"/>
        <v>0</v>
      </c>
      <c r="I11" s="2">
        <f t="shared" si="1"/>
        <v>0</v>
      </c>
      <c r="J11" s="2">
        <f t="shared" si="1"/>
        <v>0</v>
      </c>
    </row>
    <row r="12" spans="1:14" ht="16.75" customHeight="1" x14ac:dyDescent="0.35">
      <c r="A12" s="15"/>
      <c r="B12" s="12" t="s">
        <v>26</v>
      </c>
      <c r="C12" s="2"/>
      <c r="D12" s="2">
        <v>20000</v>
      </c>
      <c r="E12" s="2">
        <v>30000</v>
      </c>
      <c r="F12" s="2">
        <v>35000</v>
      </c>
      <c r="G12" s="2">
        <v>40000</v>
      </c>
      <c r="H12" s="2">
        <f>+G11</f>
        <v>55000</v>
      </c>
      <c r="I12" s="2"/>
      <c r="J12" s="2"/>
    </row>
    <row r="13" spans="1:14" ht="16.75" customHeight="1" x14ac:dyDescent="0.35">
      <c r="A13" s="15"/>
      <c r="B13" s="12" t="s">
        <v>27</v>
      </c>
      <c r="C13" s="2"/>
      <c r="D13" s="2">
        <f>+C11*D17</f>
        <v>11700</v>
      </c>
      <c r="E13" s="2">
        <f t="shared" ref="E13:J13" si="2">+D11*E17</f>
        <v>11200.000000000002</v>
      </c>
      <c r="F13" s="2">
        <f t="shared" si="2"/>
        <v>10400.000000000002</v>
      </c>
      <c r="G13" s="2">
        <f t="shared" si="2"/>
        <v>7600.0000000000018</v>
      </c>
      <c r="H13" s="2">
        <f t="shared" si="2"/>
        <v>4400.0000000000009</v>
      </c>
      <c r="I13" s="2">
        <f t="shared" si="2"/>
        <v>0</v>
      </c>
      <c r="J13" s="2">
        <f t="shared" si="2"/>
        <v>0</v>
      </c>
    </row>
    <row r="14" spans="1:14" ht="16.75" customHeight="1" x14ac:dyDescent="0.35">
      <c r="A14" s="15"/>
      <c r="B14" s="12" t="s">
        <v>30</v>
      </c>
      <c r="C14" s="2">
        <f>-C11</f>
        <v>-180000</v>
      </c>
      <c r="D14" s="2">
        <f>+D13+D12</f>
        <v>31700</v>
      </c>
      <c r="E14" s="2">
        <f t="shared" ref="E14:J14" si="3">+E13+E12</f>
        <v>41200</v>
      </c>
      <c r="F14" s="2">
        <f t="shared" si="3"/>
        <v>45400</v>
      </c>
      <c r="G14" s="2">
        <f t="shared" si="3"/>
        <v>47600</v>
      </c>
      <c r="H14" s="2">
        <f t="shared" si="3"/>
        <v>59400</v>
      </c>
      <c r="I14" s="2">
        <f t="shared" si="3"/>
        <v>0</v>
      </c>
      <c r="J14" s="2">
        <f t="shared" si="3"/>
        <v>0</v>
      </c>
    </row>
    <row r="15" spans="1:14" ht="16.75" customHeight="1" x14ac:dyDescent="0.35">
      <c r="A15" s="15"/>
    </row>
    <row r="16" spans="1:14" ht="16.75" customHeight="1" x14ac:dyDescent="0.35">
      <c r="A16" s="15"/>
      <c r="B16" s="12" t="s">
        <v>28</v>
      </c>
      <c r="C16" s="2"/>
      <c r="D16" s="25">
        <v>3.5000000000000003E-2</v>
      </c>
      <c r="E16" s="25">
        <v>3.5000000000000003E-2</v>
      </c>
      <c r="F16" s="25">
        <v>3.5000000000000003E-2</v>
      </c>
      <c r="G16" s="25">
        <v>3.5000000000000003E-2</v>
      </c>
      <c r="H16" s="25">
        <v>3.5000000000000003E-2</v>
      </c>
      <c r="I16" s="25"/>
      <c r="J16" s="25"/>
    </row>
    <row r="17" spans="1:15" ht="16.75" customHeight="1" x14ac:dyDescent="0.35">
      <c r="A17" s="15"/>
      <c r="B17" s="12" t="s">
        <v>29</v>
      </c>
      <c r="D17" s="13">
        <f>+D16+D7</f>
        <v>6.5000000000000002E-2</v>
      </c>
      <c r="E17" s="13">
        <f>+E16+E7</f>
        <v>7.0000000000000007E-2</v>
      </c>
      <c r="F17" s="13">
        <f>+F16+F7</f>
        <v>8.0000000000000016E-2</v>
      </c>
      <c r="G17" s="13">
        <f>+G16+G7</f>
        <v>8.0000000000000016E-2</v>
      </c>
      <c r="H17" s="13">
        <f>+H16+H7</f>
        <v>8.0000000000000016E-2</v>
      </c>
      <c r="I17" s="13"/>
      <c r="J17" s="13"/>
    </row>
    <row r="18" spans="1:15" ht="16.75" customHeight="1" x14ac:dyDescent="0.35">
      <c r="A18" s="15"/>
      <c r="D18" s="13"/>
      <c r="E18" s="13"/>
      <c r="F18" s="13"/>
      <c r="G18" s="13"/>
      <c r="H18" s="13"/>
      <c r="I18" s="13"/>
      <c r="J18" s="13"/>
    </row>
    <row r="19" spans="1:15" ht="16.75" customHeight="1" x14ac:dyDescent="0.35">
      <c r="A19" s="15"/>
      <c r="B19" s="12" t="s">
        <v>31</v>
      </c>
      <c r="D19" s="27">
        <f>+D12/$C$11</f>
        <v>0.1111111111111111</v>
      </c>
      <c r="E19" s="27">
        <f>+E12/$C$11</f>
        <v>0.16666666666666666</v>
      </c>
      <c r="F19" s="27">
        <f>+F12/$C$11</f>
        <v>0.19444444444444445</v>
      </c>
      <c r="G19" s="27">
        <f>+G12/$C$11</f>
        <v>0.22222222222222221</v>
      </c>
      <c r="H19" s="27">
        <f>+H12/$C$11</f>
        <v>0.30555555555555558</v>
      </c>
      <c r="I19" s="27"/>
      <c r="J19" s="27"/>
    </row>
    <row r="20" spans="1:15" ht="16.75" customHeight="1" x14ac:dyDescent="0.35">
      <c r="A20" s="15"/>
      <c r="D20" s="13"/>
      <c r="E20" s="13"/>
      <c r="F20" s="13"/>
      <c r="G20" s="13"/>
      <c r="H20" s="13"/>
      <c r="I20" s="13"/>
      <c r="J20" s="13"/>
    </row>
    <row r="21" spans="1:15" ht="16.75" customHeight="1" x14ac:dyDescent="0.35">
      <c r="A21" s="15"/>
      <c r="B21" s="24" t="s">
        <v>11</v>
      </c>
      <c r="C21" s="2"/>
      <c r="D21" s="2"/>
      <c r="E21" s="2"/>
      <c r="F21" s="2"/>
      <c r="G21" s="2"/>
      <c r="H21" s="2"/>
      <c r="I21" s="2"/>
      <c r="J21" s="2"/>
    </row>
    <row r="22" spans="1:15" ht="16.75" customHeight="1" x14ac:dyDescent="0.35">
      <c r="A22" s="15"/>
      <c r="B22" s="12" t="s">
        <v>25</v>
      </c>
      <c r="C22" s="2">
        <v>200000</v>
      </c>
      <c r="D22" s="2">
        <f>+C22-D23</f>
        <v>198000</v>
      </c>
      <c r="E22" s="2">
        <f t="shared" ref="E22:J22" si="4">+D22-E23</f>
        <v>196000</v>
      </c>
      <c r="F22" s="2">
        <f t="shared" si="4"/>
        <v>194000</v>
      </c>
      <c r="G22" s="2">
        <f t="shared" si="4"/>
        <v>192000</v>
      </c>
      <c r="H22" s="2">
        <f t="shared" si="4"/>
        <v>190000</v>
      </c>
      <c r="I22" s="2">
        <f t="shared" si="4"/>
        <v>188000</v>
      </c>
      <c r="J22" s="2">
        <f t="shared" si="4"/>
        <v>0</v>
      </c>
    </row>
    <row r="23" spans="1:15" ht="16.75" customHeight="1" x14ac:dyDescent="0.35">
      <c r="A23" s="15"/>
      <c r="B23" s="12" t="s">
        <v>26</v>
      </c>
      <c r="C23" s="2"/>
      <c r="D23" s="2">
        <v>2000</v>
      </c>
      <c r="E23" s="2">
        <v>2000</v>
      </c>
      <c r="F23" s="2">
        <v>2000</v>
      </c>
      <c r="G23" s="2">
        <v>2000</v>
      </c>
      <c r="H23" s="2">
        <v>2000</v>
      </c>
      <c r="I23" s="2">
        <v>2000</v>
      </c>
      <c r="J23" s="2">
        <v>188000</v>
      </c>
      <c r="O23" s="28"/>
    </row>
    <row r="24" spans="1:15" ht="16.75" customHeight="1" x14ac:dyDescent="0.35">
      <c r="A24" s="15"/>
      <c r="B24" s="12" t="s">
        <v>27</v>
      </c>
      <c r="C24" s="2"/>
      <c r="D24" s="2">
        <f>+C22*D28</f>
        <v>14000.000000000002</v>
      </c>
      <c r="E24" s="2">
        <f t="shared" ref="E24:J24" si="5">+D22*E28</f>
        <v>14850.000000000002</v>
      </c>
      <c r="F24" s="2">
        <f t="shared" si="5"/>
        <v>16660</v>
      </c>
      <c r="G24" s="2">
        <f t="shared" si="5"/>
        <v>16490</v>
      </c>
      <c r="H24" s="2">
        <f t="shared" si="5"/>
        <v>16320.000000000002</v>
      </c>
      <c r="I24" s="2">
        <f t="shared" si="5"/>
        <v>16150.000000000002</v>
      </c>
      <c r="J24" s="2">
        <f t="shared" si="5"/>
        <v>15980.000000000002</v>
      </c>
    </row>
    <row r="25" spans="1:15" ht="16.75" customHeight="1" x14ac:dyDescent="0.35">
      <c r="A25" s="15"/>
      <c r="B25" s="12" t="s">
        <v>30</v>
      </c>
      <c r="C25" s="2">
        <f>-C22</f>
        <v>-200000</v>
      </c>
      <c r="D25" s="2">
        <f>+D24+D23</f>
        <v>16000.000000000002</v>
      </c>
      <c r="E25" s="2">
        <f t="shared" ref="E25:J25" si="6">+E24+E23</f>
        <v>16850</v>
      </c>
      <c r="F25" s="2">
        <f t="shared" si="6"/>
        <v>18660</v>
      </c>
      <c r="G25" s="2">
        <f t="shared" si="6"/>
        <v>18490</v>
      </c>
      <c r="H25" s="2">
        <f t="shared" si="6"/>
        <v>18320</v>
      </c>
      <c r="I25" s="2">
        <f t="shared" si="6"/>
        <v>18150</v>
      </c>
      <c r="J25" s="2">
        <f t="shared" si="6"/>
        <v>203980</v>
      </c>
    </row>
    <row r="26" spans="1:15" ht="16.75" customHeight="1" x14ac:dyDescent="0.35">
      <c r="A26" s="15"/>
    </row>
    <row r="27" spans="1:15" ht="16.75" customHeight="1" x14ac:dyDescent="0.35">
      <c r="A27" s="15"/>
      <c r="B27" s="12" t="s">
        <v>28</v>
      </c>
      <c r="C27" s="2"/>
      <c r="D27" s="25">
        <v>0.04</v>
      </c>
      <c r="E27" s="25">
        <v>0.04</v>
      </c>
      <c r="F27" s="25">
        <v>0.04</v>
      </c>
      <c r="G27" s="25">
        <v>0.04</v>
      </c>
      <c r="H27" s="25">
        <v>0.04</v>
      </c>
      <c r="I27" s="25">
        <v>0.04</v>
      </c>
      <c r="J27" s="25">
        <v>0.04</v>
      </c>
    </row>
    <row r="28" spans="1:15" ht="16.75" customHeight="1" x14ac:dyDescent="0.35">
      <c r="A28" s="15"/>
      <c r="B28" s="12" t="s">
        <v>29</v>
      </c>
      <c r="D28" s="13">
        <f t="shared" ref="D28:J28" si="7">+D27+D7</f>
        <v>7.0000000000000007E-2</v>
      </c>
      <c r="E28" s="13">
        <f t="shared" si="7"/>
        <v>7.5000000000000011E-2</v>
      </c>
      <c r="F28" s="13">
        <f t="shared" si="7"/>
        <v>8.5000000000000006E-2</v>
      </c>
      <c r="G28" s="13">
        <f t="shared" si="7"/>
        <v>8.5000000000000006E-2</v>
      </c>
      <c r="H28" s="13">
        <f t="shared" si="7"/>
        <v>8.5000000000000006E-2</v>
      </c>
      <c r="I28" s="13">
        <f t="shared" si="7"/>
        <v>8.5000000000000006E-2</v>
      </c>
      <c r="J28" s="13">
        <f t="shared" si="7"/>
        <v>8.5000000000000006E-2</v>
      </c>
    </row>
    <row r="29" spans="1:15" ht="16.75" customHeight="1" x14ac:dyDescent="0.35">
      <c r="A29" s="15"/>
      <c r="D29" s="13"/>
      <c r="E29" s="13"/>
      <c r="F29" s="13"/>
      <c r="G29" s="13"/>
      <c r="H29" s="13"/>
      <c r="I29" s="13"/>
      <c r="J29" s="13"/>
    </row>
    <row r="30" spans="1:15" ht="16.75" customHeight="1" x14ac:dyDescent="0.35">
      <c r="A30" s="15"/>
      <c r="B30" s="12" t="s">
        <v>31</v>
      </c>
      <c r="D30" s="27">
        <f t="shared" ref="D30:J30" si="8">+D23/$C$22</f>
        <v>0.01</v>
      </c>
      <c r="E30" s="27">
        <f t="shared" si="8"/>
        <v>0.01</v>
      </c>
      <c r="F30" s="27">
        <f t="shared" si="8"/>
        <v>0.01</v>
      </c>
      <c r="G30" s="27">
        <f t="shared" si="8"/>
        <v>0.01</v>
      </c>
      <c r="H30" s="27">
        <f t="shared" si="8"/>
        <v>0.01</v>
      </c>
      <c r="I30" s="27">
        <f t="shared" si="8"/>
        <v>0.01</v>
      </c>
      <c r="J30" s="27">
        <f t="shared" si="8"/>
        <v>0.94</v>
      </c>
    </row>
    <row r="31" spans="1:15" ht="21.75" customHeight="1" x14ac:dyDescent="0.35">
      <c r="A31" s="15"/>
      <c r="D31" s="13"/>
      <c r="E31" s="13"/>
      <c r="F31" s="13"/>
      <c r="G31" s="13"/>
      <c r="H31" s="13"/>
      <c r="I31" s="13"/>
      <c r="J31" s="83" t="s">
        <v>120</v>
      </c>
    </row>
    <row r="32" spans="1:15" x14ac:dyDescent="0.35">
      <c r="A32" s="15"/>
    </row>
    <row r="33" spans="1:1" x14ac:dyDescent="0.35">
      <c r="A33" s="15"/>
    </row>
    <row r="34" spans="1:1" x14ac:dyDescent="0.35">
      <c r="A34" s="15"/>
    </row>
    <row r="35" spans="1:1" x14ac:dyDescent="0.35">
      <c r="A35" s="15"/>
    </row>
    <row r="36" spans="1:1" x14ac:dyDescent="0.35">
      <c r="A36" s="15"/>
    </row>
    <row r="37" spans="1:1" x14ac:dyDescent="0.35">
      <c r="A37" s="15"/>
    </row>
  </sheetData>
  <mergeCells count="2">
    <mergeCell ref="D4:J4"/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0B328-B44A-4ECB-916E-C15CE044B355}">
  <dimension ref="A1:N70"/>
  <sheetViews>
    <sheetView showGridLines="0" workbookViewId="0">
      <selection activeCell="E19" sqref="E19"/>
    </sheetView>
  </sheetViews>
  <sheetFormatPr defaultRowHeight="14.5" x14ac:dyDescent="0.35"/>
  <cols>
    <col min="1" max="1" width="34.90625" style="30" customWidth="1"/>
    <col min="2" max="2" width="16.1796875" style="30" customWidth="1"/>
    <col min="3" max="3" width="7.81640625" style="30" customWidth="1"/>
    <col min="4" max="4" width="11.453125" style="30" customWidth="1"/>
    <col min="5" max="5" width="12" style="30" customWidth="1"/>
    <col min="6" max="6" width="10.90625" style="30" customWidth="1"/>
    <col min="7" max="7" width="10.08984375" style="30" customWidth="1"/>
    <col min="8" max="8" width="5.90625" style="30" customWidth="1"/>
    <col min="9" max="9" width="26.6328125" style="30" customWidth="1"/>
    <col min="10" max="10" width="9.90625" style="30" customWidth="1"/>
    <col min="11" max="11" width="4.453125" style="30" customWidth="1"/>
    <col min="12" max="14" width="15" style="30" customWidth="1"/>
    <col min="15" max="252" width="8.7265625" style="30"/>
    <col min="253" max="253" width="5.08984375" style="30" customWidth="1"/>
    <col min="254" max="254" width="41.7265625" style="30" customWidth="1"/>
    <col min="255" max="255" width="14.7265625" style="30" customWidth="1"/>
    <col min="256" max="256" width="14.90625" style="30" customWidth="1"/>
    <col min="257" max="258" width="11.7265625" style="30" customWidth="1"/>
    <col min="259" max="259" width="11.90625" style="30" bestFit="1" customWidth="1"/>
    <col min="260" max="260" width="8.7265625" style="30"/>
    <col min="261" max="261" width="10.26953125" style="30" bestFit="1" customWidth="1"/>
    <col min="262" max="262" width="11.26953125" style="30" customWidth="1"/>
    <col min="263" max="263" width="5" style="30" customWidth="1"/>
    <col min="264" max="269" width="15" style="30" customWidth="1"/>
    <col min="270" max="508" width="8.7265625" style="30"/>
    <col min="509" max="509" width="5.08984375" style="30" customWidth="1"/>
    <col min="510" max="510" width="41.7265625" style="30" customWidth="1"/>
    <col min="511" max="511" width="14.7265625" style="30" customWidth="1"/>
    <col min="512" max="512" width="14.90625" style="30" customWidth="1"/>
    <col min="513" max="514" width="11.7265625" style="30" customWidth="1"/>
    <col min="515" max="515" width="11.90625" style="30" bestFit="1" customWidth="1"/>
    <col min="516" max="516" width="8.7265625" style="30"/>
    <col min="517" max="517" width="10.26953125" style="30" bestFit="1" customWidth="1"/>
    <col min="518" max="518" width="11.26953125" style="30" customWidth="1"/>
    <col min="519" max="519" width="5" style="30" customWidth="1"/>
    <col min="520" max="525" width="15" style="30" customWidth="1"/>
    <col min="526" max="764" width="8.7265625" style="30"/>
    <col min="765" max="765" width="5.08984375" style="30" customWidth="1"/>
    <col min="766" max="766" width="41.7265625" style="30" customWidth="1"/>
    <col min="767" max="767" width="14.7265625" style="30" customWidth="1"/>
    <col min="768" max="768" width="14.90625" style="30" customWidth="1"/>
    <col min="769" max="770" width="11.7265625" style="30" customWidth="1"/>
    <col min="771" max="771" width="11.90625" style="30" bestFit="1" customWidth="1"/>
    <col min="772" max="772" width="8.7265625" style="30"/>
    <col min="773" max="773" width="10.26953125" style="30" bestFit="1" customWidth="1"/>
    <col min="774" max="774" width="11.26953125" style="30" customWidth="1"/>
    <col min="775" max="775" width="5" style="30" customWidth="1"/>
    <col min="776" max="781" width="15" style="30" customWidth="1"/>
    <col min="782" max="1020" width="8.7265625" style="30"/>
    <col min="1021" max="1021" width="5.08984375" style="30" customWidth="1"/>
    <col min="1022" max="1022" width="41.7265625" style="30" customWidth="1"/>
    <col min="1023" max="1023" width="14.7265625" style="30" customWidth="1"/>
    <col min="1024" max="1024" width="14.90625" style="30" customWidth="1"/>
    <col min="1025" max="1026" width="11.7265625" style="30" customWidth="1"/>
    <col min="1027" max="1027" width="11.90625" style="30" bestFit="1" customWidth="1"/>
    <col min="1028" max="1028" width="8.7265625" style="30"/>
    <col min="1029" max="1029" width="10.26953125" style="30" bestFit="1" customWidth="1"/>
    <col min="1030" max="1030" width="11.26953125" style="30" customWidth="1"/>
    <col min="1031" max="1031" width="5" style="30" customWidth="1"/>
    <col min="1032" max="1037" width="15" style="30" customWidth="1"/>
    <col min="1038" max="1276" width="8.7265625" style="30"/>
    <col min="1277" max="1277" width="5.08984375" style="30" customWidth="1"/>
    <col min="1278" max="1278" width="41.7265625" style="30" customWidth="1"/>
    <col min="1279" max="1279" width="14.7265625" style="30" customWidth="1"/>
    <col min="1280" max="1280" width="14.90625" style="30" customWidth="1"/>
    <col min="1281" max="1282" width="11.7265625" style="30" customWidth="1"/>
    <col min="1283" max="1283" width="11.90625" style="30" bestFit="1" customWidth="1"/>
    <col min="1284" max="1284" width="8.7265625" style="30"/>
    <col min="1285" max="1285" width="10.26953125" style="30" bestFit="1" customWidth="1"/>
    <col min="1286" max="1286" width="11.26953125" style="30" customWidth="1"/>
    <col min="1287" max="1287" width="5" style="30" customWidth="1"/>
    <col min="1288" max="1293" width="15" style="30" customWidth="1"/>
    <col min="1294" max="1532" width="8.7265625" style="30"/>
    <col min="1533" max="1533" width="5.08984375" style="30" customWidth="1"/>
    <col min="1534" max="1534" width="41.7265625" style="30" customWidth="1"/>
    <col min="1535" max="1535" width="14.7265625" style="30" customWidth="1"/>
    <col min="1536" max="1536" width="14.90625" style="30" customWidth="1"/>
    <col min="1537" max="1538" width="11.7265625" style="30" customWidth="1"/>
    <col min="1539" max="1539" width="11.90625" style="30" bestFit="1" customWidth="1"/>
    <col min="1540" max="1540" width="8.7265625" style="30"/>
    <col min="1541" max="1541" width="10.26953125" style="30" bestFit="1" customWidth="1"/>
    <col min="1542" max="1542" width="11.26953125" style="30" customWidth="1"/>
    <col min="1543" max="1543" width="5" style="30" customWidth="1"/>
    <col min="1544" max="1549" width="15" style="30" customWidth="1"/>
    <col min="1550" max="1788" width="8.7265625" style="30"/>
    <col min="1789" max="1789" width="5.08984375" style="30" customWidth="1"/>
    <col min="1790" max="1790" width="41.7265625" style="30" customWidth="1"/>
    <col min="1791" max="1791" width="14.7265625" style="30" customWidth="1"/>
    <col min="1792" max="1792" width="14.90625" style="30" customWidth="1"/>
    <col min="1793" max="1794" width="11.7265625" style="30" customWidth="1"/>
    <col min="1795" max="1795" width="11.90625" style="30" bestFit="1" customWidth="1"/>
    <col min="1796" max="1796" width="8.7265625" style="30"/>
    <col min="1797" max="1797" width="10.26953125" style="30" bestFit="1" customWidth="1"/>
    <col min="1798" max="1798" width="11.26953125" style="30" customWidth="1"/>
    <col min="1799" max="1799" width="5" style="30" customWidth="1"/>
    <col min="1800" max="1805" width="15" style="30" customWidth="1"/>
    <col min="1806" max="2044" width="8.7265625" style="30"/>
    <col min="2045" max="2045" width="5.08984375" style="30" customWidth="1"/>
    <col min="2046" max="2046" width="41.7265625" style="30" customWidth="1"/>
    <col min="2047" max="2047" width="14.7265625" style="30" customWidth="1"/>
    <col min="2048" max="2048" width="14.90625" style="30" customWidth="1"/>
    <col min="2049" max="2050" width="11.7265625" style="30" customWidth="1"/>
    <col min="2051" max="2051" width="11.90625" style="30" bestFit="1" customWidth="1"/>
    <col min="2052" max="2052" width="8.7265625" style="30"/>
    <col min="2053" max="2053" width="10.26953125" style="30" bestFit="1" customWidth="1"/>
    <col min="2054" max="2054" width="11.26953125" style="30" customWidth="1"/>
    <col min="2055" max="2055" width="5" style="30" customWidth="1"/>
    <col min="2056" max="2061" width="15" style="30" customWidth="1"/>
    <col min="2062" max="2300" width="8.7265625" style="30"/>
    <col min="2301" max="2301" width="5.08984375" style="30" customWidth="1"/>
    <col min="2302" max="2302" width="41.7265625" style="30" customWidth="1"/>
    <col min="2303" max="2303" width="14.7265625" style="30" customWidth="1"/>
    <col min="2304" max="2304" width="14.90625" style="30" customWidth="1"/>
    <col min="2305" max="2306" width="11.7265625" style="30" customWidth="1"/>
    <col min="2307" max="2307" width="11.90625" style="30" bestFit="1" customWidth="1"/>
    <col min="2308" max="2308" width="8.7265625" style="30"/>
    <col min="2309" max="2309" width="10.26953125" style="30" bestFit="1" customWidth="1"/>
    <col min="2310" max="2310" width="11.26953125" style="30" customWidth="1"/>
    <col min="2311" max="2311" width="5" style="30" customWidth="1"/>
    <col min="2312" max="2317" width="15" style="30" customWidth="1"/>
    <col min="2318" max="2556" width="8.7265625" style="30"/>
    <col min="2557" max="2557" width="5.08984375" style="30" customWidth="1"/>
    <col min="2558" max="2558" width="41.7265625" style="30" customWidth="1"/>
    <col min="2559" max="2559" width="14.7265625" style="30" customWidth="1"/>
    <col min="2560" max="2560" width="14.90625" style="30" customWidth="1"/>
    <col min="2561" max="2562" width="11.7265625" style="30" customWidth="1"/>
    <col min="2563" max="2563" width="11.90625" style="30" bestFit="1" customWidth="1"/>
    <col min="2564" max="2564" width="8.7265625" style="30"/>
    <col min="2565" max="2565" width="10.26953125" style="30" bestFit="1" customWidth="1"/>
    <col min="2566" max="2566" width="11.26953125" style="30" customWidth="1"/>
    <col min="2567" max="2567" width="5" style="30" customWidth="1"/>
    <col min="2568" max="2573" width="15" style="30" customWidth="1"/>
    <col min="2574" max="2812" width="8.7265625" style="30"/>
    <col min="2813" max="2813" width="5.08984375" style="30" customWidth="1"/>
    <col min="2814" max="2814" width="41.7265625" style="30" customWidth="1"/>
    <col min="2815" max="2815" width="14.7265625" style="30" customWidth="1"/>
    <col min="2816" max="2816" width="14.90625" style="30" customWidth="1"/>
    <col min="2817" max="2818" width="11.7265625" style="30" customWidth="1"/>
    <col min="2819" max="2819" width="11.90625" style="30" bestFit="1" customWidth="1"/>
    <col min="2820" max="2820" width="8.7265625" style="30"/>
    <col min="2821" max="2821" width="10.26953125" style="30" bestFit="1" customWidth="1"/>
    <col min="2822" max="2822" width="11.26953125" style="30" customWidth="1"/>
    <col min="2823" max="2823" width="5" style="30" customWidth="1"/>
    <col min="2824" max="2829" width="15" style="30" customWidth="1"/>
    <col min="2830" max="3068" width="8.7265625" style="30"/>
    <col min="3069" max="3069" width="5.08984375" style="30" customWidth="1"/>
    <col min="3070" max="3070" width="41.7265625" style="30" customWidth="1"/>
    <col min="3071" max="3071" width="14.7265625" style="30" customWidth="1"/>
    <col min="3072" max="3072" width="14.90625" style="30" customWidth="1"/>
    <col min="3073" max="3074" width="11.7265625" style="30" customWidth="1"/>
    <col min="3075" max="3075" width="11.90625" style="30" bestFit="1" customWidth="1"/>
    <col min="3076" max="3076" width="8.7265625" style="30"/>
    <col min="3077" max="3077" width="10.26953125" style="30" bestFit="1" customWidth="1"/>
    <col min="3078" max="3078" width="11.26953125" style="30" customWidth="1"/>
    <col min="3079" max="3079" width="5" style="30" customWidth="1"/>
    <col min="3080" max="3085" width="15" style="30" customWidth="1"/>
    <col min="3086" max="3324" width="8.7265625" style="30"/>
    <col min="3325" max="3325" width="5.08984375" style="30" customWidth="1"/>
    <col min="3326" max="3326" width="41.7265625" style="30" customWidth="1"/>
    <col min="3327" max="3327" width="14.7265625" style="30" customWidth="1"/>
    <col min="3328" max="3328" width="14.90625" style="30" customWidth="1"/>
    <col min="3329" max="3330" width="11.7265625" style="30" customWidth="1"/>
    <col min="3331" max="3331" width="11.90625" style="30" bestFit="1" customWidth="1"/>
    <col min="3332" max="3332" width="8.7265625" style="30"/>
    <col min="3333" max="3333" width="10.26953125" style="30" bestFit="1" customWidth="1"/>
    <col min="3334" max="3334" width="11.26953125" style="30" customWidth="1"/>
    <col min="3335" max="3335" width="5" style="30" customWidth="1"/>
    <col min="3336" max="3341" width="15" style="30" customWidth="1"/>
    <col min="3342" max="3580" width="8.7265625" style="30"/>
    <col min="3581" max="3581" width="5.08984375" style="30" customWidth="1"/>
    <col min="3582" max="3582" width="41.7265625" style="30" customWidth="1"/>
    <col min="3583" max="3583" width="14.7265625" style="30" customWidth="1"/>
    <col min="3584" max="3584" width="14.90625" style="30" customWidth="1"/>
    <col min="3585" max="3586" width="11.7265625" style="30" customWidth="1"/>
    <col min="3587" max="3587" width="11.90625" style="30" bestFit="1" customWidth="1"/>
    <col min="3588" max="3588" width="8.7265625" style="30"/>
    <col min="3589" max="3589" width="10.26953125" style="30" bestFit="1" customWidth="1"/>
    <col min="3590" max="3590" width="11.26953125" style="30" customWidth="1"/>
    <col min="3591" max="3591" width="5" style="30" customWidth="1"/>
    <col min="3592" max="3597" width="15" style="30" customWidth="1"/>
    <col min="3598" max="3836" width="8.7265625" style="30"/>
    <col min="3837" max="3837" width="5.08984375" style="30" customWidth="1"/>
    <col min="3838" max="3838" width="41.7265625" style="30" customWidth="1"/>
    <col min="3839" max="3839" width="14.7265625" style="30" customWidth="1"/>
    <col min="3840" max="3840" width="14.90625" style="30" customWidth="1"/>
    <col min="3841" max="3842" width="11.7265625" style="30" customWidth="1"/>
    <col min="3843" max="3843" width="11.90625" style="30" bestFit="1" customWidth="1"/>
    <col min="3844" max="3844" width="8.7265625" style="30"/>
    <col min="3845" max="3845" width="10.26953125" style="30" bestFit="1" customWidth="1"/>
    <col min="3846" max="3846" width="11.26953125" style="30" customWidth="1"/>
    <col min="3847" max="3847" width="5" style="30" customWidth="1"/>
    <col min="3848" max="3853" width="15" style="30" customWidth="1"/>
    <col min="3854" max="4092" width="8.7265625" style="30"/>
    <col min="4093" max="4093" width="5.08984375" style="30" customWidth="1"/>
    <col min="4094" max="4094" width="41.7265625" style="30" customWidth="1"/>
    <col min="4095" max="4095" width="14.7265625" style="30" customWidth="1"/>
    <col min="4096" max="4096" width="14.90625" style="30" customWidth="1"/>
    <col min="4097" max="4098" width="11.7265625" style="30" customWidth="1"/>
    <col min="4099" max="4099" width="11.90625" style="30" bestFit="1" customWidth="1"/>
    <col min="4100" max="4100" width="8.7265625" style="30"/>
    <col min="4101" max="4101" width="10.26953125" style="30" bestFit="1" customWidth="1"/>
    <col min="4102" max="4102" width="11.26953125" style="30" customWidth="1"/>
    <col min="4103" max="4103" width="5" style="30" customWidth="1"/>
    <col min="4104" max="4109" width="15" style="30" customWidth="1"/>
    <col min="4110" max="4348" width="8.7265625" style="30"/>
    <col min="4349" max="4349" width="5.08984375" style="30" customWidth="1"/>
    <col min="4350" max="4350" width="41.7265625" style="30" customWidth="1"/>
    <col min="4351" max="4351" width="14.7265625" style="30" customWidth="1"/>
    <col min="4352" max="4352" width="14.90625" style="30" customWidth="1"/>
    <col min="4353" max="4354" width="11.7265625" style="30" customWidth="1"/>
    <col min="4355" max="4355" width="11.90625" style="30" bestFit="1" customWidth="1"/>
    <col min="4356" max="4356" width="8.7265625" style="30"/>
    <col min="4357" max="4357" width="10.26953125" style="30" bestFit="1" customWidth="1"/>
    <col min="4358" max="4358" width="11.26953125" style="30" customWidth="1"/>
    <col min="4359" max="4359" width="5" style="30" customWidth="1"/>
    <col min="4360" max="4365" width="15" style="30" customWidth="1"/>
    <col min="4366" max="4604" width="8.7265625" style="30"/>
    <col min="4605" max="4605" width="5.08984375" style="30" customWidth="1"/>
    <col min="4606" max="4606" width="41.7265625" style="30" customWidth="1"/>
    <col min="4607" max="4607" width="14.7265625" style="30" customWidth="1"/>
    <col min="4608" max="4608" width="14.90625" style="30" customWidth="1"/>
    <col min="4609" max="4610" width="11.7265625" style="30" customWidth="1"/>
    <col min="4611" max="4611" width="11.90625" style="30" bestFit="1" customWidth="1"/>
    <col min="4612" max="4612" width="8.7265625" style="30"/>
    <col min="4613" max="4613" width="10.26953125" style="30" bestFit="1" customWidth="1"/>
    <col min="4614" max="4614" width="11.26953125" style="30" customWidth="1"/>
    <col min="4615" max="4615" width="5" style="30" customWidth="1"/>
    <col min="4616" max="4621" width="15" style="30" customWidth="1"/>
    <col min="4622" max="4860" width="8.7265625" style="30"/>
    <col min="4861" max="4861" width="5.08984375" style="30" customWidth="1"/>
    <col min="4862" max="4862" width="41.7265625" style="30" customWidth="1"/>
    <col min="4863" max="4863" width="14.7265625" style="30" customWidth="1"/>
    <col min="4864" max="4864" width="14.90625" style="30" customWidth="1"/>
    <col min="4865" max="4866" width="11.7265625" style="30" customWidth="1"/>
    <col min="4867" max="4867" width="11.90625" style="30" bestFit="1" customWidth="1"/>
    <col min="4868" max="4868" width="8.7265625" style="30"/>
    <col min="4869" max="4869" width="10.26953125" style="30" bestFit="1" customWidth="1"/>
    <col min="4870" max="4870" width="11.26953125" style="30" customWidth="1"/>
    <col min="4871" max="4871" width="5" style="30" customWidth="1"/>
    <col min="4872" max="4877" width="15" style="30" customWidth="1"/>
    <col min="4878" max="5116" width="8.7265625" style="30"/>
    <col min="5117" max="5117" width="5.08984375" style="30" customWidth="1"/>
    <col min="5118" max="5118" width="41.7265625" style="30" customWidth="1"/>
    <col min="5119" max="5119" width="14.7265625" style="30" customWidth="1"/>
    <col min="5120" max="5120" width="14.90625" style="30" customWidth="1"/>
    <col min="5121" max="5122" width="11.7265625" style="30" customWidth="1"/>
    <col min="5123" max="5123" width="11.90625" style="30" bestFit="1" customWidth="1"/>
    <col min="5124" max="5124" width="8.7265625" style="30"/>
    <col min="5125" max="5125" width="10.26953125" style="30" bestFit="1" customWidth="1"/>
    <col min="5126" max="5126" width="11.26953125" style="30" customWidth="1"/>
    <col min="5127" max="5127" width="5" style="30" customWidth="1"/>
    <col min="5128" max="5133" width="15" style="30" customWidth="1"/>
    <col min="5134" max="5372" width="8.7265625" style="30"/>
    <col min="5373" max="5373" width="5.08984375" style="30" customWidth="1"/>
    <col min="5374" max="5374" width="41.7265625" style="30" customWidth="1"/>
    <col min="5375" max="5375" width="14.7265625" style="30" customWidth="1"/>
    <col min="5376" max="5376" width="14.90625" style="30" customWidth="1"/>
    <col min="5377" max="5378" width="11.7265625" style="30" customWidth="1"/>
    <col min="5379" max="5379" width="11.90625" style="30" bestFit="1" customWidth="1"/>
    <col min="5380" max="5380" width="8.7265625" style="30"/>
    <col min="5381" max="5381" width="10.26953125" style="30" bestFit="1" customWidth="1"/>
    <col min="5382" max="5382" width="11.26953125" style="30" customWidth="1"/>
    <col min="5383" max="5383" width="5" style="30" customWidth="1"/>
    <col min="5384" max="5389" width="15" style="30" customWidth="1"/>
    <col min="5390" max="5628" width="8.7265625" style="30"/>
    <col min="5629" max="5629" width="5.08984375" style="30" customWidth="1"/>
    <col min="5630" max="5630" width="41.7265625" style="30" customWidth="1"/>
    <col min="5631" max="5631" width="14.7265625" style="30" customWidth="1"/>
    <col min="5632" max="5632" width="14.90625" style="30" customWidth="1"/>
    <col min="5633" max="5634" width="11.7265625" style="30" customWidth="1"/>
    <col min="5635" max="5635" width="11.90625" style="30" bestFit="1" customWidth="1"/>
    <col min="5636" max="5636" width="8.7265625" style="30"/>
    <col min="5637" max="5637" width="10.26953125" style="30" bestFit="1" customWidth="1"/>
    <col min="5638" max="5638" width="11.26953125" style="30" customWidth="1"/>
    <col min="5639" max="5639" width="5" style="30" customWidth="1"/>
    <col min="5640" max="5645" width="15" style="30" customWidth="1"/>
    <col min="5646" max="5884" width="8.7265625" style="30"/>
    <col min="5885" max="5885" width="5.08984375" style="30" customWidth="1"/>
    <col min="5886" max="5886" width="41.7265625" style="30" customWidth="1"/>
    <col min="5887" max="5887" width="14.7265625" style="30" customWidth="1"/>
    <col min="5888" max="5888" width="14.90625" style="30" customWidth="1"/>
    <col min="5889" max="5890" width="11.7265625" style="30" customWidth="1"/>
    <col min="5891" max="5891" width="11.90625" style="30" bestFit="1" customWidth="1"/>
    <col min="5892" max="5892" width="8.7265625" style="30"/>
    <col min="5893" max="5893" width="10.26953125" style="30" bestFit="1" customWidth="1"/>
    <col min="5894" max="5894" width="11.26953125" style="30" customWidth="1"/>
    <col min="5895" max="5895" width="5" style="30" customWidth="1"/>
    <col min="5896" max="5901" width="15" style="30" customWidth="1"/>
    <col min="5902" max="6140" width="8.7265625" style="30"/>
    <col min="6141" max="6141" width="5.08984375" style="30" customWidth="1"/>
    <col min="6142" max="6142" width="41.7265625" style="30" customWidth="1"/>
    <col min="6143" max="6143" width="14.7265625" style="30" customWidth="1"/>
    <col min="6144" max="6144" width="14.90625" style="30" customWidth="1"/>
    <col min="6145" max="6146" width="11.7265625" style="30" customWidth="1"/>
    <col min="6147" max="6147" width="11.90625" style="30" bestFit="1" customWidth="1"/>
    <col min="6148" max="6148" width="8.7265625" style="30"/>
    <col min="6149" max="6149" width="10.26953125" style="30" bestFit="1" customWidth="1"/>
    <col min="6150" max="6150" width="11.26953125" style="30" customWidth="1"/>
    <col min="6151" max="6151" width="5" style="30" customWidth="1"/>
    <col min="6152" max="6157" width="15" style="30" customWidth="1"/>
    <col min="6158" max="6396" width="8.7265625" style="30"/>
    <col min="6397" max="6397" width="5.08984375" style="30" customWidth="1"/>
    <col min="6398" max="6398" width="41.7265625" style="30" customWidth="1"/>
    <col min="6399" max="6399" width="14.7265625" style="30" customWidth="1"/>
    <col min="6400" max="6400" width="14.90625" style="30" customWidth="1"/>
    <col min="6401" max="6402" width="11.7265625" style="30" customWidth="1"/>
    <col min="6403" max="6403" width="11.90625" style="30" bestFit="1" customWidth="1"/>
    <col min="6404" max="6404" width="8.7265625" style="30"/>
    <col min="6405" max="6405" width="10.26953125" style="30" bestFit="1" customWidth="1"/>
    <col min="6406" max="6406" width="11.26953125" style="30" customWidth="1"/>
    <col min="6407" max="6407" width="5" style="30" customWidth="1"/>
    <col min="6408" max="6413" width="15" style="30" customWidth="1"/>
    <col min="6414" max="6652" width="8.7265625" style="30"/>
    <col min="6653" max="6653" width="5.08984375" style="30" customWidth="1"/>
    <col min="6654" max="6654" width="41.7265625" style="30" customWidth="1"/>
    <col min="6655" max="6655" width="14.7265625" style="30" customWidth="1"/>
    <col min="6656" max="6656" width="14.90625" style="30" customWidth="1"/>
    <col min="6657" max="6658" width="11.7265625" style="30" customWidth="1"/>
    <col min="6659" max="6659" width="11.90625" style="30" bestFit="1" customWidth="1"/>
    <col min="6660" max="6660" width="8.7265625" style="30"/>
    <col min="6661" max="6661" width="10.26953125" style="30" bestFit="1" customWidth="1"/>
    <col min="6662" max="6662" width="11.26953125" style="30" customWidth="1"/>
    <col min="6663" max="6663" width="5" style="30" customWidth="1"/>
    <col min="6664" max="6669" width="15" style="30" customWidth="1"/>
    <col min="6670" max="6908" width="8.7265625" style="30"/>
    <col min="6909" max="6909" width="5.08984375" style="30" customWidth="1"/>
    <col min="6910" max="6910" width="41.7265625" style="30" customWidth="1"/>
    <col min="6911" max="6911" width="14.7265625" style="30" customWidth="1"/>
    <col min="6912" max="6912" width="14.90625" style="30" customWidth="1"/>
    <col min="6913" max="6914" width="11.7265625" style="30" customWidth="1"/>
    <col min="6915" max="6915" width="11.90625" style="30" bestFit="1" customWidth="1"/>
    <col min="6916" max="6916" width="8.7265625" style="30"/>
    <col min="6917" max="6917" width="10.26953125" style="30" bestFit="1" customWidth="1"/>
    <col min="6918" max="6918" width="11.26953125" style="30" customWidth="1"/>
    <col min="6919" max="6919" width="5" style="30" customWidth="1"/>
    <col min="6920" max="6925" width="15" style="30" customWidth="1"/>
    <col min="6926" max="7164" width="8.7265625" style="30"/>
    <col min="7165" max="7165" width="5.08984375" style="30" customWidth="1"/>
    <col min="7166" max="7166" width="41.7265625" style="30" customWidth="1"/>
    <col min="7167" max="7167" width="14.7265625" style="30" customWidth="1"/>
    <col min="7168" max="7168" width="14.90625" style="30" customWidth="1"/>
    <col min="7169" max="7170" width="11.7265625" style="30" customWidth="1"/>
    <col min="7171" max="7171" width="11.90625" style="30" bestFit="1" customWidth="1"/>
    <col min="7172" max="7172" width="8.7265625" style="30"/>
    <col min="7173" max="7173" width="10.26953125" style="30" bestFit="1" customWidth="1"/>
    <col min="7174" max="7174" width="11.26953125" style="30" customWidth="1"/>
    <col min="7175" max="7175" width="5" style="30" customWidth="1"/>
    <col min="7176" max="7181" width="15" style="30" customWidth="1"/>
    <col min="7182" max="7420" width="8.7265625" style="30"/>
    <col min="7421" max="7421" width="5.08984375" style="30" customWidth="1"/>
    <col min="7422" max="7422" width="41.7265625" style="30" customWidth="1"/>
    <col min="7423" max="7423" width="14.7265625" style="30" customWidth="1"/>
    <col min="7424" max="7424" width="14.90625" style="30" customWidth="1"/>
    <col min="7425" max="7426" width="11.7265625" style="30" customWidth="1"/>
    <col min="7427" max="7427" width="11.90625" style="30" bestFit="1" customWidth="1"/>
    <col min="7428" max="7428" width="8.7265625" style="30"/>
    <col min="7429" max="7429" width="10.26953125" style="30" bestFit="1" customWidth="1"/>
    <col min="7430" max="7430" width="11.26953125" style="30" customWidth="1"/>
    <col min="7431" max="7431" width="5" style="30" customWidth="1"/>
    <col min="7432" max="7437" width="15" style="30" customWidth="1"/>
    <col min="7438" max="7676" width="8.7265625" style="30"/>
    <col min="7677" max="7677" width="5.08984375" style="30" customWidth="1"/>
    <col min="7678" max="7678" width="41.7265625" style="30" customWidth="1"/>
    <col min="7679" max="7679" width="14.7265625" style="30" customWidth="1"/>
    <col min="7680" max="7680" width="14.90625" style="30" customWidth="1"/>
    <col min="7681" max="7682" width="11.7265625" style="30" customWidth="1"/>
    <col min="7683" max="7683" width="11.90625" style="30" bestFit="1" customWidth="1"/>
    <col min="7684" max="7684" width="8.7265625" style="30"/>
    <col min="7685" max="7685" width="10.26953125" style="30" bestFit="1" customWidth="1"/>
    <col min="7686" max="7686" width="11.26953125" style="30" customWidth="1"/>
    <col min="7687" max="7687" width="5" style="30" customWidth="1"/>
    <col min="7688" max="7693" width="15" style="30" customWidth="1"/>
    <col min="7694" max="7932" width="8.7265625" style="30"/>
    <col min="7933" max="7933" width="5.08984375" style="30" customWidth="1"/>
    <col min="7934" max="7934" width="41.7265625" style="30" customWidth="1"/>
    <col min="7935" max="7935" width="14.7265625" style="30" customWidth="1"/>
    <col min="7936" max="7936" width="14.90625" style="30" customWidth="1"/>
    <col min="7937" max="7938" width="11.7265625" style="30" customWidth="1"/>
    <col min="7939" max="7939" width="11.90625" style="30" bestFit="1" customWidth="1"/>
    <col min="7940" max="7940" width="8.7265625" style="30"/>
    <col min="7941" max="7941" width="10.26953125" style="30" bestFit="1" customWidth="1"/>
    <col min="7942" max="7942" width="11.26953125" style="30" customWidth="1"/>
    <col min="7943" max="7943" width="5" style="30" customWidth="1"/>
    <col min="7944" max="7949" width="15" style="30" customWidth="1"/>
    <col min="7950" max="8188" width="8.7265625" style="30"/>
    <col min="8189" max="8189" width="5.08984375" style="30" customWidth="1"/>
    <col min="8190" max="8190" width="41.7265625" style="30" customWidth="1"/>
    <col min="8191" max="8191" width="14.7265625" style="30" customWidth="1"/>
    <col min="8192" max="8192" width="14.90625" style="30" customWidth="1"/>
    <col min="8193" max="8194" width="11.7265625" style="30" customWidth="1"/>
    <col min="8195" max="8195" width="11.90625" style="30" bestFit="1" customWidth="1"/>
    <col min="8196" max="8196" width="8.7265625" style="30"/>
    <col min="8197" max="8197" width="10.26953125" style="30" bestFit="1" customWidth="1"/>
    <col min="8198" max="8198" width="11.26953125" style="30" customWidth="1"/>
    <col min="8199" max="8199" width="5" style="30" customWidth="1"/>
    <col min="8200" max="8205" width="15" style="30" customWidth="1"/>
    <col min="8206" max="8444" width="8.7265625" style="30"/>
    <col min="8445" max="8445" width="5.08984375" style="30" customWidth="1"/>
    <col min="8446" max="8446" width="41.7265625" style="30" customWidth="1"/>
    <col min="8447" max="8447" width="14.7265625" style="30" customWidth="1"/>
    <col min="8448" max="8448" width="14.90625" style="30" customWidth="1"/>
    <col min="8449" max="8450" width="11.7265625" style="30" customWidth="1"/>
    <col min="8451" max="8451" width="11.90625" style="30" bestFit="1" customWidth="1"/>
    <col min="8452" max="8452" width="8.7265625" style="30"/>
    <col min="8453" max="8453" width="10.26953125" style="30" bestFit="1" customWidth="1"/>
    <col min="8454" max="8454" width="11.26953125" style="30" customWidth="1"/>
    <col min="8455" max="8455" width="5" style="30" customWidth="1"/>
    <col min="8456" max="8461" width="15" style="30" customWidth="1"/>
    <col min="8462" max="8700" width="8.7265625" style="30"/>
    <col min="8701" max="8701" width="5.08984375" style="30" customWidth="1"/>
    <col min="8702" max="8702" width="41.7265625" style="30" customWidth="1"/>
    <col min="8703" max="8703" width="14.7265625" style="30" customWidth="1"/>
    <col min="8704" max="8704" width="14.90625" style="30" customWidth="1"/>
    <col min="8705" max="8706" width="11.7265625" style="30" customWidth="1"/>
    <col min="8707" max="8707" width="11.90625" style="30" bestFit="1" customWidth="1"/>
    <col min="8708" max="8708" width="8.7265625" style="30"/>
    <col min="8709" max="8709" width="10.26953125" style="30" bestFit="1" customWidth="1"/>
    <col min="8710" max="8710" width="11.26953125" style="30" customWidth="1"/>
    <col min="8711" max="8711" width="5" style="30" customWidth="1"/>
    <col min="8712" max="8717" width="15" style="30" customWidth="1"/>
    <col min="8718" max="8956" width="8.7265625" style="30"/>
    <col min="8957" max="8957" width="5.08984375" style="30" customWidth="1"/>
    <col min="8958" max="8958" width="41.7265625" style="30" customWidth="1"/>
    <col min="8959" max="8959" width="14.7265625" style="30" customWidth="1"/>
    <col min="8960" max="8960" width="14.90625" style="30" customWidth="1"/>
    <col min="8961" max="8962" width="11.7265625" style="30" customWidth="1"/>
    <col min="8963" max="8963" width="11.90625" style="30" bestFit="1" customWidth="1"/>
    <col min="8964" max="8964" width="8.7265625" style="30"/>
    <col min="8965" max="8965" width="10.26953125" style="30" bestFit="1" customWidth="1"/>
    <col min="8966" max="8966" width="11.26953125" style="30" customWidth="1"/>
    <col min="8967" max="8967" width="5" style="30" customWidth="1"/>
    <col min="8968" max="8973" width="15" style="30" customWidth="1"/>
    <col min="8974" max="9212" width="8.7265625" style="30"/>
    <col min="9213" max="9213" width="5.08984375" style="30" customWidth="1"/>
    <col min="9214" max="9214" width="41.7265625" style="30" customWidth="1"/>
    <col min="9215" max="9215" width="14.7265625" style="30" customWidth="1"/>
    <col min="9216" max="9216" width="14.90625" style="30" customWidth="1"/>
    <col min="9217" max="9218" width="11.7265625" style="30" customWidth="1"/>
    <col min="9219" max="9219" width="11.90625" style="30" bestFit="1" customWidth="1"/>
    <col min="9220" max="9220" width="8.7265625" style="30"/>
    <col min="9221" max="9221" width="10.26953125" style="30" bestFit="1" customWidth="1"/>
    <col min="9222" max="9222" width="11.26953125" style="30" customWidth="1"/>
    <col min="9223" max="9223" width="5" style="30" customWidth="1"/>
    <col min="9224" max="9229" width="15" style="30" customWidth="1"/>
    <col min="9230" max="9468" width="8.7265625" style="30"/>
    <col min="9469" max="9469" width="5.08984375" style="30" customWidth="1"/>
    <col min="9470" max="9470" width="41.7265625" style="30" customWidth="1"/>
    <col min="9471" max="9471" width="14.7265625" style="30" customWidth="1"/>
    <col min="9472" max="9472" width="14.90625" style="30" customWidth="1"/>
    <col min="9473" max="9474" width="11.7265625" style="30" customWidth="1"/>
    <col min="9475" max="9475" width="11.90625" style="30" bestFit="1" customWidth="1"/>
    <col min="9476" max="9476" width="8.7265625" style="30"/>
    <col min="9477" max="9477" width="10.26953125" style="30" bestFit="1" customWidth="1"/>
    <col min="9478" max="9478" width="11.26953125" style="30" customWidth="1"/>
    <col min="9479" max="9479" width="5" style="30" customWidth="1"/>
    <col min="9480" max="9485" width="15" style="30" customWidth="1"/>
    <col min="9486" max="9724" width="8.7265625" style="30"/>
    <col min="9725" max="9725" width="5.08984375" style="30" customWidth="1"/>
    <col min="9726" max="9726" width="41.7265625" style="30" customWidth="1"/>
    <col min="9727" max="9727" width="14.7265625" style="30" customWidth="1"/>
    <col min="9728" max="9728" width="14.90625" style="30" customWidth="1"/>
    <col min="9729" max="9730" width="11.7265625" style="30" customWidth="1"/>
    <col min="9731" max="9731" width="11.90625" style="30" bestFit="1" customWidth="1"/>
    <col min="9732" max="9732" width="8.7265625" style="30"/>
    <col min="9733" max="9733" width="10.26953125" style="30" bestFit="1" customWidth="1"/>
    <col min="9734" max="9734" width="11.26953125" style="30" customWidth="1"/>
    <col min="9735" max="9735" width="5" style="30" customWidth="1"/>
    <col min="9736" max="9741" width="15" style="30" customWidth="1"/>
    <col min="9742" max="9980" width="8.7265625" style="30"/>
    <col min="9981" max="9981" width="5.08984375" style="30" customWidth="1"/>
    <col min="9982" max="9982" width="41.7265625" style="30" customWidth="1"/>
    <col min="9983" max="9983" width="14.7265625" style="30" customWidth="1"/>
    <col min="9984" max="9984" width="14.90625" style="30" customWidth="1"/>
    <col min="9985" max="9986" width="11.7265625" style="30" customWidth="1"/>
    <col min="9987" max="9987" width="11.90625" style="30" bestFit="1" customWidth="1"/>
    <col min="9988" max="9988" width="8.7265625" style="30"/>
    <col min="9989" max="9989" width="10.26953125" style="30" bestFit="1" customWidth="1"/>
    <col min="9990" max="9990" width="11.26953125" style="30" customWidth="1"/>
    <col min="9991" max="9991" width="5" style="30" customWidth="1"/>
    <col min="9992" max="9997" width="15" style="30" customWidth="1"/>
    <col min="9998" max="10236" width="8.7265625" style="30"/>
    <col min="10237" max="10237" width="5.08984375" style="30" customWidth="1"/>
    <col min="10238" max="10238" width="41.7265625" style="30" customWidth="1"/>
    <col min="10239" max="10239" width="14.7265625" style="30" customWidth="1"/>
    <col min="10240" max="10240" width="14.90625" style="30" customWidth="1"/>
    <col min="10241" max="10242" width="11.7265625" style="30" customWidth="1"/>
    <col min="10243" max="10243" width="11.90625" style="30" bestFit="1" customWidth="1"/>
    <col min="10244" max="10244" width="8.7265625" style="30"/>
    <col min="10245" max="10245" width="10.26953125" style="30" bestFit="1" customWidth="1"/>
    <col min="10246" max="10246" width="11.26953125" style="30" customWidth="1"/>
    <col min="10247" max="10247" width="5" style="30" customWidth="1"/>
    <col min="10248" max="10253" width="15" style="30" customWidth="1"/>
    <col min="10254" max="10492" width="8.7265625" style="30"/>
    <col min="10493" max="10493" width="5.08984375" style="30" customWidth="1"/>
    <col min="10494" max="10494" width="41.7265625" style="30" customWidth="1"/>
    <col min="10495" max="10495" width="14.7265625" style="30" customWidth="1"/>
    <col min="10496" max="10496" width="14.90625" style="30" customWidth="1"/>
    <col min="10497" max="10498" width="11.7265625" style="30" customWidth="1"/>
    <col min="10499" max="10499" width="11.90625" style="30" bestFit="1" customWidth="1"/>
    <col min="10500" max="10500" width="8.7265625" style="30"/>
    <col min="10501" max="10501" width="10.26953125" style="30" bestFit="1" customWidth="1"/>
    <col min="10502" max="10502" width="11.26953125" style="30" customWidth="1"/>
    <col min="10503" max="10503" width="5" style="30" customWidth="1"/>
    <col min="10504" max="10509" width="15" style="30" customWidth="1"/>
    <col min="10510" max="10748" width="8.7265625" style="30"/>
    <col min="10749" max="10749" width="5.08984375" style="30" customWidth="1"/>
    <col min="10750" max="10750" width="41.7265625" style="30" customWidth="1"/>
    <col min="10751" max="10751" width="14.7265625" style="30" customWidth="1"/>
    <col min="10752" max="10752" width="14.90625" style="30" customWidth="1"/>
    <col min="10753" max="10754" width="11.7265625" style="30" customWidth="1"/>
    <col min="10755" max="10755" width="11.90625" style="30" bestFit="1" customWidth="1"/>
    <col min="10756" max="10756" width="8.7265625" style="30"/>
    <col min="10757" max="10757" width="10.26953125" style="30" bestFit="1" customWidth="1"/>
    <col min="10758" max="10758" width="11.26953125" style="30" customWidth="1"/>
    <col min="10759" max="10759" width="5" style="30" customWidth="1"/>
    <col min="10760" max="10765" width="15" style="30" customWidth="1"/>
    <col min="10766" max="11004" width="8.7265625" style="30"/>
    <col min="11005" max="11005" width="5.08984375" style="30" customWidth="1"/>
    <col min="11006" max="11006" width="41.7265625" style="30" customWidth="1"/>
    <col min="11007" max="11007" width="14.7265625" style="30" customWidth="1"/>
    <col min="11008" max="11008" width="14.90625" style="30" customWidth="1"/>
    <col min="11009" max="11010" width="11.7265625" style="30" customWidth="1"/>
    <col min="11011" max="11011" width="11.90625" style="30" bestFit="1" customWidth="1"/>
    <col min="11012" max="11012" width="8.7265625" style="30"/>
    <col min="11013" max="11013" width="10.26953125" style="30" bestFit="1" customWidth="1"/>
    <col min="11014" max="11014" width="11.26953125" style="30" customWidth="1"/>
    <col min="11015" max="11015" width="5" style="30" customWidth="1"/>
    <col min="11016" max="11021" width="15" style="30" customWidth="1"/>
    <col min="11022" max="11260" width="8.7265625" style="30"/>
    <col min="11261" max="11261" width="5.08984375" style="30" customWidth="1"/>
    <col min="11262" max="11262" width="41.7265625" style="30" customWidth="1"/>
    <col min="11263" max="11263" width="14.7265625" style="30" customWidth="1"/>
    <col min="11264" max="11264" width="14.90625" style="30" customWidth="1"/>
    <col min="11265" max="11266" width="11.7265625" style="30" customWidth="1"/>
    <col min="11267" max="11267" width="11.90625" style="30" bestFit="1" customWidth="1"/>
    <col min="11268" max="11268" width="8.7265625" style="30"/>
    <col min="11269" max="11269" width="10.26953125" style="30" bestFit="1" customWidth="1"/>
    <col min="11270" max="11270" width="11.26953125" style="30" customWidth="1"/>
    <col min="11271" max="11271" width="5" style="30" customWidth="1"/>
    <col min="11272" max="11277" width="15" style="30" customWidth="1"/>
    <col min="11278" max="11516" width="8.7265625" style="30"/>
    <col min="11517" max="11517" width="5.08984375" style="30" customWidth="1"/>
    <col min="11518" max="11518" width="41.7265625" style="30" customWidth="1"/>
    <col min="11519" max="11519" width="14.7265625" style="30" customWidth="1"/>
    <col min="11520" max="11520" width="14.90625" style="30" customWidth="1"/>
    <col min="11521" max="11522" width="11.7265625" style="30" customWidth="1"/>
    <col min="11523" max="11523" width="11.90625" style="30" bestFit="1" customWidth="1"/>
    <col min="11524" max="11524" width="8.7265625" style="30"/>
    <col min="11525" max="11525" width="10.26953125" style="30" bestFit="1" customWidth="1"/>
    <col min="11526" max="11526" width="11.26953125" style="30" customWidth="1"/>
    <col min="11527" max="11527" width="5" style="30" customWidth="1"/>
    <col min="11528" max="11533" width="15" style="30" customWidth="1"/>
    <col min="11534" max="11772" width="8.7265625" style="30"/>
    <col min="11773" max="11773" width="5.08984375" style="30" customWidth="1"/>
    <col min="11774" max="11774" width="41.7265625" style="30" customWidth="1"/>
    <col min="11775" max="11775" width="14.7265625" style="30" customWidth="1"/>
    <col min="11776" max="11776" width="14.90625" style="30" customWidth="1"/>
    <col min="11777" max="11778" width="11.7265625" style="30" customWidth="1"/>
    <col min="11779" max="11779" width="11.90625" style="30" bestFit="1" customWidth="1"/>
    <col min="11780" max="11780" width="8.7265625" style="30"/>
    <col min="11781" max="11781" width="10.26953125" style="30" bestFit="1" customWidth="1"/>
    <col min="11782" max="11782" width="11.26953125" style="30" customWidth="1"/>
    <col min="11783" max="11783" width="5" style="30" customWidth="1"/>
    <col min="11784" max="11789" width="15" style="30" customWidth="1"/>
    <col min="11790" max="12028" width="8.7265625" style="30"/>
    <col min="12029" max="12029" width="5.08984375" style="30" customWidth="1"/>
    <col min="12030" max="12030" width="41.7265625" style="30" customWidth="1"/>
    <col min="12031" max="12031" width="14.7265625" style="30" customWidth="1"/>
    <col min="12032" max="12032" width="14.90625" style="30" customWidth="1"/>
    <col min="12033" max="12034" width="11.7265625" style="30" customWidth="1"/>
    <col min="12035" max="12035" width="11.90625" style="30" bestFit="1" customWidth="1"/>
    <col min="12036" max="12036" width="8.7265625" style="30"/>
    <col min="12037" max="12037" width="10.26953125" style="30" bestFit="1" customWidth="1"/>
    <col min="12038" max="12038" width="11.26953125" style="30" customWidth="1"/>
    <col min="12039" max="12039" width="5" style="30" customWidth="1"/>
    <col min="12040" max="12045" width="15" style="30" customWidth="1"/>
    <col min="12046" max="12284" width="8.7265625" style="30"/>
    <col min="12285" max="12285" width="5.08984375" style="30" customWidth="1"/>
    <col min="12286" max="12286" width="41.7265625" style="30" customWidth="1"/>
    <col min="12287" max="12287" width="14.7265625" style="30" customWidth="1"/>
    <col min="12288" max="12288" width="14.90625" style="30" customWidth="1"/>
    <col min="12289" max="12290" width="11.7265625" style="30" customWidth="1"/>
    <col min="12291" max="12291" width="11.90625" style="30" bestFit="1" customWidth="1"/>
    <col min="12292" max="12292" width="8.7265625" style="30"/>
    <col min="12293" max="12293" width="10.26953125" style="30" bestFit="1" customWidth="1"/>
    <col min="12294" max="12294" width="11.26953125" style="30" customWidth="1"/>
    <col min="12295" max="12295" width="5" style="30" customWidth="1"/>
    <col min="12296" max="12301" width="15" style="30" customWidth="1"/>
    <col min="12302" max="12540" width="8.7265625" style="30"/>
    <col min="12541" max="12541" width="5.08984375" style="30" customWidth="1"/>
    <col min="12542" max="12542" width="41.7265625" style="30" customWidth="1"/>
    <col min="12543" max="12543" width="14.7265625" style="30" customWidth="1"/>
    <col min="12544" max="12544" width="14.90625" style="30" customWidth="1"/>
    <col min="12545" max="12546" width="11.7265625" style="30" customWidth="1"/>
    <col min="12547" max="12547" width="11.90625" style="30" bestFit="1" customWidth="1"/>
    <col min="12548" max="12548" width="8.7265625" style="30"/>
    <col min="12549" max="12549" width="10.26953125" style="30" bestFit="1" customWidth="1"/>
    <col min="12550" max="12550" width="11.26953125" style="30" customWidth="1"/>
    <col min="12551" max="12551" width="5" style="30" customWidth="1"/>
    <col min="12552" max="12557" width="15" style="30" customWidth="1"/>
    <col min="12558" max="12796" width="8.7265625" style="30"/>
    <col min="12797" max="12797" width="5.08984375" style="30" customWidth="1"/>
    <col min="12798" max="12798" width="41.7265625" style="30" customWidth="1"/>
    <col min="12799" max="12799" width="14.7265625" style="30" customWidth="1"/>
    <col min="12800" max="12800" width="14.90625" style="30" customWidth="1"/>
    <col min="12801" max="12802" width="11.7265625" style="30" customWidth="1"/>
    <col min="12803" max="12803" width="11.90625" style="30" bestFit="1" customWidth="1"/>
    <col min="12804" max="12804" width="8.7265625" style="30"/>
    <col min="12805" max="12805" width="10.26953125" style="30" bestFit="1" customWidth="1"/>
    <col min="12806" max="12806" width="11.26953125" style="30" customWidth="1"/>
    <col min="12807" max="12807" width="5" style="30" customWidth="1"/>
    <col min="12808" max="12813" width="15" style="30" customWidth="1"/>
    <col min="12814" max="13052" width="8.7265625" style="30"/>
    <col min="13053" max="13053" width="5.08984375" style="30" customWidth="1"/>
    <col min="13054" max="13054" width="41.7265625" style="30" customWidth="1"/>
    <col min="13055" max="13055" width="14.7265625" style="30" customWidth="1"/>
    <col min="13056" max="13056" width="14.90625" style="30" customWidth="1"/>
    <col min="13057" max="13058" width="11.7265625" style="30" customWidth="1"/>
    <col min="13059" max="13059" width="11.90625" style="30" bestFit="1" customWidth="1"/>
    <col min="13060" max="13060" width="8.7265625" style="30"/>
    <col min="13061" max="13061" width="10.26953125" style="30" bestFit="1" customWidth="1"/>
    <col min="13062" max="13062" width="11.26953125" style="30" customWidth="1"/>
    <col min="13063" max="13063" width="5" style="30" customWidth="1"/>
    <col min="13064" max="13069" width="15" style="30" customWidth="1"/>
    <col min="13070" max="13308" width="8.7265625" style="30"/>
    <col min="13309" max="13309" width="5.08984375" style="30" customWidth="1"/>
    <col min="13310" max="13310" width="41.7265625" style="30" customWidth="1"/>
    <col min="13311" max="13311" width="14.7265625" style="30" customWidth="1"/>
    <col min="13312" max="13312" width="14.90625" style="30" customWidth="1"/>
    <col min="13313" max="13314" width="11.7265625" style="30" customWidth="1"/>
    <col min="13315" max="13315" width="11.90625" style="30" bestFit="1" customWidth="1"/>
    <col min="13316" max="13316" width="8.7265625" style="30"/>
    <col min="13317" max="13317" width="10.26953125" style="30" bestFit="1" customWidth="1"/>
    <col min="13318" max="13318" width="11.26953125" style="30" customWidth="1"/>
    <col min="13319" max="13319" width="5" style="30" customWidth="1"/>
    <col min="13320" max="13325" width="15" style="30" customWidth="1"/>
    <col min="13326" max="13564" width="8.7265625" style="30"/>
    <col min="13565" max="13565" width="5.08984375" style="30" customWidth="1"/>
    <col min="13566" max="13566" width="41.7265625" style="30" customWidth="1"/>
    <col min="13567" max="13567" width="14.7265625" style="30" customWidth="1"/>
    <col min="13568" max="13568" width="14.90625" style="30" customWidth="1"/>
    <col min="13569" max="13570" width="11.7265625" style="30" customWidth="1"/>
    <col min="13571" max="13571" width="11.90625" style="30" bestFit="1" customWidth="1"/>
    <col min="13572" max="13572" width="8.7265625" style="30"/>
    <col min="13573" max="13573" width="10.26953125" style="30" bestFit="1" customWidth="1"/>
    <col min="13574" max="13574" width="11.26953125" style="30" customWidth="1"/>
    <col min="13575" max="13575" width="5" style="30" customWidth="1"/>
    <col min="13576" max="13581" width="15" style="30" customWidth="1"/>
    <col min="13582" max="13820" width="8.7265625" style="30"/>
    <col min="13821" max="13821" width="5.08984375" style="30" customWidth="1"/>
    <col min="13822" max="13822" width="41.7265625" style="30" customWidth="1"/>
    <col min="13823" max="13823" width="14.7265625" style="30" customWidth="1"/>
    <col min="13824" max="13824" width="14.90625" style="30" customWidth="1"/>
    <col min="13825" max="13826" width="11.7265625" style="30" customWidth="1"/>
    <col min="13827" max="13827" width="11.90625" style="30" bestFit="1" customWidth="1"/>
    <col min="13828" max="13828" width="8.7265625" style="30"/>
    <col min="13829" max="13829" width="10.26953125" style="30" bestFit="1" customWidth="1"/>
    <col min="13830" max="13830" width="11.26953125" style="30" customWidth="1"/>
    <col min="13831" max="13831" width="5" style="30" customWidth="1"/>
    <col min="13832" max="13837" width="15" style="30" customWidth="1"/>
    <col min="13838" max="14076" width="8.7265625" style="30"/>
    <col min="14077" max="14077" width="5.08984375" style="30" customWidth="1"/>
    <col min="14078" max="14078" width="41.7265625" style="30" customWidth="1"/>
    <col min="14079" max="14079" width="14.7265625" style="30" customWidth="1"/>
    <col min="14080" max="14080" width="14.90625" style="30" customWidth="1"/>
    <col min="14081" max="14082" width="11.7265625" style="30" customWidth="1"/>
    <col min="14083" max="14083" width="11.90625" style="30" bestFit="1" customWidth="1"/>
    <col min="14084" max="14084" width="8.7265625" style="30"/>
    <col min="14085" max="14085" width="10.26953125" style="30" bestFit="1" customWidth="1"/>
    <col min="14086" max="14086" width="11.26953125" style="30" customWidth="1"/>
    <col min="14087" max="14087" width="5" style="30" customWidth="1"/>
    <col min="14088" max="14093" width="15" style="30" customWidth="1"/>
    <col min="14094" max="14332" width="8.7265625" style="30"/>
    <col min="14333" max="14333" width="5.08984375" style="30" customWidth="1"/>
    <col min="14334" max="14334" width="41.7265625" style="30" customWidth="1"/>
    <col min="14335" max="14335" width="14.7265625" style="30" customWidth="1"/>
    <col min="14336" max="14336" width="14.90625" style="30" customWidth="1"/>
    <col min="14337" max="14338" width="11.7265625" style="30" customWidth="1"/>
    <col min="14339" max="14339" width="11.90625" style="30" bestFit="1" customWidth="1"/>
    <col min="14340" max="14340" width="8.7265625" style="30"/>
    <col min="14341" max="14341" width="10.26953125" style="30" bestFit="1" customWidth="1"/>
    <col min="14342" max="14342" width="11.26953125" style="30" customWidth="1"/>
    <col min="14343" max="14343" width="5" style="30" customWidth="1"/>
    <col min="14344" max="14349" width="15" style="30" customWidth="1"/>
    <col min="14350" max="14588" width="8.7265625" style="30"/>
    <col min="14589" max="14589" width="5.08984375" style="30" customWidth="1"/>
    <col min="14590" max="14590" width="41.7265625" style="30" customWidth="1"/>
    <col min="14591" max="14591" width="14.7265625" style="30" customWidth="1"/>
    <col min="14592" max="14592" width="14.90625" style="30" customWidth="1"/>
    <col min="14593" max="14594" width="11.7265625" style="30" customWidth="1"/>
    <col min="14595" max="14595" width="11.90625" style="30" bestFit="1" customWidth="1"/>
    <col min="14596" max="14596" width="8.7265625" style="30"/>
    <col min="14597" max="14597" width="10.26953125" style="30" bestFit="1" customWidth="1"/>
    <col min="14598" max="14598" width="11.26953125" style="30" customWidth="1"/>
    <col min="14599" max="14599" width="5" style="30" customWidth="1"/>
    <col min="14600" max="14605" width="15" style="30" customWidth="1"/>
    <col min="14606" max="14844" width="8.7265625" style="30"/>
    <col min="14845" max="14845" width="5.08984375" style="30" customWidth="1"/>
    <col min="14846" max="14846" width="41.7265625" style="30" customWidth="1"/>
    <col min="14847" max="14847" width="14.7265625" style="30" customWidth="1"/>
    <col min="14848" max="14848" width="14.90625" style="30" customWidth="1"/>
    <col min="14849" max="14850" width="11.7265625" style="30" customWidth="1"/>
    <col min="14851" max="14851" width="11.90625" style="30" bestFit="1" customWidth="1"/>
    <col min="14852" max="14852" width="8.7265625" style="30"/>
    <col min="14853" max="14853" width="10.26953125" style="30" bestFit="1" customWidth="1"/>
    <col min="14854" max="14854" width="11.26953125" style="30" customWidth="1"/>
    <col min="14855" max="14855" width="5" style="30" customWidth="1"/>
    <col min="14856" max="14861" width="15" style="30" customWidth="1"/>
    <col min="14862" max="15100" width="8.7265625" style="30"/>
    <col min="15101" max="15101" width="5.08984375" style="30" customWidth="1"/>
    <col min="15102" max="15102" width="41.7265625" style="30" customWidth="1"/>
    <col min="15103" max="15103" width="14.7265625" style="30" customWidth="1"/>
    <col min="15104" max="15104" width="14.90625" style="30" customWidth="1"/>
    <col min="15105" max="15106" width="11.7265625" style="30" customWidth="1"/>
    <col min="15107" max="15107" width="11.90625" style="30" bestFit="1" customWidth="1"/>
    <col min="15108" max="15108" width="8.7265625" style="30"/>
    <col min="15109" max="15109" width="10.26953125" style="30" bestFit="1" customWidth="1"/>
    <col min="15110" max="15110" width="11.26953125" style="30" customWidth="1"/>
    <col min="15111" max="15111" width="5" style="30" customWidth="1"/>
    <col min="15112" max="15117" width="15" style="30" customWidth="1"/>
    <col min="15118" max="15356" width="8.7265625" style="30"/>
    <col min="15357" max="15357" width="5.08984375" style="30" customWidth="1"/>
    <col min="15358" max="15358" width="41.7265625" style="30" customWidth="1"/>
    <col min="15359" max="15359" width="14.7265625" style="30" customWidth="1"/>
    <col min="15360" max="15360" width="14.90625" style="30" customWidth="1"/>
    <col min="15361" max="15362" width="11.7265625" style="30" customWidth="1"/>
    <col min="15363" max="15363" width="11.90625" style="30" bestFit="1" customWidth="1"/>
    <col min="15364" max="15364" width="8.7265625" style="30"/>
    <col min="15365" max="15365" width="10.26953125" style="30" bestFit="1" customWidth="1"/>
    <col min="15366" max="15366" width="11.26953125" style="30" customWidth="1"/>
    <col min="15367" max="15367" width="5" style="30" customWidth="1"/>
    <col min="15368" max="15373" width="15" style="30" customWidth="1"/>
    <col min="15374" max="15612" width="8.7265625" style="30"/>
    <col min="15613" max="15613" width="5.08984375" style="30" customWidth="1"/>
    <col min="15614" max="15614" width="41.7265625" style="30" customWidth="1"/>
    <col min="15615" max="15615" width="14.7265625" style="30" customWidth="1"/>
    <col min="15616" max="15616" width="14.90625" style="30" customWidth="1"/>
    <col min="15617" max="15618" width="11.7265625" style="30" customWidth="1"/>
    <col min="15619" max="15619" width="11.90625" style="30" bestFit="1" customWidth="1"/>
    <col min="15620" max="15620" width="8.7265625" style="30"/>
    <col min="15621" max="15621" width="10.26953125" style="30" bestFit="1" customWidth="1"/>
    <col min="15622" max="15622" width="11.26953125" style="30" customWidth="1"/>
    <col min="15623" max="15623" width="5" style="30" customWidth="1"/>
    <col min="15624" max="15629" width="15" style="30" customWidth="1"/>
    <col min="15630" max="15868" width="8.7265625" style="30"/>
    <col min="15869" max="15869" width="5.08984375" style="30" customWidth="1"/>
    <col min="15870" max="15870" width="41.7265625" style="30" customWidth="1"/>
    <col min="15871" max="15871" width="14.7265625" style="30" customWidth="1"/>
    <col min="15872" max="15872" width="14.90625" style="30" customWidth="1"/>
    <col min="15873" max="15874" width="11.7265625" style="30" customWidth="1"/>
    <col min="15875" max="15875" width="11.90625" style="30" bestFit="1" customWidth="1"/>
    <col min="15876" max="15876" width="8.7265625" style="30"/>
    <col min="15877" max="15877" width="10.26953125" style="30" bestFit="1" customWidth="1"/>
    <col min="15878" max="15878" width="11.26953125" style="30" customWidth="1"/>
    <col min="15879" max="15879" width="5" style="30" customWidth="1"/>
    <col min="15880" max="15885" width="15" style="30" customWidth="1"/>
    <col min="15886" max="16124" width="8.7265625" style="30"/>
    <col min="16125" max="16125" width="5.08984375" style="30" customWidth="1"/>
    <col min="16126" max="16126" width="41.7265625" style="30" customWidth="1"/>
    <col min="16127" max="16127" width="14.7265625" style="30" customWidth="1"/>
    <col min="16128" max="16128" width="14.90625" style="30" customWidth="1"/>
    <col min="16129" max="16130" width="11.7265625" style="30" customWidth="1"/>
    <col min="16131" max="16131" width="11.90625" style="30" bestFit="1" customWidth="1"/>
    <col min="16132" max="16132" width="8.7265625" style="30"/>
    <col min="16133" max="16133" width="10.26953125" style="30" bestFit="1" customWidth="1"/>
    <col min="16134" max="16134" width="11.26953125" style="30" customWidth="1"/>
    <col min="16135" max="16135" width="5" style="30" customWidth="1"/>
    <col min="16136" max="16141" width="15" style="30" customWidth="1"/>
    <col min="16142" max="16384" width="8.7265625" style="30"/>
  </cols>
  <sheetData>
    <row r="1" spans="1:14" ht="26.25" customHeight="1" x14ac:dyDescent="0.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29"/>
      <c r="L1" s="29"/>
      <c r="M1" s="29"/>
      <c r="N1" s="29"/>
    </row>
    <row r="2" spans="1:14" ht="21.75" customHeight="1" x14ac:dyDescent="0.35">
      <c r="A2" s="45" t="s">
        <v>1</v>
      </c>
      <c r="B2" s="46"/>
      <c r="C2" s="46"/>
      <c r="D2" s="46"/>
      <c r="E2" s="46"/>
      <c r="F2" s="46"/>
      <c r="G2" s="46"/>
      <c r="H2" s="46"/>
      <c r="I2" s="18"/>
      <c r="J2" s="18"/>
      <c r="K2" s="31"/>
      <c r="L2" s="31"/>
      <c r="M2" s="31"/>
      <c r="N2" s="31"/>
    </row>
    <row r="3" spans="1:14" ht="11" customHeight="1" x14ac:dyDescent="0.35">
      <c r="K3" s="31"/>
      <c r="L3" s="31"/>
      <c r="M3" s="31"/>
      <c r="N3" s="31"/>
    </row>
    <row r="4" spans="1:14" ht="34" customHeight="1" thickBot="1" x14ac:dyDescent="0.4">
      <c r="A4" s="47" t="s">
        <v>2</v>
      </c>
      <c r="B4" s="48" t="s">
        <v>44</v>
      </c>
      <c r="C4" s="48" t="s">
        <v>43</v>
      </c>
      <c r="D4" s="48" t="s">
        <v>42</v>
      </c>
      <c r="E4" s="48" t="s">
        <v>3</v>
      </c>
      <c r="F4" s="49" t="s">
        <v>4</v>
      </c>
      <c r="G4" s="48" t="s">
        <v>5</v>
      </c>
      <c r="I4" s="47" t="s">
        <v>6</v>
      </c>
      <c r="J4" s="48" t="s">
        <v>7</v>
      </c>
      <c r="K4" s="31"/>
      <c r="L4" s="31"/>
      <c r="M4" s="31"/>
      <c r="N4" s="31"/>
    </row>
    <row r="5" spans="1:14" ht="21.75" customHeight="1" thickTop="1" x14ac:dyDescent="0.35">
      <c r="A5" s="30" t="s">
        <v>45</v>
      </c>
      <c r="B5" s="32" t="s">
        <v>228</v>
      </c>
      <c r="C5" s="33"/>
      <c r="D5" s="50">
        <v>100000</v>
      </c>
      <c r="E5" s="50">
        <v>0</v>
      </c>
      <c r="F5" s="32"/>
      <c r="G5" s="33"/>
      <c r="I5" s="30" t="s">
        <v>8</v>
      </c>
      <c r="J5" s="51">
        <v>0</v>
      </c>
      <c r="K5" s="31"/>
      <c r="L5" s="31"/>
      <c r="M5" s="31"/>
      <c r="N5" s="31"/>
    </row>
    <row r="6" spans="1:14" ht="21.75" customHeight="1" x14ac:dyDescent="0.35">
      <c r="A6" s="30" t="s">
        <v>9</v>
      </c>
      <c r="B6" s="32" t="s">
        <v>229</v>
      </c>
      <c r="C6" s="34">
        <v>5</v>
      </c>
      <c r="D6" s="52">
        <v>180000</v>
      </c>
      <c r="E6" s="52">
        <v>180000</v>
      </c>
      <c r="F6" s="32">
        <f>+E6/$E$13</f>
        <v>0.18367346938775511</v>
      </c>
      <c r="G6" s="53">
        <f>+E6/$B$15</f>
        <v>1.5</v>
      </c>
      <c r="I6" s="30" t="s">
        <v>10</v>
      </c>
      <c r="J6" s="54">
        <v>740000</v>
      </c>
      <c r="K6" s="31"/>
      <c r="L6" s="31"/>
      <c r="M6" s="31"/>
      <c r="N6" s="31"/>
    </row>
    <row r="7" spans="1:14" ht="21.75" customHeight="1" x14ac:dyDescent="0.35">
      <c r="A7" s="30" t="s">
        <v>11</v>
      </c>
      <c r="B7" s="32" t="s">
        <v>230</v>
      </c>
      <c r="C7" s="34">
        <v>7</v>
      </c>
      <c r="D7" s="55">
        <v>200000</v>
      </c>
      <c r="E7" s="55">
        <v>200000</v>
      </c>
      <c r="F7" s="35">
        <f>+E7/$E$13</f>
        <v>0.20408163265306123</v>
      </c>
      <c r="G7" s="56">
        <f t="shared" ref="G7:G10" si="0">+E7/$B$15</f>
        <v>1.6666666666666667</v>
      </c>
      <c r="I7" s="30" t="s">
        <v>12</v>
      </c>
      <c r="J7" s="54">
        <v>220000</v>
      </c>
      <c r="K7" s="36"/>
      <c r="L7" s="36"/>
      <c r="M7" s="36"/>
      <c r="N7" s="36"/>
    </row>
    <row r="8" spans="1:14" ht="21.75" customHeight="1" x14ac:dyDescent="0.35">
      <c r="A8" s="30" t="s">
        <v>13</v>
      </c>
      <c r="B8" s="32"/>
      <c r="C8" s="34"/>
      <c r="D8" s="52">
        <f>SUM(D5:D7)</f>
        <v>480000</v>
      </c>
      <c r="E8" s="52">
        <f>SUM(E6:E7)</f>
        <v>380000</v>
      </c>
      <c r="F8" s="32">
        <f>+E8/$E$13</f>
        <v>0.38775510204081631</v>
      </c>
      <c r="G8" s="53">
        <f t="shared" si="0"/>
        <v>3.1666666666666665</v>
      </c>
      <c r="I8" s="30" t="s">
        <v>14</v>
      </c>
      <c r="J8" s="54">
        <v>20000</v>
      </c>
    </row>
    <row r="9" spans="1:14" ht="21.75" customHeight="1" x14ac:dyDescent="0.35">
      <c r="A9" s="30" t="s">
        <v>15</v>
      </c>
      <c r="B9" s="37" t="s">
        <v>16</v>
      </c>
      <c r="C9" s="34"/>
      <c r="D9" s="55">
        <v>200000</v>
      </c>
      <c r="E9" s="55">
        <v>200000</v>
      </c>
      <c r="F9" s="35">
        <f>+E9/$E$13</f>
        <v>0.20408163265306123</v>
      </c>
      <c r="G9" s="56">
        <f t="shared" si="0"/>
        <v>1.6666666666666667</v>
      </c>
      <c r="J9" s="57"/>
    </row>
    <row r="10" spans="1:14" ht="21.75" customHeight="1" x14ac:dyDescent="0.35">
      <c r="A10" s="58" t="s">
        <v>17</v>
      </c>
      <c r="B10" s="38"/>
      <c r="C10" s="39"/>
      <c r="D10" s="59">
        <f>+D9+D8</f>
        <v>680000</v>
      </c>
      <c r="E10" s="59">
        <f>+E9+E8</f>
        <v>580000</v>
      </c>
      <c r="F10" s="40">
        <f>+E10/$E$13</f>
        <v>0.59183673469387754</v>
      </c>
      <c r="G10" s="60">
        <f t="shared" si="0"/>
        <v>4.833333333333333</v>
      </c>
      <c r="J10" s="57"/>
    </row>
    <row r="11" spans="1:14" ht="7.75" customHeight="1" x14ac:dyDescent="0.35">
      <c r="A11" s="58"/>
      <c r="B11" s="38"/>
      <c r="C11" s="39"/>
      <c r="D11" s="58"/>
      <c r="E11" s="58"/>
      <c r="F11" s="61"/>
      <c r="G11" s="62"/>
      <c r="J11" s="57"/>
    </row>
    <row r="12" spans="1:14" ht="21.75" customHeight="1" x14ac:dyDescent="0.35">
      <c r="A12" s="58" t="s">
        <v>18</v>
      </c>
      <c r="B12" s="38"/>
      <c r="C12" s="39"/>
      <c r="D12" s="50">
        <v>400000</v>
      </c>
      <c r="E12" s="50">
        <v>400000</v>
      </c>
      <c r="F12" s="32">
        <f>+E12/$E$13</f>
        <v>0.40816326530612246</v>
      </c>
      <c r="G12" s="33">
        <f>+E12/B15</f>
        <v>3.3333333333333335</v>
      </c>
      <c r="J12" s="57"/>
    </row>
    <row r="13" spans="1:14" ht="21.75" customHeight="1" thickBot="1" x14ac:dyDescent="0.4">
      <c r="A13" s="24" t="s">
        <v>19</v>
      </c>
      <c r="B13" s="38"/>
      <c r="C13" s="39"/>
      <c r="D13" s="63">
        <f>+D12+D10</f>
        <v>1080000</v>
      </c>
      <c r="E13" s="63">
        <f>+E12+E10</f>
        <v>980000</v>
      </c>
      <c r="F13" s="41">
        <f>+E13/$E$13</f>
        <v>1</v>
      </c>
      <c r="G13" s="42">
        <f>+E13/B15</f>
        <v>8.1666666666666661</v>
      </c>
      <c r="I13" s="24" t="s">
        <v>20</v>
      </c>
      <c r="J13" s="63">
        <f>SUM(J5:J12)</f>
        <v>980000</v>
      </c>
    </row>
    <row r="14" spans="1:14" ht="21.75" customHeight="1" thickTop="1" x14ac:dyDescent="0.35">
      <c r="B14" s="43"/>
      <c r="C14" s="39"/>
      <c r="D14" s="43"/>
    </row>
    <row r="15" spans="1:14" ht="21.75" customHeight="1" x14ac:dyDescent="0.35">
      <c r="A15" s="64" t="s">
        <v>41</v>
      </c>
      <c r="B15" s="65">
        <v>120000</v>
      </c>
      <c r="C15" s="66"/>
      <c r="D15" s="66"/>
      <c r="E15" s="43"/>
      <c r="I15" s="44"/>
    </row>
    <row r="16" spans="1:14" ht="21.75" customHeight="1" x14ac:dyDescent="0.35">
      <c r="A16" s="64"/>
      <c r="E16" s="67"/>
      <c r="J16" s="77" t="s">
        <v>121</v>
      </c>
    </row>
    <row r="17" spans="1:5" ht="21.75" customHeight="1" x14ac:dyDescent="0.35">
      <c r="A17" s="64"/>
      <c r="E17" s="67"/>
    </row>
    <row r="18" spans="1:5" ht="21.75" customHeight="1" x14ac:dyDescent="0.35"/>
    <row r="19" spans="1:5" ht="21.75" customHeight="1" x14ac:dyDescent="0.35"/>
    <row r="20" spans="1:5" ht="21.75" customHeight="1" x14ac:dyDescent="0.35"/>
    <row r="21" spans="1:5" ht="21.75" customHeight="1" x14ac:dyDescent="0.35"/>
    <row r="22" spans="1:5" ht="21.75" customHeight="1" x14ac:dyDescent="0.35"/>
    <row r="23" spans="1:5" ht="21.75" customHeight="1" x14ac:dyDescent="0.35"/>
    <row r="24" spans="1:5" ht="21.75" customHeight="1" x14ac:dyDescent="0.35"/>
    <row r="25" spans="1:5" ht="21.75" customHeight="1" x14ac:dyDescent="0.35"/>
    <row r="26" spans="1:5" ht="21.75" customHeight="1" x14ac:dyDescent="0.35"/>
    <row r="27" spans="1:5" ht="21.75" customHeight="1" x14ac:dyDescent="0.35"/>
    <row r="28" spans="1:5" ht="21.75" customHeight="1" x14ac:dyDescent="0.35"/>
    <row r="29" spans="1:5" ht="21.75" customHeight="1" x14ac:dyDescent="0.35"/>
    <row r="30" spans="1:5" ht="21.75" customHeight="1" x14ac:dyDescent="0.35"/>
    <row r="31" spans="1:5" ht="21.75" customHeight="1" x14ac:dyDescent="0.35"/>
    <row r="32" spans="1:5" ht="21.75" customHeight="1" x14ac:dyDescent="0.35"/>
    <row r="33" ht="21.75" customHeight="1" x14ac:dyDescent="0.35"/>
    <row r="34" ht="21.75" customHeight="1" x14ac:dyDescent="0.35"/>
    <row r="35" ht="21.75" customHeight="1" x14ac:dyDescent="0.35"/>
    <row r="36" ht="21.75" customHeight="1" x14ac:dyDescent="0.35"/>
    <row r="37" ht="21.75" customHeight="1" x14ac:dyDescent="0.35"/>
    <row r="38" ht="21.75" customHeight="1" x14ac:dyDescent="0.35"/>
    <row r="39" ht="21.75" customHeight="1" x14ac:dyDescent="0.35"/>
    <row r="40" ht="21.75" customHeight="1" x14ac:dyDescent="0.35"/>
    <row r="41" ht="21.75" customHeight="1" x14ac:dyDescent="0.35"/>
    <row r="42" ht="21.75" customHeight="1" x14ac:dyDescent="0.35"/>
    <row r="43" ht="21.75" customHeight="1" x14ac:dyDescent="0.35"/>
    <row r="44" ht="21.75" customHeight="1" x14ac:dyDescent="0.35"/>
    <row r="45" ht="21.75" customHeight="1" x14ac:dyDescent="0.35"/>
    <row r="46" ht="21.75" customHeight="1" x14ac:dyDescent="0.35"/>
    <row r="47" ht="21.75" customHeight="1" x14ac:dyDescent="0.35"/>
    <row r="48" ht="21.75" customHeight="1" x14ac:dyDescent="0.35"/>
    <row r="49" ht="21.75" customHeight="1" x14ac:dyDescent="0.35"/>
    <row r="50" ht="21.75" customHeight="1" x14ac:dyDescent="0.35"/>
    <row r="51" ht="21.75" customHeight="1" x14ac:dyDescent="0.35"/>
    <row r="52" ht="21.75" customHeight="1" x14ac:dyDescent="0.35"/>
    <row r="53" ht="21.75" customHeight="1" x14ac:dyDescent="0.35"/>
    <row r="54" ht="21.75" customHeight="1" x14ac:dyDescent="0.35"/>
    <row r="55" ht="21.75" customHeight="1" x14ac:dyDescent="0.35"/>
    <row r="56" ht="21.75" customHeight="1" x14ac:dyDescent="0.35"/>
    <row r="57" ht="21.75" customHeight="1" x14ac:dyDescent="0.35"/>
    <row r="58" ht="21.75" customHeight="1" x14ac:dyDescent="0.35"/>
    <row r="59" ht="21.75" customHeight="1" x14ac:dyDescent="0.35"/>
    <row r="60" ht="21.75" customHeight="1" x14ac:dyDescent="0.35"/>
    <row r="61" ht="21.75" customHeight="1" x14ac:dyDescent="0.35"/>
    <row r="62" ht="21.75" customHeight="1" x14ac:dyDescent="0.35"/>
    <row r="63" ht="21.75" customHeight="1" x14ac:dyDescent="0.35"/>
    <row r="64" ht="21.75" customHeight="1" x14ac:dyDescent="0.35"/>
    <row r="65" ht="21.75" customHeight="1" x14ac:dyDescent="0.35"/>
    <row r="66" ht="21.75" customHeight="1" x14ac:dyDescent="0.35"/>
    <row r="67" ht="21.75" customHeight="1" x14ac:dyDescent="0.35"/>
    <row r="68" ht="21.75" customHeight="1" x14ac:dyDescent="0.35"/>
    <row r="69" ht="21.75" customHeight="1" x14ac:dyDescent="0.35"/>
    <row r="70" ht="21.75" customHeight="1" x14ac:dyDescent="0.35"/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2F362-AA61-4DCB-89CD-3130F6E63134}">
  <dimension ref="B3:H37"/>
  <sheetViews>
    <sheetView showGridLines="0" workbookViewId="0">
      <selection activeCell="B3" sqref="B3"/>
    </sheetView>
  </sheetViews>
  <sheetFormatPr defaultRowHeight="14.5" x14ac:dyDescent="0.35"/>
  <cols>
    <col min="2" max="2" width="26.36328125" customWidth="1"/>
    <col min="3" max="3" width="9.81640625" customWidth="1"/>
    <col min="4" max="4" width="10.54296875" customWidth="1"/>
    <col min="5" max="5" width="3.54296875" customWidth="1"/>
    <col min="7" max="7" width="3.54296875" customWidth="1"/>
    <col min="9" max="9" width="2.90625" customWidth="1"/>
  </cols>
  <sheetData>
    <row r="3" spans="2:8" ht="18.5" x14ac:dyDescent="0.45">
      <c r="B3" s="3" t="s">
        <v>100</v>
      </c>
    </row>
    <row r="5" spans="2:8" ht="29" x14ac:dyDescent="0.35">
      <c r="B5" s="70" t="s">
        <v>46</v>
      </c>
      <c r="C5" s="68"/>
      <c r="D5" s="71" t="s">
        <v>47</v>
      </c>
      <c r="E5" s="69"/>
      <c r="F5" s="71" t="s">
        <v>48</v>
      </c>
      <c r="G5" s="69"/>
      <c r="H5" s="71" t="s">
        <v>49</v>
      </c>
    </row>
    <row r="6" spans="2:8" x14ac:dyDescent="0.35">
      <c r="C6" s="191" t="s">
        <v>50</v>
      </c>
      <c r="D6" s="1"/>
      <c r="E6" s="1"/>
      <c r="F6" s="1"/>
      <c r="G6" s="1"/>
      <c r="H6" s="1"/>
    </row>
    <row r="7" spans="2:8" x14ac:dyDescent="0.35">
      <c r="B7" t="s">
        <v>51</v>
      </c>
      <c r="C7" s="191"/>
      <c r="D7" s="1" t="s">
        <v>52</v>
      </c>
      <c r="E7" s="1"/>
      <c r="F7" s="1" t="s">
        <v>53</v>
      </c>
      <c r="G7" s="1"/>
      <c r="H7" s="1" t="s">
        <v>52</v>
      </c>
    </row>
    <row r="8" spans="2:8" x14ac:dyDescent="0.35">
      <c r="B8" s="4"/>
      <c r="C8" s="191"/>
      <c r="D8" s="5"/>
      <c r="E8" s="5"/>
      <c r="F8" s="5"/>
      <c r="G8" s="5"/>
      <c r="H8" s="5"/>
    </row>
    <row r="9" spans="2:8" x14ac:dyDescent="0.35">
      <c r="B9" t="s">
        <v>54</v>
      </c>
      <c r="C9" s="191"/>
      <c r="D9" s="1" t="s">
        <v>55</v>
      </c>
      <c r="E9" s="1"/>
      <c r="F9" s="1" t="s">
        <v>56</v>
      </c>
      <c r="G9" s="1"/>
      <c r="H9" s="1" t="s">
        <v>55</v>
      </c>
    </row>
    <row r="10" spans="2:8" x14ac:dyDescent="0.35">
      <c r="C10" s="191"/>
      <c r="D10" s="1" t="s">
        <v>101</v>
      </c>
      <c r="E10" s="1"/>
      <c r="F10" s="1" t="s">
        <v>57</v>
      </c>
      <c r="G10" s="1"/>
      <c r="H10" s="1" t="s">
        <v>101</v>
      </c>
    </row>
    <row r="11" spans="2:8" x14ac:dyDescent="0.35">
      <c r="C11" s="191"/>
      <c r="D11" s="1" t="s">
        <v>58</v>
      </c>
      <c r="E11" s="1"/>
      <c r="F11" s="1" t="s">
        <v>59</v>
      </c>
      <c r="G11" s="1"/>
      <c r="H11" s="1" t="s">
        <v>58</v>
      </c>
    </row>
    <row r="12" spans="2:8" x14ac:dyDescent="0.35">
      <c r="B12" s="4"/>
      <c r="C12" s="191"/>
      <c r="D12" s="5"/>
      <c r="E12" s="5"/>
      <c r="F12" s="5"/>
      <c r="G12" s="5"/>
      <c r="H12" s="5"/>
    </row>
    <row r="13" spans="2:8" x14ac:dyDescent="0.35">
      <c r="B13" t="s">
        <v>60</v>
      </c>
      <c r="C13" s="191"/>
      <c r="D13" s="1" t="s">
        <v>61</v>
      </c>
      <c r="E13" s="1"/>
      <c r="F13" s="1" t="s">
        <v>62</v>
      </c>
      <c r="G13" s="1"/>
      <c r="H13" s="1" t="s">
        <v>61</v>
      </c>
    </row>
    <row r="14" spans="2:8" x14ac:dyDescent="0.35">
      <c r="C14" s="191"/>
      <c r="D14" s="1" t="s">
        <v>102</v>
      </c>
      <c r="E14" s="1"/>
      <c r="F14" s="1" t="s">
        <v>63</v>
      </c>
      <c r="G14" s="1"/>
      <c r="H14" s="1" t="s">
        <v>102</v>
      </c>
    </row>
    <row r="15" spans="2:8" x14ac:dyDescent="0.35">
      <c r="C15" s="191"/>
      <c r="D15" s="1" t="s">
        <v>64</v>
      </c>
      <c r="E15" s="1"/>
      <c r="F15" s="1" t="s">
        <v>65</v>
      </c>
      <c r="G15" s="1"/>
      <c r="H15" s="1" t="s">
        <v>64</v>
      </c>
    </row>
    <row r="16" spans="2:8" x14ac:dyDescent="0.35">
      <c r="B16" s="4"/>
      <c r="C16" s="191"/>
      <c r="D16" s="5"/>
      <c r="E16" s="5"/>
      <c r="F16" s="5"/>
      <c r="G16" s="5"/>
      <c r="H16" s="5"/>
    </row>
    <row r="17" spans="2:8" x14ac:dyDescent="0.35">
      <c r="B17" t="s">
        <v>66</v>
      </c>
      <c r="C17" s="191"/>
      <c r="D17" s="1" t="s">
        <v>67</v>
      </c>
      <c r="E17" s="1"/>
      <c r="F17" s="1" t="s">
        <v>68</v>
      </c>
      <c r="G17" s="1"/>
      <c r="H17" s="1" t="s">
        <v>67</v>
      </c>
    </row>
    <row r="18" spans="2:8" x14ac:dyDescent="0.35">
      <c r="C18" s="191"/>
      <c r="D18" s="1" t="s">
        <v>69</v>
      </c>
      <c r="E18" s="1"/>
      <c r="F18" s="1" t="s">
        <v>70</v>
      </c>
      <c r="G18" s="1"/>
      <c r="H18" s="1" t="s">
        <v>69</v>
      </c>
    </row>
    <row r="19" spans="2:8" x14ac:dyDescent="0.35">
      <c r="C19" s="191"/>
      <c r="D19" s="1" t="s">
        <v>71</v>
      </c>
      <c r="E19" s="1"/>
      <c r="F19" s="1" t="s">
        <v>72</v>
      </c>
      <c r="G19" s="1"/>
      <c r="H19" s="1" t="s">
        <v>71</v>
      </c>
    </row>
    <row r="20" spans="2:8" x14ac:dyDescent="0.35">
      <c r="B20" s="4"/>
      <c r="C20" s="191"/>
      <c r="D20" s="5"/>
      <c r="E20" s="5"/>
      <c r="F20" s="5"/>
      <c r="G20" s="5"/>
      <c r="H20" s="5"/>
    </row>
    <row r="21" spans="2:8" x14ac:dyDescent="0.35">
      <c r="B21" t="s">
        <v>73</v>
      </c>
      <c r="C21" s="192" t="s">
        <v>74</v>
      </c>
      <c r="D21" s="1" t="s">
        <v>75</v>
      </c>
      <c r="E21" s="1"/>
      <c r="F21" s="1" t="s">
        <v>76</v>
      </c>
      <c r="G21" s="1"/>
      <c r="H21" s="1" t="s">
        <v>75</v>
      </c>
    </row>
    <row r="22" spans="2:8" x14ac:dyDescent="0.35">
      <c r="C22" s="193"/>
      <c r="D22" s="1" t="s">
        <v>77</v>
      </c>
      <c r="E22" s="1"/>
      <c r="F22" s="1" t="s">
        <v>78</v>
      </c>
      <c r="G22" s="1"/>
      <c r="H22" s="1" t="s">
        <v>77</v>
      </c>
    </row>
    <row r="23" spans="2:8" x14ac:dyDescent="0.35">
      <c r="C23" s="193"/>
      <c r="D23" s="1" t="s">
        <v>79</v>
      </c>
      <c r="E23" s="1"/>
      <c r="F23" s="1" t="s">
        <v>80</v>
      </c>
      <c r="G23" s="1"/>
      <c r="H23" s="1" t="s">
        <v>79</v>
      </c>
    </row>
    <row r="24" spans="2:8" x14ac:dyDescent="0.35">
      <c r="B24" s="4"/>
      <c r="C24" s="193"/>
      <c r="D24" s="5"/>
      <c r="E24" s="5"/>
      <c r="F24" s="5"/>
      <c r="G24" s="5"/>
      <c r="H24" s="5"/>
    </row>
    <row r="25" spans="2:8" x14ac:dyDescent="0.35">
      <c r="B25" t="s">
        <v>81</v>
      </c>
      <c r="C25" s="193"/>
      <c r="D25" s="1" t="s">
        <v>82</v>
      </c>
      <c r="E25" s="1"/>
      <c r="F25" s="1" t="s">
        <v>83</v>
      </c>
      <c r="G25" s="1"/>
      <c r="H25" s="1" t="s">
        <v>82</v>
      </c>
    </row>
    <row r="26" spans="2:8" x14ac:dyDescent="0.35">
      <c r="C26" s="193"/>
      <c r="D26" s="1" t="s">
        <v>84</v>
      </c>
      <c r="E26" s="1"/>
      <c r="F26" s="1" t="s">
        <v>85</v>
      </c>
      <c r="G26" s="1"/>
      <c r="H26" s="1" t="s">
        <v>84</v>
      </c>
    </row>
    <row r="27" spans="2:8" x14ac:dyDescent="0.35">
      <c r="C27" s="193"/>
      <c r="D27" s="1" t="s">
        <v>86</v>
      </c>
      <c r="E27" s="1"/>
      <c r="F27" s="1" t="s">
        <v>87</v>
      </c>
      <c r="G27" s="1"/>
      <c r="H27" s="1" t="s">
        <v>86</v>
      </c>
    </row>
    <row r="28" spans="2:8" x14ac:dyDescent="0.35">
      <c r="B28" s="6"/>
      <c r="C28" s="194"/>
      <c r="D28" s="7"/>
      <c r="E28" s="5"/>
      <c r="F28" s="5"/>
      <c r="G28" s="5"/>
      <c r="H28" s="5"/>
    </row>
    <row r="29" spans="2:8" x14ac:dyDescent="0.35">
      <c r="B29" t="s">
        <v>88</v>
      </c>
      <c r="C29" s="195" t="s">
        <v>89</v>
      </c>
      <c r="D29" s="1" t="s">
        <v>90</v>
      </c>
      <c r="E29" s="1"/>
      <c r="F29" s="1" t="s">
        <v>91</v>
      </c>
      <c r="G29" s="1"/>
      <c r="H29" s="1" t="s">
        <v>92</v>
      </c>
    </row>
    <row r="30" spans="2:8" x14ac:dyDescent="0.35">
      <c r="C30" s="193"/>
      <c r="D30" s="1" t="s">
        <v>92</v>
      </c>
      <c r="E30" s="1"/>
      <c r="F30" s="1"/>
      <c r="G30" s="1"/>
      <c r="H30" s="1"/>
    </row>
    <row r="31" spans="2:8" x14ac:dyDescent="0.35">
      <c r="C31" s="193"/>
      <c r="D31" s="1" t="s">
        <v>93</v>
      </c>
    </row>
    <row r="32" spans="2:8" x14ac:dyDescent="0.35">
      <c r="C32" s="193"/>
      <c r="D32" s="1" t="s">
        <v>94</v>
      </c>
    </row>
    <row r="33" spans="2:8" x14ac:dyDescent="0.35">
      <c r="C33" s="193"/>
      <c r="D33" s="1" t="s">
        <v>95</v>
      </c>
    </row>
    <row r="34" spans="2:8" x14ac:dyDescent="0.35">
      <c r="B34" s="4"/>
      <c r="C34" s="196"/>
      <c r="D34" s="4"/>
      <c r="E34" s="4"/>
      <c r="F34" s="4"/>
      <c r="G34" s="4"/>
      <c r="H34" s="4"/>
    </row>
    <row r="35" spans="2:8" x14ac:dyDescent="0.35">
      <c r="B35" t="s">
        <v>96</v>
      </c>
      <c r="C35" s="8" t="s">
        <v>97</v>
      </c>
      <c r="D35" s="1" t="s">
        <v>98</v>
      </c>
      <c r="F35" s="1" t="s">
        <v>98</v>
      </c>
      <c r="H35" t="s">
        <v>99</v>
      </c>
    </row>
    <row r="36" spans="2:8" x14ac:dyDescent="0.35">
      <c r="B36" s="4"/>
      <c r="C36" s="9"/>
      <c r="D36" s="4"/>
      <c r="E36" s="4"/>
      <c r="F36" s="4"/>
      <c r="G36" s="4"/>
      <c r="H36" s="4"/>
    </row>
    <row r="37" spans="2:8" x14ac:dyDescent="0.35">
      <c r="H37" s="10" t="s">
        <v>122</v>
      </c>
    </row>
  </sheetData>
  <mergeCells count="3">
    <mergeCell ref="C6:C20"/>
    <mergeCell ref="C21:C28"/>
    <mergeCell ref="C29:C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A2A3-9869-4C2C-9BBD-5E1C45593E49}">
  <dimension ref="B3:O27"/>
  <sheetViews>
    <sheetView showGridLines="0" workbookViewId="0">
      <selection activeCell="Q10" sqref="Q10"/>
    </sheetView>
  </sheetViews>
  <sheetFormatPr defaultRowHeight="14.5" x14ac:dyDescent="0.35"/>
  <cols>
    <col min="1" max="1" width="5.1796875" customWidth="1"/>
    <col min="2" max="2" width="10" style="1" customWidth="1"/>
    <col min="3" max="3" width="7.1796875" style="1" customWidth="1"/>
    <col min="4" max="4" width="10" style="1" customWidth="1"/>
    <col min="5" max="5" width="7.1796875" style="1" customWidth="1"/>
    <col min="6" max="6" width="10.26953125" style="1" customWidth="1"/>
    <col min="7" max="7" width="7.1796875" style="1" customWidth="1"/>
    <col min="8" max="8" width="10.6328125" style="1" customWidth="1"/>
    <col min="9" max="9" width="6.36328125" style="1" customWidth="1"/>
    <col min="10" max="10" width="10" style="1" customWidth="1"/>
    <col min="11" max="11" width="7.1796875" style="1" customWidth="1"/>
    <col min="12" max="12" width="10" style="1" customWidth="1"/>
    <col min="13" max="13" width="2.54296875" customWidth="1"/>
  </cols>
  <sheetData>
    <row r="3" spans="2:15" ht="18.5" x14ac:dyDescent="0.45">
      <c r="B3" s="197" t="s">
        <v>103</v>
      </c>
      <c r="C3" s="197"/>
      <c r="D3" s="197"/>
      <c r="E3" s="197"/>
      <c r="F3" s="197"/>
      <c r="G3" s="197"/>
      <c r="H3" s="197"/>
      <c r="I3" s="198"/>
      <c r="J3" s="198"/>
      <c r="K3" s="198"/>
      <c r="L3" s="198"/>
      <c r="M3" s="198"/>
      <c r="N3" s="199"/>
      <c r="O3" s="199"/>
    </row>
    <row r="4" spans="2:15" s="1" customFormat="1" ht="15" thickBot="1" x14ac:dyDescent="0.4"/>
    <row r="5" spans="2:15" s="1" customFormat="1" ht="15" thickBot="1" x14ac:dyDescent="0.4">
      <c r="B5" s="202" t="s">
        <v>117</v>
      </c>
      <c r="C5" s="203"/>
      <c r="F5" s="204" t="s">
        <v>105</v>
      </c>
      <c r="G5" s="205"/>
      <c r="H5" s="206"/>
      <c r="N5" s="79" t="s">
        <v>112</v>
      </c>
    </row>
    <row r="6" spans="2:15" s="1" customFormat="1" ht="15" thickBot="1" x14ac:dyDescent="0.4">
      <c r="F6" s="207"/>
      <c r="G6" s="208"/>
      <c r="H6" s="209"/>
      <c r="N6" s="74"/>
    </row>
    <row r="7" spans="2:15" s="1" customForma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81"/>
      <c r="O7" s="5"/>
    </row>
    <row r="8" spans="2:15" s="1" customFormat="1" ht="15" thickBot="1" x14ac:dyDescent="0.4">
      <c r="N8" s="74"/>
    </row>
    <row r="9" spans="2:15" s="1" customFormat="1" ht="33" customHeight="1" x14ac:dyDescent="0.35">
      <c r="B9" s="210" t="s">
        <v>124</v>
      </c>
      <c r="C9" s="211"/>
      <c r="D9" s="72"/>
      <c r="E9" s="210" t="s">
        <v>126</v>
      </c>
      <c r="F9" s="211"/>
      <c r="G9" s="72"/>
      <c r="H9" s="210" t="s">
        <v>125</v>
      </c>
      <c r="I9" s="211"/>
      <c r="N9" s="79" t="s">
        <v>113</v>
      </c>
    </row>
    <row r="10" spans="2:15" s="1" customFormat="1" ht="33" customHeight="1" thickBot="1" x14ac:dyDescent="0.4">
      <c r="B10" s="212"/>
      <c r="C10" s="213"/>
      <c r="D10" s="72"/>
      <c r="E10" s="212"/>
      <c r="F10" s="213"/>
      <c r="G10" s="72"/>
      <c r="H10" s="212"/>
      <c r="I10" s="213"/>
      <c r="N10" s="74"/>
    </row>
    <row r="11" spans="2:15" s="1" customFormat="1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1"/>
      <c r="O11" s="5"/>
    </row>
    <row r="12" spans="2:15" s="1" customFormat="1" ht="15" thickBot="1" x14ac:dyDescent="0.4">
      <c r="N12" s="74"/>
    </row>
    <row r="13" spans="2:15" s="1" customFormat="1" x14ac:dyDescent="0.35">
      <c r="B13" s="200" t="s">
        <v>106</v>
      </c>
      <c r="D13" s="200" t="s">
        <v>107</v>
      </c>
      <c r="F13" s="200" t="s">
        <v>108</v>
      </c>
      <c r="H13" s="200" t="s">
        <v>109</v>
      </c>
      <c r="J13" s="200" t="s">
        <v>110</v>
      </c>
      <c r="L13" s="200" t="s">
        <v>111</v>
      </c>
      <c r="N13" s="74"/>
    </row>
    <row r="14" spans="2:15" s="1" customFormat="1" ht="15" thickBot="1" x14ac:dyDescent="0.4">
      <c r="B14" s="201"/>
      <c r="D14" s="201"/>
      <c r="F14" s="201"/>
      <c r="H14" s="201"/>
      <c r="J14" s="201"/>
      <c r="L14" s="201"/>
      <c r="N14" s="79" t="s">
        <v>114</v>
      </c>
    </row>
    <row r="15" spans="2:15" s="1" customFormat="1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81"/>
      <c r="O15" s="5"/>
    </row>
    <row r="16" spans="2:15" s="1" customFormat="1" ht="15" thickBot="1" x14ac:dyDescent="0.4">
      <c r="N16" s="74"/>
    </row>
    <row r="17" spans="2:15" s="72" customFormat="1" ht="19" customHeight="1" thickBot="1" x14ac:dyDescent="0.4">
      <c r="B17" s="82" t="s">
        <v>104</v>
      </c>
      <c r="C17" s="76"/>
      <c r="D17" s="82" t="s">
        <v>104</v>
      </c>
      <c r="E17" s="76"/>
      <c r="F17" s="82" t="s">
        <v>104</v>
      </c>
      <c r="G17" s="76"/>
      <c r="H17" s="82" t="s">
        <v>104</v>
      </c>
      <c r="I17" s="76"/>
      <c r="J17" s="82" t="s">
        <v>104</v>
      </c>
      <c r="K17" s="76"/>
      <c r="L17" s="82" t="s">
        <v>104</v>
      </c>
      <c r="N17" s="80" t="s">
        <v>115</v>
      </c>
    </row>
    <row r="18" spans="2:15" s="72" customFormat="1" ht="10" customHeight="1" thickBot="1" x14ac:dyDescent="0.4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N18" s="73"/>
    </row>
    <row r="19" spans="2:15" s="72" customFormat="1" ht="19" customHeight="1" thickBot="1" x14ac:dyDescent="0.4">
      <c r="B19" s="82" t="s">
        <v>104</v>
      </c>
      <c r="C19" s="76"/>
      <c r="D19" s="82" t="s">
        <v>104</v>
      </c>
      <c r="E19" s="76"/>
      <c r="F19" s="82" t="s">
        <v>104</v>
      </c>
      <c r="G19" s="76"/>
      <c r="H19" s="82" t="s">
        <v>104</v>
      </c>
      <c r="I19" s="76"/>
      <c r="J19" s="82" t="s">
        <v>104</v>
      </c>
      <c r="K19" s="76"/>
      <c r="L19" s="82" t="s">
        <v>104</v>
      </c>
      <c r="N19" s="73"/>
    </row>
    <row r="20" spans="2:15" s="72" customFormat="1" ht="10" customHeight="1" thickBot="1" x14ac:dyDescent="0.4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3"/>
    </row>
    <row r="21" spans="2:15" s="72" customFormat="1" ht="19" customHeight="1" thickBot="1" x14ac:dyDescent="0.4">
      <c r="B21" s="82" t="s">
        <v>104</v>
      </c>
      <c r="C21" s="76"/>
      <c r="D21" s="82" t="s">
        <v>104</v>
      </c>
      <c r="E21" s="76"/>
      <c r="F21" s="82" t="s">
        <v>104</v>
      </c>
      <c r="G21" s="76"/>
      <c r="H21" s="82" t="s">
        <v>104</v>
      </c>
      <c r="I21" s="76"/>
      <c r="J21" s="82" t="s">
        <v>104</v>
      </c>
      <c r="K21" s="76"/>
      <c r="L21" s="82" t="s">
        <v>104</v>
      </c>
      <c r="N21" s="73"/>
    </row>
    <row r="22" spans="2:15" s="72" customFormat="1" ht="10" customHeight="1" thickBot="1" x14ac:dyDescent="0.4"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N22" s="73"/>
    </row>
    <row r="23" spans="2:15" s="72" customFormat="1" ht="19" customHeight="1" thickBot="1" x14ac:dyDescent="0.4">
      <c r="B23" s="82" t="s">
        <v>104</v>
      </c>
      <c r="C23" s="76"/>
      <c r="D23" s="82" t="s">
        <v>104</v>
      </c>
      <c r="E23" s="76"/>
      <c r="F23" s="82" t="s">
        <v>104</v>
      </c>
      <c r="G23" s="76"/>
      <c r="H23" s="82" t="s">
        <v>104</v>
      </c>
      <c r="I23" s="76"/>
      <c r="J23" s="82" t="s">
        <v>104</v>
      </c>
      <c r="K23" s="76"/>
      <c r="L23" s="82" t="s">
        <v>104</v>
      </c>
      <c r="N23" s="73"/>
    </row>
    <row r="24" spans="2:15" s="72" customFormat="1" ht="10" customHeight="1" thickBot="1" x14ac:dyDescent="0.4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N24" s="73"/>
    </row>
    <row r="25" spans="2:15" s="72" customFormat="1" ht="19" customHeight="1" thickBot="1" x14ac:dyDescent="0.4">
      <c r="B25" s="82" t="s">
        <v>104</v>
      </c>
      <c r="C25" s="76"/>
      <c r="D25" s="82" t="s">
        <v>104</v>
      </c>
      <c r="E25" s="76"/>
      <c r="F25" s="82" t="s">
        <v>104</v>
      </c>
      <c r="G25" s="76"/>
      <c r="H25" s="82" t="s">
        <v>104</v>
      </c>
      <c r="I25" s="76"/>
      <c r="J25" s="82" t="s">
        <v>104</v>
      </c>
      <c r="K25" s="76"/>
      <c r="L25" s="82" t="s">
        <v>104</v>
      </c>
      <c r="N25" s="73"/>
    </row>
    <row r="26" spans="2:15" x14ac:dyDescent="0.3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4"/>
      <c r="N26" s="4"/>
      <c r="O26" s="4"/>
    </row>
    <row r="27" spans="2:15" x14ac:dyDescent="0.35">
      <c r="L27" s="77"/>
      <c r="M27" s="77"/>
      <c r="N27" s="77"/>
      <c r="O27" s="77" t="s">
        <v>116</v>
      </c>
    </row>
  </sheetData>
  <mergeCells count="12">
    <mergeCell ref="B3:O3"/>
    <mergeCell ref="L13:L14"/>
    <mergeCell ref="B5:C5"/>
    <mergeCell ref="F5:H6"/>
    <mergeCell ref="B9:C10"/>
    <mergeCell ref="E9:F10"/>
    <mergeCell ref="H9:I10"/>
    <mergeCell ref="B13:B14"/>
    <mergeCell ref="D13:D14"/>
    <mergeCell ref="F13:F14"/>
    <mergeCell ref="H13:H14"/>
    <mergeCell ref="J13:J14"/>
  </mergeCells>
  <phoneticPr fontId="18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7BA9-9FFC-4998-B2EE-40C20D3F756A}">
  <dimension ref="B2:Z11"/>
  <sheetViews>
    <sheetView showGridLines="0" workbookViewId="0">
      <selection activeCell="B2" sqref="B2:E2"/>
    </sheetView>
  </sheetViews>
  <sheetFormatPr defaultRowHeight="14.5" x14ac:dyDescent="0.35"/>
  <cols>
    <col min="2" max="2" width="17.6328125" customWidth="1"/>
    <col min="3" max="5" width="11.7265625" bestFit="1" customWidth="1"/>
  </cols>
  <sheetData>
    <row r="2" spans="2:26" ht="18.5" x14ac:dyDescent="0.45">
      <c r="B2" s="214" t="s">
        <v>173</v>
      </c>
      <c r="C2" s="215"/>
      <c r="D2" s="215"/>
      <c r="E2" s="215"/>
      <c r="I2" s="78"/>
      <c r="J2" s="78"/>
      <c r="K2" s="78"/>
      <c r="L2" s="78"/>
      <c r="M2" s="78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2:26" x14ac:dyDescent="0.35">
      <c r="B3" s="129"/>
      <c r="C3" s="129" t="s">
        <v>169</v>
      </c>
      <c r="D3" s="129" t="s">
        <v>170</v>
      </c>
      <c r="E3" s="129" t="s">
        <v>171</v>
      </c>
    </row>
    <row r="4" spans="2:26" x14ac:dyDescent="0.35">
      <c r="B4" s="111" t="s">
        <v>145</v>
      </c>
      <c r="C4" s="111" t="s">
        <v>144</v>
      </c>
      <c r="D4" s="111" t="s">
        <v>144</v>
      </c>
      <c r="E4" s="111" t="s">
        <v>144</v>
      </c>
    </row>
    <row r="5" spans="2:26" ht="15" thickBot="1" x14ac:dyDescent="0.4">
      <c r="B5" s="113" t="s">
        <v>46</v>
      </c>
      <c r="C5" s="113" t="s">
        <v>172</v>
      </c>
      <c r="D5" s="113" t="s">
        <v>172</v>
      </c>
      <c r="E5" s="113" t="s">
        <v>172</v>
      </c>
    </row>
    <row r="6" spans="2:26" ht="15" thickTop="1" x14ac:dyDescent="0.35">
      <c r="B6" s="75" t="s">
        <v>146</v>
      </c>
      <c r="C6" s="93">
        <f>+'Fig. 7.7'!R5</f>
        <v>400000</v>
      </c>
      <c r="D6" s="127">
        <f>+'Fig. 7.7'!R11</f>
        <v>100000</v>
      </c>
      <c r="E6" s="93">
        <f>+'Fig. 7.7'!R18</f>
        <v>40000</v>
      </c>
    </row>
    <row r="7" spans="2:26" x14ac:dyDescent="0.35">
      <c r="B7" s="75" t="s">
        <v>9</v>
      </c>
      <c r="C7" s="93">
        <f>+'Fig. 7.7'!R6</f>
        <v>700000</v>
      </c>
      <c r="D7" s="127">
        <f>+'Fig. 7.7'!R12</f>
        <v>175000</v>
      </c>
      <c r="E7" s="93">
        <f>+'Fig. 7.7'!R19</f>
        <v>70000</v>
      </c>
    </row>
    <row r="8" spans="2:26" x14ac:dyDescent="0.35">
      <c r="B8" s="75" t="s">
        <v>11</v>
      </c>
      <c r="C8" s="93">
        <f>+'Fig. 7.7'!R7</f>
        <v>800000</v>
      </c>
      <c r="D8" s="127">
        <f>+'Fig. 7.7'!R13</f>
        <v>200000</v>
      </c>
      <c r="E8" s="93">
        <f>+'Fig. 7.7'!R20</f>
        <v>80000</v>
      </c>
    </row>
    <row r="9" spans="2:26" x14ac:dyDescent="0.35">
      <c r="B9" s="75" t="s">
        <v>148</v>
      </c>
      <c r="C9" s="93">
        <f>+'Fig. 7.7'!R8</f>
        <v>795000</v>
      </c>
      <c r="D9" s="127">
        <f>+'Fig. 7.7'!R14</f>
        <v>198750</v>
      </c>
      <c r="E9" s="93">
        <f>+'Fig. 7.7'!R21</f>
        <v>0</v>
      </c>
    </row>
    <row r="10" spans="2:26" ht="15" thickBot="1" x14ac:dyDescent="0.4">
      <c r="B10" s="120" t="s">
        <v>147</v>
      </c>
      <c r="C10" s="114">
        <f>SUM(C6:C9)</f>
        <v>2695000</v>
      </c>
      <c r="D10" s="128">
        <v>673750</v>
      </c>
      <c r="E10" s="114">
        <v>190000</v>
      </c>
    </row>
    <row r="11" spans="2:26" ht="15" thickTop="1" x14ac:dyDescent="0.35">
      <c r="E11" s="77" t="s">
        <v>158</v>
      </c>
    </row>
  </sheetData>
  <mergeCells count="1">
    <mergeCell ref="B2:E2"/>
  </mergeCells>
  <phoneticPr fontId="18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6D3F9-B506-4927-ABBA-A6CC0FADC9B6}">
  <dimension ref="B2:AC36"/>
  <sheetViews>
    <sheetView showGridLines="0" topLeftCell="B1" workbookViewId="0">
      <selection activeCell="B2" sqref="B2:Z2"/>
    </sheetView>
  </sheetViews>
  <sheetFormatPr defaultRowHeight="14.5" x14ac:dyDescent="0.35"/>
  <cols>
    <col min="1" max="1" width="5.1796875" customWidth="1"/>
    <col min="2" max="2" width="7.6328125" style="1" customWidth="1"/>
    <col min="3" max="3" width="3.36328125" style="1" customWidth="1"/>
    <col min="4" max="4" width="7.6328125" style="1" customWidth="1"/>
    <col min="5" max="5" width="3.36328125" style="1" customWidth="1"/>
    <col min="6" max="6" width="7.6328125" style="1" customWidth="1"/>
    <col min="7" max="7" width="3.36328125" style="1" customWidth="1"/>
    <col min="8" max="8" width="7.6328125" style="1" customWidth="1"/>
    <col min="9" max="9" width="3.36328125" style="1" customWidth="1"/>
    <col min="10" max="10" width="7.6328125" style="1" customWidth="1"/>
    <col min="11" max="11" width="3.36328125" style="1" customWidth="1"/>
    <col min="12" max="12" width="7.6328125" style="1" customWidth="1"/>
    <col min="13" max="13" width="2.54296875" customWidth="1"/>
    <col min="14" max="14" width="7.7265625" customWidth="1"/>
    <col min="15" max="15" width="3.36328125" customWidth="1"/>
    <col min="16" max="16" width="2" customWidth="1"/>
    <col min="17" max="17" width="11" customWidth="1"/>
    <col min="18" max="18" width="11.453125" customWidth="1"/>
    <col min="19" max="19" width="4.81640625" customWidth="1"/>
    <col min="20" max="20" width="11.26953125" customWidth="1"/>
    <col min="21" max="21" width="11.81640625" customWidth="1"/>
    <col min="22" max="23" width="11" customWidth="1"/>
    <col min="24" max="24" width="11.1796875" customWidth="1"/>
    <col min="25" max="25" width="2.1796875" customWidth="1"/>
    <col min="26" max="26" width="10.6328125" customWidth="1"/>
    <col min="28" max="28" width="10.08984375" bestFit="1" customWidth="1"/>
  </cols>
  <sheetData>
    <row r="2" spans="2:29" ht="18.5" x14ac:dyDescent="0.45">
      <c r="B2" s="197" t="s">
        <v>103</v>
      </c>
      <c r="C2" s="197"/>
      <c r="D2" s="197"/>
      <c r="E2" s="197"/>
      <c r="F2" s="197"/>
      <c r="G2" s="197"/>
      <c r="H2" s="197"/>
      <c r="I2" s="198"/>
      <c r="J2" s="198"/>
      <c r="K2" s="198"/>
      <c r="L2" s="198"/>
      <c r="M2" s="198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spans="2:29" ht="31" customHeight="1" x14ac:dyDescent="0.3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 t="s">
        <v>162</v>
      </c>
      <c r="O3" s="111"/>
      <c r="P3" s="111"/>
      <c r="Q3" s="111" t="s">
        <v>145</v>
      </c>
      <c r="R3" s="111" t="s">
        <v>144</v>
      </c>
      <c r="S3" s="111"/>
      <c r="T3" s="112" t="s">
        <v>144</v>
      </c>
      <c r="U3" s="112" t="s">
        <v>150</v>
      </c>
      <c r="V3" s="112" t="s">
        <v>151</v>
      </c>
      <c r="W3" s="112" t="s">
        <v>152</v>
      </c>
      <c r="X3" s="112" t="s">
        <v>153</v>
      </c>
      <c r="Z3" s="112" t="s">
        <v>166</v>
      </c>
    </row>
    <row r="4" spans="2:29" ht="15" thickBot="1" x14ac:dyDescent="0.4">
      <c r="B4" s="121" t="s">
        <v>164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 t="s">
        <v>163</v>
      </c>
      <c r="O4" s="113"/>
      <c r="P4" s="113"/>
      <c r="Q4" s="113" t="s">
        <v>46</v>
      </c>
      <c r="R4" s="113" t="s">
        <v>159</v>
      </c>
      <c r="S4" s="113"/>
      <c r="T4" s="113" t="s">
        <v>159</v>
      </c>
      <c r="U4" s="113" t="s">
        <v>159</v>
      </c>
      <c r="V4" s="113" t="s">
        <v>159</v>
      </c>
      <c r="W4" s="113" t="s">
        <v>159</v>
      </c>
      <c r="X4" s="113" t="s">
        <v>159</v>
      </c>
      <c r="Z4" s="113" t="s">
        <v>159</v>
      </c>
    </row>
    <row r="5" spans="2:29" s="1" customFormat="1" ht="14.5" customHeight="1" thickTop="1" thickBot="1" x14ac:dyDescent="0.4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Q5" s="75" t="s">
        <v>146</v>
      </c>
      <c r="R5" s="93">
        <v>400000</v>
      </c>
      <c r="S5" s="122">
        <v>1</v>
      </c>
      <c r="T5" s="93">
        <f>+S5*R5</f>
        <v>400000</v>
      </c>
      <c r="U5" s="93">
        <f>+T5-U11</f>
        <v>100000</v>
      </c>
      <c r="V5" s="93">
        <f>+(R5-V18)/(S5+S11)</f>
        <v>40000</v>
      </c>
      <c r="W5" s="93">
        <f>+V5</f>
        <v>40000</v>
      </c>
      <c r="X5" s="93">
        <f>+W5</f>
        <v>40000</v>
      </c>
      <c r="Y5"/>
      <c r="Z5" s="93">
        <f>+X5</f>
        <v>40000</v>
      </c>
      <c r="AB5"/>
      <c r="AC5"/>
    </row>
    <row r="6" spans="2:29" s="1" customFormat="1" ht="14.5" customHeight="1" x14ac:dyDescent="0.35">
      <c r="B6" s="244" t="s">
        <v>127</v>
      </c>
      <c r="C6" s="245"/>
      <c r="D6" s="103"/>
      <c r="E6" s="103"/>
      <c r="F6" s="219" t="s">
        <v>154</v>
      </c>
      <c r="G6" s="220"/>
      <c r="H6" s="221"/>
      <c r="I6" s="103"/>
      <c r="J6" s="103"/>
      <c r="K6" s="103"/>
      <c r="L6" s="103"/>
      <c r="M6" s="85"/>
      <c r="N6" s="86" t="s">
        <v>112</v>
      </c>
      <c r="O6" s="85"/>
      <c r="P6" s="85"/>
      <c r="Q6" s="75" t="s">
        <v>9</v>
      </c>
      <c r="R6" s="93">
        <v>700000</v>
      </c>
      <c r="S6" s="122">
        <v>1</v>
      </c>
      <c r="T6" s="93">
        <f t="shared" ref="T6:T8" si="0">+S6*R6</f>
        <v>700000</v>
      </c>
      <c r="U6" s="93">
        <f>+T6-U12</f>
        <v>175000</v>
      </c>
      <c r="V6" s="93">
        <f t="shared" ref="V6:V7" si="1">+(R6-V19)/(S6+S12)</f>
        <v>70000</v>
      </c>
      <c r="W6" s="93">
        <f>+R6/R5*W5</f>
        <v>70000</v>
      </c>
      <c r="X6" s="93">
        <f>+W6</f>
        <v>70000</v>
      </c>
      <c r="Y6"/>
      <c r="Z6" s="93">
        <f>+X6</f>
        <v>70000</v>
      </c>
      <c r="AB6"/>
      <c r="AC6"/>
    </row>
    <row r="7" spans="2:29" s="1" customFormat="1" ht="14.5" customHeight="1" x14ac:dyDescent="0.35">
      <c r="B7" s="246"/>
      <c r="C7" s="247"/>
      <c r="D7" s="103"/>
      <c r="E7" s="103"/>
      <c r="F7" s="222"/>
      <c r="G7" s="223"/>
      <c r="H7" s="224"/>
      <c r="I7" s="103"/>
      <c r="J7" s="103"/>
      <c r="K7" s="103"/>
      <c r="L7" s="103"/>
      <c r="M7" s="85"/>
      <c r="N7" s="86"/>
      <c r="O7" s="85"/>
      <c r="P7" s="85"/>
      <c r="Q7" s="75" t="s">
        <v>11</v>
      </c>
      <c r="R7" s="93">
        <v>800000</v>
      </c>
      <c r="S7" s="122">
        <v>1</v>
      </c>
      <c r="T7" s="93">
        <f t="shared" si="0"/>
        <v>800000</v>
      </c>
      <c r="U7" s="93">
        <f>+T7-U13</f>
        <v>200000</v>
      </c>
      <c r="V7" s="93">
        <f t="shared" si="1"/>
        <v>80000</v>
      </c>
      <c r="W7" s="93">
        <f>+(R7-W26)/10</f>
        <v>0</v>
      </c>
      <c r="X7" s="93">
        <f>+W7</f>
        <v>0</v>
      </c>
      <c r="Y7"/>
      <c r="Z7" s="93">
        <f>+X7</f>
        <v>0</v>
      </c>
      <c r="AB7"/>
      <c r="AC7"/>
    </row>
    <row r="8" spans="2:29" s="1" customFormat="1" ht="14.5" customHeight="1" thickBot="1" x14ac:dyDescent="0.4">
      <c r="B8" s="248"/>
      <c r="C8" s="249"/>
      <c r="D8" s="103"/>
      <c r="E8" s="103"/>
      <c r="F8" s="225"/>
      <c r="G8" s="226"/>
      <c r="H8" s="227"/>
      <c r="I8" s="103"/>
      <c r="J8" s="103"/>
      <c r="K8" s="103"/>
      <c r="L8" s="103"/>
      <c r="M8" s="85"/>
      <c r="N8" s="87"/>
      <c r="O8" s="85"/>
      <c r="P8" s="85"/>
      <c r="Q8" s="75" t="s">
        <v>148</v>
      </c>
      <c r="R8" s="93">
        <v>795000</v>
      </c>
      <c r="S8" s="122">
        <v>1</v>
      </c>
      <c r="T8" s="93">
        <f t="shared" si="0"/>
        <v>795000</v>
      </c>
      <c r="U8" s="93">
        <f>+T8-U14</f>
        <v>198750</v>
      </c>
      <c r="V8" s="93">
        <f>+U8</f>
        <v>198750</v>
      </c>
      <c r="W8" s="93">
        <f>+V8</f>
        <v>198750</v>
      </c>
      <c r="X8" s="93">
        <v>0</v>
      </c>
      <c r="Y8"/>
      <c r="Z8" s="93"/>
      <c r="AB8"/>
      <c r="AC8"/>
    </row>
    <row r="9" spans="2:29" s="1" customFormat="1" ht="14.5" customHeight="1" thickBot="1" x14ac:dyDescent="0.4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88"/>
      <c r="N9" s="89"/>
      <c r="O9" s="88"/>
      <c r="P9" s="88"/>
      <c r="Q9" s="120" t="s">
        <v>147</v>
      </c>
      <c r="R9" s="114">
        <f>SUM(R5:R8)</f>
        <v>2695000</v>
      </c>
      <c r="S9" s="115"/>
      <c r="T9" s="114">
        <f>SUM(T5:T8)</f>
        <v>2695000</v>
      </c>
      <c r="U9" s="114">
        <f>SUM(U5:U8)</f>
        <v>673750</v>
      </c>
      <c r="V9" s="114">
        <f>SUM(V5:V8)</f>
        <v>388750</v>
      </c>
      <c r="W9" s="114">
        <f>SUM(W5:W8)</f>
        <v>308750</v>
      </c>
      <c r="X9" s="114">
        <f>SUM(X5:X8)</f>
        <v>110000</v>
      </c>
      <c r="Y9" s="84"/>
      <c r="Z9" s="114">
        <f>SUM(Z5:Z8)</f>
        <v>110000</v>
      </c>
      <c r="AA9" s="15"/>
      <c r="AB9"/>
      <c r="AC9"/>
    </row>
    <row r="10" spans="2:29" s="1" customFormat="1" ht="14.5" customHeight="1" thickTop="1" thickBot="1" x14ac:dyDescent="0.4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85"/>
      <c r="N10" s="87"/>
      <c r="O10" s="85"/>
      <c r="P10" s="85"/>
      <c r="S10" s="15"/>
      <c r="Y10"/>
      <c r="AB10"/>
      <c r="AC10"/>
    </row>
    <row r="11" spans="2:29" s="1" customFormat="1" ht="14.5" customHeight="1" x14ac:dyDescent="0.35">
      <c r="B11" s="228" t="s">
        <v>155</v>
      </c>
      <c r="C11" s="229"/>
      <c r="D11" s="105"/>
      <c r="E11" s="102"/>
      <c r="F11" s="234" t="s">
        <v>156</v>
      </c>
      <c r="G11" s="240"/>
      <c r="H11" s="102"/>
      <c r="I11" s="102"/>
      <c r="J11" s="234" t="s">
        <v>157</v>
      </c>
      <c r="K11" s="235"/>
      <c r="L11" s="103"/>
      <c r="M11" s="85"/>
      <c r="N11" s="86" t="s">
        <v>113</v>
      </c>
      <c r="O11" s="85"/>
      <c r="P11" s="85"/>
      <c r="Q11" s="75" t="s">
        <v>146</v>
      </c>
      <c r="R11" s="93">
        <v>100000</v>
      </c>
      <c r="S11" s="122">
        <v>3</v>
      </c>
      <c r="U11" s="93">
        <f>+S11*R11</f>
        <v>300000</v>
      </c>
      <c r="V11" s="94">
        <f>+V5*3</f>
        <v>120000</v>
      </c>
      <c r="W11" s="94">
        <v>75000</v>
      </c>
      <c r="X11" s="94">
        <f>+W11</f>
        <v>75000</v>
      </c>
      <c r="Y11"/>
      <c r="Z11" s="94">
        <f>+X11/S11</f>
        <v>25000</v>
      </c>
      <c r="AB11"/>
      <c r="AC11"/>
    </row>
    <row r="12" spans="2:29" s="1" customFormat="1" ht="14.5" customHeight="1" x14ac:dyDescent="0.35">
      <c r="B12" s="230"/>
      <c r="C12" s="231"/>
      <c r="D12" s="105"/>
      <c r="E12" s="102"/>
      <c r="F12" s="236"/>
      <c r="G12" s="241"/>
      <c r="H12" s="102"/>
      <c r="I12" s="102"/>
      <c r="J12" s="236"/>
      <c r="K12" s="237"/>
      <c r="L12" s="103"/>
      <c r="M12" s="85"/>
      <c r="N12" s="86"/>
      <c r="O12" s="85"/>
      <c r="P12" s="85"/>
      <c r="Q12" s="75" t="s">
        <v>9</v>
      </c>
      <c r="R12" s="93">
        <f>+R6/4</f>
        <v>175000</v>
      </c>
      <c r="S12" s="122">
        <v>3</v>
      </c>
      <c r="U12" s="93">
        <f>+S12*R12</f>
        <v>525000</v>
      </c>
      <c r="V12" s="94">
        <f t="shared" ref="V12:W13" si="2">+V6*3</f>
        <v>210000</v>
      </c>
      <c r="W12" s="94">
        <f>+R12/R11*W11</f>
        <v>131250</v>
      </c>
      <c r="X12" s="94">
        <f>+W12</f>
        <v>131250</v>
      </c>
      <c r="Y12"/>
      <c r="Z12" s="94">
        <f>+X12/S12</f>
        <v>43750</v>
      </c>
      <c r="AB12"/>
      <c r="AC12"/>
    </row>
    <row r="13" spans="2:29" s="1" customFormat="1" ht="14.5" customHeight="1" x14ac:dyDescent="0.35">
      <c r="B13" s="230"/>
      <c r="C13" s="231"/>
      <c r="D13" s="105"/>
      <c r="E13" s="102"/>
      <c r="F13" s="236"/>
      <c r="G13" s="241"/>
      <c r="H13" s="102"/>
      <c r="I13" s="102"/>
      <c r="J13" s="236"/>
      <c r="K13" s="237"/>
      <c r="L13" s="103"/>
      <c r="M13" s="85"/>
      <c r="N13" s="86"/>
      <c r="O13" s="85"/>
      <c r="P13" s="85"/>
      <c r="Q13" s="75" t="s">
        <v>11</v>
      </c>
      <c r="R13" s="93">
        <f>+R7/4</f>
        <v>200000</v>
      </c>
      <c r="S13" s="122">
        <v>3</v>
      </c>
      <c r="U13" s="93">
        <f>+S13*R13</f>
        <v>600000</v>
      </c>
      <c r="V13" s="94">
        <f t="shared" si="2"/>
        <v>240000</v>
      </c>
      <c r="W13" s="94">
        <f t="shared" si="2"/>
        <v>0</v>
      </c>
      <c r="X13" s="94">
        <f>+W13</f>
        <v>0</v>
      </c>
      <c r="Y13"/>
      <c r="Z13" s="94">
        <f>+X13/S13</f>
        <v>0</v>
      </c>
      <c r="AB13"/>
      <c r="AC13"/>
    </row>
    <row r="14" spans="2:29" s="1" customFormat="1" ht="14.5" customHeight="1" x14ac:dyDescent="0.35">
      <c r="B14" s="230"/>
      <c r="C14" s="231"/>
      <c r="D14" s="105"/>
      <c r="E14" s="102"/>
      <c r="F14" s="236"/>
      <c r="G14" s="241"/>
      <c r="H14" s="102"/>
      <c r="I14" s="102"/>
      <c r="J14" s="236"/>
      <c r="K14" s="237"/>
      <c r="L14" s="103"/>
      <c r="M14" s="85"/>
      <c r="N14" s="86"/>
      <c r="O14" s="85"/>
      <c r="P14" s="85"/>
      <c r="Q14" s="75" t="s">
        <v>148</v>
      </c>
      <c r="R14" s="93">
        <f>+R8/4</f>
        <v>198750</v>
      </c>
      <c r="S14" s="122">
        <v>3</v>
      </c>
      <c r="U14" s="93">
        <f>+S14*R14</f>
        <v>596250</v>
      </c>
      <c r="V14" s="94">
        <f t="shared" ref="V14:W14" si="3">+U14</f>
        <v>596250</v>
      </c>
      <c r="W14" s="94">
        <f t="shared" si="3"/>
        <v>596250</v>
      </c>
      <c r="X14" s="94">
        <v>0</v>
      </c>
      <c r="Y14"/>
      <c r="Z14" s="94"/>
      <c r="AB14"/>
      <c r="AC14"/>
    </row>
    <row r="15" spans="2:29" s="1" customFormat="1" ht="14.5" customHeight="1" thickBot="1" x14ac:dyDescent="0.4">
      <c r="B15" s="232"/>
      <c r="C15" s="233"/>
      <c r="D15" s="105"/>
      <c r="E15" s="106"/>
      <c r="F15" s="242"/>
      <c r="G15" s="243"/>
      <c r="H15" s="102"/>
      <c r="I15" s="102"/>
      <c r="J15" s="238"/>
      <c r="K15" s="239"/>
      <c r="L15" s="103"/>
      <c r="M15" s="85"/>
      <c r="N15" s="87"/>
      <c r="O15" s="85"/>
      <c r="P15" s="85"/>
      <c r="Q15" s="119" t="s">
        <v>147</v>
      </c>
      <c r="R15" s="114">
        <f>SUM(R11:R14)</f>
        <v>673750</v>
      </c>
      <c r="S15" s="116"/>
      <c r="T15" s="117"/>
      <c r="U15" s="114">
        <f>SUM(U11:U14)</f>
        <v>2021250</v>
      </c>
      <c r="V15" s="114">
        <f>SUM(V11:V14)</f>
        <v>1166250</v>
      </c>
      <c r="W15" s="114">
        <f>SUM(W11:W14)</f>
        <v>802500</v>
      </c>
      <c r="X15" s="114">
        <f>SUM(X11:X14)</f>
        <v>206250</v>
      </c>
      <c r="Y15" s="84"/>
      <c r="Z15" s="114">
        <f>SUM(Z11:Z14)</f>
        <v>68750</v>
      </c>
      <c r="AB15"/>
      <c r="AC15"/>
    </row>
    <row r="16" spans="2:29" s="1" customFormat="1" ht="14.5" customHeight="1" x14ac:dyDescent="0.35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88"/>
      <c r="N16" s="89"/>
      <c r="O16" s="88"/>
      <c r="P16" s="88"/>
      <c r="Q16" s="5"/>
      <c r="R16" s="5"/>
      <c r="S16" s="123"/>
      <c r="T16" s="5"/>
      <c r="U16" s="5"/>
      <c r="V16" s="5"/>
      <c r="W16" s="5"/>
      <c r="X16" s="5"/>
      <c r="Y16"/>
      <c r="Z16" s="98"/>
      <c r="AB16"/>
      <c r="AC16"/>
    </row>
    <row r="17" spans="2:29" s="1" customFormat="1" ht="14.5" customHeight="1" thickBot="1" x14ac:dyDescent="0.4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85"/>
      <c r="N17" s="87"/>
      <c r="O17" s="85"/>
      <c r="P17" s="85"/>
      <c r="S17" s="15"/>
      <c r="Y17"/>
      <c r="AB17"/>
      <c r="AC17"/>
    </row>
    <row r="18" spans="2:29" s="1" customFormat="1" ht="14.5" customHeight="1" x14ac:dyDescent="0.35">
      <c r="B18" s="216" t="s">
        <v>133</v>
      </c>
      <c r="C18" s="103"/>
      <c r="D18" s="216" t="s">
        <v>132</v>
      </c>
      <c r="E18" s="103"/>
      <c r="F18" s="216" t="s">
        <v>131</v>
      </c>
      <c r="G18" s="103"/>
      <c r="H18" s="216" t="s">
        <v>130</v>
      </c>
      <c r="I18" s="103"/>
      <c r="J18" s="216" t="s">
        <v>129</v>
      </c>
      <c r="K18" s="103"/>
      <c r="L18" s="216" t="s">
        <v>128</v>
      </c>
      <c r="M18" s="85"/>
      <c r="N18" s="87"/>
      <c r="O18" s="85"/>
      <c r="P18" s="85"/>
      <c r="Q18" s="75" t="s">
        <v>146</v>
      </c>
      <c r="R18" s="93">
        <f>+R5/10</f>
        <v>40000</v>
      </c>
      <c r="S18" s="122">
        <v>6</v>
      </c>
      <c r="V18" s="93">
        <f>+S18*R18</f>
        <v>240000</v>
      </c>
      <c r="W18" s="93">
        <f>22500*6</f>
        <v>135000</v>
      </c>
      <c r="X18" s="93">
        <f>+W18</f>
        <v>135000</v>
      </c>
      <c r="Y18"/>
      <c r="Z18" s="93">
        <f>+X18/S18</f>
        <v>22500</v>
      </c>
      <c r="AB18"/>
      <c r="AC18"/>
    </row>
    <row r="19" spans="2:29" s="1" customFormat="1" ht="14.5" customHeight="1" x14ac:dyDescent="0.35">
      <c r="B19" s="217"/>
      <c r="C19" s="103"/>
      <c r="D19" s="217"/>
      <c r="E19" s="103"/>
      <c r="F19" s="217"/>
      <c r="G19" s="103"/>
      <c r="H19" s="217"/>
      <c r="I19" s="103"/>
      <c r="J19" s="217"/>
      <c r="K19" s="103"/>
      <c r="L19" s="217"/>
      <c r="M19" s="85"/>
      <c r="N19" s="87"/>
      <c r="O19" s="85"/>
      <c r="P19" s="85"/>
      <c r="Q19" s="75" t="s">
        <v>9</v>
      </c>
      <c r="R19" s="93">
        <f t="shared" ref="R19:R20" si="4">+R6/10</f>
        <v>70000</v>
      </c>
      <c r="S19" s="122">
        <v>6</v>
      </c>
      <c r="V19" s="93">
        <f>+S19*R19</f>
        <v>420000</v>
      </c>
      <c r="W19" s="101">
        <f>39375*6</f>
        <v>236250</v>
      </c>
      <c r="X19" s="101">
        <f>+W19</f>
        <v>236250</v>
      </c>
      <c r="Y19"/>
      <c r="Z19" s="93">
        <f>+X19/S19</f>
        <v>39375</v>
      </c>
      <c r="AB19"/>
      <c r="AC19"/>
    </row>
    <row r="20" spans="2:29" s="1" customFormat="1" ht="14.5" customHeight="1" thickBot="1" x14ac:dyDescent="0.4">
      <c r="B20" s="218"/>
      <c r="C20" s="103"/>
      <c r="D20" s="218"/>
      <c r="E20" s="103"/>
      <c r="F20" s="218"/>
      <c r="G20" s="103"/>
      <c r="H20" s="218"/>
      <c r="I20" s="103"/>
      <c r="J20" s="218"/>
      <c r="K20" s="103"/>
      <c r="L20" s="218"/>
      <c r="M20" s="85"/>
      <c r="N20" s="86" t="s">
        <v>114</v>
      </c>
      <c r="O20" s="85"/>
      <c r="P20" s="85"/>
      <c r="Q20" s="75" t="s">
        <v>11</v>
      </c>
      <c r="R20" s="93">
        <f t="shared" si="4"/>
        <v>80000</v>
      </c>
      <c r="S20" s="122">
        <v>6</v>
      </c>
      <c r="V20" s="93">
        <f>+S20*R20</f>
        <v>480000</v>
      </c>
      <c r="W20" s="93">
        <f>+W7*S20</f>
        <v>0</v>
      </c>
      <c r="X20" s="93">
        <f>+W20</f>
        <v>0</v>
      </c>
      <c r="Y20"/>
      <c r="Z20" s="93">
        <f>+X20/S20</f>
        <v>0</v>
      </c>
      <c r="AB20"/>
      <c r="AC20"/>
    </row>
    <row r="21" spans="2:29" s="1" customFormat="1" ht="14.5" customHeight="1" x14ac:dyDescent="0.35">
      <c r="B21" s="107"/>
      <c r="C21" s="103"/>
      <c r="D21" s="107"/>
      <c r="E21" s="103"/>
      <c r="F21" s="107"/>
      <c r="G21" s="103"/>
      <c r="H21" s="107"/>
      <c r="I21" s="103"/>
      <c r="J21" s="107"/>
      <c r="K21" s="103"/>
      <c r="L21" s="107"/>
      <c r="M21" s="85"/>
      <c r="N21" s="86"/>
      <c r="O21" s="85"/>
      <c r="P21" s="85"/>
      <c r="Q21" s="75" t="s">
        <v>148</v>
      </c>
      <c r="R21" s="93">
        <v>0</v>
      </c>
      <c r="S21" s="122">
        <v>3</v>
      </c>
      <c r="V21" s="93">
        <f>+S21*R21</f>
        <v>0</v>
      </c>
      <c r="W21" s="93">
        <f>+T21*S21</f>
        <v>0</v>
      </c>
      <c r="X21" s="93">
        <f>+U21*T21</f>
        <v>0</v>
      </c>
      <c r="Y21"/>
      <c r="Z21" s="93"/>
      <c r="AB21"/>
      <c r="AC21"/>
    </row>
    <row r="22" spans="2:29" s="1" customFormat="1" ht="14.5" customHeight="1" thickBot="1" x14ac:dyDescent="0.4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88"/>
      <c r="N22" s="89"/>
      <c r="O22" s="88"/>
      <c r="P22" s="88"/>
      <c r="Q22" s="120" t="s">
        <v>147</v>
      </c>
      <c r="R22" s="114">
        <f>SUM(R18:R21)</f>
        <v>190000</v>
      </c>
      <c r="S22" s="116"/>
      <c r="T22" s="117"/>
      <c r="U22" s="117"/>
      <c r="V22" s="114">
        <f>SUM(V18:V21)</f>
        <v>1140000</v>
      </c>
      <c r="W22" s="114">
        <f>SUM(W18:W21)</f>
        <v>371250</v>
      </c>
      <c r="X22" s="114">
        <f>SUM(X18:X21)</f>
        <v>371250</v>
      </c>
      <c r="Y22" s="84"/>
      <c r="Z22" s="114">
        <f>SUM(Z18:Z21)</f>
        <v>61875</v>
      </c>
      <c r="AB22"/>
      <c r="AC22"/>
    </row>
    <row r="23" spans="2:29" s="1" customFormat="1" ht="14.5" customHeight="1" thickTop="1" thickBot="1" x14ac:dyDescent="0.4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85"/>
      <c r="N23" s="87"/>
      <c r="O23" s="85"/>
      <c r="P23" s="85"/>
      <c r="S23" s="15"/>
      <c r="W23" s="10"/>
      <c r="X23" s="10"/>
      <c r="Y23"/>
      <c r="Z23" s="10"/>
      <c r="AB23"/>
      <c r="AC23"/>
    </row>
    <row r="24" spans="2:29" s="72" customFormat="1" ht="14.5" customHeight="1" thickBot="1" x14ac:dyDescent="0.4">
      <c r="B24" s="108" t="s">
        <v>134</v>
      </c>
      <c r="C24" s="109"/>
      <c r="D24" s="108" t="s">
        <v>136</v>
      </c>
      <c r="E24" s="109"/>
      <c r="F24" s="108" t="s">
        <v>138</v>
      </c>
      <c r="G24" s="109"/>
      <c r="H24" s="108" t="s">
        <v>140</v>
      </c>
      <c r="I24" s="109"/>
      <c r="J24" s="108" t="s">
        <v>143</v>
      </c>
      <c r="K24" s="109"/>
      <c r="L24" s="106"/>
      <c r="M24" s="90"/>
      <c r="N24" s="91" t="s">
        <v>161</v>
      </c>
      <c r="O24" s="90"/>
      <c r="P24" s="90"/>
      <c r="Q24" s="75" t="s">
        <v>146</v>
      </c>
      <c r="R24" s="93">
        <v>15000</v>
      </c>
      <c r="S24" s="122">
        <v>10</v>
      </c>
      <c r="T24" s="125" t="s">
        <v>167</v>
      </c>
      <c r="W24" s="93">
        <f>+S24*R24</f>
        <v>150000</v>
      </c>
      <c r="X24" s="93">
        <f>+W24</f>
        <v>150000</v>
      </c>
      <c r="Y24"/>
      <c r="Z24" s="93">
        <f>+X24/S24</f>
        <v>15000</v>
      </c>
      <c r="AA24" s="1"/>
      <c r="AB24"/>
      <c r="AC24"/>
    </row>
    <row r="25" spans="2:29" s="72" customFormat="1" ht="14.5" customHeight="1" thickBot="1" x14ac:dyDescent="0.4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6"/>
      <c r="M25" s="90"/>
      <c r="N25" s="92"/>
      <c r="O25" s="90"/>
      <c r="P25" s="90"/>
      <c r="Q25" s="75" t="s">
        <v>9</v>
      </c>
      <c r="R25" s="93">
        <f>+R24/R5*R6</f>
        <v>26250</v>
      </c>
      <c r="S25" s="122">
        <f>+S24</f>
        <v>10</v>
      </c>
      <c r="T25" s="125" t="s">
        <v>167</v>
      </c>
      <c r="W25" s="93">
        <f t="shared" ref="W25:X27" si="5">+S25*R25</f>
        <v>262500</v>
      </c>
      <c r="X25" s="93">
        <f>+W25</f>
        <v>262500</v>
      </c>
      <c r="Y25"/>
      <c r="Z25" s="93">
        <f>+X25/S25</f>
        <v>26250</v>
      </c>
      <c r="AA25" s="1"/>
      <c r="AB25"/>
      <c r="AC25"/>
    </row>
    <row r="26" spans="2:29" s="72" customFormat="1" ht="14.5" customHeight="1" thickBot="1" x14ac:dyDescent="0.4">
      <c r="B26" s="108" t="s">
        <v>135</v>
      </c>
      <c r="C26" s="109"/>
      <c r="D26" s="108" t="s">
        <v>137</v>
      </c>
      <c r="E26" s="109"/>
      <c r="F26" s="108" t="s">
        <v>139</v>
      </c>
      <c r="G26" s="109"/>
      <c r="H26" s="108" t="s">
        <v>141</v>
      </c>
      <c r="I26" s="109"/>
      <c r="J26" s="108" t="s">
        <v>142</v>
      </c>
      <c r="K26" s="109"/>
      <c r="L26" s="106"/>
      <c r="M26" s="90"/>
      <c r="N26" s="92"/>
      <c r="O26" s="90"/>
      <c r="P26" s="90"/>
      <c r="Q26" s="75" t="s">
        <v>11</v>
      </c>
      <c r="R26" s="93">
        <f>800000/20</f>
        <v>40000</v>
      </c>
      <c r="S26" s="122">
        <v>20</v>
      </c>
      <c r="T26" s="125" t="s">
        <v>168</v>
      </c>
      <c r="W26" s="93">
        <f t="shared" si="5"/>
        <v>800000</v>
      </c>
      <c r="X26" s="93">
        <f>+W26</f>
        <v>800000</v>
      </c>
      <c r="Y26"/>
      <c r="Z26" s="93">
        <f>+X26/S26</f>
        <v>40000</v>
      </c>
      <c r="AA26" s="1"/>
      <c r="AB26"/>
      <c r="AC26"/>
    </row>
    <row r="27" spans="2:29" s="72" customFormat="1" ht="14.5" customHeight="1" thickBot="1" x14ac:dyDescent="0.4"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90"/>
      <c r="N27" s="92"/>
      <c r="O27" s="90"/>
      <c r="P27" s="90"/>
      <c r="Q27" s="75" t="s">
        <v>148</v>
      </c>
      <c r="R27" s="93">
        <v>0</v>
      </c>
      <c r="S27" s="122">
        <v>30</v>
      </c>
      <c r="W27" s="93">
        <f t="shared" si="5"/>
        <v>0</v>
      </c>
      <c r="X27" s="93">
        <f t="shared" si="5"/>
        <v>0</v>
      </c>
      <c r="Y27"/>
      <c r="Z27" s="93"/>
      <c r="AA27" s="1"/>
      <c r="AB27"/>
      <c r="AC27"/>
    </row>
    <row r="28" spans="2:29" s="72" customFormat="1" ht="14.5" customHeight="1" thickBot="1" x14ac:dyDescent="0.4">
      <c r="B28" s="108" t="s">
        <v>160</v>
      </c>
      <c r="C28" s="109"/>
      <c r="D28" s="108" t="s">
        <v>160</v>
      </c>
      <c r="E28" s="109"/>
      <c r="F28" s="108" t="s">
        <v>160</v>
      </c>
      <c r="G28" s="109"/>
      <c r="H28" s="108" t="s">
        <v>160</v>
      </c>
      <c r="I28" s="109"/>
      <c r="J28" s="108" t="s">
        <v>160</v>
      </c>
      <c r="K28" s="109"/>
      <c r="L28" s="108" t="s">
        <v>160</v>
      </c>
      <c r="M28" s="90"/>
      <c r="N28" s="108" t="s">
        <v>160</v>
      </c>
      <c r="O28" s="90"/>
      <c r="P28" s="90"/>
      <c r="Q28" s="119" t="s">
        <v>147</v>
      </c>
      <c r="R28" s="114">
        <f>SUM(R24:R27)</f>
        <v>81250</v>
      </c>
      <c r="S28" s="116"/>
      <c r="T28" s="76"/>
      <c r="U28" s="76"/>
      <c r="V28" s="76"/>
      <c r="W28" s="114">
        <f>SUM(W24:W27)</f>
        <v>1212500</v>
      </c>
      <c r="X28" s="114">
        <f>SUM(X24:X27)</f>
        <v>1212500</v>
      </c>
      <c r="Y28" s="84"/>
      <c r="Z28" s="93"/>
      <c r="AA28" s="1"/>
      <c r="AB28"/>
      <c r="AC28"/>
    </row>
    <row r="29" spans="2:29" s="72" customFormat="1" ht="14.5" customHeight="1" thickBot="1" x14ac:dyDescent="0.4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90"/>
      <c r="N29" s="109"/>
      <c r="O29" s="90"/>
      <c r="P29" s="90"/>
      <c r="S29" s="76"/>
      <c r="W29" s="97"/>
      <c r="X29" s="97"/>
      <c r="Y29"/>
      <c r="Z29" s="93"/>
      <c r="AA29" s="1"/>
      <c r="AB29"/>
      <c r="AC29"/>
    </row>
    <row r="30" spans="2:29" s="72" customFormat="1" ht="14.5" customHeight="1" thickBot="1" x14ac:dyDescent="0.4">
      <c r="B30" s="108" t="s">
        <v>160</v>
      </c>
      <c r="C30" s="109"/>
      <c r="D30" s="108" t="s">
        <v>160</v>
      </c>
      <c r="E30" s="109"/>
      <c r="F30" s="108" t="s">
        <v>160</v>
      </c>
      <c r="G30" s="109"/>
      <c r="H30" s="108" t="s">
        <v>160</v>
      </c>
      <c r="I30" s="109"/>
      <c r="J30" s="108" t="s">
        <v>160</v>
      </c>
      <c r="K30" s="109"/>
      <c r="L30" s="108" t="s">
        <v>160</v>
      </c>
      <c r="M30" s="90"/>
      <c r="N30" s="108" t="s">
        <v>160</v>
      </c>
      <c r="O30" s="90"/>
      <c r="P30" s="90"/>
      <c r="S30" s="76"/>
      <c r="W30" s="97"/>
      <c r="X30" s="97"/>
      <c r="Y30"/>
      <c r="Z30" s="97"/>
      <c r="AA30" s="1"/>
      <c r="AB30"/>
      <c r="AC30"/>
    </row>
    <row r="31" spans="2:29" s="72" customFormat="1" ht="14.5" customHeight="1" thickBot="1" x14ac:dyDescent="0.4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90"/>
      <c r="N31" s="109"/>
      <c r="O31" s="90"/>
      <c r="P31" s="90"/>
      <c r="S31" s="76"/>
      <c r="W31" s="97"/>
      <c r="X31" s="97"/>
      <c r="Y31"/>
      <c r="Z31" s="97"/>
      <c r="AA31" s="1"/>
      <c r="AB31"/>
      <c r="AC31"/>
    </row>
    <row r="32" spans="2:29" s="72" customFormat="1" ht="14.5" customHeight="1" thickBot="1" x14ac:dyDescent="0.4">
      <c r="B32" s="108" t="s">
        <v>160</v>
      </c>
      <c r="C32" s="109"/>
      <c r="D32" s="108" t="s">
        <v>160</v>
      </c>
      <c r="E32" s="109"/>
      <c r="F32" s="108" t="s">
        <v>160</v>
      </c>
      <c r="G32" s="109"/>
      <c r="H32" s="108" t="s">
        <v>160</v>
      </c>
      <c r="I32" s="109"/>
      <c r="J32" s="108" t="s">
        <v>160</v>
      </c>
      <c r="K32" s="109"/>
      <c r="L32" s="108" t="s">
        <v>160</v>
      </c>
      <c r="M32" s="90"/>
      <c r="N32" s="108" t="s">
        <v>160</v>
      </c>
      <c r="O32" s="90"/>
      <c r="P32" s="90"/>
      <c r="S32" s="76"/>
      <c r="W32" s="97"/>
      <c r="X32" s="97"/>
      <c r="Y32"/>
      <c r="Z32" s="97"/>
      <c r="AB32"/>
      <c r="AC32"/>
    </row>
    <row r="33" spans="2:26" ht="14.5" customHeight="1" x14ac:dyDescent="0.3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4"/>
      <c r="N33" s="4"/>
      <c r="O33" s="4"/>
      <c r="P33" s="4"/>
      <c r="Q33" s="4" t="s">
        <v>165</v>
      </c>
      <c r="R33" s="4"/>
      <c r="S33" s="124"/>
      <c r="T33" s="4"/>
      <c r="U33" s="4"/>
      <c r="V33" s="4"/>
      <c r="W33" s="96"/>
      <c r="X33" s="100">
        <f>+R8</f>
        <v>795000</v>
      </c>
      <c r="Z33" s="99"/>
    </row>
    <row r="34" spans="2:26" ht="15" thickBot="1" x14ac:dyDescent="0.4">
      <c r="L34" s="77"/>
      <c r="M34" s="77"/>
      <c r="N34" s="77"/>
      <c r="O34" s="77"/>
      <c r="P34" s="77"/>
      <c r="Q34" s="84" t="s">
        <v>149</v>
      </c>
      <c r="R34" s="84"/>
      <c r="S34" s="84"/>
      <c r="T34" s="118">
        <f>+T22+T15+T9</f>
        <v>2695000</v>
      </c>
      <c r="U34" s="118">
        <f>+U22+U15+U9</f>
        <v>2695000</v>
      </c>
      <c r="V34" s="118">
        <f>+V22+V15+V9</f>
        <v>2695000</v>
      </c>
      <c r="W34" s="118">
        <f>+W22+W15+W9+W28</f>
        <v>2695000</v>
      </c>
      <c r="X34" s="118">
        <f>+X22+X15+X9+X28+X33</f>
        <v>2695000</v>
      </c>
      <c r="Z34" s="95"/>
    </row>
    <row r="35" spans="2:26" ht="15" thickTop="1" x14ac:dyDescent="0.35"/>
    <row r="36" spans="2:26" x14ac:dyDescent="0.35">
      <c r="Z36" s="77" t="s">
        <v>174</v>
      </c>
    </row>
  </sheetData>
  <mergeCells count="12">
    <mergeCell ref="B2:Z2"/>
    <mergeCell ref="L18:L20"/>
    <mergeCell ref="F6:H8"/>
    <mergeCell ref="B11:C15"/>
    <mergeCell ref="J11:K15"/>
    <mergeCell ref="F11:G15"/>
    <mergeCell ref="B6:C8"/>
    <mergeCell ref="B18:B20"/>
    <mergeCell ref="D18:D20"/>
    <mergeCell ref="F18:F20"/>
    <mergeCell ref="H18:H20"/>
    <mergeCell ref="J18:J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C6D2-C6B5-4A39-B4D3-A78ABF19B622}">
  <dimension ref="B1:G10"/>
  <sheetViews>
    <sheetView showGridLines="0" workbookViewId="0">
      <selection activeCell="B2" sqref="B2:G2"/>
    </sheetView>
  </sheetViews>
  <sheetFormatPr defaultRowHeight="14.5" x14ac:dyDescent="0.35"/>
  <cols>
    <col min="2" max="2" width="11.26953125" bestFit="1" customWidth="1"/>
    <col min="4" max="7" width="9.54296875" bestFit="1" customWidth="1"/>
  </cols>
  <sheetData>
    <row r="1" spans="2:7" ht="15" thickBot="1" x14ac:dyDescent="0.4"/>
    <row r="2" spans="2:7" ht="19" thickBot="1" x14ac:dyDescent="0.5">
      <c r="B2" s="250" t="s">
        <v>175</v>
      </c>
      <c r="C2" s="251"/>
      <c r="D2" s="251"/>
      <c r="E2" s="251"/>
      <c r="F2" s="251"/>
      <c r="G2" s="252"/>
    </row>
    <row r="3" spans="2:7" ht="49" customHeight="1" x14ac:dyDescent="0.35">
      <c r="B3" s="126"/>
      <c r="C3" s="126" t="s">
        <v>144</v>
      </c>
      <c r="D3" s="130" t="s">
        <v>150</v>
      </c>
      <c r="E3" s="130" t="s">
        <v>151</v>
      </c>
      <c r="F3" s="130" t="s">
        <v>152</v>
      </c>
      <c r="G3" s="130" t="s">
        <v>153</v>
      </c>
    </row>
    <row r="4" spans="2:7" ht="14.5" customHeight="1" thickBot="1" x14ac:dyDescent="0.4">
      <c r="B4" s="113" t="s">
        <v>21</v>
      </c>
      <c r="C4" s="113" t="s">
        <v>159</v>
      </c>
      <c r="D4" s="113" t="s">
        <v>159</v>
      </c>
      <c r="E4" s="113" t="s">
        <v>159</v>
      </c>
      <c r="F4" s="113" t="s">
        <v>159</v>
      </c>
      <c r="G4" s="113" t="s">
        <v>159</v>
      </c>
    </row>
    <row r="5" spans="2:7" ht="15" thickTop="1" x14ac:dyDescent="0.35">
      <c r="B5" s="75" t="s">
        <v>146</v>
      </c>
      <c r="C5" s="93">
        <f>+'Fig. 7.7'!R11</f>
        <v>100000</v>
      </c>
      <c r="D5" s="93">
        <f>+'Fig. 7.7'!U11/3</f>
        <v>100000</v>
      </c>
      <c r="E5" s="93">
        <f>+'Fig. 7.7'!V11/3</f>
        <v>40000</v>
      </c>
      <c r="F5" s="93">
        <f>+'Fig. 7.7'!W11/3</f>
        <v>25000</v>
      </c>
      <c r="G5" s="93">
        <f>+'Fig. 7.7'!X11/3</f>
        <v>25000</v>
      </c>
    </row>
    <row r="6" spans="2:7" x14ac:dyDescent="0.35">
      <c r="B6" s="75" t="s">
        <v>9</v>
      </c>
      <c r="C6" s="93">
        <f>+'Fig. 7.7'!R12</f>
        <v>175000</v>
      </c>
      <c r="D6" s="93">
        <f>+'Fig. 7.7'!U12/3</f>
        <v>175000</v>
      </c>
      <c r="E6" s="93">
        <f>+'Fig. 7.7'!V12/3</f>
        <v>70000</v>
      </c>
      <c r="F6" s="93">
        <f>+'Fig. 7.7'!W12/3</f>
        <v>43750</v>
      </c>
      <c r="G6" s="93">
        <f>+'Fig. 7.7'!X12/3</f>
        <v>43750</v>
      </c>
    </row>
    <row r="7" spans="2:7" x14ac:dyDescent="0.35">
      <c r="B7" s="75" t="s">
        <v>11</v>
      </c>
      <c r="C7" s="93">
        <f>+'Fig. 7.7'!R13</f>
        <v>200000</v>
      </c>
      <c r="D7" s="93">
        <f>+'Fig. 7.7'!U13/3</f>
        <v>200000</v>
      </c>
      <c r="E7" s="93">
        <f>+'Fig. 7.7'!V13/3</f>
        <v>80000</v>
      </c>
      <c r="F7" s="93">
        <f>+'Fig. 7.7'!W13/3</f>
        <v>0</v>
      </c>
      <c r="G7" s="93">
        <f>+'Fig. 7.7'!X13/3</f>
        <v>0</v>
      </c>
    </row>
    <row r="8" spans="2:7" x14ac:dyDescent="0.35">
      <c r="B8" s="75" t="s">
        <v>148</v>
      </c>
      <c r="C8" s="93">
        <f>+'Fig. 7.7'!R14</f>
        <v>198750</v>
      </c>
      <c r="D8" s="93">
        <f>+'Fig. 7.7'!U14/3</f>
        <v>198750</v>
      </c>
      <c r="E8" s="93">
        <f>+'Fig. 7.7'!V14/3</f>
        <v>198750</v>
      </c>
      <c r="F8" s="93">
        <f>+'Fig. 7.7'!W14/3</f>
        <v>198750</v>
      </c>
      <c r="G8" s="93">
        <f>+'Fig. 7.7'!X14/3</f>
        <v>0</v>
      </c>
    </row>
    <row r="9" spans="2:7" ht="15" thickBot="1" x14ac:dyDescent="0.4">
      <c r="B9" s="119" t="s">
        <v>147</v>
      </c>
      <c r="C9" s="114">
        <f>SUM(C5:C8)</f>
        <v>673750</v>
      </c>
      <c r="D9" s="114">
        <f>SUM(D5:D8)</f>
        <v>673750</v>
      </c>
      <c r="E9" s="114">
        <f>SUM(E5:E8)</f>
        <v>388750</v>
      </c>
      <c r="F9" s="114">
        <f>SUM(F5:F8)</f>
        <v>267500</v>
      </c>
      <c r="G9" s="114">
        <f>SUM(G5:G8)</f>
        <v>68750</v>
      </c>
    </row>
    <row r="10" spans="2:7" ht="15" thickTop="1" x14ac:dyDescent="0.35">
      <c r="G10" s="84" t="s">
        <v>176</v>
      </c>
    </row>
  </sheetData>
  <mergeCells count="1">
    <mergeCell ref="B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0FDA-49B7-4204-914D-DC0395FAAA98}">
  <dimension ref="B1:G26"/>
  <sheetViews>
    <sheetView showGridLines="0" workbookViewId="0">
      <selection activeCell="B2" sqref="B2:F2"/>
    </sheetView>
  </sheetViews>
  <sheetFormatPr defaultRowHeight="14.5" x14ac:dyDescent="0.35"/>
  <cols>
    <col min="2" max="2" width="12.26953125" customWidth="1"/>
    <col min="3" max="3" width="11.54296875" customWidth="1"/>
    <col min="4" max="4" width="11.1796875" customWidth="1"/>
    <col min="5" max="5" width="11.36328125" customWidth="1"/>
    <col min="6" max="6" width="12.6328125" customWidth="1"/>
    <col min="7" max="7" width="9.54296875" bestFit="1" customWidth="1"/>
  </cols>
  <sheetData>
    <row r="1" spans="2:6" ht="15" thickBot="1" x14ac:dyDescent="0.4"/>
    <row r="2" spans="2:6" ht="16" thickBot="1" x14ac:dyDescent="0.4">
      <c r="B2" s="253" t="s">
        <v>177</v>
      </c>
      <c r="C2" s="254"/>
      <c r="D2" s="254"/>
      <c r="E2" s="254"/>
      <c r="F2" s="254"/>
    </row>
    <row r="3" spans="2:6" ht="49" customHeight="1" x14ac:dyDescent="0.35">
      <c r="B3" s="126"/>
      <c r="C3" s="130" t="s">
        <v>150</v>
      </c>
      <c r="D3" s="130" t="s">
        <v>151</v>
      </c>
      <c r="E3" s="130" t="s">
        <v>152</v>
      </c>
      <c r="F3" s="130" t="s">
        <v>153</v>
      </c>
    </row>
    <row r="4" spans="2:6" ht="14.5" customHeight="1" thickBot="1" x14ac:dyDescent="0.4">
      <c r="B4" s="113" t="s">
        <v>21</v>
      </c>
      <c r="C4" s="113" t="s">
        <v>159</v>
      </c>
      <c r="D4" s="113" t="s">
        <v>159</v>
      </c>
      <c r="E4" s="113" t="s">
        <v>159</v>
      </c>
      <c r="F4" s="113" t="s">
        <v>159</v>
      </c>
    </row>
    <row r="5" spans="2:6" ht="15" thickTop="1" x14ac:dyDescent="0.35">
      <c r="B5" s="75" t="s">
        <v>146</v>
      </c>
      <c r="C5" s="93">
        <f>+'Fig. 7.7'!U11/3</f>
        <v>100000</v>
      </c>
      <c r="D5" s="93">
        <f>+'Fig. 7.7'!V11/3</f>
        <v>40000</v>
      </c>
      <c r="E5" s="93">
        <f>+'Fig. 7.7'!W11/3</f>
        <v>25000</v>
      </c>
      <c r="F5" s="93">
        <f>+'Fig. 7.7'!X11/3</f>
        <v>25000</v>
      </c>
    </row>
    <row r="6" spans="2:6" x14ac:dyDescent="0.35">
      <c r="B6" s="75" t="s">
        <v>9</v>
      </c>
      <c r="C6" s="93">
        <f>+'Fig. 7.7'!U12/3</f>
        <v>175000</v>
      </c>
      <c r="D6" s="93">
        <f>+'Fig. 7.7'!V12/3</f>
        <v>70000</v>
      </c>
      <c r="E6" s="93">
        <f>+'Fig. 7.7'!W12/3</f>
        <v>43750</v>
      </c>
      <c r="F6" s="93">
        <f>+'Fig. 7.7'!X12/3</f>
        <v>43750</v>
      </c>
    </row>
    <row r="7" spans="2:6" x14ac:dyDescent="0.35">
      <c r="B7" s="75" t="s">
        <v>11</v>
      </c>
      <c r="C7" s="93">
        <f>+'Fig. 7.7'!U13/3</f>
        <v>200000</v>
      </c>
      <c r="D7" s="93">
        <f>+'Fig. 7.7'!V13/3</f>
        <v>80000</v>
      </c>
      <c r="E7" s="93">
        <f>+'Fig. 7.7'!W13/3</f>
        <v>0</v>
      </c>
      <c r="F7" s="93">
        <f>+'Fig. 7.7'!X13/3</f>
        <v>0</v>
      </c>
    </row>
    <row r="8" spans="2:6" x14ac:dyDescent="0.35">
      <c r="B8" s="75" t="s">
        <v>148</v>
      </c>
      <c r="C8" s="93">
        <f>+'Fig. 7.7'!U14/3</f>
        <v>198750</v>
      </c>
      <c r="D8" s="93">
        <f>+'Fig. 7.7'!V14/3</f>
        <v>198750</v>
      </c>
      <c r="E8" s="93">
        <f>+'Fig. 7.7'!W14/3</f>
        <v>198750</v>
      </c>
      <c r="F8" s="93">
        <f>+'Fig. 7.7'!X14/3</f>
        <v>0</v>
      </c>
    </row>
    <row r="9" spans="2:6" ht="15" thickBot="1" x14ac:dyDescent="0.4">
      <c r="B9" s="119" t="s">
        <v>147</v>
      </c>
      <c r="C9" s="114">
        <f>SUM(C5:C8)</f>
        <v>673750</v>
      </c>
      <c r="D9" s="114">
        <f>SUM(D5:D8)</f>
        <v>388750</v>
      </c>
      <c r="E9" s="114">
        <f>SUM(E5:E8)</f>
        <v>267500</v>
      </c>
      <c r="F9" s="114">
        <f>SUM(F5:F8)</f>
        <v>68750</v>
      </c>
    </row>
    <row r="10" spans="2:6" ht="15" thickTop="1" x14ac:dyDescent="0.35"/>
    <row r="12" spans="2:6" x14ac:dyDescent="0.35">
      <c r="B12" s="137"/>
      <c r="C12" s="138" t="s">
        <v>170</v>
      </c>
      <c r="D12" s="138" t="s">
        <v>171</v>
      </c>
      <c r="E12" s="138" t="s">
        <v>186</v>
      </c>
    </row>
    <row r="13" spans="2:6" ht="58.5" thickBot="1" x14ac:dyDescent="0.4">
      <c r="B13" s="132"/>
      <c r="C13" s="132" t="s">
        <v>178</v>
      </c>
      <c r="D13" s="132" t="s">
        <v>178</v>
      </c>
      <c r="E13" s="132" t="s">
        <v>178</v>
      </c>
    </row>
    <row r="14" spans="2:6" ht="15" thickTop="1" x14ac:dyDescent="0.35">
      <c r="B14" s="75" t="s">
        <v>146</v>
      </c>
      <c r="C14" s="131">
        <v>2.2499999999999999E-2</v>
      </c>
      <c r="D14" s="131">
        <v>2.2499999999999999E-2</v>
      </c>
      <c r="E14" s="131">
        <v>2.2499999999999999E-2</v>
      </c>
      <c r="F14" t="s">
        <v>224</v>
      </c>
    </row>
    <row r="15" spans="2:6" x14ac:dyDescent="0.35">
      <c r="B15" s="75" t="s">
        <v>9</v>
      </c>
      <c r="C15" s="131">
        <v>2.2499999999999999E-2</v>
      </c>
      <c r="D15" s="131">
        <v>2.2499999999999999E-2</v>
      </c>
      <c r="E15" s="131">
        <v>2.2499999999999999E-2</v>
      </c>
      <c r="F15" t="s">
        <v>225</v>
      </c>
    </row>
    <row r="16" spans="2:6" x14ac:dyDescent="0.35">
      <c r="B16" s="75" t="s">
        <v>11</v>
      </c>
      <c r="C16" s="131">
        <v>2.2499999999999999E-2</v>
      </c>
      <c r="D16" s="131">
        <v>1.4999999999999999E-2</v>
      </c>
      <c r="E16" s="131">
        <v>2.5000000000000001E-3</v>
      </c>
    </row>
    <row r="17" spans="2:7" x14ac:dyDescent="0.35">
      <c r="B17" s="134" t="s">
        <v>181</v>
      </c>
      <c r="C17" s="135">
        <v>0.03</v>
      </c>
      <c r="D17" s="135"/>
      <c r="E17" s="135"/>
      <c r="F17" s="4"/>
    </row>
    <row r="18" spans="2:7" x14ac:dyDescent="0.35">
      <c r="B18" t="s">
        <v>179</v>
      </c>
    </row>
    <row r="20" spans="2:7" ht="29.5" thickBot="1" x14ac:dyDescent="0.4">
      <c r="B20" s="139" t="s">
        <v>21</v>
      </c>
      <c r="C20" s="132" t="s">
        <v>182</v>
      </c>
      <c r="D20" s="132" t="s">
        <v>183</v>
      </c>
      <c r="E20" s="132" t="s">
        <v>184</v>
      </c>
      <c r="F20" s="132" t="s">
        <v>185</v>
      </c>
      <c r="G20" s="132" t="s">
        <v>187</v>
      </c>
    </row>
    <row r="21" spans="2:7" ht="15" thickTop="1" x14ac:dyDescent="0.35">
      <c r="B21" s="75" t="s">
        <v>146</v>
      </c>
      <c r="C21" s="93">
        <f>+C14*C5</f>
        <v>2250</v>
      </c>
      <c r="D21" s="93">
        <f t="shared" ref="D21:E24" si="0">-D14*(C5-D5)</f>
        <v>-1350</v>
      </c>
      <c r="E21" s="93">
        <f t="shared" si="0"/>
        <v>-337.5</v>
      </c>
      <c r="F21" s="93">
        <f>SUM(C21:E21)</f>
        <v>562.5</v>
      </c>
      <c r="G21" s="27">
        <f>+F21/F5</f>
        <v>2.2499999999999999E-2</v>
      </c>
    </row>
    <row r="22" spans="2:7" x14ac:dyDescent="0.35">
      <c r="B22" s="75" t="s">
        <v>9</v>
      </c>
      <c r="C22" s="93">
        <f>+C15*C6</f>
        <v>3937.5</v>
      </c>
      <c r="D22" s="93">
        <f t="shared" si="0"/>
        <v>-2362.5</v>
      </c>
      <c r="E22" s="93">
        <f t="shared" si="0"/>
        <v>-590.625</v>
      </c>
      <c r="F22" s="93">
        <f t="shared" ref="F22:F24" si="1">SUM(C22:E22)</f>
        <v>984.375</v>
      </c>
      <c r="G22" s="27">
        <f>+F22/F6</f>
        <v>2.2499999999999999E-2</v>
      </c>
    </row>
    <row r="23" spans="2:7" x14ac:dyDescent="0.35">
      <c r="B23" s="75" t="s">
        <v>11</v>
      </c>
      <c r="C23" s="93">
        <f>+C16*C7</f>
        <v>4500</v>
      </c>
      <c r="D23" s="93">
        <f t="shared" si="0"/>
        <v>-1800</v>
      </c>
      <c r="E23" s="93">
        <f t="shared" si="0"/>
        <v>-200</v>
      </c>
      <c r="F23" s="93">
        <f t="shared" si="1"/>
        <v>2500</v>
      </c>
      <c r="G23" s="27"/>
    </row>
    <row r="24" spans="2:7" x14ac:dyDescent="0.35">
      <c r="B24" s="75" t="s">
        <v>148</v>
      </c>
      <c r="C24" s="93">
        <f>+C17*C8</f>
        <v>5962.5</v>
      </c>
      <c r="D24" s="93">
        <f t="shared" si="0"/>
        <v>0</v>
      </c>
      <c r="E24" s="93">
        <f t="shared" si="0"/>
        <v>0</v>
      </c>
      <c r="F24" s="93">
        <f t="shared" si="1"/>
        <v>5962.5</v>
      </c>
      <c r="G24" s="27"/>
    </row>
    <row r="25" spans="2:7" ht="15" thickBot="1" x14ac:dyDescent="0.4">
      <c r="B25" s="119" t="s">
        <v>147</v>
      </c>
      <c r="C25" s="114">
        <f>SUM(C21:C24)</f>
        <v>16650</v>
      </c>
      <c r="D25" s="114">
        <f>SUM(D21:D24)</f>
        <v>-5512.5</v>
      </c>
      <c r="E25" s="114">
        <f>SUM(E21:E24)</f>
        <v>-1128.125</v>
      </c>
      <c r="F25" s="114">
        <f>SUM(F21:F24)</f>
        <v>10009.375</v>
      </c>
      <c r="G25" s="140">
        <f>+F25/F9</f>
        <v>0.1455909090909091</v>
      </c>
    </row>
    <row r="26" spans="2:7" ht="15" thickTop="1" x14ac:dyDescent="0.35">
      <c r="G26" s="77" t="s">
        <v>180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Fig. 7.1</vt:lpstr>
      <vt:lpstr>Fig. 7.2</vt:lpstr>
      <vt:lpstr>Fig. 7.3</vt:lpstr>
      <vt:lpstr>Fig. 7.4</vt:lpstr>
      <vt:lpstr>Fig. 7.5</vt:lpstr>
      <vt:lpstr>Fig. 7.6</vt:lpstr>
      <vt:lpstr>Fig. 7.7</vt:lpstr>
      <vt:lpstr>Fig. 7.8</vt:lpstr>
      <vt:lpstr>Fig. 7.9</vt:lpstr>
      <vt:lpstr>Fig. 7.10</vt:lpstr>
      <vt:lpstr>Fig. 7.11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2019-02-27T14:32:04Z</dcterms:created>
  <dcterms:modified xsi:type="dcterms:W3CDTF">2022-07-28T20:30:41Z</dcterms:modified>
</cp:coreProperties>
</file>