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IV - COMPANY SPECIFIC ANALYSIS\CHAPTER SPREADSHEETS\"/>
    </mc:Choice>
  </mc:AlternateContent>
  <xr:revisionPtr revIDLastSave="0" documentId="13_ncr:1_{2DBD69EA-E9F1-4ABE-AC23-10451E569DF0}" xr6:coauthVersionLast="46" xr6:coauthVersionMax="46" xr10:uidLastSave="{00000000-0000-0000-0000-000000000000}"/>
  <bookViews>
    <workbookView xWindow="31890" yWindow="-110" windowWidth="19420" windowHeight="10420" xr2:uid="{A4D34130-D63D-49BF-A149-0012B27E5803}"/>
  </bookViews>
  <sheets>
    <sheet name="FINANCIAL MODEL" sheetId="1" r:id="rId1"/>
    <sheet name="FINANCIAL MODEL-BLANK" sheetId="4" r:id="rId2"/>
    <sheet name="REVENUE ASSUMPTIONS" sheetId="2" r:id="rId3"/>
    <sheet name="COGS &amp; OPER. EXPENSES" sheetId="3" r:id="rId4"/>
    <sheet name="CASH FLOW  &amp; BAL. SHEET ASSUMP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I25" i="1" s="1"/>
  <c r="G25" i="1"/>
  <c r="F19" i="3"/>
  <c r="H33" i="2"/>
  <c r="I33" i="2"/>
  <c r="J33" i="2"/>
  <c r="K33" i="2"/>
  <c r="H34" i="2"/>
  <c r="I34" i="2"/>
  <c r="J34" i="2"/>
  <c r="K34" i="2"/>
  <c r="H35" i="2"/>
  <c r="I35" i="2"/>
  <c r="J35" i="2"/>
  <c r="K35" i="2"/>
  <c r="G34" i="2"/>
  <c r="G35" i="2"/>
  <c r="G33" i="2"/>
  <c r="H27" i="2"/>
  <c r="I27" i="2"/>
  <c r="J27" i="2"/>
  <c r="K27" i="2"/>
  <c r="H28" i="2"/>
  <c r="I28" i="2"/>
  <c r="J28" i="2"/>
  <c r="K28" i="2"/>
  <c r="H29" i="2"/>
  <c r="I29" i="2"/>
  <c r="J29" i="2"/>
  <c r="K29" i="2"/>
  <c r="G28" i="2"/>
  <c r="G29" i="2"/>
  <c r="G27" i="2"/>
  <c r="H15" i="2"/>
  <c r="I15" i="2"/>
  <c r="J15" i="2"/>
  <c r="K15" i="2"/>
  <c r="H16" i="2"/>
  <c r="I16" i="2"/>
  <c r="J16" i="2"/>
  <c r="K16" i="2"/>
  <c r="H17" i="2"/>
  <c r="I17" i="2"/>
  <c r="J17" i="2"/>
  <c r="K17" i="2"/>
  <c r="G16" i="2"/>
  <c r="G17" i="2"/>
  <c r="G15" i="2"/>
  <c r="F102" i="1"/>
  <c r="F111" i="1"/>
  <c r="F113" i="1"/>
  <c r="F118" i="1"/>
  <c r="F120" i="1"/>
  <c r="F126" i="1"/>
  <c r="F128" i="1"/>
  <c r="F132" i="1"/>
  <c r="G130" i="1"/>
  <c r="F27" i="2"/>
  <c r="G9" i="1"/>
  <c r="F28" i="2"/>
  <c r="G10" i="1"/>
  <c r="F29" i="2"/>
  <c r="G11" i="1"/>
  <c r="G12" i="1"/>
  <c r="G16" i="1"/>
  <c r="G17" i="1"/>
  <c r="G18" i="1"/>
  <c r="G19" i="1"/>
  <c r="G21" i="1"/>
  <c r="G26" i="1"/>
  <c r="G27" i="1"/>
  <c r="G28" i="1"/>
  <c r="G30" i="1"/>
  <c r="G36" i="1" s="1"/>
  <c r="G33" i="1"/>
  <c r="G34" i="1"/>
  <c r="F54" i="5"/>
  <c r="G51" i="5"/>
  <c r="G38" i="5"/>
  <c r="G52" i="5"/>
  <c r="G56" i="5"/>
  <c r="F45" i="5"/>
  <c r="G43" i="5"/>
  <c r="G47" i="5"/>
  <c r="G39" i="1"/>
  <c r="G100" i="1"/>
  <c r="G101" i="1"/>
  <c r="F12" i="1"/>
  <c r="F8" i="5"/>
  <c r="F9" i="5"/>
  <c r="G9" i="5"/>
  <c r="G52" i="1"/>
  <c r="G105" i="1"/>
  <c r="F19" i="1"/>
  <c r="F12" i="5"/>
  <c r="F13" i="5"/>
  <c r="G13" i="5"/>
  <c r="G53" i="1"/>
  <c r="G106" i="1"/>
  <c r="F16" i="5"/>
  <c r="G16" i="5"/>
  <c r="G54" i="1"/>
  <c r="G107" i="1"/>
  <c r="F19" i="5"/>
  <c r="F20" i="5"/>
  <c r="G20" i="5"/>
  <c r="G72" i="1"/>
  <c r="G108" i="1"/>
  <c r="F23" i="5"/>
  <c r="G23" i="5"/>
  <c r="G73" i="1"/>
  <c r="G109" i="1"/>
  <c r="F26" i="5"/>
  <c r="G26" i="5"/>
  <c r="G74" i="1"/>
  <c r="G110" i="1"/>
  <c r="G111" i="1"/>
  <c r="F31" i="5"/>
  <c r="G31" i="5"/>
  <c r="G116" i="1"/>
  <c r="F34" i="5"/>
  <c r="G34" i="5"/>
  <c r="G117" i="1"/>
  <c r="G118" i="1"/>
  <c r="G123" i="1"/>
  <c r="G124" i="1"/>
  <c r="G125" i="1"/>
  <c r="G126" i="1"/>
  <c r="H9" i="1"/>
  <c r="H10" i="1"/>
  <c r="H23" i="2"/>
  <c r="H11" i="1"/>
  <c r="H12" i="1"/>
  <c r="H7" i="3"/>
  <c r="H16" i="1"/>
  <c r="H8" i="3"/>
  <c r="H17" i="1"/>
  <c r="H9" i="3"/>
  <c r="H18" i="1"/>
  <c r="H19" i="1"/>
  <c r="H21" i="1"/>
  <c r="H19" i="3"/>
  <c r="H20" i="3"/>
  <c r="H26" i="1"/>
  <c r="H21" i="3"/>
  <c r="H27" i="1"/>
  <c r="H28" i="1"/>
  <c r="H30" i="1" s="1"/>
  <c r="H33" i="1"/>
  <c r="H34" i="1"/>
  <c r="G54" i="5"/>
  <c r="H51" i="5"/>
  <c r="H38" i="5"/>
  <c r="H52" i="5"/>
  <c r="H56" i="5"/>
  <c r="G45" i="5"/>
  <c r="H43" i="5"/>
  <c r="H47" i="5"/>
  <c r="H39" i="1"/>
  <c r="H100" i="1"/>
  <c r="H101" i="1"/>
  <c r="H9" i="5"/>
  <c r="H52" i="1"/>
  <c r="H105" i="1"/>
  <c r="H13" i="5"/>
  <c r="H53" i="1"/>
  <c r="H106" i="1"/>
  <c r="H16" i="5"/>
  <c r="H54" i="1"/>
  <c r="H107" i="1"/>
  <c r="H20" i="5"/>
  <c r="H19" i="5"/>
  <c r="H72" i="1"/>
  <c r="H108" i="1"/>
  <c r="H23" i="5"/>
  <c r="H73" i="1"/>
  <c r="H109" i="1"/>
  <c r="H26" i="5"/>
  <c r="H74" i="1"/>
  <c r="H110" i="1"/>
  <c r="H111" i="1"/>
  <c r="H31" i="5"/>
  <c r="H116" i="1"/>
  <c r="H34" i="5"/>
  <c r="H117" i="1"/>
  <c r="H118" i="1"/>
  <c r="H123" i="1"/>
  <c r="H124" i="1"/>
  <c r="H125" i="1"/>
  <c r="H126" i="1"/>
  <c r="I9" i="1"/>
  <c r="I10" i="1"/>
  <c r="I23" i="2"/>
  <c r="I11" i="1"/>
  <c r="I12" i="1"/>
  <c r="I7" i="3"/>
  <c r="I16" i="1"/>
  <c r="I8" i="3"/>
  <c r="I17" i="1"/>
  <c r="I9" i="3"/>
  <c r="I18" i="1"/>
  <c r="I19" i="1"/>
  <c r="I21" i="1"/>
  <c r="I19" i="3"/>
  <c r="I20" i="3"/>
  <c r="I26" i="1"/>
  <c r="I21" i="3"/>
  <c r="I27" i="1"/>
  <c r="I33" i="1"/>
  <c r="I34" i="1"/>
  <c r="H54" i="5"/>
  <c r="I51" i="5"/>
  <c r="I38" i="5"/>
  <c r="I52" i="5"/>
  <c r="I56" i="5"/>
  <c r="I43" i="5"/>
  <c r="I47" i="5"/>
  <c r="I39" i="1"/>
  <c r="I100" i="1"/>
  <c r="I101" i="1"/>
  <c r="I9" i="5"/>
  <c r="I52" i="1"/>
  <c r="I105" i="1"/>
  <c r="I13" i="5"/>
  <c r="I53" i="1"/>
  <c r="I106" i="1"/>
  <c r="I16" i="5"/>
  <c r="I54" i="1"/>
  <c r="I107" i="1"/>
  <c r="I20" i="5"/>
  <c r="I19" i="5"/>
  <c r="I72" i="1"/>
  <c r="I108" i="1"/>
  <c r="I23" i="5"/>
  <c r="I73" i="1"/>
  <c r="I109" i="1"/>
  <c r="I26" i="5"/>
  <c r="I74" i="1"/>
  <c r="I110" i="1"/>
  <c r="I111" i="1"/>
  <c r="I31" i="5"/>
  <c r="I116" i="1"/>
  <c r="I34" i="5"/>
  <c r="I117" i="1"/>
  <c r="I118" i="1"/>
  <c r="I123" i="1"/>
  <c r="I124" i="1"/>
  <c r="I125" i="1"/>
  <c r="I126" i="1"/>
  <c r="J9" i="1"/>
  <c r="J10" i="1"/>
  <c r="J23" i="2"/>
  <c r="J11" i="1"/>
  <c r="J12" i="1"/>
  <c r="J7" i="3"/>
  <c r="J16" i="1"/>
  <c r="J8" i="3"/>
  <c r="J17" i="1"/>
  <c r="J9" i="3"/>
  <c r="J18" i="1"/>
  <c r="J19" i="1"/>
  <c r="J21" i="1"/>
  <c r="J19" i="3"/>
  <c r="J20" i="3"/>
  <c r="J26" i="1"/>
  <c r="J21" i="3"/>
  <c r="J27" i="1"/>
  <c r="J33" i="1"/>
  <c r="J34" i="1"/>
  <c r="I54" i="5"/>
  <c r="J51" i="5"/>
  <c r="J38" i="5"/>
  <c r="J52" i="5"/>
  <c r="J56" i="5"/>
  <c r="J43" i="5"/>
  <c r="J47" i="5"/>
  <c r="J39" i="1"/>
  <c r="J100" i="1"/>
  <c r="J101" i="1"/>
  <c r="J9" i="5"/>
  <c r="J52" i="1"/>
  <c r="J105" i="1"/>
  <c r="J13" i="5"/>
  <c r="J53" i="1"/>
  <c r="J106" i="1"/>
  <c r="J16" i="5"/>
  <c r="J54" i="1"/>
  <c r="J107" i="1"/>
  <c r="J20" i="5"/>
  <c r="J19" i="5"/>
  <c r="J72" i="1"/>
  <c r="J108" i="1"/>
  <c r="J23" i="5"/>
  <c r="J73" i="1"/>
  <c r="J109" i="1"/>
  <c r="J26" i="5"/>
  <c r="J74" i="1"/>
  <c r="J110" i="1"/>
  <c r="J111" i="1"/>
  <c r="J31" i="5"/>
  <c r="J116" i="1"/>
  <c r="J34" i="5"/>
  <c r="J117" i="1"/>
  <c r="J118" i="1"/>
  <c r="J123" i="1"/>
  <c r="J124" i="1"/>
  <c r="J125" i="1"/>
  <c r="J126" i="1"/>
  <c r="K21" i="2"/>
  <c r="K9" i="1"/>
  <c r="K10" i="1"/>
  <c r="K11" i="1"/>
  <c r="K12" i="1"/>
  <c r="K7" i="3"/>
  <c r="K16" i="1"/>
  <c r="K8" i="3"/>
  <c r="K17" i="1"/>
  <c r="K9" i="3"/>
  <c r="K18" i="1"/>
  <c r="K19" i="1"/>
  <c r="K21" i="1"/>
  <c r="K19" i="3"/>
  <c r="K20" i="3"/>
  <c r="K26" i="1"/>
  <c r="K21" i="3"/>
  <c r="K27" i="1"/>
  <c r="K33" i="1"/>
  <c r="K34" i="1"/>
  <c r="J54" i="5"/>
  <c r="K51" i="5"/>
  <c r="K38" i="5"/>
  <c r="K52" i="5"/>
  <c r="K56" i="5"/>
  <c r="K43" i="5"/>
  <c r="K47" i="5"/>
  <c r="K39" i="1"/>
  <c r="K100" i="1"/>
  <c r="K101" i="1"/>
  <c r="K9" i="5"/>
  <c r="K52" i="1"/>
  <c r="K105" i="1"/>
  <c r="K13" i="5"/>
  <c r="K53" i="1"/>
  <c r="K106" i="1"/>
  <c r="K16" i="5"/>
  <c r="K54" i="1"/>
  <c r="K107" i="1"/>
  <c r="K20" i="5"/>
  <c r="K19" i="5"/>
  <c r="K72" i="1"/>
  <c r="K108" i="1"/>
  <c r="K23" i="5"/>
  <c r="K73" i="1"/>
  <c r="K109" i="1"/>
  <c r="K26" i="5"/>
  <c r="K74" i="1"/>
  <c r="K110" i="1"/>
  <c r="K111" i="1"/>
  <c r="K31" i="5"/>
  <c r="K116" i="1"/>
  <c r="K34" i="5"/>
  <c r="K117" i="1"/>
  <c r="K118" i="1"/>
  <c r="K123" i="1"/>
  <c r="K124" i="1"/>
  <c r="K125" i="1"/>
  <c r="K126" i="1"/>
  <c r="F96" i="1"/>
  <c r="G65" i="1"/>
  <c r="H65" i="1"/>
  <c r="I65" i="1"/>
  <c r="J65" i="1"/>
  <c r="K65" i="1"/>
  <c r="F61" i="1"/>
  <c r="G61" i="1"/>
  <c r="H61" i="1"/>
  <c r="I61" i="1"/>
  <c r="J61" i="1"/>
  <c r="K61" i="1"/>
  <c r="G62" i="1"/>
  <c r="H62" i="1"/>
  <c r="I62" i="1"/>
  <c r="J62" i="1"/>
  <c r="K62" i="1"/>
  <c r="K63" i="1"/>
  <c r="G84" i="1"/>
  <c r="H84" i="1"/>
  <c r="I84" i="1"/>
  <c r="J84" i="1"/>
  <c r="K84" i="1"/>
  <c r="G85" i="1"/>
  <c r="H85" i="1"/>
  <c r="I85" i="1"/>
  <c r="J85" i="1"/>
  <c r="K85" i="1"/>
  <c r="G80" i="1"/>
  <c r="H80" i="1"/>
  <c r="I80" i="1"/>
  <c r="J80" i="1"/>
  <c r="K80" i="1"/>
  <c r="K54" i="5"/>
  <c r="K78" i="1"/>
  <c r="K75" i="1"/>
  <c r="K76" i="1"/>
  <c r="K81" i="1"/>
  <c r="J63" i="1"/>
  <c r="J78" i="1"/>
  <c r="J75" i="1"/>
  <c r="J76" i="1"/>
  <c r="J81" i="1"/>
  <c r="I63" i="1"/>
  <c r="I78" i="1"/>
  <c r="I75" i="1"/>
  <c r="I76" i="1"/>
  <c r="I81" i="1"/>
  <c r="H63" i="1"/>
  <c r="H78" i="1"/>
  <c r="H75" i="1"/>
  <c r="H76" i="1"/>
  <c r="H81" i="1"/>
  <c r="G63" i="1"/>
  <c r="G78" i="1"/>
  <c r="G75" i="1"/>
  <c r="G76" i="1"/>
  <c r="G81" i="1"/>
  <c r="F63" i="1"/>
  <c r="F55" i="1"/>
  <c r="F67" i="1"/>
  <c r="F87" i="1"/>
  <c r="F76" i="1"/>
  <c r="F81" i="1"/>
  <c r="F89" i="1"/>
  <c r="F90" i="1"/>
  <c r="D61" i="1"/>
  <c r="D63" i="1"/>
  <c r="D55" i="1"/>
  <c r="D67" i="1"/>
  <c r="D87" i="1"/>
  <c r="D76" i="1"/>
  <c r="D81" i="1"/>
  <c r="D89" i="1"/>
  <c r="D90" i="1"/>
  <c r="F21" i="1"/>
  <c r="F28" i="1"/>
  <c r="F30" i="1"/>
  <c r="F36" i="1"/>
  <c r="F37" i="1"/>
  <c r="D12" i="1"/>
  <c r="D19" i="1"/>
  <c r="D21" i="1"/>
  <c r="D28" i="1"/>
  <c r="D30" i="1"/>
  <c r="D36" i="1"/>
  <c r="D37" i="1"/>
  <c r="G31" i="1"/>
  <c r="F31" i="1"/>
  <c r="D31" i="1"/>
  <c r="K22" i="1"/>
  <c r="J22" i="1"/>
  <c r="I22" i="1"/>
  <c r="H22" i="1"/>
  <c r="G22" i="1"/>
  <c r="F22" i="1"/>
  <c r="B18" i="1"/>
  <c r="B17" i="1"/>
  <c r="B16" i="1"/>
  <c r="K13" i="1"/>
  <c r="J13" i="1"/>
  <c r="I13" i="1"/>
  <c r="H13" i="1"/>
  <c r="G13" i="1"/>
  <c r="F13" i="1"/>
  <c r="F96" i="4"/>
  <c r="F103" i="4"/>
  <c r="F112" i="4"/>
  <c r="F114" i="4"/>
  <c r="F119" i="4"/>
  <c r="F121" i="4"/>
  <c r="F127" i="4"/>
  <c r="F129" i="4"/>
  <c r="F133" i="4"/>
  <c r="F61" i="4"/>
  <c r="F63" i="4"/>
  <c r="F55" i="4"/>
  <c r="F67" i="4"/>
  <c r="F87" i="4"/>
  <c r="F76" i="4"/>
  <c r="F81" i="4"/>
  <c r="F89" i="4"/>
  <c r="F90" i="4"/>
  <c r="D61" i="4"/>
  <c r="D63" i="4"/>
  <c r="D55" i="4"/>
  <c r="D67" i="4"/>
  <c r="D87" i="4"/>
  <c r="D76" i="4"/>
  <c r="D81" i="4"/>
  <c r="D89" i="4"/>
  <c r="D90" i="4"/>
  <c r="F12" i="4"/>
  <c r="F19" i="4"/>
  <c r="F21" i="4"/>
  <c r="F28" i="4"/>
  <c r="F30" i="4"/>
  <c r="F36" i="4"/>
  <c r="F37" i="4"/>
  <c r="D12" i="4"/>
  <c r="D19" i="4"/>
  <c r="D21" i="4"/>
  <c r="D28" i="4"/>
  <c r="D30" i="4"/>
  <c r="D36" i="4"/>
  <c r="D37" i="4"/>
  <c r="F31" i="4"/>
  <c r="D31" i="4"/>
  <c r="F22" i="4"/>
  <c r="B18" i="4"/>
  <c r="B17" i="4"/>
  <c r="B16" i="4"/>
  <c r="F13" i="4"/>
  <c r="D54" i="5"/>
  <c r="D45" i="5"/>
  <c r="D23" i="5"/>
  <c r="D26" i="5"/>
  <c r="D16" i="5"/>
  <c r="D19" i="5"/>
  <c r="D20" i="5"/>
  <c r="D12" i="5"/>
  <c r="D13" i="5"/>
  <c r="D8" i="5"/>
  <c r="D9" i="5"/>
  <c r="K57" i="5"/>
  <c r="K48" i="5"/>
  <c r="K62" i="5"/>
  <c r="K61" i="5"/>
  <c r="K63" i="5"/>
  <c r="J57" i="5"/>
  <c r="J48" i="5"/>
  <c r="J62" i="5"/>
  <c r="J61" i="5"/>
  <c r="J63" i="5"/>
  <c r="I57" i="5"/>
  <c r="I48" i="5"/>
  <c r="I62" i="5"/>
  <c r="I61" i="5"/>
  <c r="I63" i="5"/>
  <c r="H57" i="5"/>
  <c r="H48" i="5"/>
  <c r="H62" i="5"/>
  <c r="H61" i="5"/>
  <c r="H63" i="5"/>
  <c r="G57" i="5"/>
  <c r="G48" i="5"/>
  <c r="G62" i="5"/>
  <c r="G61" i="5"/>
  <c r="G63" i="5"/>
  <c r="K60" i="5"/>
  <c r="J60" i="5"/>
  <c r="I60" i="5"/>
  <c r="H60" i="5"/>
  <c r="G60" i="5"/>
  <c r="K59" i="5"/>
  <c r="J59" i="5"/>
  <c r="I59" i="5"/>
  <c r="H59" i="5"/>
  <c r="G59" i="5"/>
  <c r="F59" i="5"/>
  <c r="D59" i="5"/>
  <c r="G19" i="5"/>
  <c r="K12" i="5"/>
  <c r="J12" i="5"/>
  <c r="I12" i="5"/>
  <c r="H12" i="5"/>
  <c r="G12" i="5"/>
  <c r="K8" i="5"/>
  <c r="J8" i="5"/>
  <c r="I8" i="5"/>
  <c r="H8" i="5"/>
  <c r="G8" i="5"/>
  <c r="F24" i="3"/>
  <c r="D24" i="3"/>
  <c r="F22" i="3"/>
  <c r="F21" i="3"/>
  <c r="F20" i="3"/>
  <c r="D22" i="3"/>
  <c r="D20" i="3"/>
  <c r="D21" i="3"/>
  <c r="F10" i="3"/>
  <c r="F9" i="3"/>
  <c r="F8" i="3"/>
  <c r="F7" i="3"/>
  <c r="D10" i="3"/>
  <c r="D8" i="3"/>
  <c r="D9" i="3"/>
  <c r="D7" i="3"/>
  <c r="K22" i="3"/>
  <c r="J22" i="3"/>
  <c r="I22" i="3"/>
  <c r="H22" i="3"/>
  <c r="G22" i="3"/>
  <c r="K10" i="3"/>
  <c r="K16" i="3"/>
  <c r="J10" i="3"/>
  <c r="J16" i="3"/>
  <c r="I10" i="3"/>
  <c r="I16" i="3"/>
  <c r="H10" i="3"/>
  <c r="H16" i="3"/>
  <c r="G10" i="3"/>
  <c r="G16" i="3"/>
  <c r="F16" i="3"/>
  <c r="D16" i="3"/>
  <c r="K15" i="3"/>
  <c r="J15" i="3"/>
  <c r="I15" i="3"/>
  <c r="H15" i="3"/>
  <c r="G15" i="3"/>
  <c r="F15" i="3"/>
  <c r="D15" i="3"/>
  <c r="B15" i="3"/>
  <c r="K14" i="3"/>
  <c r="J14" i="3"/>
  <c r="I14" i="3"/>
  <c r="H14" i="3"/>
  <c r="G14" i="3"/>
  <c r="F14" i="3"/>
  <c r="D14" i="3"/>
  <c r="B14" i="3"/>
  <c r="K13" i="3"/>
  <c r="J13" i="3"/>
  <c r="I13" i="3"/>
  <c r="H13" i="3"/>
  <c r="G13" i="3"/>
  <c r="F13" i="3"/>
  <c r="D13" i="3"/>
  <c r="B13" i="3"/>
  <c r="B9" i="3"/>
  <c r="B8" i="3"/>
  <c r="B7" i="3"/>
  <c r="K36" i="2"/>
  <c r="J36" i="2"/>
  <c r="I36" i="2"/>
  <c r="H36" i="2"/>
  <c r="G36" i="2"/>
  <c r="F33" i="2"/>
  <c r="F34" i="2"/>
  <c r="F35" i="2"/>
  <c r="F36" i="2"/>
  <c r="D27" i="2"/>
  <c r="D33" i="2"/>
  <c r="D28" i="2"/>
  <c r="D34" i="2"/>
  <c r="D29" i="2"/>
  <c r="D35" i="2"/>
  <c r="D36" i="2"/>
  <c r="D18" i="2"/>
  <c r="D30" i="2"/>
  <c r="F40" i="2"/>
  <c r="F41" i="2"/>
  <c r="F39" i="2"/>
  <c r="K42" i="2"/>
  <c r="J42" i="2"/>
  <c r="I42" i="2"/>
  <c r="H42" i="2"/>
  <c r="G42" i="2"/>
  <c r="F42" i="2"/>
  <c r="K41" i="2"/>
  <c r="J41" i="2"/>
  <c r="I41" i="2"/>
  <c r="H41" i="2"/>
  <c r="G41" i="2"/>
  <c r="K40" i="2"/>
  <c r="J40" i="2"/>
  <c r="I40" i="2"/>
  <c r="H40" i="2"/>
  <c r="G40" i="2"/>
  <c r="K39" i="2"/>
  <c r="J39" i="2"/>
  <c r="I39" i="2"/>
  <c r="H39" i="2"/>
  <c r="G39" i="2"/>
  <c r="K18" i="2"/>
  <c r="K30" i="2"/>
  <c r="J18" i="2"/>
  <c r="J30" i="2"/>
  <c r="I18" i="2"/>
  <c r="I30" i="2"/>
  <c r="H18" i="2"/>
  <c r="H30" i="2"/>
  <c r="G18" i="2"/>
  <c r="G30" i="2"/>
  <c r="F18" i="2"/>
  <c r="F30" i="2"/>
  <c r="K24" i="2"/>
  <c r="J24" i="2"/>
  <c r="I24" i="2"/>
  <c r="H24" i="2"/>
  <c r="G24" i="2"/>
  <c r="F23" i="2"/>
  <c r="F22" i="2"/>
  <c r="F21" i="2"/>
  <c r="K12" i="2"/>
  <c r="J12" i="2"/>
  <c r="I12" i="2"/>
  <c r="H12" i="2"/>
  <c r="G12" i="2"/>
  <c r="F12" i="2"/>
  <c r="F11" i="2"/>
  <c r="F10" i="2"/>
  <c r="F9" i="2"/>
  <c r="H36" i="1" l="1"/>
  <c r="H31" i="1"/>
  <c r="J25" i="1"/>
  <c r="I28" i="1"/>
  <c r="I30" i="1" s="1"/>
  <c r="G40" i="1"/>
  <c r="G37" i="1"/>
  <c r="J28" i="1" l="1"/>
  <c r="J30" i="1" s="1"/>
  <c r="K25" i="1"/>
  <c r="K28" i="1" s="1"/>
  <c r="K30" i="1" s="1"/>
  <c r="I31" i="1"/>
  <c r="I36" i="1"/>
  <c r="H37" i="1"/>
  <c r="H40" i="1"/>
  <c r="G41" i="1"/>
  <c r="G42" i="1"/>
  <c r="G71" i="5"/>
  <c r="G73" i="5" s="1"/>
  <c r="K31" i="1" l="1"/>
  <c r="K36" i="1"/>
  <c r="I40" i="1"/>
  <c r="I37" i="1"/>
  <c r="H71" i="5"/>
  <c r="H73" i="5" s="1"/>
  <c r="H41" i="1"/>
  <c r="H42" i="1" s="1"/>
  <c r="H99" i="1" s="1"/>
  <c r="H102" i="1" s="1"/>
  <c r="H113" i="1" s="1"/>
  <c r="H120" i="1" s="1"/>
  <c r="H128" i="1" s="1"/>
  <c r="J36" i="1"/>
  <c r="J31" i="1"/>
  <c r="G74" i="5"/>
  <c r="G75" i="5"/>
  <c r="G86" i="1"/>
  <c r="G99" i="1"/>
  <c r="G102" i="1" s="1"/>
  <c r="G113" i="1" s="1"/>
  <c r="G120" i="1" s="1"/>
  <c r="G128" i="1" s="1"/>
  <c r="G132" i="1" s="1"/>
  <c r="H74" i="5" l="1"/>
  <c r="H75" i="5" s="1"/>
  <c r="K40" i="1"/>
  <c r="K37" i="1"/>
  <c r="J40" i="1"/>
  <c r="J37" i="1"/>
  <c r="I41" i="1"/>
  <c r="I42" i="1" s="1"/>
  <c r="I99" i="1" s="1"/>
  <c r="I102" i="1" s="1"/>
  <c r="I113" i="1" s="1"/>
  <c r="I120" i="1" s="1"/>
  <c r="I128" i="1" s="1"/>
  <c r="I71" i="5"/>
  <c r="I73" i="5" s="1"/>
  <c r="H130" i="1"/>
  <c r="H132" i="1" s="1"/>
  <c r="G51" i="1"/>
  <c r="G55" i="1" s="1"/>
  <c r="G67" i="1" s="1"/>
  <c r="H86" i="1"/>
  <c r="G87" i="1"/>
  <c r="G89" i="1" s="1"/>
  <c r="K71" i="5" l="1"/>
  <c r="K73" i="5" s="1"/>
  <c r="K41" i="1"/>
  <c r="K42" i="1"/>
  <c r="K99" i="1" s="1"/>
  <c r="K102" i="1" s="1"/>
  <c r="K113" i="1" s="1"/>
  <c r="K120" i="1" s="1"/>
  <c r="K128" i="1" s="1"/>
  <c r="I75" i="5"/>
  <c r="I74" i="5"/>
  <c r="J71" i="5"/>
  <c r="J73" i="5" s="1"/>
  <c r="J41" i="1"/>
  <c r="J42" i="1" s="1"/>
  <c r="J99" i="1" s="1"/>
  <c r="J102" i="1" s="1"/>
  <c r="J113" i="1" s="1"/>
  <c r="J120" i="1" s="1"/>
  <c r="J128" i="1" s="1"/>
  <c r="H87" i="1"/>
  <c r="H89" i="1" s="1"/>
  <c r="I86" i="1"/>
  <c r="G90" i="1"/>
  <c r="H51" i="1"/>
  <c r="H55" i="1" s="1"/>
  <c r="H67" i="1" s="1"/>
  <c r="H90" i="1" s="1"/>
  <c r="I130" i="1"/>
  <c r="I132" i="1" s="1"/>
  <c r="J74" i="5" l="1"/>
  <c r="J75" i="5"/>
  <c r="K74" i="5"/>
  <c r="K75" i="5"/>
  <c r="I87" i="1"/>
  <c r="I89" i="1" s="1"/>
  <c r="J86" i="1"/>
  <c r="I51" i="1"/>
  <c r="I55" i="1" s="1"/>
  <c r="I67" i="1" s="1"/>
  <c r="J130" i="1"/>
  <c r="J132" i="1" s="1"/>
  <c r="I90" i="1" l="1"/>
  <c r="K130" i="1"/>
  <c r="K132" i="1" s="1"/>
  <c r="K51" i="1" s="1"/>
  <c r="K55" i="1" s="1"/>
  <c r="K67" i="1" s="1"/>
  <c r="J51" i="1"/>
  <c r="J55" i="1" s="1"/>
  <c r="J67" i="1" s="1"/>
  <c r="K86" i="1"/>
  <c r="K87" i="1" s="1"/>
  <c r="K89" i="1" s="1"/>
  <c r="J87" i="1"/>
  <c r="J89" i="1" s="1"/>
  <c r="J90" i="1" l="1"/>
  <c r="K90" i="1"/>
</calcChain>
</file>

<file path=xl/sharedStrings.xml><?xml version="1.0" encoding="utf-8"?>
<sst xmlns="http://schemas.openxmlformats.org/spreadsheetml/2006/main" count="375" uniqueCount="162">
  <si>
    <t>Celerity Technogy Inc. ("CTI")</t>
  </si>
  <si>
    <t>Income Statement (000's)</t>
  </si>
  <si>
    <t>HISTORICAL</t>
  </si>
  <si>
    <t>PROJECTED</t>
  </si>
  <si>
    <t>BASE CASE</t>
  </si>
  <si>
    <t>Year  -1</t>
  </si>
  <si>
    <t xml:space="preserve"> Year  0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</si>
  <si>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</si>
  <si>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</si>
  <si>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</si>
  <si>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</si>
  <si>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</si>
  <si>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Revenues by Geography</t>
  </si>
  <si>
    <t xml:space="preserve">  U.S.</t>
  </si>
  <si>
    <t xml:space="preserve">  Europe</t>
  </si>
  <si>
    <t xml:space="preserve">  Asia</t>
  </si>
  <si>
    <t>Total Revenue</t>
  </si>
  <si>
    <t xml:space="preserve">   Total Revenue Growth</t>
  </si>
  <si>
    <t>Cost of Revenues by Geography</t>
  </si>
  <si>
    <t>Total Cost of Revenue</t>
  </si>
  <si>
    <t>Gross Profit</t>
  </si>
  <si>
    <t xml:space="preserve">   Total Margin</t>
  </si>
  <si>
    <t>Operating Expenses</t>
  </si>
  <si>
    <t xml:space="preserve"> Administrative &amp; General</t>
  </si>
  <si>
    <t xml:space="preserve"> Marketing Expenses</t>
  </si>
  <si>
    <t xml:space="preserve"> Other Operating Expenses</t>
  </si>
  <si>
    <t>Total Operating Expenses</t>
  </si>
  <si>
    <t>EBITDA</t>
  </si>
  <si>
    <t xml:space="preserve">  EBITDA Margin %</t>
  </si>
  <si>
    <t>Depreciation</t>
  </si>
  <si>
    <t>Amortization</t>
  </si>
  <si>
    <t>EBIT</t>
  </si>
  <si>
    <t xml:space="preserve">  EBITA Margin %</t>
  </si>
  <si>
    <t>Total Interest Expense</t>
  </si>
  <si>
    <t>EBT</t>
  </si>
  <si>
    <t>Taxes</t>
  </si>
  <si>
    <t>Net Income</t>
  </si>
  <si>
    <t>Operating Assumptions</t>
  </si>
  <si>
    <t>Volume Growth</t>
  </si>
  <si>
    <t>Total Volume Growth</t>
  </si>
  <si>
    <t>Volume Sold (000's Units)</t>
  </si>
  <si>
    <t>Total Volume</t>
  </si>
  <si>
    <t>Price Increase</t>
  </si>
  <si>
    <t>Total Price Increase</t>
  </si>
  <si>
    <t>Sales Price per Unit ($)</t>
  </si>
  <si>
    <t>Average Price</t>
  </si>
  <si>
    <t>Revenue Growth</t>
  </si>
  <si>
    <t>Total Revenues</t>
  </si>
  <si>
    <t>Total Revenues $</t>
  </si>
  <si>
    <t>Income Statement Cost Assumptions</t>
  </si>
  <si>
    <t>Cost of Revenues as % of Revenue by Geography</t>
  </si>
  <si>
    <t>Total Cost of Rev. as % of Total Revenue</t>
  </si>
  <si>
    <t>Gross Margin by Geography</t>
  </si>
  <si>
    <t>Operating Expenses Assumptions</t>
  </si>
  <si>
    <t xml:space="preserve"> Administrative &amp; General Increase %</t>
  </si>
  <si>
    <t xml:space="preserve"> Marketing Expenses as % of Total Revenue</t>
  </si>
  <si>
    <t xml:space="preserve"> Other Operating Expenses as % of Total Rev.</t>
  </si>
  <si>
    <t>Total Operating Expenses as % of Total Rev.</t>
  </si>
  <si>
    <t>Depreciation Expense % of Total Revenue</t>
  </si>
  <si>
    <t>Cash Flow Statement (000's)</t>
  </si>
  <si>
    <t>Year 0</t>
  </si>
  <si>
    <t xml:space="preserve">  Plus Depreciation</t>
  </si>
  <si>
    <t xml:space="preserve">  Plus Deffered Taxes</t>
  </si>
  <si>
    <t>Cash Income</t>
  </si>
  <si>
    <t>Working Capital Activities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</si>
  <si>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</si>
  <si>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</si>
  <si>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</si>
  <si>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</si>
  <si>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</si>
  <si>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</si>
  <si>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>Total Change in Working Capital</t>
  </si>
  <si>
    <t>Operating Cash Flow (OCF)</t>
  </si>
  <si>
    <t>Investment Activities</t>
  </si>
  <si>
    <t xml:space="preserve">  Capital Expenditures</t>
  </si>
  <si>
    <t xml:space="preserve">  Investments (Change)</t>
  </si>
  <si>
    <t>Total Financing Activities</t>
  </si>
  <si>
    <t>Cash Available Before Financing Activities</t>
  </si>
  <si>
    <t>Financing Activities</t>
  </si>
  <si>
    <t xml:space="preserve">   ST Debt Payments</t>
  </si>
  <si>
    <t xml:space="preserve">   LT Debt Payments</t>
  </si>
  <si>
    <t xml:space="preserve">   Equity Contribution</t>
  </si>
  <si>
    <t>Free Cash Flow</t>
  </si>
  <si>
    <t>Beginning Cash</t>
  </si>
  <si>
    <t>Ending Cash</t>
  </si>
  <si>
    <t>Balance Sheet (000's)</t>
  </si>
  <si>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</si>
  <si>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</si>
  <si>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</si>
  <si>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</si>
  <si>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</si>
  <si>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Total Current Assets</t>
  </si>
  <si>
    <t>Property and Equipment</t>
  </si>
  <si>
    <t xml:space="preserve"> Land</t>
  </si>
  <si>
    <t xml:space="preserve"> Building</t>
  </si>
  <si>
    <t xml:space="preserve"> Furniture &amp; Equipment</t>
  </si>
  <si>
    <t>Total Gross P&amp;E</t>
  </si>
  <si>
    <t>Less Accumulated Depreciaition</t>
  </si>
  <si>
    <t>Net P&amp;E</t>
  </si>
  <si>
    <t>Long-Term Investments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</si>
  <si>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</si>
  <si>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</si>
  <si>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</si>
  <si>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</si>
  <si>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</si>
  <si>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</si>
  <si>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</si>
  <si>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Total Current Liabilities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</si>
  <si>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</si>
  <si>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</si>
  <si>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</si>
  <si>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</si>
  <si>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</si>
  <si>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</si>
  <si>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</si>
  <si>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</si>
  <si>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</si>
  <si>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Error Check</t>
  </si>
  <si>
    <t>Working Capital Assumptions</t>
  </si>
  <si>
    <t>Accounts Receivable</t>
  </si>
  <si>
    <t xml:space="preserve">  Accounts Receivable Turnover</t>
  </si>
  <si>
    <t xml:space="preserve">  Accounts Receivable Days</t>
  </si>
  <si>
    <t>Inventory</t>
  </si>
  <si>
    <t xml:space="preserve">  Inventory Turnover</t>
  </si>
  <si>
    <t xml:space="preserve">  Inventory Days</t>
  </si>
  <si>
    <t>Prepaid Expenses</t>
  </si>
  <si>
    <t xml:space="preserve">  Prepaid Expenses as % of Revene</t>
  </si>
  <si>
    <t>Accounts Payable</t>
  </si>
  <si>
    <t xml:space="preserve">  Accounts Payable Turnover</t>
  </si>
  <si>
    <t xml:space="preserve">  Accounts Payable Days</t>
  </si>
  <si>
    <t>Accrued Income Taxes</t>
  </si>
  <si>
    <t xml:space="preserve">  Accrued Income Taxes as % of Revenues</t>
  </si>
  <si>
    <t>Accrued Expenses</t>
  </si>
  <si>
    <t xml:space="preserve">  Accrued Expenses as % of Revenues</t>
  </si>
  <si>
    <t>Investment Activity Assumptions</t>
  </si>
  <si>
    <t>Capital Expenditures</t>
  </si>
  <si>
    <t xml:space="preserve">  Capital Expenditures as % of Revenue</t>
  </si>
  <si>
    <t>Long Term Investments</t>
  </si>
  <si>
    <t xml:space="preserve">  Long Term Investments as % of Revenues</t>
  </si>
  <si>
    <t>Interest Rate Forward Assumptions- LIBOR</t>
  </si>
  <si>
    <t xml:space="preserve">  LIBOR Incr./ (Decr.)</t>
  </si>
  <si>
    <t>Short-Term Debt</t>
  </si>
  <si>
    <t xml:space="preserve">  Spread Pricing (L + Spread)</t>
  </si>
  <si>
    <t xml:space="preserve">  Interest Rate</t>
  </si>
  <si>
    <t xml:space="preserve">  Outstanding</t>
  </si>
  <si>
    <t xml:space="preserve">  Principal Payment</t>
  </si>
  <si>
    <t xml:space="preserve">  Interest Payment</t>
  </si>
  <si>
    <t xml:space="preserve">  Total Payment</t>
  </si>
  <si>
    <t>Long-Term Debt</t>
  </si>
  <si>
    <t>Total Debt</t>
  </si>
  <si>
    <t>Financing Activity (Debt Schedule)</t>
  </si>
  <si>
    <t>Tax Schedule</t>
  </si>
  <si>
    <t xml:space="preserve">  Tax Rate</t>
  </si>
  <si>
    <t xml:space="preserve">  Tax Expenses</t>
  </si>
  <si>
    <t xml:space="preserve">     Tax Deffered</t>
  </si>
  <si>
    <t xml:space="preserve">     Tax Paid (Cash)</t>
  </si>
  <si>
    <t>Tax Deferred as % of Taxes</t>
  </si>
  <si>
    <t>Equity Contribution/Payment</t>
  </si>
  <si>
    <t xml:space="preserve">  Plus Amortization</t>
  </si>
  <si>
    <t>Revenue / 365 * Days Receivable</t>
  </si>
  <si>
    <t>Cost opf Revenue/365 * Inventory Days</t>
  </si>
  <si>
    <t>Cost of Revenue/365*Accounts Payable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</si>
</sst>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\x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7" fillId="0" borderId="4" xfId="0" applyFont="1" applyBorder="1"/>
    <xf numFmtId="0" fontId="0" fillId="0" borderId="5" xfId="0" applyBorder="1"/>
    <xf numFmtId="0" fontId="0" fillId="0" borderId="4" xfId="0" applyBorder="1"/>
    <xf numFmtId="0" fontId="8" fillId="2" borderId="6" xfId="0" applyFont="1" applyFill="1" applyBorder="1" applyAlignment="1">
      <alignment horizontal="left"/>
    </xf>
    <xf numFmtId="0" fontId="8" fillId="2" borderId="0" xfId="0" applyFont="1" applyFill="1" applyAlignment="1">
      <alignment horizontal="right"/>
    </xf>
    <xf numFmtId="41" fontId="0" fillId="0" borderId="0" xfId="1" applyNumberFormat="1" applyFont="1" applyBorder="1" applyAlignment="1">
      <alignment horizontal="right"/>
    </xf>
    <xf numFmtId="0" fontId="9" fillId="0" borderId="4" xfId="0" applyFont="1" applyBorder="1"/>
    <xf numFmtId="0" fontId="8" fillId="0" borderId="0" xfId="0" applyFont="1"/>
    <xf numFmtId="41" fontId="0" fillId="0" borderId="0" xfId="1" applyNumberFormat="1" applyFont="1" applyBorder="1"/>
    <xf numFmtId="0" fontId="8" fillId="0" borderId="4" xfId="0" applyFont="1" applyBorder="1"/>
    <xf numFmtId="41" fontId="10" fillId="0" borderId="0" xfId="1" applyNumberFormat="1" applyFont="1" applyBorder="1"/>
    <xf numFmtId="41" fontId="3" fillId="0" borderId="0" xfId="1" applyNumberFormat="1" applyFont="1" applyBorder="1"/>
    <xf numFmtId="164" fontId="0" fillId="0" borderId="0" xfId="1" applyNumberFormat="1" applyFont="1" applyBorder="1"/>
    <xf numFmtId="41" fontId="0" fillId="0" borderId="7" xfId="1" applyNumberFormat="1" applyFont="1" applyBorder="1"/>
    <xf numFmtId="164" fontId="0" fillId="0" borderId="7" xfId="1" applyNumberFormat="1" applyFont="1" applyBorder="1"/>
    <xf numFmtId="0" fontId="11" fillId="0" borderId="4" xfId="0" applyFont="1" applyBorder="1"/>
    <xf numFmtId="41" fontId="11" fillId="0" borderId="0" xfId="1" applyNumberFormat="1" applyFont="1" applyBorder="1"/>
    <xf numFmtId="165" fontId="11" fillId="0" borderId="0" xfId="3" applyNumberFormat="1" applyFont="1" applyBorder="1"/>
    <xf numFmtId="164" fontId="0" fillId="0" borderId="0" xfId="0" applyNumberFormat="1"/>
    <xf numFmtId="164" fontId="0" fillId="0" borderId="7" xfId="0" applyNumberFormat="1" applyBorder="1"/>
    <xf numFmtId="0" fontId="0" fillId="0" borderId="7" xfId="0" applyBorder="1"/>
    <xf numFmtId="164" fontId="0" fillId="0" borderId="8" xfId="1" applyNumberFormat="1" applyFont="1" applyBorder="1"/>
    <xf numFmtId="0" fontId="4" fillId="0" borderId="4" xfId="0" applyFont="1" applyBorder="1"/>
    <xf numFmtId="9" fontId="0" fillId="0" borderId="0" xfId="0" applyNumberFormat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2" fillId="0" borderId="4" xfId="0" applyFont="1" applyBorder="1"/>
    <xf numFmtId="41" fontId="13" fillId="0" borderId="0" xfId="1" applyNumberFormat="1" applyFont="1" applyBorder="1"/>
    <xf numFmtId="10" fontId="0" fillId="0" borderId="0" xfId="3" applyNumberFormat="1" applyFont="1" applyBorder="1"/>
    <xf numFmtId="10" fontId="13" fillId="0" borderId="0" xfId="3" applyNumberFormat="1" applyFont="1" applyBorder="1"/>
    <xf numFmtId="10" fontId="0" fillId="0" borderId="7" xfId="3" applyNumberFormat="1" applyFont="1" applyBorder="1"/>
    <xf numFmtId="10" fontId="14" fillId="0" borderId="7" xfId="3" applyNumberFormat="1" applyFont="1" applyBorder="1"/>
    <xf numFmtId="44" fontId="0" fillId="0" borderId="0" xfId="0" applyNumberFormat="1"/>
    <xf numFmtId="44" fontId="0" fillId="0" borderId="0" xfId="2" applyFont="1" applyBorder="1"/>
    <xf numFmtId="44" fontId="0" fillId="0" borderId="7" xfId="2" applyFont="1" applyBorder="1"/>
    <xf numFmtId="41" fontId="0" fillId="0" borderId="11" xfId="1" applyNumberFormat="1" applyFont="1" applyBorder="1"/>
    <xf numFmtId="0" fontId="4" fillId="0" borderId="0" xfId="0" applyFont="1"/>
    <xf numFmtId="10" fontId="14" fillId="0" borderId="0" xfId="3" applyNumberFormat="1" applyFont="1" applyBorder="1"/>
    <xf numFmtId="0" fontId="15" fillId="0" borderId="0" xfId="0" applyFont="1"/>
    <xf numFmtId="0" fontId="15" fillId="0" borderId="2" xfId="0" applyFont="1" applyBorder="1"/>
    <xf numFmtId="0" fontId="15" fillId="0" borderId="4" xfId="0" applyFont="1" applyBorder="1"/>
    <xf numFmtId="0" fontId="8" fillId="2" borderId="0" xfId="0" applyFont="1" applyFill="1" applyAlignment="1">
      <alignment horizontal="center"/>
    </xf>
    <xf numFmtId="41" fontId="15" fillId="0" borderId="0" xfId="1" applyNumberFormat="1" applyFont="1" applyBorder="1"/>
    <xf numFmtId="0" fontId="14" fillId="0" borderId="4" xfId="0" applyFont="1" applyBorder="1"/>
    <xf numFmtId="0" fontId="14" fillId="0" borderId="0" xfId="0" applyFont="1"/>
    <xf numFmtId="41" fontId="14" fillId="0" borderId="0" xfId="1" applyNumberFormat="1" applyFont="1" applyBorder="1"/>
    <xf numFmtId="41" fontId="14" fillId="0" borderId="7" xfId="1" applyNumberFormat="1" applyFont="1" applyBorder="1"/>
    <xf numFmtId="0" fontId="16" fillId="0" borderId="4" xfId="0" applyFont="1" applyBorder="1"/>
    <xf numFmtId="41" fontId="0" fillId="0" borderId="0" xfId="0" applyNumberFormat="1"/>
    <xf numFmtId="41" fontId="8" fillId="0" borderId="0" xfId="1" applyNumberFormat="1" applyFont="1" applyBorder="1"/>
    <xf numFmtId="164" fontId="0" fillId="0" borderId="9" xfId="1" applyNumberFormat="1" applyFont="1" applyBorder="1"/>
    <xf numFmtId="0" fontId="15" fillId="0" borderId="10" xfId="0" applyFont="1" applyBorder="1"/>
    <xf numFmtId="0" fontId="15" fillId="0" borderId="11" xfId="0" applyFont="1" applyBorder="1"/>
    <xf numFmtId="164" fontId="0" fillId="0" borderId="11" xfId="1" applyNumberFormat="1" applyFont="1" applyBorder="1"/>
    <xf numFmtId="41" fontId="0" fillId="0" borderId="0" xfId="1" applyNumberFormat="1" applyFont="1" applyBorder="1" applyAlignment="1">
      <alignment horizontal="center"/>
    </xf>
    <xf numFmtId="0" fontId="0" fillId="0" borderId="8" xfId="0" applyBorder="1"/>
    <xf numFmtId="41" fontId="0" fillId="0" borderId="8" xfId="0" applyNumberFormat="1" applyBorder="1"/>
    <xf numFmtId="41" fontId="0" fillId="0" borderId="9" xfId="1" applyNumberFormat="1" applyFont="1" applyBorder="1"/>
    <xf numFmtId="41" fontId="0" fillId="0" borderId="13" xfId="1" applyNumberFormat="1" applyFont="1" applyBorder="1"/>
    <xf numFmtId="0" fontId="17" fillId="0" borderId="4" xfId="0" applyFont="1" applyBorder="1"/>
    <xf numFmtId="41" fontId="17" fillId="0" borderId="0" xfId="1" applyNumberFormat="1" applyFont="1" applyBorder="1"/>
    <xf numFmtId="0" fontId="18" fillId="0" borderId="4" xfId="0" applyFont="1" applyBorder="1"/>
    <xf numFmtId="166" fontId="0" fillId="0" borderId="0" xfId="0" applyNumberFormat="1"/>
    <xf numFmtId="166" fontId="14" fillId="0" borderId="0" xfId="3" applyNumberFormat="1" applyFont="1" applyBorder="1"/>
    <xf numFmtId="2" fontId="0" fillId="0" borderId="0" xfId="0" applyNumberFormat="1"/>
    <xf numFmtId="2" fontId="13" fillId="0" borderId="0" xfId="3" applyNumberFormat="1" applyFont="1" applyBorder="1"/>
    <xf numFmtId="10" fontId="0" fillId="0" borderId="0" xfId="0" applyNumberFormat="1"/>
    <xf numFmtId="165" fontId="0" fillId="0" borderId="0" xfId="3" applyNumberFormat="1" applyFont="1" applyBorder="1"/>
    <xf numFmtId="0" fontId="0" fillId="0" borderId="0" xfId="0" applyBorder="1"/>
    <xf numFmtId="10" fontId="0" fillId="0" borderId="0" xfId="0" applyNumberFormat="1" applyBorder="1"/>
    <xf numFmtId="0" fontId="6" fillId="0" borderId="4" xfId="0" applyFont="1" applyBorder="1"/>
    <xf numFmtId="0" fontId="19" fillId="3" borderId="4" xfId="0" applyFont="1" applyFill="1" applyBorder="1"/>
    <xf numFmtId="0" fontId="5" fillId="3" borderId="0" xfId="0" applyFont="1" applyFill="1"/>
    <xf numFmtId="0" fontId="5" fillId="3" borderId="5" xfId="0" applyFont="1" applyFill="1" applyBorder="1"/>
    <xf numFmtId="0" fontId="19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10" fontId="10" fillId="0" borderId="0" xfId="3" applyNumberFormat="1" applyFont="1" applyBorder="1"/>
    <xf numFmtId="10" fontId="0" fillId="0" borderId="0" xfId="1" applyNumberFormat="1" applyFont="1" applyBorder="1"/>
    <xf numFmtId="41" fontId="0" fillId="0" borderId="5" xfId="1" applyNumberFormat="1" applyFont="1" applyBorder="1"/>
    <xf numFmtId="164" fontId="13" fillId="0" borderId="0" xfId="1" applyNumberFormat="1" applyFont="1" applyBorder="1"/>
    <xf numFmtId="164" fontId="13" fillId="0" borderId="5" xfId="1" applyNumberFormat="1" applyFont="1" applyFill="1" applyBorder="1"/>
    <xf numFmtId="164" fontId="0" fillId="0" borderId="8" xfId="0" applyNumberFormat="1" applyBorder="1"/>
    <xf numFmtId="10" fontId="13" fillId="0" borderId="8" xfId="3" applyNumberFormat="1" applyFont="1" applyBorder="1"/>
    <xf numFmtId="0" fontId="0" fillId="3" borderId="5" xfId="0" applyFill="1" applyBorder="1"/>
    <xf numFmtId="41" fontId="0" fillId="0" borderId="14" xfId="0" applyNumberFormat="1" applyBorder="1"/>
    <xf numFmtId="164" fontId="0" fillId="0" borderId="14" xfId="1" applyNumberFormat="1" applyFont="1" applyBorder="1"/>
    <xf numFmtId="0" fontId="5" fillId="3" borderId="0" xfId="0" applyFont="1" applyFill="1" applyBorder="1"/>
    <xf numFmtId="164" fontId="0" fillId="0" borderId="0" xfId="1" quotePrefix="1" applyNumberFormat="1" applyFont="1" applyBorder="1"/>
    <xf numFmtId="0" fontId="8" fillId="0" borderId="15" xfId="0" applyFont="1" applyBorder="1"/>
    <xf numFmtId="0" fontId="0" fillId="0" borderId="15" xfId="0" applyBorder="1"/>
    <xf numFmtId="41" fontId="10" fillId="0" borderId="15" xfId="1" applyNumberFormat="1" applyFont="1" applyBorder="1"/>
    <xf numFmtId="41" fontId="0" fillId="0" borderId="16" xfId="1" applyNumberFormat="1" applyFont="1" applyBorder="1"/>
    <xf numFmtId="165" fontId="11" fillId="0" borderId="15" xfId="3" applyNumberFormat="1" applyFont="1" applyBorder="1"/>
    <xf numFmtId="41" fontId="0" fillId="0" borderId="15" xfId="1" applyNumberFormat="1" applyFont="1" applyBorder="1"/>
    <xf numFmtId="0" fontId="8" fillId="0" borderId="18" xfId="0" applyFont="1" applyBorder="1"/>
    <xf numFmtId="0" fontId="0" fillId="0" borderId="18" xfId="0" applyBorder="1"/>
    <xf numFmtId="41" fontId="10" fillId="0" borderId="18" xfId="1" applyNumberFormat="1" applyFont="1" applyBorder="1"/>
    <xf numFmtId="41" fontId="0" fillId="0" borderId="19" xfId="1" applyNumberFormat="1" applyFont="1" applyBorder="1"/>
    <xf numFmtId="41" fontId="11" fillId="0" borderId="18" xfId="1" applyNumberFormat="1" applyFont="1" applyBorder="1"/>
    <xf numFmtId="41" fontId="0" fillId="0" borderId="18" xfId="1" applyNumberFormat="1" applyFont="1" applyBorder="1"/>
    <xf numFmtId="165" fontId="11" fillId="0" borderId="18" xfId="3" applyNumberFormat="1" applyFont="1" applyBorder="1"/>
    <xf numFmtId="0" fontId="8" fillId="2" borderId="18" xfId="0" applyFont="1" applyFill="1" applyBorder="1" applyAlignment="1">
      <alignment horizontal="center"/>
    </xf>
    <xf numFmtId="41" fontId="10" fillId="0" borderId="20" xfId="1" applyNumberFormat="1" applyFont="1" applyBorder="1"/>
    <xf numFmtId="41" fontId="0" fillId="0" borderId="21" xfId="1" applyNumberFormat="1" applyFont="1" applyBorder="1"/>
    <xf numFmtId="41" fontId="3" fillId="0" borderId="18" xfId="1" applyNumberFormat="1" applyFont="1" applyBorder="1"/>
    <xf numFmtId="41" fontId="3" fillId="0" borderId="20" xfId="1" applyNumberFormat="1" applyFont="1" applyBorder="1"/>
    <xf numFmtId="41" fontId="0" fillId="0" borderId="22" xfId="1" applyNumberFormat="1" applyFont="1" applyBorder="1"/>
    <xf numFmtId="41" fontId="17" fillId="0" borderId="18" xfId="1" applyNumberFormat="1" applyFont="1" applyBorder="1"/>
    <xf numFmtId="0" fontId="8" fillId="2" borderId="15" xfId="0" applyFont="1" applyFill="1" applyBorder="1" applyAlignment="1">
      <alignment horizontal="center"/>
    </xf>
    <xf numFmtId="41" fontId="3" fillId="0" borderId="15" xfId="1" applyNumberFormat="1" applyFont="1" applyBorder="1"/>
    <xf numFmtId="41" fontId="10" fillId="0" borderId="23" xfId="1" applyNumberFormat="1" applyFont="1" applyBorder="1"/>
    <xf numFmtId="41" fontId="3" fillId="0" borderId="23" xfId="1" applyNumberFormat="1" applyFont="1" applyBorder="1"/>
    <xf numFmtId="41" fontId="0" fillId="0" borderId="24" xfId="1" applyNumberFormat="1" applyFont="1" applyBorder="1"/>
    <xf numFmtId="41" fontId="0" fillId="0" borderId="25" xfId="1" applyNumberFormat="1" applyFont="1" applyBorder="1"/>
    <xf numFmtId="41" fontId="17" fillId="0" borderId="15" xfId="1" applyNumberFormat="1" applyFont="1" applyBorder="1"/>
    <xf numFmtId="0" fontId="15" fillId="0" borderId="17" xfId="0" applyFont="1" applyBorder="1"/>
    <xf numFmtId="41" fontId="15" fillId="0" borderId="17" xfId="1" applyNumberFormat="1" applyFont="1" applyBorder="1"/>
    <xf numFmtId="41" fontId="10" fillId="0" borderId="17" xfId="1" applyNumberFormat="1" applyFont="1" applyBorder="1"/>
    <xf numFmtId="41" fontId="10" fillId="0" borderId="27" xfId="1" applyNumberFormat="1" applyFont="1" applyBorder="1"/>
    <xf numFmtId="41" fontId="14" fillId="0" borderId="28" xfId="1" applyNumberFormat="1" applyFont="1" applyBorder="1"/>
    <xf numFmtId="41" fontId="14" fillId="0" borderId="17" xfId="1" applyNumberFormat="1" applyFont="1" applyBorder="1"/>
    <xf numFmtId="41" fontId="8" fillId="0" borderId="17" xfId="1" applyNumberFormat="1" applyFont="1" applyBorder="1"/>
    <xf numFmtId="41" fontId="3" fillId="0" borderId="17" xfId="1" applyNumberFormat="1" applyFont="1" applyBorder="1"/>
    <xf numFmtId="41" fontId="3" fillId="0" borderId="27" xfId="1" applyNumberFormat="1" applyFont="1" applyBorder="1"/>
    <xf numFmtId="41" fontId="15" fillId="0" borderId="29" xfId="1" applyNumberFormat="1" applyFont="1" applyBorder="1"/>
    <xf numFmtId="0" fontId="15" fillId="0" borderId="26" xfId="0" applyFont="1" applyBorder="1"/>
    <xf numFmtId="0" fontId="2" fillId="3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64" fontId="3" fillId="0" borderId="0" xfId="1" applyNumberFormat="1" applyFont="1" applyBorder="1"/>
    <xf numFmtId="0" fontId="3" fillId="0" borderId="0" xfId="0" applyFont="1"/>
    <xf numFmtId="0" fontId="0" fillId="4" borderId="4" xfId="0" applyFill="1" applyBorder="1"/>
    <xf numFmtId="41" fontId="13" fillId="4" borderId="0" xfId="1" applyNumberFormat="1" applyFont="1" applyFill="1" applyBorder="1"/>
    <xf numFmtId="10" fontId="0" fillId="4" borderId="0" xfId="3" applyNumberFormat="1" applyFont="1" applyFill="1" applyBorder="1"/>
    <xf numFmtId="0" fontId="0" fillId="4" borderId="0" xfId="0" applyFill="1"/>
    <xf numFmtId="10" fontId="13" fillId="4" borderId="0" xfId="3" applyNumberFormat="1" applyFont="1" applyFill="1" applyBorder="1"/>
    <xf numFmtId="0" fontId="2" fillId="3" borderId="1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617432</xdr:colOff>
      <xdr:row>57</xdr:row>
      <xdr:rowOff>47625</xdr:rowOff>
    </xdr:from>
    <xdr:to>
      <xdr:col>13</xdr:col>
      <xdr:colOff>134620</xdr:colOff>
      <xdr:row>60</xdr:row>
      <xdr:rowOff>77470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1234B83D-37DC-4683-88B7-A47AD9235DF2}"/>
            </a:ext>
          </a:extLst>
        </xdr:cNvPr>
        <xdr:cNvSpPr/>
      </xdr:nvSpPr>
      <xdr:spPr>
        <a:xfrm>
          <a:off x="9942407" y="10267950"/>
          <a:ext cx="164888" cy="572770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6921b89f68d3868/Downloads/CD_chapter_16_proj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16.1"/>
      <sheetName val="Fig 16.2"/>
      <sheetName val="Fig. 16.3"/>
      <sheetName val="Fig. 16.4"/>
      <sheetName val="Fig. 16.5"/>
      <sheetName val="Fig. 16.6"/>
      <sheetName val="Fig. 16.7"/>
      <sheetName val="Fig. 16.8"/>
      <sheetName val="Fig. 16.9"/>
      <sheetName val="Fig. 16.10"/>
      <sheetName val="Fig. 16.11"/>
      <sheetName val="Fig. 16.12"/>
      <sheetName val="Fig. 16.13"/>
      <sheetName val="Fig. 16.14"/>
      <sheetName val="Fig. 16.15"/>
      <sheetName val="Fig. 16.16"/>
      <sheetName val="Fig. 16.17"/>
      <sheetName val="Fig.16.18"/>
      <sheetName val="Fig. 16.19"/>
      <sheetName val="Fig. 16.20"/>
      <sheetName val="NO TO POST DC Tax Schedule"/>
    </sheetNames>
    <sheetDataSet>
      <sheetData sheetId="0">
        <row r="9">
          <cell r="B9" t="str">
            <v xml:space="preserve">  U.S.</v>
          </cell>
        </row>
        <row r="10">
          <cell r="B10" t="str">
            <v xml:space="preserve">  Europe</v>
          </cell>
        </row>
        <row r="11">
          <cell r="B11" t="str">
            <v xml:space="preserve">  Asia</v>
          </cell>
        </row>
        <row r="15">
          <cell r="B15" t="str">
            <v xml:space="preserve">  U.S.</v>
          </cell>
        </row>
        <row r="16">
          <cell r="B16" t="str">
            <v xml:space="preserve">  Europe</v>
          </cell>
        </row>
        <row r="17">
          <cell r="B17" t="str">
            <v xml:space="preserve">  Asia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F9">
            <v>920000</v>
          </cell>
          <cell r="H9">
            <v>1004640.0000000001</v>
          </cell>
          <cell r="I9">
            <v>1086593.5079999999</v>
          </cell>
          <cell r="J9">
            <v>1152767.0526372001</v>
          </cell>
          <cell r="K9">
            <v>1211125.8846769582</v>
          </cell>
          <cell r="L9">
            <v>1266232.1124297597</v>
          </cell>
        </row>
        <row r="10">
          <cell r="F10">
            <v>140000</v>
          </cell>
          <cell r="H10">
            <v>161700</v>
          </cell>
          <cell r="I10">
            <v>182494.62</v>
          </cell>
          <cell r="J10">
            <v>201182.06908799999</v>
          </cell>
          <cell r="K10">
            <v>215506.23240706563</v>
          </cell>
          <cell r="L10">
            <v>225311.76598158709</v>
          </cell>
        </row>
        <row r="11">
          <cell r="F11">
            <v>50000</v>
          </cell>
          <cell r="H11">
            <v>61800</v>
          </cell>
          <cell r="I11">
            <v>75111.72</v>
          </cell>
          <cell r="J11">
            <v>88969.832339999994</v>
          </cell>
          <cell r="K11">
            <v>102635.598587424</v>
          </cell>
          <cell r="L11">
            <v>113617.60763627838</v>
          </cell>
        </row>
        <row r="12">
          <cell r="D12">
            <v>960000</v>
          </cell>
          <cell r="F12">
            <v>1110000</v>
          </cell>
          <cell r="H12">
            <v>1228140</v>
          </cell>
          <cell r="I12">
            <v>1344199.848</v>
          </cell>
          <cell r="J12">
            <v>1442918.9540652002</v>
          </cell>
          <cell r="K12">
            <v>1529267.7156714478</v>
          </cell>
          <cell r="L12">
            <v>1605161.4860476251</v>
          </cell>
        </row>
        <row r="19">
          <cell r="H19">
            <v>463078.20000000007</v>
          </cell>
          <cell r="I19">
            <v>506823.33803999994</v>
          </cell>
          <cell r="J19">
            <v>544053.13711893605</v>
          </cell>
          <cell r="K19">
            <v>576709.25695468672</v>
          </cell>
          <cell r="L19">
            <v>605474.36387137545</v>
          </cell>
        </row>
        <row r="28">
          <cell r="H28">
            <v>271501.2</v>
          </cell>
          <cell r="I28">
            <v>289448.48784000002</v>
          </cell>
          <cell r="J28">
            <v>306441.64132521598</v>
          </cell>
          <cell r="K28">
            <v>322899.94850371586</v>
          </cell>
          <cell r="L28">
            <v>338999.37669631001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13EDD-D2F7-4AAB-8C31-D8E963C522BE}">
  <dimension ref="B1:L134"/>
  <sheetViews>
    <sheetView tabSelected="1" topLeftCell="A14" workbookViewId="0">
      <selection activeCell="K28" sqref="K28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0.76171875" bestFit="1" customWidth="1"/>
    <col min="5" max="5" width="2.703125" customWidth="1"/>
    <col min="6" max="6" width="11.46875" customWidth="1"/>
    <col min="7" max="11" width="10.41015625" customWidth="1"/>
    <col min="12" max="12" width="3.703125" customWidth="1"/>
    <col min="250" max="250" width="4.5859375" customWidth="1"/>
    <col min="251" max="251" width="2.9375" customWidth="1"/>
    <col min="252" max="252" width="1.1171875" customWidth="1"/>
    <col min="253" max="253" width="23.17578125" customWidth="1"/>
    <col min="256" max="256" width="2.05859375" customWidth="1"/>
    <col min="257" max="257" width="10.29296875" customWidth="1"/>
    <col min="258" max="258" width="2.41015625" customWidth="1"/>
    <col min="260" max="260" width="3.9375" customWidth="1"/>
    <col min="262" max="262" width="4.17578125" customWidth="1"/>
    <col min="263" max="263" width="9.5859375" customWidth="1"/>
    <col min="506" max="506" width="4.5859375" customWidth="1"/>
    <col min="507" max="507" width="2.9375" customWidth="1"/>
    <col min="508" max="508" width="1.1171875" customWidth="1"/>
    <col min="509" max="509" width="23.17578125" customWidth="1"/>
    <col min="512" max="512" width="2.05859375" customWidth="1"/>
    <col min="513" max="513" width="10.29296875" customWidth="1"/>
    <col min="514" max="514" width="2.41015625" customWidth="1"/>
    <col min="516" max="516" width="3.9375" customWidth="1"/>
    <col min="518" max="518" width="4.17578125" customWidth="1"/>
    <col min="519" max="519" width="9.5859375" customWidth="1"/>
    <col min="762" max="762" width="4.5859375" customWidth="1"/>
    <col min="763" max="763" width="2.9375" customWidth="1"/>
    <col min="764" max="764" width="1.1171875" customWidth="1"/>
    <col min="765" max="765" width="23.17578125" customWidth="1"/>
    <col min="768" max="768" width="2.05859375" customWidth="1"/>
    <col min="769" max="769" width="10.29296875" customWidth="1"/>
    <col min="770" max="770" width="2.41015625" customWidth="1"/>
    <col min="772" max="772" width="3.9375" customWidth="1"/>
    <col min="774" max="774" width="4.17578125" customWidth="1"/>
    <col min="775" max="775" width="9.5859375" customWidth="1"/>
    <col min="1018" max="1018" width="4.5859375" customWidth="1"/>
    <col min="1019" max="1019" width="2.9375" customWidth="1"/>
    <col min="1020" max="1020" width="1.1171875" customWidth="1"/>
    <col min="1021" max="1021" width="23.17578125" customWidth="1"/>
    <col min="1024" max="1024" width="2.05859375" customWidth="1"/>
    <col min="1025" max="1025" width="10.29296875" customWidth="1"/>
    <col min="1026" max="1026" width="2.41015625" customWidth="1"/>
    <col min="1028" max="1028" width="3.9375" customWidth="1"/>
    <col min="1030" max="1030" width="4.17578125" customWidth="1"/>
    <col min="1031" max="1031" width="9.5859375" customWidth="1"/>
    <col min="1274" max="1274" width="4.5859375" customWidth="1"/>
    <col min="1275" max="1275" width="2.9375" customWidth="1"/>
    <col min="1276" max="1276" width="1.1171875" customWidth="1"/>
    <col min="1277" max="1277" width="23.17578125" customWidth="1"/>
    <col min="1280" max="1280" width="2.05859375" customWidth="1"/>
    <col min="1281" max="1281" width="10.29296875" customWidth="1"/>
    <col min="1282" max="1282" width="2.41015625" customWidth="1"/>
    <col min="1284" max="1284" width="3.9375" customWidth="1"/>
    <col min="1286" max="1286" width="4.17578125" customWidth="1"/>
    <col min="1287" max="1287" width="9.5859375" customWidth="1"/>
    <col min="1530" max="1530" width="4.5859375" customWidth="1"/>
    <col min="1531" max="1531" width="2.9375" customWidth="1"/>
    <col min="1532" max="1532" width="1.1171875" customWidth="1"/>
    <col min="1533" max="1533" width="23.17578125" customWidth="1"/>
    <col min="1536" max="1536" width="2.05859375" customWidth="1"/>
    <col min="1537" max="1537" width="10.29296875" customWidth="1"/>
    <col min="1538" max="1538" width="2.41015625" customWidth="1"/>
    <col min="1540" max="1540" width="3.9375" customWidth="1"/>
    <col min="1542" max="1542" width="4.17578125" customWidth="1"/>
    <col min="1543" max="1543" width="9.5859375" customWidth="1"/>
    <col min="1786" max="1786" width="4.5859375" customWidth="1"/>
    <col min="1787" max="1787" width="2.9375" customWidth="1"/>
    <col min="1788" max="1788" width="1.1171875" customWidth="1"/>
    <col min="1789" max="1789" width="23.17578125" customWidth="1"/>
    <col min="1792" max="1792" width="2.05859375" customWidth="1"/>
    <col min="1793" max="1793" width="10.29296875" customWidth="1"/>
    <col min="1794" max="1794" width="2.41015625" customWidth="1"/>
    <col min="1796" max="1796" width="3.9375" customWidth="1"/>
    <col min="1798" max="1798" width="4.17578125" customWidth="1"/>
    <col min="1799" max="1799" width="9.5859375" customWidth="1"/>
    <col min="2042" max="2042" width="4.5859375" customWidth="1"/>
    <col min="2043" max="2043" width="2.9375" customWidth="1"/>
    <col min="2044" max="2044" width="1.1171875" customWidth="1"/>
    <col min="2045" max="2045" width="23.17578125" customWidth="1"/>
    <col min="2048" max="2048" width="2.05859375" customWidth="1"/>
    <col min="2049" max="2049" width="10.29296875" customWidth="1"/>
    <col min="2050" max="2050" width="2.41015625" customWidth="1"/>
    <col min="2052" max="2052" width="3.9375" customWidth="1"/>
    <col min="2054" max="2054" width="4.17578125" customWidth="1"/>
    <col min="2055" max="2055" width="9.5859375" customWidth="1"/>
    <col min="2298" max="2298" width="4.5859375" customWidth="1"/>
    <col min="2299" max="2299" width="2.9375" customWidth="1"/>
    <col min="2300" max="2300" width="1.1171875" customWidth="1"/>
    <col min="2301" max="2301" width="23.17578125" customWidth="1"/>
    <col min="2304" max="2304" width="2.05859375" customWidth="1"/>
    <col min="2305" max="2305" width="10.29296875" customWidth="1"/>
    <col min="2306" max="2306" width="2.41015625" customWidth="1"/>
    <col min="2308" max="2308" width="3.9375" customWidth="1"/>
    <col min="2310" max="2310" width="4.17578125" customWidth="1"/>
    <col min="2311" max="2311" width="9.5859375" customWidth="1"/>
    <col min="2554" max="2554" width="4.5859375" customWidth="1"/>
    <col min="2555" max="2555" width="2.9375" customWidth="1"/>
    <col min="2556" max="2556" width="1.1171875" customWidth="1"/>
    <col min="2557" max="2557" width="23.17578125" customWidth="1"/>
    <col min="2560" max="2560" width="2.05859375" customWidth="1"/>
    <col min="2561" max="2561" width="10.29296875" customWidth="1"/>
    <col min="2562" max="2562" width="2.41015625" customWidth="1"/>
    <col min="2564" max="2564" width="3.9375" customWidth="1"/>
    <col min="2566" max="2566" width="4.17578125" customWidth="1"/>
    <col min="2567" max="2567" width="9.5859375" customWidth="1"/>
    <col min="2810" max="2810" width="4.5859375" customWidth="1"/>
    <col min="2811" max="2811" width="2.9375" customWidth="1"/>
    <col min="2812" max="2812" width="1.1171875" customWidth="1"/>
    <col min="2813" max="2813" width="23.17578125" customWidth="1"/>
    <col min="2816" max="2816" width="2.05859375" customWidth="1"/>
    <col min="2817" max="2817" width="10.29296875" customWidth="1"/>
    <col min="2818" max="2818" width="2.41015625" customWidth="1"/>
    <col min="2820" max="2820" width="3.9375" customWidth="1"/>
    <col min="2822" max="2822" width="4.17578125" customWidth="1"/>
    <col min="2823" max="2823" width="9.5859375" customWidth="1"/>
    <col min="3066" max="3066" width="4.5859375" customWidth="1"/>
    <col min="3067" max="3067" width="2.9375" customWidth="1"/>
    <col min="3068" max="3068" width="1.1171875" customWidth="1"/>
    <col min="3069" max="3069" width="23.17578125" customWidth="1"/>
    <col min="3072" max="3072" width="2.05859375" customWidth="1"/>
    <col min="3073" max="3073" width="10.29296875" customWidth="1"/>
    <col min="3074" max="3074" width="2.41015625" customWidth="1"/>
    <col min="3076" max="3076" width="3.9375" customWidth="1"/>
    <col min="3078" max="3078" width="4.17578125" customWidth="1"/>
    <col min="3079" max="3079" width="9.5859375" customWidth="1"/>
    <col min="3322" max="3322" width="4.5859375" customWidth="1"/>
    <col min="3323" max="3323" width="2.9375" customWidth="1"/>
    <col min="3324" max="3324" width="1.1171875" customWidth="1"/>
    <col min="3325" max="3325" width="23.17578125" customWidth="1"/>
    <col min="3328" max="3328" width="2.05859375" customWidth="1"/>
    <col min="3329" max="3329" width="10.29296875" customWidth="1"/>
    <col min="3330" max="3330" width="2.41015625" customWidth="1"/>
    <col min="3332" max="3332" width="3.9375" customWidth="1"/>
    <col min="3334" max="3334" width="4.17578125" customWidth="1"/>
    <col min="3335" max="3335" width="9.5859375" customWidth="1"/>
    <col min="3578" max="3578" width="4.5859375" customWidth="1"/>
    <col min="3579" max="3579" width="2.9375" customWidth="1"/>
    <col min="3580" max="3580" width="1.1171875" customWidth="1"/>
    <col min="3581" max="3581" width="23.17578125" customWidth="1"/>
    <col min="3584" max="3584" width="2.05859375" customWidth="1"/>
    <col min="3585" max="3585" width="10.29296875" customWidth="1"/>
    <col min="3586" max="3586" width="2.41015625" customWidth="1"/>
    <col min="3588" max="3588" width="3.9375" customWidth="1"/>
    <col min="3590" max="3590" width="4.17578125" customWidth="1"/>
    <col min="3591" max="3591" width="9.5859375" customWidth="1"/>
    <col min="3834" max="3834" width="4.5859375" customWidth="1"/>
    <col min="3835" max="3835" width="2.9375" customWidth="1"/>
    <col min="3836" max="3836" width="1.1171875" customWidth="1"/>
    <col min="3837" max="3837" width="23.17578125" customWidth="1"/>
    <col min="3840" max="3840" width="2.05859375" customWidth="1"/>
    <col min="3841" max="3841" width="10.29296875" customWidth="1"/>
    <col min="3842" max="3842" width="2.41015625" customWidth="1"/>
    <col min="3844" max="3844" width="3.9375" customWidth="1"/>
    <col min="3846" max="3846" width="4.17578125" customWidth="1"/>
    <col min="3847" max="3847" width="9.5859375" customWidth="1"/>
    <col min="4090" max="4090" width="4.5859375" customWidth="1"/>
    <col min="4091" max="4091" width="2.9375" customWidth="1"/>
    <col min="4092" max="4092" width="1.1171875" customWidth="1"/>
    <col min="4093" max="4093" width="23.17578125" customWidth="1"/>
    <col min="4096" max="4096" width="2.05859375" customWidth="1"/>
    <col min="4097" max="4097" width="10.29296875" customWidth="1"/>
    <col min="4098" max="4098" width="2.41015625" customWidth="1"/>
    <col min="4100" max="4100" width="3.9375" customWidth="1"/>
    <col min="4102" max="4102" width="4.17578125" customWidth="1"/>
    <col min="4103" max="4103" width="9.5859375" customWidth="1"/>
    <col min="4346" max="4346" width="4.5859375" customWidth="1"/>
    <col min="4347" max="4347" width="2.9375" customWidth="1"/>
    <col min="4348" max="4348" width="1.1171875" customWidth="1"/>
    <col min="4349" max="4349" width="23.17578125" customWidth="1"/>
    <col min="4352" max="4352" width="2.05859375" customWidth="1"/>
    <col min="4353" max="4353" width="10.29296875" customWidth="1"/>
    <col min="4354" max="4354" width="2.41015625" customWidth="1"/>
    <col min="4356" max="4356" width="3.9375" customWidth="1"/>
    <col min="4358" max="4358" width="4.17578125" customWidth="1"/>
    <col min="4359" max="4359" width="9.5859375" customWidth="1"/>
    <col min="4602" max="4602" width="4.5859375" customWidth="1"/>
    <col min="4603" max="4603" width="2.9375" customWidth="1"/>
    <col min="4604" max="4604" width="1.1171875" customWidth="1"/>
    <col min="4605" max="4605" width="23.17578125" customWidth="1"/>
    <col min="4608" max="4608" width="2.05859375" customWidth="1"/>
    <col min="4609" max="4609" width="10.29296875" customWidth="1"/>
    <col min="4610" max="4610" width="2.41015625" customWidth="1"/>
    <col min="4612" max="4612" width="3.9375" customWidth="1"/>
    <col min="4614" max="4614" width="4.17578125" customWidth="1"/>
    <col min="4615" max="4615" width="9.5859375" customWidth="1"/>
    <col min="4858" max="4858" width="4.5859375" customWidth="1"/>
    <col min="4859" max="4859" width="2.9375" customWidth="1"/>
    <col min="4860" max="4860" width="1.1171875" customWidth="1"/>
    <col min="4861" max="4861" width="23.17578125" customWidth="1"/>
    <col min="4864" max="4864" width="2.05859375" customWidth="1"/>
    <col min="4865" max="4865" width="10.29296875" customWidth="1"/>
    <col min="4866" max="4866" width="2.41015625" customWidth="1"/>
    <col min="4868" max="4868" width="3.9375" customWidth="1"/>
    <col min="4870" max="4870" width="4.17578125" customWidth="1"/>
    <col min="4871" max="4871" width="9.5859375" customWidth="1"/>
    <col min="5114" max="5114" width="4.5859375" customWidth="1"/>
    <col min="5115" max="5115" width="2.9375" customWidth="1"/>
    <col min="5116" max="5116" width="1.1171875" customWidth="1"/>
    <col min="5117" max="5117" width="23.17578125" customWidth="1"/>
    <col min="5120" max="5120" width="2.05859375" customWidth="1"/>
    <col min="5121" max="5121" width="10.29296875" customWidth="1"/>
    <col min="5122" max="5122" width="2.41015625" customWidth="1"/>
    <col min="5124" max="5124" width="3.9375" customWidth="1"/>
    <col min="5126" max="5126" width="4.17578125" customWidth="1"/>
    <col min="5127" max="5127" width="9.5859375" customWidth="1"/>
    <col min="5370" max="5370" width="4.5859375" customWidth="1"/>
    <col min="5371" max="5371" width="2.9375" customWidth="1"/>
    <col min="5372" max="5372" width="1.1171875" customWidth="1"/>
    <col min="5373" max="5373" width="23.17578125" customWidth="1"/>
    <col min="5376" max="5376" width="2.05859375" customWidth="1"/>
    <col min="5377" max="5377" width="10.29296875" customWidth="1"/>
    <col min="5378" max="5378" width="2.41015625" customWidth="1"/>
    <col min="5380" max="5380" width="3.9375" customWidth="1"/>
    <col min="5382" max="5382" width="4.17578125" customWidth="1"/>
    <col min="5383" max="5383" width="9.5859375" customWidth="1"/>
    <col min="5626" max="5626" width="4.5859375" customWidth="1"/>
    <col min="5627" max="5627" width="2.9375" customWidth="1"/>
    <col min="5628" max="5628" width="1.1171875" customWidth="1"/>
    <col min="5629" max="5629" width="23.17578125" customWidth="1"/>
    <col min="5632" max="5632" width="2.05859375" customWidth="1"/>
    <col min="5633" max="5633" width="10.29296875" customWidth="1"/>
    <col min="5634" max="5634" width="2.41015625" customWidth="1"/>
    <col min="5636" max="5636" width="3.9375" customWidth="1"/>
    <col min="5638" max="5638" width="4.17578125" customWidth="1"/>
    <col min="5639" max="5639" width="9.5859375" customWidth="1"/>
    <col min="5882" max="5882" width="4.5859375" customWidth="1"/>
    <col min="5883" max="5883" width="2.9375" customWidth="1"/>
    <col min="5884" max="5884" width="1.1171875" customWidth="1"/>
    <col min="5885" max="5885" width="23.17578125" customWidth="1"/>
    <col min="5888" max="5888" width="2.05859375" customWidth="1"/>
    <col min="5889" max="5889" width="10.29296875" customWidth="1"/>
    <col min="5890" max="5890" width="2.41015625" customWidth="1"/>
    <col min="5892" max="5892" width="3.9375" customWidth="1"/>
    <col min="5894" max="5894" width="4.17578125" customWidth="1"/>
    <col min="5895" max="5895" width="9.5859375" customWidth="1"/>
    <col min="6138" max="6138" width="4.5859375" customWidth="1"/>
    <col min="6139" max="6139" width="2.9375" customWidth="1"/>
    <col min="6140" max="6140" width="1.1171875" customWidth="1"/>
    <col min="6141" max="6141" width="23.17578125" customWidth="1"/>
    <col min="6144" max="6144" width="2.05859375" customWidth="1"/>
    <col min="6145" max="6145" width="10.29296875" customWidth="1"/>
    <col min="6146" max="6146" width="2.41015625" customWidth="1"/>
    <col min="6148" max="6148" width="3.9375" customWidth="1"/>
    <col min="6150" max="6150" width="4.17578125" customWidth="1"/>
    <col min="6151" max="6151" width="9.5859375" customWidth="1"/>
    <col min="6394" max="6394" width="4.5859375" customWidth="1"/>
    <col min="6395" max="6395" width="2.9375" customWidth="1"/>
    <col min="6396" max="6396" width="1.1171875" customWidth="1"/>
    <col min="6397" max="6397" width="23.17578125" customWidth="1"/>
    <col min="6400" max="6400" width="2.05859375" customWidth="1"/>
    <col min="6401" max="6401" width="10.29296875" customWidth="1"/>
    <col min="6402" max="6402" width="2.41015625" customWidth="1"/>
    <col min="6404" max="6404" width="3.9375" customWidth="1"/>
    <col min="6406" max="6406" width="4.17578125" customWidth="1"/>
    <col min="6407" max="6407" width="9.5859375" customWidth="1"/>
    <col min="6650" max="6650" width="4.5859375" customWidth="1"/>
    <col min="6651" max="6651" width="2.9375" customWidth="1"/>
    <col min="6652" max="6652" width="1.1171875" customWidth="1"/>
    <col min="6653" max="6653" width="23.17578125" customWidth="1"/>
    <col min="6656" max="6656" width="2.05859375" customWidth="1"/>
    <col min="6657" max="6657" width="10.29296875" customWidth="1"/>
    <col min="6658" max="6658" width="2.41015625" customWidth="1"/>
    <col min="6660" max="6660" width="3.9375" customWidth="1"/>
    <col min="6662" max="6662" width="4.17578125" customWidth="1"/>
    <col min="6663" max="6663" width="9.5859375" customWidth="1"/>
    <col min="6906" max="6906" width="4.5859375" customWidth="1"/>
    <col min="6907" max="6907" width="2.9375" customWidth="1"/>
    <col min="6908" max="6908" width="1.1171875" customWidth="1"/>
    <col min="6909" max="6909" width="23.17578125" customWidth="1"/>
    <col min="6912" max="6912" width="2.05859375" customWidth="1"/>
    <col min="6913" max="6913" width="10.29296875" customWidth="1"/>
    <col min="6914" max="6914" width="2.41015625" customWidth="1"/>
    <col min="6916" max="6916" width="3.9375" customWidth="1"/>
    <col min="6918" max="6918" width="4.17578125" customWidth="1"/>
    <col min="6919" max="6919" width="9.5859375" customWidth="1"/>
    <col min="7162" max="7162" width="4.5859375" customWidth="1"/>
    <col min="7163" max="7163" width="2.9375" customWidth="1"/>
    <col min="7164" max="7164" width="1.1171875" customWidth="1"/>
    <col min="7165" max="7165" width="23.17578125" customWidth="1"/>
    <col min="7168" max="7168" width="2.05859375" customWidth="1"/>
    <col min="7169" max="7169" width="10.29296875" customWidth="1"/>
    <col min="7170" max="7170" width="2.41015625" customWidth="1"/>
    <col min="7172" max="7172" width="3.9375" customWidth="1"/>
    <col min="7174" max="7174" width="4.17578125" customWidth="1"/>
    <col min="7175" max="7175" width="9.5859375" customWidth="1"/>
    <col min="7418" max="7418" width="4.5859375" customWidth="1"/>
    <col min="7419" max="7419" width="2.9375" customWidth="1"/>
    <col min="7420" max="7420" width="1.1171875" customWidth="1"/>
    <col min="7421" max="7421" width="23.17578125" customWidth="1"/>
    <col min="7424" max="7424" width="2.05859375" customWidth="1"/>
    <col min="7425" max="7425" width="10.29296875" customWidth="1"/>
    <col min="7426" max="7426" width="2.41015625" customWidth="1"/>
    <col min="7428" max="7428" width="3.9375" customWidth="1"/>
    <col min="7430" max="7430" width="4.17578125" customWidth="1"/>
    <col min="7431" max="7431" width="9.5859375" customWidth="1"/>
    <col min="7674" max="7674" width="4.5859375" customWidth="1"/>
    <col min="7675" max="7675" width="2.9375" customWidth="1"/>
    <col min="7676" max="7676" width="1.1171875" customWidth="1"/>
    <col min="7677" max="7677" width="23.17578125" customWidth="1"/>
    <col min="7680" max="7680" width="2.05859375" customWidth="1"/>
    <col min="7681" max="7681" width="10.29296875" customWidth="1"/>
    <col min="7682" max="7682" width="2.41015625" customWidth="1"/>
    <col min="7684" max="7684" width="3.9375" customWidth="1"/>
    <col min="7686" max="7686" width="4.17578125" customWidth="1"/>
    <col min="7687" max="7687" width="9.5859375" customWidth="1"/>
    <col min="7930" max="7930" width="4.5859375" customWidth="1"/>
    <col min="7931" max="7931" width="2.9375" customWidth="1"/>
    <col min="7932" max="7932" width="1.1171875" customWidth="1"/>
    <col min="7933" max="7933" width="23.17578125" customWidth="1"/>
    <col min="7936" max="7936" width="2.05859375" customWidth="1"/>
    <col min="7937" max="7937" width="10.29296875" customWidth="1"/>
    <col min="7938" max="7938" width="2.41015625" customWidth="1"/>
    <col min="7940" max="7940" width="3.9375" customWidth="1"/>
    <col min="7942" max="7942" width="4.17578125" customWidth="1"/>
    <col min="7943" max="7943" width="9.5859375" customWidth="1"/>
    <col min="8186" max="8186" width="4.5859375" customWidth="1"/>
    <col min="8187" max="8187" width="2.9375" customWidth="1"/>
    <col min="8188" max="8188" width="1.1171875" customWidth="1"/>
    <col min="8189" max="8189" width="23.17578125" customWidth="1"/>
    <col min="8192" max="8192" width="2.05859375" customWidth="1"/>
    <col min="8193" max="8193" width="10.29296875" customWidth="1"/>
    <col min="8194" max="8194" width="2.41015625" customWidth="1"/>
    <col min="8196" max="8196" width="3.9375" customWidth="1"/>
    <col min="8198" max="8198" width="4.17578125" customWidth="1"/>
    <col min="8199" max="8199" width="9.5859375" customWidth="1"/>
    <col min="8442" max="8442" width="4.5859375" customWidth="1"/>
    <col min="8443" max="8443" width="2.9375" customWidth="1"/>
    <col min="8444" max="8444" width="1.1171875" customWidth="1"/>
    <col min="8445" max="8445" width="23.17578125" customWidth="1"/>
    <col min="8448" max="8448" width="2.05859375" customWidth="1"/>
    <col min="8449" max="8449" width="10.29296875" customWidth="1"/>
    <col min="8450" max="8450" width="2.41015625" customWidth="1"/>
    <col min="8452" max="8452" width="3.9375" customWidth="1"/>
    <col min="8454" max="8454" width="4.17578125" customWidth="1"/>
    <col min="8455" max="8455" width="9.5859375" customWidth="1"/>
    <col min="8698" max="8698" width="4.5859375" customWidth="1"/>
    <col min="8699" max="8699" width="2.9375" customWidth="1"/>
    <col min="8700" max="8700" width="1.1171875" customWidth="1"/>
    <col min="8701" max="8701" width="23.17578125" customWidth="1"/>
    <col min="8704" max="8704" width="2.05859375" customWidth="1"/>
    <col min="8705" max="8705" width="10.29296875" customWidth="1"/>
    <col min="8706" max="8706" width="2.41015625" customWidth="1"/>
    <col min="8708" max="8708" width="3.9375" customWidth="1"/>
    <col min="8710" max="8710" width="4.17578125" customWidth="1"/>
    <col min="8711" max="8711" width="9.5859375" customWidth="1"/>
    <col min="8954" max="8954" width="4.5859375" customWidth="1"/>
    <col min="8955" max="8955" width="2.9375" customWidth="1"/>
    <col min="8956" max="8956" width="1.1171875" customWidth="1"/>
    <col min="8957" max="8957" width="23.17578125" customWidth="1"/>
    <col min="8960" max="8960" width="2.05859375" customWidth="1"/>
    <col min="8961" max="8961" width="10.29296875" customWidth="1"/>
    <col min="8962" max="8962" width="2.41015625" customWidth="1"/>
    <col min="8964" max="8964" width="3.9375" customWidth="1"/>
    <col min="8966" max="8966" width="4.17578125" customWidth="1"/>
    <col min="8967" max="8967" width="9.5859375" customWidth="1"/>
    <col min="9210" max="9210" width="4.5859375" customWidth="1"/>
    <col min="9211" max="9211" width="2.9375" customWidth="1"/>
    <col min="9212" max="9212" width="1.1171875" customWidth="1"/>
    <col min="9213" max="9213" width="23.17578125" customWidth="1"/>
    <col min="9216" max="9216" width="2.05859375" customWidth="1"/>
    <col min="9217" max="9217" width="10.29296875" customWidth="1"/>
    <col min="9218" max="9218" width="2.41015625" customWidth="1"/>
    <col min="9220" max="9220" width="3.9375" customWidth="1"/>
    <col min="9222" max="9222" width="4.17578125" customWidth="1"/>
    <col min="9223" max="9223" width="9.5859375" customWidth="1"/>
    <col min="9466" max="9466" width="4.5859375" customWidth="1"/>
    <col min="9467" max="9467" width="2.9375" customWidth="1"/>
    <col min="9468" max="9468" width="1.1171875" customWidth="1"/>
    <col min="9469" max="9469" width="23.17578125" customWidth="1"/>
    <col min="9472" max="9472" width="2.05859375" customWidth="1"/>
    <col min="9473" max="9473" width="10.29296875" customWidth="1"/>
    <col min="9474" max="9474" width="2.41015625" customWidth="1"/>
    <col min="9476" max="9476" width="3.9375" customWidth="1"/>
    <col min="9478" max="9478" width="4.17578125" customWidth="1"/>
    <col min="9479" max="9479" width="9.5859375" customWidth="1"/>
    <col min="9722" max="9722" width="4.5859375" customWidth="1"/>
    <col min="9723" max="9723" width="2.9375" customWidth="1"/>
    <col min="9724" max="9724" width="1.1171875" customWidth="1"/>
    <col min="9725" max="9725" width="23.17578125" customWidth="1"/>
    <col min="9728" max="9728" width="2.05859375" customWidth="1"/>
    <col min="9729" max="9729" width="10.29296875" customWidth="1"/>
    <col min="9730" max="9730" width="2.41015625" customWidth="1"/>
    <col min="9732" max="9732" width="3.9375" customWidth="1"/>
    <col min="9734" max="9734" width="4.17578125" customWidth="1"/>
    <col min="9735" max="9735" width="9.5859375" customWidth="1"/>
    <col min="9978" max="9978" width="4.5859375" customWidth="1"/>
    <col min="9979" max="9979" width="2.9375" customWidth="1"/>
    <col min="9980" max="9980" width="1.1171875" customWidth="1"/>
    <col min="9981" max="9981" width="23.17578125" customWidth="1"/>
    <col min="9984" max="9984" width="2.05859375" customWidth="1"/>
    <col min="9985" max="9985" width="10.29296875" customWidth="1"/>
    <col min="9986" max="9986" width="2.41015625" customWidth="1"/>
    <col min="9988" max="9988" width="3.9375" customWidth="1"/>
    <col min="9990" max="9990" width="4.17578125" customWidth="1"/>
    <col min="9991" max="9991" width="9.5859375" customWidth="1"/>
    <col min="10234" max="10234" width="4.5859375" customWidth="1"/>
    <col min="10235" max="10235" width="2.9375" customWidth="1"/>
    <col min="10236" max="10236" width="1.1171875" customWidth="1"/>
    <col min="10237" max="10237" width="23.17578125" customWidth="1"/>
    <col min="10240" max="10240" width="2.05859375" customWidth="1"/>
    <col min="10241" max="10241" width="10.29296875" customWidth="1"/>
    <col min="10242" max="10242" width="2.41015625" customWidth="1"/>
    <col min="10244" max="10244" width="3.9375" customWidth="1"/>
    <col min="10246" max="10246" width="4.17578125" customWidth="1"/>
    <col min="10247" max="10247" width="9.5859375" customWidth="1"/>
    <col min="10490" max="10490" width="4.5859375" customWidth="1"/>
    <col min="10491" max="10491" width="2.9375" customWidth="1"/>
    <col min="10492" max="10492" width="1.1171875" customWidth="1"/>
    <col min="10493" max="10493" width="23.17578125" customWidth="1"/>
    <col min="10496" max="10496" width="2.05859375" customWidth="1"/>
    <col min="10497" max="10497" width="10.29296875" customWidth="1"/>
    <col min="10498" max="10498" width="2.41015625" customWidth="1"/>
    <col min="10500" max="10500" width="3.9375" customWidth="1"/>
    <col min="10502" max="10502" width="4.17578125" customWidth="1"/>
    <col min="10503" max="10503" width="9.5859375" customWidth="1"/>
    <col min="10746" max="10746" width="4.5859375" customWidth="1"/>
    <col min="10747" max="10747" width="2.9375" customWidth="1"/>
    <col min="10748" max="10748" width="1.1171875" customWidth="1"/>
    <col min="10749" max="10749" width="23.17578125" customWidth="1"/>
    <col min="10752" max="10752" width="2.05859375" customWidth="1"/>
    <col min="10753" max="10753" width="10.29296875" customWidth="1"/>
    <col min="10754" max="10754" width="2.41015625" customWidth="1"/>
    <col min="10756" max="10756" width="3.9375" customWidth="1"/>
    <col min="10758" max="10758" width="4.17578125" customWidth="1"/>
    <col min="10759" max="10759" width="9.5859375" customWidth="1"/>
    <col min="11002" max="11002" width="4.5859375" customWidth="1"/>
    <col min="11003" max="11003" width="2.9375" customWidth="1"/>
    <col min="11004" max="11004" width="1.1171875" customWidth="1"/>
    <col min="11005" max="11005" width="23.17578125" customWidth="1"/>
    <col min="11008" max="11008" width="2.05859375" customWidth="1"/>
    <col min="11009" max="11009" width="10.29296875" customWidth="1"/>
    <col min="11010" max="11010" width="2.41015625" customWidth="1"/>
    <col min="11012" max="11012" width="3.9375" customWidth="1"/>
    <col min="11014" max="11014" width="4.17578125" customWidth="1"/>
    <col min="11015" max="11015" width="9.5859375" customWidth="1"/>
    <col min="11258" max="11258" width="4.5859375" customWidth="1"/>
    <col min="11259" max="11259" width="2.9375" customWidth="1"/>
    <col min="11260" max="11260" width="1.1171875" customWidth="1"/>
    <col min="11261" max="11261" width="23.17578125" customWidth="1"/>
    <col min="11264" max="11264" width="2.05859375" customWidth="1"/>
    <col min="11265" max="11265" width="10.29296875" customWidth="1"/>
    <col min="11266" max="11266" width="2.41015625" customWidth="1"/>
    <col min="11268" max="11268" width="3.9375" customWidth="1"/>
    <col min="11270" max="11270" width="4.17578125" customWidth="1"/>
    <col min="11271" max="11271" width="9.5859375" customWidth="1"/>
    <col min="11514" max="11514" width="4.5859375" customWidth="1"/>
    <col min="11515" max="11515" width="2.9375" customWidth="1"/>
    <col min="11516" max="11516" width="1.1171875" customWidth="1"/>
    <col min="11517" max="11517" width="23.17578125" customWidth="1"/>
    <col min="11520" max="11520" width="2.05859375" customWidth="1"/>
    <col min="11521" max="11521" width="10.29296875" customWidth="1"/>
    <col min="11522" max="11522" width="2.41015625" customWidth="1"/>
    <col min="11524" max="11524" width="3.9375" customWidth="1"/>
    <col min="11526" max="11526" width="4.17578125" customWidth="1"/>
    <col min="11527" max="11527" width="9.5859375" customWidth="1"/>
    <col min="11770" max="11770" width="4.5859375" customWidth="1"/>
    <col min="11771" max="11771" width="2.9375" customWidth="1"/>
    <col min="11772" max="11772" width="1.1171875" customWidth="1"/>
    <col min="11773" max="11773" width="23.17578125" customWidth="1"/>
    <col min="11776" max="11776" width="2.05859375" customWidth="1"/>
    <col min="11777" max="11777" width="10.29296875" customWidth="1"/>
    <col min="11778" max="11778" width="2.41015625" customWidth="1"/>
    <col min="11780" max="11780" width="3.9375" customWidth="1"/>
    <col min="11782" max="11782" width="4.17578125" customWidth="1"/>
    <col min="11783" max="11783" width="9.5859375" customWidth="1"/>
    <col min="12026" max="12026" width="4.5859375" customWidth="1"/>
    <col min="12027" max="12027" width="2.9375" customWidth="1"/>
    <col min="12028" max="12028" width="1.1171875" customWidth="1"/>
    <col min="12029" max="12029" width="23.17578125" customWidth="1"/>
    <col min="12032" max="12032" width="2.05859375" customWidth="1"/>
    <col min="12033" max="12033" width="10.29296875" customWidth="1"/>
    <col min="12034" max="12034" width="2.41015625" customWidth="1"/>
    <col min="12036" max="12036" width="3.9375" customWidth="1"/>
    <col min="12038" max="12038" width="4.17578125" customWidth="1"/>
    <col min="12039" max="12039" width="9.5859375" customWidth="1"/>
    <col min="12282" max="12282" width="4.5859375" customWidth="1"/>
    <col min="12283" max="12283" width="2.9375" customWidth="1"/>
    <col min="12284" max="12284" width="1.1171875" customWidth="1"/>
    <col min="12285" max="12285" width="23.17578125" customWidth="1"/>
    <col min="12288" max="12288" width="2.05859375" customWidth="1"/>
    <col min="12289" max="12289" width="10.29296875" customWidth="1"/>
    <col min="12290" max="12290" width="2.41015625" customWidth="1"/>
    <col min="12292" max="12292" width="3.9375" customWidth="1"/>
    <col min="12294" max="12294" width="4.17578125" customWidth="1"/>
    <col min="12295" max="12295" width="9.5859375" customWidth="1"/>
    <col min="12538" max="12538" width="4.5859375" customWidth="1"/>
    <col min="12539" max="12539" width="2.9375" customWidth="1"/>
    <col min="12540" max="12540" width="1.1171875" customWidth="1"/>
    <col min="12541" max="12541" width="23.17578125" customWidth="1"/>
    <col min="12544" max="12544" width="2.05859375" customWidth="1"/>
    <col min="12545" max="12545" width="10.29296875" customWidth="1"/>
    <col min="12546" max="12546" width="2.41015625" customWidth="1"/>
    <col min="12548" max="12548" width="3.9375" customWidth="1"/>
    <col min="12550" max="12550" width="4.17578125" customWidth="1"/>
    <col min="12551" max="12551" width="9.5859375" customWidth="1"/>
    <col min="12794" max="12794" width="4.5859375" customWidth="1"/>
    <col min="12795" max="12795" width="2.9375" customWidth="1"/>
    <col min="12796" max="12796" width="1.1171875" customWidth="1"/>
    <col min="12797" max="12797" width="23.17578125" customWidth="1"/>
    <col min="12800" max="12800" width="2.05859375" customWidth="1"/>
    <col min="12801" max="12801" width="10.29296875" customWidth="1"/>
    <col min="12802" max="12802" width="2.41015625" customWidth="1"/>
    <col min="12804" max="12804" width="3.9375" customWidth="1"/>
    <col min="12806" max="12806" width="4.17578125" customWidth="1"/>
    <col min="12807" max="12807" width="9.5859375" customWidth="1"/>
    <col min="13050" max="13050" width="4.5859375" customWidth="1"/>
    <col min="13051" max="13051" width="2.9375" customWidth="1"/>
    <col min="13052" max="13052" width="1.1171875" customWidth="1"/>
    <col min="13053" max="13053" width="23.17578125" customWidth="1"/>
    <col min="13056" max="13056" width="2.05859375" customWidth="1"/>
    <col min="13057" max="13057" width="10.29296875" customWidth="1"/>
    <col min="13058" max="13058" width="2.41015625" customWidth="1"/>
    <col min="13060" max="13060" width="3.9375" customWidth="1"/>
    <col min="13062" max="13062" width="4.17578125" customWidth="1"/>
    <col min="13063" max="13063" width="9.5859375" customWidth="1"/>
    <col min="13306" max="13306" width="4.5859375" customWidth="1"/>
    <col min="13307" max="13307" width="2.9375" customWidth="1"/>
    <col min="13308" max="13308" width="1.1171875" customWidth="1"/>
    <col min="13309" max="13309" width="23.17578125" customWidth="1"/>
    <col min="13312" max="13312" width="2.05859375" customWidth="1"/>
    <col min="13313" max="13313" width="10.29296875" customWidth="1"/>
    <col min="13314" max="13314" width="2.41015625" customWidth="1"/>
    <col min="13316" max="13316" width="3.9375" customWidth="1"/>
    <col min="13318" max="13318" width="4.17578125" customWidth="1"/>
    <col min="13319" max="13319" width="9.5859375" customWidth="1"/>
    <col min="13562" max="13562" width="4.5859375" customWidth="1"/>
    <col min="13563" max="13563" width="2.9375" customWidth="1"/>
    <col min="13564" max="13564" width="1.1171875" customWidth="1"/>
    <col min="13565" max="13565" width="23.17578125" customWidth="1"/>
    <col min="13568" max="13568" width="2.05859375" customWidth="1"/>
    <col min="13569" max="13569" width="10.29296875" customWidth="1"/>
    <col min="13570" max="13570" width="2.41015625" customWidth="1"/>
    <col min="13572" max="13572" width="3.9375" customWidth="1"/>
    <col min="13574" max="13574" width="4.17578125" customWidth="1"/>
    <col min="13575" max="13575" width="9.5859375" customWidth="1"/>
    <col min="13818" max="13818" width="4.5859375" customWidth="1"/>
    <col min="13819" max="13819" width="2.9375" customWidth="1"/>
    <col min="13820" max="13820" width="1.1171875" customWidth="1"/>
    <col min="13821" max="13821" width="23.17578125" customWidth="1"/>
    <col min="13824" max="13824" width="2.05859375" customWidth="1"/>
    <col min="13825" max="13825" width="10.29296875" customWidth="1"/>
    <col min="13826" max="13826" width="2.41015625" customWidth="1"/>
    <col min="13828" max="13828" width="3.9375" customWidth="1"/>
    <col min="13830" max="13830" width="4.17578125" customWidth="1"/>
    <col min="13831" max="13831" width="9.5859375" customWidth="1"/>
    <col min="14074" max="14074" width="4.5859375" customWidth="1"/>
    <col min="14075" max="14075" width="2.9375" customWidth="1"/>
    <col min="14076" max="14076" width="1.1171875" customWidth="1"/>
    <col min="14077" max="14077" width="23.17578125" customWidth="1"/>
    <col min="14080" max="14080" width="2.05859375" customWidth="1"/>
    <col min="14081" max="14081" width="10.29296875" customWidth="1"/>
    <col min="14082" max="14082" width="2.41015625" customWidth="1"/>
    <col min="14084" max="14084" width="3.9375" customWidth="1"/>
    <col min="14086" max="14086" width="4.17578125" customWidth="1"/>
    <col min="14087" max="14087" width="9.5859375" customWidth="1"/>
    <col min="14330" max="14330" width="4.5859375" customWidth="1"/>
    <col min="14331" max="14331" width="2.9375" customWidth="1"/>
    <col min="14332" max="14332" width="1.1171875" customWidth="1"/>
    <col min="14333" max="14333" width="23.17578125" customWidth="1"/>
    <col min="14336" max="14336" width="2.05859375" customWidth="1"/>
    <col min="14337" max="14337" width="10.29296875" customWidth="1"/>
    <col min="14338" max="14338" width="2.41015625" customWidth="1"/>
    <col min="14340" max="14340" width="3.9375" customWidth="1"/>
    <col min="14342" max="14342" width="4.17578125" customWidth="1"/>
    <col min="14343" max="14343" width="9.5859375" customWidth="1"/>
    <col min="14586" max="14586" width="4.5859375" customWidth="1"/>
    <col min="14587" max="14587" width="2.9375" customWidth="1"/>
    <col min="14588" max="14588" width="1.1171875" customWidth="1"/>
    <col min="14589" max="14589" width="23.17578125" customWidth="1"/>
    <col min="14592" max="14592" width="2.05859375" customWidth="1"/>
    <col min="14593" max="14593" width="10.29296875" customWidth="1"/>
    <col min="14594" max="14594" width="2.41015625" customWidth="1"/>
    <col min="14596" max="14596" width="3.9375" customWidth="1"/>
    <col min="14598" max="14598" width="4.17578125" customWidth="1"/>
    <col min="14599" max="14599" width="9.5859375" customWidth="1"/>
    <col min="14842" max="14842" width="4.5859375" customWidth="1"/>
    <col min="14843" max="14843" width="2.9375" customWidth="1"/>
    <col min="14844" max="14844" width="1.1171875" customWidth="1"/>
    <col min="14845" max="14845" width="23.17578125" customWidth="1"/>
    <col min="14848" max="14848" width="2.05859375" customWidth="1"/>
    <col min="14849" max="14849" width="10.29296875" customWidth="1"/>
    <col min="14850" max="14850" width="2.41015625" customWidth="1"/>
    <col min="14852" max="14852" width="3.9375" customWidth="1"/>
    <col min="14854" max="14854" width="4.17578125" customWidth="1"/>
    <col min="14855" max="14855" width="9.5859375" customWidth="1"/>
    <col min="15098" max="15098" width="4.5859375" customWidth="1"/>
    <col min="15099" max="15099" width="2.9375" customWidth="1"/>
    <col min="15100" max="15100" width="1.1171875" customWidth="1"/>
    <col min="15101" max="15101" width="23.17578125" customWidth="1"/>
    <col min="15104" max="15104" width="2.05859375" customWidth="1"/>
    <col min="15105" max="15105" width="10.29296875" customWidth="1"/>
    <col min="15106" max="15106" width="2.41015625" customWidth="1"/>
    <col min="15108" max="15108" width="3.9375" customWidth="1"/>
    <col min="15110" max="15110" width="4.17578125" customWidth="1"/>
    <col min="15111" max="15111" width="9.5859375" customWidth="1"/>
    <col min="15354" max="15354" width="4.5859375" customWidth="1"/>
    <col min="15355" max="15355" width="2.9375" customWidth="1"/>
    <col min="15356" max="15356" width="1.1171875" customWidth="1"/>
    <col min="15357" max="15357" width="23.17578125" customWidth="1"/>
    <col min="15360" max="15360" width="2.05859375" customWidth="1"/>
    <col min="15361" max="15361" width="10.29296875" customWidth="1"/>
    <col min="15362" max="15362" width="2.41015625" customWidth="1"/>
    <col min="15364" max="15364" width="3.9375" customWidth="1"/>
    <col min="15366" max="15366" width="4.17578125" customWidth="1"/>
    <col min="15367" max="15367" width="9.5859375" customWidth="1"/>
    <col min="15610" max="15610" width="4.5859375" customWidth="1"/>
    <col min="15611" max="15611" width="2.9375" customWidth="1"/>
    <col min="15612" max="15612" width="1.1171875" customWidth="1"/>
    <col min="15613" max="15613" width="23.17578125" customWidth="1"/>
    <col min="15616" max="15616" width="2.05859375" customWidth="1"/>
    <col min="15617" max="15617" width="10.29296875" customWidth="1"/>
    <col min="15618" max="15618" width="2.41015625" customWidth="1"/>
    <col min="15620" max="15620" width="3.9375" customWidth="1"/>
    <col min="15622" max="15622" width="4.17578125" customWidth="1"/>
    <col min="15623" max="15623" width="9.5859375" customWidth="1"/>
    <col min="15866" max="15866" width="4.5859375" customWidth="1"/>
    <col min="15867" max="15867" width="2.9375" customWidth="1"/>
    <col min="15868" max="15868" width="1.1171875" customWidth="1"/>
    <col min="15869" max="15869" width="23.17578125" customWidth="1"/>
    <col min="15872" max="15872" width="2.05859375" customWidth="1"/>
    <col min="15873" max="15873" width="10.29296875" customWidth="1"/>
    <col min="15874" max="15874" width="2.41015625" customWidth="1"/>
    <col min="15876" max="15876" width="3.9375" customWidth="1"/>
    <col min="15878" max="15878" width="4.17578125" customWidth="1"/>
    <col min="15879" max="15879" width="9.5859375" customWidth="1"/>
    <col min="16122" max="16122" width="4.5859375" customWidth="1"/>
    <col min="16123" max="16123" width="2.9375" customWidth="1"/>
    <col min="16124" max="16124" width="1.1171875" customWidth="1"/>
    <col min="16125" max="16125" width="23.17578125" customWidth="1"/>
    <col min="16128" max="16128" width="2.05859375" customWidth="1"/>
    <col min="16129" max="16129" width="10.29296875" customWidth="1"/>
    <col min="16130" max="16130" width="2.41015625" customWidth="1"/>
    <col min="16132" max="16132" width="3.9375" customWidth="1"/>
    <col min="16134" max="16134" width="4.17578125" customWidth="1"/>
    <col min="16135" max="16135" width="9.5859375" customWidth="1"/>
  </cols>
  <sheetData>
    <row r="1" spans="2:12" ht="14.7" thickBot="1" x14ac:dyDescent="0.55000000000000004"/>
    <row r="2" spans="2:12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15.35" x14ac:dyDescent="0.5">
      <c r="B3" s="4" t="s">
        <v>1</v>
      </c>
      <c r="L3" s="5"/>
    </row>
    <row r="4" spans="2:12" ht="7.85" customHeight="1" x14ac:dyDescent="0.5">
      <c r="B4" s="6"/>
      <c r="L4" s="5"/>
    </row>
    <row r="5" spans="2:12" ht="14.7" thickBot="1" x14ac:dyDescent="0.55000000000000004">
      <c r="B5" s="6"/>
      <c r="D5" s="142" t="s">
        <v>2</v>
      </c>
      <c r="E5" s="143"/>
      <c r="F5" s="144"/>
      <c r="G5" s="145" t="s">
        <v>3</v>
      </c>
      <c r="H5" s="145"/>
      <c r="I5" s="145"/>
      <c r="J5" s="145"/>
      <c r="K5" s="145"/>
      <c r="L5" s="5"/>
    </row>
    <row r="6" spans="2:12" ht="14.7" thickBot="1" x14ac:dyDescent="0.55000000000000004">
      <c r="B6" s="7" t="s">
        <v>4</v>
      </c>
      <c r="D6" s="108" t="s">
        <v>5</v>
      </c>
      <c r="E6" s="60"/>
      <c r="F6" s="115" t="s">
        <v>6</v>
      </c>
      <c r="G6" s="47" t="s">
        <v>7</v>
      </c>
      <c r="H6" s="47" t="s">
        <v>8</v>
      </c>
      <c r="I6" s="47" t="s">
        <v>9</v>
      </c>
      <c r="J6" s="47" t="s">
        <v>10</v>
      </c>
      <c r="K6" s="47" t="s">
        <v>11</v>
      </c>
      <c r="L6" s="5"/>
    </row>
    <row r="7" spans="2:12" ht="15.35" x14ac:dyDescent="0.5">
      <c r="B7" s="10"/>
      <c r="D7" s="101"/>
      <c r="E7" s="12"/>
      <c r="F7" s="95"/>
      <c r="L7" s="5"/>
    </row>
    <row r="8" spans="2:12" x14ac:dyDescent="0.5">
      <c r="B8" s="13" t="s">
        <v>12</v>
      </c>
      <c r="D8" s="102"/>
      <c r="E8" s="12"/>
      <c r="F8" s="96"/>
      <c r="L8" s="5"/>
    </row>
    <row r="9" spans="2:12" x14ac:dyDescent="0.5">
      <c r="B9" s="6" t="s">
        <v>13</v>
      </c>
      <c r="D9" s="103">
        <v>800000</v>
      </c>
      <c r="E9" s="15"/>
      <c r="F9" s="97">
        <v>920000</v>
      </c>
      <c r="G9" s="16">
        <f>+'REVENUE ASSUMPTIONS'!G33</f>
        <v>1004640.0000000001</v>
      </c>
      <c r="H9" s="16">
        <f>+'REVENUE ASSUMPTIONS'!H33</f>
        <v>1086593.5079999999</v>
      </c>
      <c r="I9" s="16">
        <f>+'REVENUE ASSUMPTIONS'!I33</f>
        <v>1152767.0526372001</v>
      </c>
      <c r="J9" s="16">
        <f>+'REVENUE ASSUMPTIONS'!J33</f>
        <v>1211125.8846769582</v>
      </c>
      <c r="K9" s="16">
        <f>+'REVENUE ASSUMPTIONS'!K33</f>
        <v>1266232.1124297597</v>
      </c>
      <c r="L9" s="5"/>
    </row>
    <row r="10" spans="2:12" x14ac:dyDescent="0.5">
      <c r="B10" s="6" t="s">
        <v>14</v>
      </c>
      <c r="D10" s="103">
        <v>120000</v>
      </c>
      <c r="E10" s="15"/>
      <c r="F10" s="97">
        <v>140000</v>
      </c>
      <c r="G10" s="16">
        <f>+'REVENUE ASSUMPTIONS'!G34</f>
        <v>161700</v>
      </c>
      <c r="H10" s="16">
        <f>+'REVENUE ASSUMPTIONS'!H34</f>
        <v>182494.62</v>
      </c>
      <c r="I10" s="16">
        <f>+'REVENUE ASSUMPTIONS'!I34</f>
        <v>201182.06908799999</v>
      </c>
      <c r="J10" s="16">
        <f>+'REVENUE ASSUMPTIONS'!J34</f>
        <v>215506.23240706563</v>
      </c>
      <c r="K10" s="16">
        <f>+'REVENUE ASSUMPTIONS'!K34</f>
        <v>225311.76598158709</v>
      </c>
      <c r="L10" s="5"/>
    </row>
    <row r="11" spans="2:12" x14ac:dyDescent="0.5">
      <c r="B11" s="6" t="s">
        <v>15</v>
      </c>
      <c r="D11" s="103">
        <v>40000</v>
      </c>
      <c r="E11" s="15"/>
      <c r="F11" s="97">
        <v>50000</v>
      </c>
      <c r="G11" s="16">
        <f>+'REVENUE ASSUMPTIONS'!G35</f>
        <v>61800</v>
      </c>
      <c r="H11" s="16">
        <f>+'REVENUE ASSUMPTIONS'!H35</f>
        <v>75111.72</v>
      </c>
      <c r="I11" s="16">
        <f>+'REVENUE ASSUMPTIONS'!I35</f>
        <v>88969.832339999994</v>
      </c>
      <c r="J11" s="16">
        <f>+'REVENUE ASSUMPTIONS'!J35</f>
        <v>102635.598587424</v>
      </c>
      <c r="K11" s="16">
        <f>+'REVENUE ASSUMPTIONS'!K35</f>
        <v>113617.60763627838</v>
      </c>
      <c r="L11" s="5"/>
    </row>
    <row r="12" spans="2:12" ht="13.85" customHeight="1" x14ac:dyDescent="0.5">
      <c r="B12" s="6" t="s">
        <v>16</v>
      </c>
      <c r="D12" s="104">
        <f>SUM(D9:D11)</f>
        <v>960000</v>
      </c>
      <c r="E12" s="12"/>
      <c r="F12" s="98">
        <f t="shared" ref="F12:K12" si="0">SUM(F9:F11)</f>
        <v>1110000</v>
      </c>
      <c r="G12" s="18">
        <f t="shared" si="0"/>
        <v>1228140</v>
      </c>
      <c r="H12" s="18">
        <f t="shared" si="0"/>
        <v>1344199.848</v>
      </c>
      <c r="I12" s="18">
        <f t="shared" si="0"/>
        <v>1442918.9540652002</v>
      </c>
      <c r="J12" s="18">
        <f t="shared" si="0"/>
        <v>1529267.7156714478</v>
      </c>
      <c r="K12" s="18">
        <f t="shared" si="0"/>
        <v>1605161.4860476251</v>
      </c>
      <c r="L12" s="5"/>
    </row>
    <row r="13" spans="2:12" ht="13.85" customHeight="1" x14ac:dyDescent="0.5">
      <c r="B13" s="19" t="s">
        <v>17</v>
      </c>
      <c r="D13" s="105"/>
      <c r="E13" s="20"/>
      <c r="F13" s="99">
        <f>+F12/D12-1</f>
        <v>0.15625</v>
      </c>
      <c r="G13" s="21">
        <f>+G12/F12-1</f>
        <v>0.10643243243243239</v>
      </c>
      <c r="H13" s="21">
        <f>+H12/G12-1</f>
        <v>9.4500503199960839E-2</v>
      </c>
      <c r="I13" s="21">
        <f>+I12/H12-1</f>
        <v>7.3440795438328488E-2</v>
      </c>
      <c r="J13" s="21">
        <f>+J12/I12-1</f>
        <v>5.9843112714663249E-2</v>
      </c>
      <c r="K13" s="21">
        <f>+K12/J12-1</f>
        <v>4.9627524074720375E-2</v>
      </c>
      <c r="L13" s="5"/>
    </row>
    <row r="14" spans="2:12" ht="6.75" customHeight="1" x14ac:dyDescent="0.5">
      <c r="B14" s="6"/>
      <c r="D14" s="106"/>
      <c r="E14" s="12"/>
      <c r="F14" s="100"/>
      <c r="G14" s="22"/>
      <c r="H14" s="22"/>
      <c r="I14" s="22"/>
      <c r="J14" s="22"/>
      <c r="K14" s="22"/>
      <c r="L14" s="5"/>
    </row>
    <row r="15" spans="2:12" x14ac:dyDescent="0.5">
      <c r="B15" s="13" t="s">
        <v>18</v>
      </c>
      <c r="D15" s="106"/>
      <c r="E15" s="12"/>
      <c r="F15" s="100"/>
      <c r="G15" s="22"/>
      <c r="H15" s="22"/>
      <c r="I15" s="22"/>
      <c r="J15" s="22"/>
      <c r="K15" s="22"/>
      <c r="L15" s="5"/>
    </row>
    <row r="16" spans="2:12" x14ac:dyDescent="0.5">
      <c r="B16" s="6" t="str">
        <f>+B9</f>
        <v xml:space="preserve">  U.S.</v>
      </c>
      <c r="D16" s="103">
        <v>293000</v>
      </c>
      <c r="E16" s="15"/>
      <c r="F16" s="97">
        <v>350000</v>
      </c>
      <c r="G16" s="22">
        <f>+'COGS &amp; OPER. EXPENSES'!G7*'FINANCIAL MODEL'!G9</f>
        <v>381763.20000000007</v>
      </c>
      <c r="H16" s="22">
        <f>+'COGS &amp; OPER. EXPENSES'!H7*'FINANCIAL MODEL'!H9</f>
        <v>412905.53303999995</v>
      </c>
      <c r="I16" s="22">
        <f>+'COGS &amp; OPER. EXPENSES'!I7*'FINANCIAL MODEL'!I9</f>
        <v>438051.48000213603</v>
      </c>
      <c r="J16" s="22">
        <f>+'COGS &amp; OPER. EXPENSES'!J7*'FINANCIAL MODEL'!J9</f>
        <v>460227.83617724414</v>
      </c>
      <c r="K16" s="22">
        <f>+'COGS &amp; OPER. EXPENSES'!K7*'FINANCIAL MODEL'!K9</f>
        <v>481168.2027233087</v>
      </c>
      <c r="L16" s="5"/>
    </row>
    <row r="17" spans="2:12" x14ac:dyDescent="0.5">
      <c r="B17" s="6" t="str">
        <f>+B10</f>
        <v xml:space="preserve">  Europe</v>
      </c>
      <c r="D17" s="103">
        <v>39000</v>
      </c>
      <c r="E17" s="15"/>
      <c r="F17" s="97">
        <v>50000</v>
      </c>
      <c r="G17" s="22">
        <f>+'COGS &amp; OPER. EXPENSES'!G8*'FINANCIAL MODEL'!G10</f>
        <v>56595</v>
      </c>
      <c r="H17" s="22">
        <f>+'COGS &amp; OPER. EXPENSES'!H8*'FINANCIAL MODEL'!H10</f>
        <v>63873.116999999991</v>
      </c>
      <c r="I17" s="22">
        <f>+'COGS &amp; OPER. EXPENSES'!I8*'FINANCIAL MODEL'!I10</f>
        <v>70413.724180799996</v>
      </c>
      <c r="J17" s="22">
        <f>+'COGS &amp; OPER. EXPENSES'!J8*'FINANCIAL MODEL'!J10</f>
        <v>75427.181342472963</v>
      </c>
      <c r="K17" s="22">
        <f>+'COGS &amp; OPER. EXPENSES'!K8*'FINANCIAL MODEL'!K10</f>
        <v>78859.118093555473</v>
      </c>
      <c r="L17" s="5"/>
    </row>
    <row r="18" spans="2:12" x14ac:dyDescent="0.5">
      <c r="B18" s="6" t="str">
        <f>+B11</f>
        <v xml:space="preserve">  Asia</v>
      </c>
      <c r="D18" s="103">
        <v>13000</v>
      </c>
      <c r="E18" s="15"/>
      <c r="F18" s="97">
        <v>20000</v>
      </c>
      <c r="G18" s="22">
        <f>+'COGS &amp; OPER. EXPENSES'!G9*'FINANCIAL MODEL'!G11</f>
        <v>24720</v>
      </c>
      <c r="H18" s="22">
        <f>+'COGS &amp; OPER. EXPENSES'!H9*'FINANCIAL MODEL'!H11</f>
        <v>30044.688000000002</v>
      </c>
      <c r="I18" s="22">
        <f>+'COGS &amp; OPER. EXPENSES'!I9*'FINANCIAL MODEL'!I11</f>
        <v>35587.932935999997</v>
      </c>
      <c r="J18" s="22">
        <f>+'COGS &amp; OPER. EXPENSES'!J9*'FINANCIAL MODEL'!J11</f>
        <v>41054.239434969604</v>
      </c>
      <c r="K18" s="22">
        <f>+'COGS &amp; OPER. EXPENSES'!K9*'FINANCIAL MODEL'!K11</f>
        <v>45447.043054511356</v>
      </c>
      <c r="L18" s="5"/>
    </row>
    <row r="19" spans="2:12" x14ac:dyDescent="0.5">
      <c r="B19" s="6" t="s">
        <v>19</v>
      </c>
      <c r="D19" s="104">
        <f>SUM(D16:D18)</f>
        <v>345000</v>
      </c>
      <c r="E19" s="12"/>
      <c r="F19" s="98">
        <f t="shared" ref="F19:K19" si="1">SUM(F16:F18)</f>
        <v>420000</v>
      </c>
      <c r="G19" s="23">
        <f t="shared" si="1"/>
        <v>463078.20000000007</v>
      </c>
      <c r="H19" s="23">
        <f t="shared" si="1"/>
        <v>506823.33803999994</v>
      </c>
      <c r="I19" s="23">
        <f t="shared" si="1"/>
        <v>544053.13711893605</v>
      </c>
      <c r="J19" s="23">
        <f t="shared" si="1"/>
        <v>576709.25695468672</v>
      </c>
      <c r="K19" s="23">
        <f t="shared" si="1"/>
        <v>605474.36387137545</v>
      </c>
      <c r="L19" s="5"/>
    </row>
    <row r="20" spans="2:12" ht="6.75" customHeight="1" x14ac:dyDescent="0.5">
      <c r="B20" s="6"/>
      <c r="D20" s="106"/>
      <c r="E20" s="12"/>
      <c r="F20" s="100"/>
      <c r="G20" s="22"/>
      <c r="H20" s="22"/>
      <c r="I20" s="22"/>
      <c r="J20" s="22"/>
      <c r="K20" s="22"/>
      <c r="L20" s="5"/>
    </row>
    <row r="21" spans="2:12" x14ac:dyDescent="0.5">
      <c r="B21" s="6" t="s">
        <v>20</v>
      </c>
      <c r="D21" s="106">
        <f>+D12-D19</f>
        <v>615000</v>
      </c>
      <c r="E21" s="12"/>
      <c r="F21" s="100">
        <f t="shared" ref="F21:K21" si="2">+F12-F19</f>
        <v>690000</v>
      </c>
      <c r="G21" s="12">
        <f t="shared" si="2"/>
        <v>765061.79999999993</v>
      </c>
      <c r="H21" s="12">
        <f t="shared" si="2"/>
        <v>837376.50996000005</v>
      </c>
      <c r="I21" s="12">
        <f t="shared" si="2"/>
        <v>898865.81694626412</v>
      </c>
      <c r="J21" s="12">
        <f t="shared" si="2"/>
        <v>952558.45871676109</v>
      </c>
      <c r="K21" s="12">
        <f t="shared" si="2"/>
        <v>999687.12217624963</v>
      </c>
      <c r="L21" s="5"/>
    </row>
    <row r="22" spans="2:12" ht="13.85" customHeight="1" x14ac:dyDescent="0.5">
      <c r="B22" s="19" t="s">
        <v>21</v>
      </c>
      <c r="D22" s="105"/>
      <c r="E22" s="20"/>
      <c r="F22" s="99">
        <f t="shared" ref="F22:K22" si="3">+F21/F12</f>
        <v>0.6216216216216216</v>
      </c>
      <c r="G22" s="21">
        <f t="shared" si="3"/>
        <v>0.62294347549953588</v>
      </c>
      <c r="H22" s="21">
        <f t="shared" si="3"/>
        <v>0.62295536724387435</v>
      </c>
      <c r="I22" s="21">
        <f t="shared" si="3"/>
        <v>0.62294962195475301</v>
      </c>
      <c r="J22" s="21">
        <f t="shared" si="3"/>
        <v>0.62288535156745006</v>
      </c>
      <c r="K22" s="21">
        <f t="shared" si="3"/>
        <v>0.62279535789123019</v>
      </c>
      <c r="L22" s="5"/>
    </row>
    <row r="23" spans="2:12" ht="9" customHeight="1" x14ac:dyDescent="0.5">
      <c r="B23" s="6"/>
      <c r="D23" s="106"/>
      <c r="E23" s="12"/>
      <c r="F23" s="100"/>
      <c r="G23" s="22"/>
      <c r="H23" s="22"/>
      <c r="I23" s="22"/>
      <c r="J23" s="22"/>
      <c r="K23" s="22"/>
      <c r="L23" s="5"/>
    </row>
    <row r="24" spans="2:12" x14ac:dyDescent="0.5">
      <c r="B24" s="13" t="s">
        <v>22</v>
      </c>
      <c r="D24" s="106"/>
      <c r="E24" s="12"/>
      <c r="F24" s="100"/>
      <c r="G24" s="22"/>
      <c r="H24" s="22"/>
      <c r="I24" s="22"/>
      <c r="J24" s="22"/>
      <c r="K24" s="22"/>
      <c r="L24" s="5"/>
    </row>
    <row r="25" spans="2:12" x14ac:dyDescent="0.5">
      <c r="B25" s="6" t="s">
        <v>23</v>
      </c>
      <c r="D25" s="103">
        <v>145000</v>
      </c>
      <c r="E25" s="15"/>
      <c r="F25" s="97">
        <v>165000</v>
      </c>
      <c r="G25" s="22">
        <f>+F25*(1+'COGS &amp; OPER. EXPENSES'!G19)</f>
        <v>173250</v>
      </c>
      <c r="H25" s="22">
        <f>+G25*(1+'COGS &amp; OPER. EXPENSES'!H19)</f>
        <v>181912.5</v>
      </c>
      <c r="I25" s="22">
        <f>+H25*(1+'COGS &amp; OPER. EXPENSES'!I19)</f>
        <v>191008.125</v>
      </c>
      <c r="J25" s="22">
        <f>+I25*(1+'COGS &amp; OPER. EXPENSES'!J19)</f>
        <v>200558.53125</v>
      </c>
      <c r="K25" s="22">
        <f>+J25*(1+'COGS &amp; OPER. EXPENSES'!K19)</f>
        <v>210586.45781250001</v>
      </c>
      <c r="L25" s="5"/>
    </row>
    <row r="26" spans="2:12" x14ac:dyDescent="0.5">
      <c r="B26" s="6" t="s">
        <v>24</v>
      </c>
      <c r="D26" s="103">
        <v>75000</v>
      </c>
      <c r="E26" s="15"/>
      <c r="F26" s="97">
        <v>80000</v>
      </c>
      <c r="G26" s="22">
        <f>+G$12*'COGS &amp; OPER. EXPENSES'!G20</f>
        <v>85969.8</v>
      </c>
      <c r="H26" s="22">
        <f>+H$12*'COGS &amp; OPER. EXPENSES'!H20</f>
        <v>94093.989360000007</v>
      </c>
      <c r="I26" s="22">
        <f>+I$12*'COGS &amp; OPER. EXPENSES'!I20</f>
        <v>101004.32678456402</v>
      </c>
      <c r="J26" s="22">
        <f>+J$12*'COGS &amp; OPER. EXPENSES'!J20</f>
        <v>107048.74009700136</v>
      </c>
      <c r="K26" s="22">
        <f>+K$12*'COGS &amp; OPER. EXPENSES'!K20</f>
        <v>112361.30402333377</v>
      </c>
      <c r="L26" s="5"/>
    </row>
    <row r="27" spans="2:12" x14ac:dyDescent="0.5">
      <c r="B27" s="6" t="s">
        <v>25</v>
      </c>
      <c r="D27" s="103">
        <v>10000</v>
      </c>
      <c r="E27" s="15"/>
      <c r="F27" s="97">
        <v>12000</v>
      </c>
      <c r="G27" s="22">
        <f>+G$12*'COGS &amp; OPER. EXPENSES'!G21</f>
        <v>12281.4</v>
      </c>
      <c r="H27" s="22">
        <f>+H$12*'COGS &amp; OPER. EXPENSES'!H21</f>
        <v>13441.99848</v>
      </c>
      <c r="I27" s="22">
        <f>+I$12*'COGS &amp; OPER. EXPENSES'!I21</f>
        <v>14429.189540652002</v>
      </c>
      <c r="J27" s="22">
        <f>+J$12*'COGS &amp; OPER. EXPENSES'!J21</f>
        <v>15292.677156714479</v>
      </c>
      <c r="K27" s="22">
        <f>+K$12*'COGS &amp; OPER. EXPENSES'!K21</f>
        <v>16051.614860476251</v>
      </c>
      <c r="L27" s="5"/>
    </row>
    <row r="28" spans="2:12" x14ac:dyDescent="0.5">
      <c r="B28" s="6" t="s">
        <v>26</v>
      </c>
      <c r="D28" s="104">
        <f>SUM(D25:D27)</f>
        <v>230000</v>
      </c>
      <c r="E28" s="17"/>
      <c r="F28" s="98">
        <f t="shared" ref="F28:K28" si="4">SUM(F25:F27)</f>
        <v>257000</v>
      </c>
      <c r="G28" s="17">
        <f t="shared" si="4"/>
        <v>271501.2</v>
      </c>
      <c r="H28" s="17">
        <f t="shared" si="4"/>
        <v>289448.48784000002</v>
      </c>
      <c r="I28" s="17">
        <f t="shared" si="4"/>
        <v>306441.64132521598</v>
      </c>
      <c r="J28" s="17">
        <f t="shared" si="4"/>
        <v>322899.94850371586</v>
      </c>
      <c r="K28" s="17">
        <f t="shared" si="4"/>
        <v>338999.37669631001</v>
      </c>
      <c r="L28" s="5"/>
    </row>
    <row r="29" spans="2:12" ht="6.75" customHeight="1" x14ac:dyDescent="0.5">
      <c r="B29" s="6"/>
      <c r="D29" s="106"/>
      <c r="E29" s="12"/>
      <c r="F29" s="100"/>
      <c r="G29" s="22"/>
      <c r="H29" s="22"/>
      <c r="I29" s="22"/>
      <c r="J29" s="22"/>
      <c r="K29" s="22"/>
      <c r="L29" s="5"/>
    </row>
    <row r="30" spans="2:12" ht="15.35" customHeight="1" x14ac:dyDescent="0.5">
      <c r="B30" s="13" t="s">
        <v>27</v>
      </c>
      <c r="D30" s="106">
        <f>+D21-D28</f>
        <v>385000</v>
      </c>
      <c r="E30" s="12"/>
      <c r="F30" s="100">
        <f t="shared" ref="F30:K30" si="5">+F21-F28</f>
        <v>433000</v>
      </c>
      <c r="G30" s="12">
        <f t="shared" si="5"/>
        <v>493560.59999999992</v>
      </c>
      <c r="H30" s="12">
        <f t="shared" si="5"/>
        <v>547928.0221200001</v>
      </c>
      <c r="I30" s="12">
        <f t="shared" si="5"/>
        <v>592424.17562104808</v>
      </c>
      <c r="J30" s="12">
        <f t="shared" si="5"/>
        <v>629658.51021304517</v>
      </c>
      <c r="K30" s="12">
        <f t="shared" si="5"/>
        <v>660687.74547993962</v>
      </c>
      <c r="L30" s="5"/>
    </row>
    <row r="31" spans="2:12" ht="15.35" customHeight="1" x14ac:dyDescent="0.5">
      <c r="B31" s="19" t="s">
        <v>28</v>
      </c>
      <c r="D31" s="107">
        <f>+D30/D12</f>
        <v>0.40104166666666669</v>
      </c>
      <c r="E31" s="20"/>
      <c r="F31" s="99">
        <f t="shared" ref="F31:K31" si="6">+F30/F12</f>
        <v>0.3900900900900901</v>
      </c>
      <c r="G31" s="21">
        <f t="shared" si="6"/>
        <v>0.40187649616493226</v>
      </c>
      <c r="H31" s="21">
        <f t="shared" si="6"/>
        <v>0.40762392804555658</v>
      </c>
      <c r="I31" s="21">
        <f t="shared" si="6"/>
        <v>0.41057342406653191</v>
      </c>
      <c r="J31" s="21">
        <f t="shared" si="6"/>
        <v>0.41173857511049605</v>
      </c>
      <c r="K31" s="21">
        <f t="shared" si="6"/>
        <v>0.41160204205169737</v>
      </c>
      <c r="L31" s="5"/>
    </row>
    <row r="32" spans="2:12" ht="15.35" customHeight="1" x14ac:dyDescent="0.5">
      <c r="B32" s="6"/>
      <c r="D32" s="106"/>
      <c r="E32" s="12"/>
      <c r="F32" s="100"/>
      <c r="G32" s="22"/>
      <c r="H32" s="22"/>
      <c r="I32" s="22"/>
      <c r="J32" s="22"/>
      <c r="K32" s="22"/>
      <c r="L32" s="5"/>
    </row>
    <row r="33" spans="2:12" ht="15.35" customHeight="1" x14ac:dyDescent="0.5">
      <c r="B33" s="13" t="s">
        <v>29</v>
      </c>
      <c r="D33" s="103">
        <v>60000</v>
      </c>
      <c r="E33" s="15"/>
      <c r="F33" s="97">
        <v>65000</v>
      </c>
      <c r="G33" s="22">
        <f>+G$12*'COGS &amp; OPER. EXPENSES'!G24</f>
        <v>73688.399999999994</v>
      </c>
      <c r="H33" s="22">
        <f>+H$12*'COGS &amp; OPER. EXPENSES'!H24</f>
        <v>80651.990879999998</v>
      </c>
      <c r="I33" s="22">
        <f>+I$12*'COGS &amp; OPER. EXPENSES'!I24</f>
        <v>86575.137243912002</v>
      </c>
      <c r="J33" s="22">
        <f>+J$12*'COGS &amp; OPER. EXPENSES'!J24</f>
        <v>91756.062940286865</v>
      </c>
      <c r="K33" s="22">
        <f>+K$12*'COGS &amp; OPER. EXPENSES'!K24</f>
        <v>96309.689162857496</v>
      </c>
      <c r="L33" s="5"/>
    </row>
    <row r="34" spans="2:12" ht="15.35" customHeight="1" x14ac:dyDescent="0.5">
      <c r="B34" s="13" t="s">
        <v>30</v>
      </c>
      <c r="D34" s="103">
        <v>0</v>
      </c>
      <c r="E34" s="15"/>
      <c r="F34" s="97">
        <v>0</v>
      </c>
      <c r="G34" s="22">
        <f>+F34</f>
        <v>0</v>
      </c>
      <c r="H34" s="22">
        <f>+G34</f>
        <v>0</v>
      </c>
      <c r="I34" s="22">
        <f t="shared" ref="I34:K34" si="7">+H34</f>
        <v>0</v>
      </c>
      <c r="J34" s="22">
        <f t="shared" si="7"/>
        <v>0</v>
      </c>
      <c r="K34" s="22">
        <f t="shared" si="7"/>
        <v>0</v>
      </c>
      <c r="L34" s="5"/>
    </row>
    <row r="35" spans="2:12" ht="7.5" customHeight="1" x14ac:dyDescent="0.5">
      <c r="B35" s="6"/>
      <c r="D35" s="106"/>
      <c r="E35" s="12"/>
      <c r="F35" s="100"/>
      <c r="G35" s="22"/>
      <c r="H35" s="22"/>
      <c r="I35" s="22"/>
      <c r="J35" s="22"/>
      <c r="K35" s="22"/>
      <c r="L35" s="5"/>
    </row>
    <row r="36" spans="2:12" ht="17.100000000000001" customHeight="1" x14ac:dyDescent="0.5">
      <c r="B36" s="13" t="s">
        <v>31</v>
      </c>
      <c r="D36" s="104">
        <f>+D30-D33-D34</f>
        <v>325000</v>
      </c>
      <c r="E36" s="12"/>
      <c r="F36" s="98">
        <f>+F30-F33-F34</f>
        <v>368000</v>
      </c>
      <c r="G36" s="17">
        <f>+G30-G33-G34</f>
        <v>419872.19999999995</v>
      </c>
      <c r="H36" s="17">
        <f t="shared" ref="H36:K36" si="8">+H30-H33-H34</f>
        <v>467276.0312400001</v>
      </c>
      <c r="I36" s="17">
        <f t="shared" si="8"/>
        <v>505849.03837713611</v>
      </c>
      <c r="J36" s="17">
        <f t="shared" si="8"/>
        <v>537902.44727275835</v>
      </c>
      <c r="K36" s="17">
        <f t="shared" si="8"/>
        <v>564378.05631708214</v>
      </c>
      <c r="L36" s="5"/>
    </row>
    <row r="37" spans="2:12" ht="17.100000000000001" customHeight="1" x14ac:dyDescent="0.5">
      <c r="B37" s="19" t="s">
        <v>32</v>
      </c>
      <c r="D37" s="107">
        <f>+D36/D12</f>
        <v>0.33854166666666669</v>
      </c>
      <c r="E37" s="20"/>
      <c r="F37" s="99">
        <f t="shared" ref="F37:K37" si="9">+F36/F12</f>
        <v>0.33153153153153153</v>
      </c>
      <c r="G37" s="21">
        <f t="shared" si="9"/>
        <v>0.34187649616493232</v>
      </c>
      <c r="H37" s="21">
        <f t="shared" si="9"/>
        <v>0.34762392804555658</v>
      </c>
      <c r="I37" s="21">
        <f t="shared" si="9"/>
        <v>0.35057342406653191</v>
      </c>
      <c r="J37" s="21">
        <f t="shared" si="9"/>
        <v>0.35173857511049611</v>
      </c>
      <c r="K37" s="21">
        <f t="shared" si="9"/>
        <v>0.35160204205169737</v>
      </c>
      <c r="L37" s="5"/>
    </row>
    <row r="38" spans="2:12" ht="17.100000000000001" customHeight="1" x14ac:dyDescent="0.5">
      <c r="B38" s="6"/>
      <c r="D38" s="106"/>
      <c r="E38" s="12"/>
      <c r="F38" s="100"/>
      <c r="L38" s="5"/>
    </row>
    <row r="39" spans="2:12" x14ac:dyDescent="0.5">
      <c r="B39" s="6" t="s">
        <v>33</v>
      </c>
      <c r="D39" s="102"/>
      <c r="E39" s="12"/>
      <c r="F39" s="96"/>
      <c r="G39" s="25">
        <f>+'CASH FLOW  &amp; BAL. SHEET ASSUMP'!G56+'CASH FLOW  &amp; BAL. SHEET ASSUMP'!G47</f>
        <v>65450</v>
      </c>
      <c r="H39" s="25">
        <f>+'CASH FLOW  &amp; BAL. SHEET ASSUMP'!H56+'CASH FLOW  &amp; BAL. SHEET ASSUMP'!H47</f>
        <v>69600</v>
      </c>
      <c r="I39" s="25">
        <f>+'CASH FLOW  &amp; BAL. SHEET ASSUMP'!I56+'CASH FLOW  &amp; BAL. SHEET ASSUMP'!I47</f>
        <v>73450</v>
      </c>
      <c r="J39" s="25">
        <f>+'CASH FLOW  &amp; BAL. SHEET ASSUMP'!J56+'CASH FLOW  &amp; BAL. SHEET ASSUMP'!J47</f>
        <v>81750.000000000015</v>
      </c>
      <c r="K39" s="25">
        <f>+'CASH FLOW  &amp; BAL. SHEET ASSUMP'!K56+'CASH FLOW  &amp; BAL. SHEET ASSUMP'!K47</f>
        <v>77250.000000000015</v>
      </c>
      <c r="L39" s="5"/>
    </row>
    <row r="40" spans="2:12" x14ac:dyDescent="0.5">
      <c r="B40" s="26" t="s">
        <v>34</v>
      </c>
      <c r="D40" s="102"/>
      <c r="E40" s="74"/>
      <c r="F40" s="96"/>
      <c r="G40" s="22">
        <f>+G36-G39</f>
        <v>354422.19999999995</v>
      </c>
      <c r="H40" s="22">
        <f t="shared" ref="H40:K40" si="10">+H36-H39</f>
        <v>397676.0312400001</v>
      </c>
      <c r="I40" s="22">
        <f t="shared" si="10"/>
        <v>432399.03837713611</v>
      </c>
      <c r="J40" s="22">
        <f t="shared" si="10"/>
        <v>456152.44727275835</v>
      </c>
      <c r="K40" s="22">
        <f t="shared" si="10"/>
        <v>487128.05631708214</v>
      </c>
      <c r="L40" s="5"/>
    </row>
    <row r="41" spans="2:12" x14ac:dyDescent="0.5">
      <c r="B41" s="6" t="s">
        <v>35</v>
      </c>
      <c r="C41" s="27"/>
      <c r="D41" s="102"/>
      <c r="E41" s="74"/>
      <c r="F41" s="96"/>
      <c r="G41" s="16">
        <f>+G40*'CASH FLOW  &amp; BAL. SHEET ASSUMP'!G72</f>
        <v>141768.87999999998</v>
      </c>
      <c r="H41" s="16">
        <f>+H40*'CASH FLOW  &amp; BAL. SHEET ASSUMP'!H72</f>
        <v>159070.41249600006</v>
      </c>
      <c r="I41" s="16">
        <f>+I40*'CASH FLOW  &amp; BAL. SHEET ASSUMP'!I72</f>
        <v>172959.61535085447</v>
      </c>
      <c r="J41" s="16">
        <f>+J40*'CASH FLOW  &amp; BAL. SHEET ASSUMP'!J72</f>
        <v>182460.97890910335</v>
      </c>
      <c r="K41" s="16">
        <f>+K40*'CASH FLOW  &amp; BAL. SHEET ASSUMP'!K72</f>
        <v>194851.22252683286</v>
      </c>
      <c r="L41" s="5"/>
    </row>
    <row r="42" spans="2:12" ht="14.7" thickBot="1" x14ac:dyDescent="0.55000000000000004">
      <c r="B42" s="26" t="s">
        <v>36</v>
      </c>
      <c r="D42" s="102"/>
      <c r="E42" s="74"/>
      <c r="F42" s="96"/>
      <c r="G42" s="28">
        <f>+G40-G41</f>
        <v>212653.31999999998</v>
      </c>
      <c r="H42" s="28">
        <f t="shared" ref="H42:K42" si="11">+H40-H41</f>
        <v>238605.61874400004</v>
      </c>
      <c r="I42" s="28">
        <f t="shared" si="11"/>
        <v>259439.42302628164</v>
      </c>
      <c r="J42" s="28">
        <f t="shared" si="11"/>
        <v>273691.46836365503</v>
      </c>
      <c r="K42" s="28">
        <f t="shared" si="11"/>
        <v>292276.83379024931</v>
      </c>
      <c r="L42" s="5"/>
    </row>
    <row r="43" spans="2:12" ht="15" thickTop="1" thickBot="1" x14ac:dyDescent="0.55000000000000004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1"/>
    </row>
    <row r="44" spans="2:12" ht="14.7" thickBot="1" x14ac:dyDescent="0.55000000000000004"/>
    <row r="45" spans="2:12" ht="20" x14ac:dyDescent="0.6">
      <c r="B45" s="1" t="s">
        <v>0</v>
      </c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2:12" ht="15.75" customHeight="1" x14ac:dyDescent="0.5">
      <c r="B46" s="4" t="s">
        <v>85</v>
      </c>
      <c r="L46" s="5"/>
    </row>
    <row r="47" spans="2:12" ht="14.7" thickBot="1" x14ac:dyDescent="0.55000000000000004">
      <c r="B47" s="6"/>
      <c r="D47" s="142" t="s">
        <v>2</v>
      </c>
      <c r="E47" s="143"/>
      <c r="F47" s="144"/>
      <c r="G47" s="145" t="s">
        <v>3</v>
      </c>
      <c r="H47" s="145"/>
      <c r="I47" s="145"/>
      <c r="J47" s="145"/>
      <c r="K47" s="145"/>
      <c r="L47" s="5"/>
    </row>
    <row r="48" spans="2:12" ht="17.25" customHeight="1" thickBot="1" x14ac:dyDescent="0.55000000000000004">
      <c r="B48" s="7" t="s">
        <v>4</v>
      </c>
      <c r="D48" s="108" t="s">
        <v>5</v>
      </c>
      <c r="E48" s="60"/>
      <c r="F48" s="115" t="s">
        <v>6</v>
      </c>
      <c r="G48" s="47" t="s">
        <v>7</v>
      </c>
      <c r="H48" s="47" t="s">
        <v>8</v>
      </c>
      <c r="I48" s="47" t="s">
        <v>9</v>
      </c>
      <c r="J48" s="47" t="s">
        <v>10</v>
      </c>
      <c r="K48" s="47" t="s">
        <v>11</v>
      </c>
      <c r="L48" s="5"/>
    </row>
    <row r="49" spans="2:12" x14ac:dyDescent="0.5">
      <c r="B49" s="6"/>
      <c r="D49" s="102"/>
      <c r="E49" s="74"/>
      <c r="F49" s="96"/>
      <c r="L49" s="5"/>
    </row>
    <row r="50" spans="2:12" x14ac:dyDescent="0.5">
      <c r="B50" s="13" t="s">
        <v>86</v>
      </c>
      <c r="D50" s="102"/>
      <c r="E50" s="74"/>
      <c r="F50" s="96"/>
      <c r="L50" s="5"/>
    </row>
    <row r="51" spans="2:12" x14ac:dyDescent="0.5">
      <c r="B51" s="6" t="s">
        <v>87</v>
      </c>
      <c r="D51" s="103">
        <v>45000</v>
      </c>
      <c r="E51" s="12"/>
      <c r="F51" s="116">
        <v>65800</v>
      </c>
      <c r="G51" s="16">
        <f>+G132</f>
        <v>123087.99027027021</v>
      </c>
      <c r="H51" s="16">
        <f t="shared" ref="H51:K51" si="12">+H132</f>
        <v>161400.68104543103</v>
      </c>
      <c r="I51" s="16">
        <f t="shared" si="12"/>
        <v>232917.5751864682</v>
      </c>
      <c r="J51" s="16">
        <f t="shared" si="12"/>
        <v>291126.28094730095</v>
      </c>
      <c r="K51" s="16">
        <f t="shared" si="12"/>
        <v>341247.7481615062</v>
      </c>
      <c r="L51" s="5"/>
    </row>
    <row r="52" spans="2:12" x14ac:dyDescent="0.5">
      <c r="B52" s="6" t="s">
        <v>88</v>
      </c>
      <c r="D52" s="103">
        <v>45000</v>
      </c>
      <c r="E52" s="12"/>
      <c r="F52" s="97">
        <v>60000</v>
      </c>
      <c r="G52" s="16">
        <f>+'FINANCIAL MODEL'!G12/365*'CASH FLOW  &amp; BAL. SHEET ASSUMP'!G9</f>
        <v>66385.945945945947</v>
      </c>
      <c r="H52" s="16">
        <f>+'FINANCIAL MODEL'!H12/365*'CASH FLOW  &amp; BAL. SHEET ASSUMP'!H9</f>
        <v>72659.451243243238</v>
      </c>
      <c r="I52" s="16">
        <f>+'FINANCIAL MODEL'!I12/365*'CASH FLOW  &amp; BAL. SHEET ASSUMP'!I9</f>
        <v>77995.619138659473</v>
      </c>
      <c r="J52" s="16">
        <f>+'FINANCIAL MODEL'!J12/365*'CASH FLOW  &amp; BAL. SHEET ASSUMP'!J9</f>
        <v>82663.119766024203</v>
      </c>
      <c r="K52" s="16">
        <f>+'FINANCIAL MODEL'!K12/365*'CASH FLOW  &amp; BAL. SHEET ASSUMP'!K9</f>
        <v>86765.485732304049</v>
      </c>
      <c r="L52" s="5"/>
    </row>
    <row r="53" spans="2:12" x14ac:dyDescent="0.5">
      <c r="B53" s="6" t="s">
        <v>89</v>
      </c>
      <c r="D53" s="103">
        <v>35000</v>
      </c>
      <c r="E53" s="12"/>
      <c r="F53" s="97">
        <v>40000</v>
      </c>
      <c r="G53" s="94">
        <f>+G19/365*'CASH FLOW  &amp; BAL. SHEET ASSUMP'!G13</f>
        <v>44102.685714285712</v>
      </c>
      <c r="H53" s="16">
        <f>+H19/365*'CASH FLOW  &amp; BAL. SHEET ASSUMP'!H13</f>
        <v>48268.889337142842</v>
      </c>
      <c r="I53" s="16">
        <f>+I19/365*'CASH FLOW  &amp; BAL. SHEET ASSUMP'!I13</f>
        <v>51814.584487517721</v>
      </c>
      <c r="J53" s="16">
        <f>+J19/365*'CASH FLOW  &amp; BAL. SHEET ASSUMP'!J13</f>
        <v>54924.691138541588</v>
      </c>
      <c r="K53" s="16">
        <f>+K19/365*'CASH FLOW  &amp; BAL. SHEET ASSUMP'!K13</f>
        <v>57664.225130607185</v>
      </c>
      <c r="L53" s="5"/>
    </row>
    <row r="54" spans="2:12" x14ac:dyDescent="0.5">
      <c r="B54" s="6" t="s">
        <v>90</v>
      </c>
      <c r="D54" s="109">
        <v>10000</v>
      </c>
      <c r="E54" s="12"/>
      <c r="F54" s="117">
        <v>9000</v>
      </c>
      <c r="G54" s="25">
        <f>+G12*'CASH FLOW  &amp; BAL. SHEET ASSUMP'!G16</f>
        <v>9957.8918918918916</v>
      </c>
      <c r="H54" s="25">
        <f>+H12*'CASH FLOW  &amp; BAL. SHEET ASSUMP'!H16</f>
        <v>10898.917686486488</v>
      </c>
      <c r="I54" s="25">
        <f>+I12*'CASH FLOW  &amp; BAL. SHEET ASSUMP'!I16</f>
        <v>11699.342870798921</v>
      </c>
      <c r="J54" s="25">
        <f>+J12*'CASH FLOW  &amp; BAL. SHEET ASSUMP'!J16</f>
        <v>12399.467964903632</v>
      </c>
      <c r="K54" s="25">
        <f>+K12*'CASH FLOW  &amp; BAL. SHEET ASSUMP'!K16</f>
        <v>13014.82285984561</v>
      </c>
      <c r="L54" s="5"/>
    </row>
    <row r="55" spans="2:12" x14ac:dyDescent="0.5">
      <c r="B55" s="6" t="s">
        <v>91</v>
      </c>
      <c r="D55" s="106">
        <f>SUM(D51:D54)</f>
        <v>135000</v>
      </c>
      <c r="E55" s="12"/>
      <c r="F55" s="100">
        <f>SUM(F51:F54)</f>
        <v>174800</v>
      </c>
      <c r="G55" s="12">
        <f t="shared" ref="G55:K55" si="13">SUM(G51:G54)</f>
        <v>243534.51382239375</v>
      </c>
      <c r="H55" s="12">
        <f t="shared" si="13"/>
        <v>293227.93931230361</v>
      </c>
      <c r="I55" s="12">
        <f t="shared" si="13"/>
        <v>374427.12168344425</v>
      </c>
      <c r="J55" s="12">
        <f t="shared" si="13"/>
        <v>441113.55981677031</v>
      </c>
      <c r="K55" s="12">
        <f t="shared" si="13"/>
        <v>498692.28188426304</v>
      </c>
      <c r="L55" s="5"/>
    </row>
    <row r="56" spans="2:12" x14ac:dyDescent="0.5">
      <c r="B56" s="6"/>
      <c r="D56" s="106"/>
      <c r="E56" s="12"/>
      <c r="F56" s="100"/>
      <c r="L56" s="5"/>
    </row>
    <row r="57" spans="2:12" x14ac:dyDescent="0.5">
      <c r="B57" s="13" t="s">
        <v>92</v>
      </c>
      <c r="D57" s="106"/>
      <c r="E57" s="12"/>
      <c r="F57" s="100"/>
      <c r="L57" s="5"/>
    </row>
    <row r="58" spans="2:12" x14ac:dyDescent="0.5">
      <c r="B58" s="6" t="s">
        <v>93</v>
      </c>
      <c r="D58" s="103">
        <v>2500000</v>
      </c>
      <c r="E58" s="15"/>
      <c r="F58" s="116">
        <v>2500000</v>
      </c>
      <c r="L58" s="5"/>
    </row>
    <row r="59" spans="2:12" x14ac:dyDescent="0.5">
      <c r="B59" s="6" t="s">
        <v>94</v>
      </c>
      <c r="D59" s="103">
        <v>450000</v>
      </c>
      <c r="E59" s="15"/>
      <c r="F59" s="97">
        <v>550000</v>
      </c>
      <c r="L59" s="5"/>
    </row>
    <row r="60" spans="2:12" x14ac:dyDescent="0.5">
      <c r="B60" s="6" t="s">
        <v>95</v>
      </c>
      <c r="D60" s="109">
        <v>50000</v>
      </c>
      <c r="E60" s="15"/>
      <c r="F60" s="117">
        <v>75000</v>
      </c>
      <c r="G60" s="61"/>
      <c r="H60" s="61"/>
      <c r="I60" s="61"/>
      <c r="J60" s="61"/>
      <c r="K60" s="61"/>
      <c r="L60" s="5"/>
    </row>
    <row r="61" spans="2:12" x14ac:dyDescent="0.5">
      <c r="B61" s="6" t="s">
        <v>96</v>
      </c>
      <c r="D61" s="106">
        <f>SUM(D58:D60)</f>
        <v>3000000</v>
      </c>
      <c r="E61" s="12"/>
      <c r="F61" s="100">
        <f>SUM(F58:F60)</f>
        <v>3125000</v>
      </c>
      <c r="G61" s="54">
        <f>+F61-G116</f>
        <v>3263304.054054054</v>
      </c>
      <c r="H61" s="54">
        <f t="shared" ref="H61:K61" si="14">+G61-H116</f>
        <v>3414677.9108108105</v>
      </c>
      <c r="I61" s="54">
        <f t="shared" si="14"/>
        <v>3577168.7840163512</v>
      </c>
      <c r="J61" s="54">
        <f t="shared" si="14"/>
        <v>3749383.6168622351</v>
      </c>
      <c r="K61" s="54">
        <f t="shared" si="14"/>
        <v>3930145.0454712021</v>
      </c>
      <c r="L61" s="5"/>
    </row>
    <row r="62" spans="2:12" x14ac:dyDescent="0.5">
      <c r="B62" s="6" t="s">
        <v>97</v>
      </c>
      <c r="D62" s="109">
        <v>-300000</v>
      </c>
      <c r="E62" s="15"/>
      <c r="F62" s="118">
        <v>-365000</v>
      </c>
      <c r="G62" s="62">
        <f>+F62-G33</f>
        <v>-438688.4</v>
      </c>
      <c r="H62" s="62">
        <f t="shared" ref="H62:K62" si="15">+G62-H33</f>
        <v>-519340.39088000002</v>
      </c>
      <c r="I62" s="62">
        <f t="shared" si="15"/>
        <v>-605915.52812391205</v>
      </c>
      <c r="J62" s="62">
        <f t="shared" si="15"/>
        <v>-697671.59106419887</v>
      </c>
      <c r="K62" s="62">
        <f t="shared" si="15"/>
        <v>-793981.28022705636</v>
      </c>
      <c r="L62" s="5"/>
    </row>
    <row r="63" spans="2:12" x14ac:dyDescent="0.5">
      <c r="B63" s="6" t="s">
        <v>98</v>
      </c>
      <c r="D63" s="106">
        <f>SUM(D61:D62)</f>
        <v>2700000</v>
      </c>
      <c r="E63" s="12"/>
      <c r="F63" s="100">
        <f>SUM(F61:F62)</f>
        <v>2760000</v>
      </c>
      <c r="G63" s="12">
        <f t="shared" ref="G63:K63" si="16">SUM(G61:G62)</f>
        <v>2824615.6540540541</v>
      </c>
      <c r="H63" s="12">
        <f t="shared" si="16"/>
        <v>2895337.5199308107</v>
      </c>
      <c r="I63" s="12">
        <f t="shared" si="16"/>
        <v>2971253.2558924393</v>
      </c>
      <c r="J63" s="12">
        <f t="shared" si="16"/>
        <v>3051712.0257980363</v>
      </c>
      <c r="K63" s="12">
        <f t="shared" si="16"/>
        <v>3136163.7652441459</v>
      </c>
      <c r="L63" s="5"/>
    </row>
    <row r="64" spans="2:12" x14ac:dyDescent="0.5">
      <c r="B64" s="6"/>
      <c r="D64" s="106"/>
      <c r="E64" s="12"/>
      <c r="F64" s="100"/>
      <c r="L64" s="5"/>
    </row>
    <row r="65" spans="2:12" x14ac:dyDescent="0.5">
      <c r="B65" s="6" t="s">
        <v>99</v>
      </c>
      <c r="D65" s="103">
        <v>200000</v>
      </c>
      <c r="E65" s="14"/>
      <c r="F65" s="97">
        <v>250000</v>
      </c>
      <c r="G65" s="54">
        <f>+F65-G117</f>
        <v>305321.6216216216</v>
      </c>
      <c r="H65" s="54">
        <f t="shared" ref="H65:K65" si="17">+G65-H117</f>
        <v>365871.16432432429</v>
      </c>
      <c r="I65" s="54">
        <f t="shared" si="17"/>
        <v>430867.51360654051</v>
      </c>
      <c r="J65" s="54">
        <f t="shared" si="17"/>
        <v>499753.44674489403</v>
      </c>
      <c r="K65" s="54">
        <f t="shared" si="17"/>
        <v>572058.01818848075</v>
      </c>
      <c r="L65" s="5"/>
    </row>
    <row r="66" spans="2:12" x14ac:dyDescent="0.5">
      <c r="B66" s="6"/>
      <c r="D66" s="106"/>
      <c r="E66" s="12"/>
      <c r="F66" s="100"/>
      <c r="L66" s="5"/>
    </row>
    <row r="67" spans="2:12" ht="14.7" thickBot="1" x14ac:dyDescent="0.55000000000000004">
      <c r="B67" s="6" t="s">
        <v>100</v>
      </c>
      <c r="D67" s="110">
        <f>+D65+D63+D55</f>
        <v>3035000</v>
      </c>
      <c r="E67" s="12"/>
      <c r="F67" s="119">
        <f>+F65+F63+F55</f>
        <v>3184800</v>
      </c>
      <c r="G67" s="63">
        <f t="shared" ref="G67:K67" si="18">+G65+G63+G55</f>
        <v>3373471.7894980698</v>
      </c>
      <c r="H67" s="63">
        <f t="shared" si="18"/>
        <v>3554436.6235674382</v>
      </c>
      <c r="I67" s="63">
        <f t="shared" si="18"/>
        <v>3776547.891182424</v>
      </c>
      <c r="J67" s="63">
        <f t="shared" si="18"/>
        <v>3992579.0323597006</v>
      </c>
      <c r="K67" s="63">
        <f t="shared" si="18"/>
        <v>4206914.0653168894</v>
      </c>
      <c r="L67" s="5"/>
    </row>
    <row r="68" spans="2:12" ht="14.7" thickTop="1" x14ac:dyDescent="0.5">
      <c r="B68" s="6"/>
      <c r="D68" s="106"/>
      <c r="E68" s="12"/>
      <c r="F68" s="100"/>
      <c r="L68" s="5"/>
    </row>
    <row r="69" spans="2:12" x14ac:dyDescent="0.5">
      <c r="B69" s="13" t="s">
        <v>101</v>
      </c>
      <c r="D69" s="106"/>
      <c r="E69" s="12"/>
      <c r="F69" s="100"/>
      <c r="L69" s="5"/>
    </row>
    <row r="70" spans="2:12" x14ac:dyDescent="0.5">
      <c r="B70" s="6"/>
      <c r="D70" s="106"/>
      <c r="E70" s="12"/>
      <c r="F70" s="100"/>
      <c r="L70" s="5"/>
    </row>
    <row r="71" spans="2:12" x14ac:dyDescent="0.5">
      <c r="B71" s="13" t="s">
        <v>102</v>
      </c>
      <c r="D71" s="106"/>
      <c r="E71" s="12"/>
      <c r="F71" s="100"/>
      <c r="L71" s="5"/>
    </row>
    <row r="72" spans="2:12" x14ac:dyDescent="0.5">
      <c r="B72" s="6" t="s">
        <v>103</v>
      </c>
      <c r="D72" s="103">
        <v>35000</v>
      </c>
      <c r="E72" s="15"/>
      <c r="F72" s="97">
        <v>40000</v>
      </c>
      <c r="G72" s="94">
        <f>+G19/365*'CASH FLOW  &amp; BAL. SHEET ASSUMP'!G20</f>
        <v>44102.685714285712</v>
      </c>
      <c r="H72" s="16">
        <f>+H19/365*'CASH FLOW  &amp; BAL. SHEET ASSUMP'!H19</f>
        <v>14579.84945046575</v>
      </c>
      <c r="I72" s="16">
        <f>+I19/365*'CASH FLOW  &amp; BAL. SHEET ASSUMP'!I19</f>
        <v>15650.843670544737</v>
      </c>
      <c r="J72" s="16">
        <f>+J19/365*'CASH FLOW  &amp; BAL. SHEET ASSUMP'!J19</f>
        <v>16590.266295956739</v>
      </c>
      <c r="K72" s="16">
        <f>+K19/365*'CASH FLOW  &amp; BAL. SHEET ASSUMP'!K19</f>
        <v>17417.755673012172</v>
      </c>
      <c r="L72" s="5"/>
    </row>
    <row r="73" spans="2:12" x14ac:dyDescent="0.5">
      <c r="B73" s="6" t="s">
        <v>104</v>
      </c>
      <c r="D73" s="103">
        <v>12000</v>
      </c>
      <c r="E73" s="15"/>
      <c r="F73" s="97">
        <v>10000</v>
      </c>
      <c r="G73" s="16">
        <f>+G12*'CASH FLOW  &amp; BAL. SHEET ASSUMP'!G23</f>
        <v>11064.324324324325</v>
      </c>
      <c r="H73" s="16">
        <f>+H12*'CASH FLOW  &amp; BAL. SHEET ASSUMP'!H23</f>
        <v>12109.90854054054</v>
      </c>
      <c r="I73" s="16">
        <f>+I12*'CASH FLOW  &amp; BAL. SHEET ASSUMP'!I23</f>
        <v>12999.269856443245</v>
      </c>
      <c r="J73" s="16">
        <f>+J12*'CASH FLOW  &amp; BAL. SHEET ASSUMP'!J23</f>
        <v>13777.186627670701</v>
      </c>
      <c r="K73" s="16">
        <f>+K12*'CASH FLOW  &amp; BAL. SHEET ASSUMP'!K23</f>
        <v>14460.914288717342</v>
      </c>
      <c r="L73" s="5"/>
    </row>
    <row r="74" spans="2:12" x14ac:dyDescent="0.5">
      <c r="B74" s="6" t="s">
        <v>105</v>
      </c>
      <c r="D74" s="103">
        <v>10000</v>
      </c>
      <c r="E74" s="15"/>
      <c r="F74" s="97">
        <v>8000</v>
      </c>
      <c r="G74" s="16">
        <f>+G12*'CASH FLOW  &amp; BAL. SHEET ASSUMP'!G26</f>
        <v>8851.45945945946</v>
      </c>
      <c r="H74" s="16">
        <f>+H12*'CASH FLOW  &amp; BAL. SHEET ASSUMP'!H26</f>
        <v>9687.926832432433</v>
      </c>
      <c r="I74" s="16">
        <f>+I12*'CASH FLOW  &amp; BAL. SHEET ASSUMP'!I26</f>
        <v>10399.415885154596</v>
      </c>
      <c r="J74" s="16">
        <f>+J12*'CASH FLOW  &amp; BAL. SHEET ASSUMP'!J26</f>
        <v>11021.749302136561</v>
      </c>
      <c r="K74" s="16">
        <f>+K12*'CASH FLOW  &amp; BAL. SHEET ASSUMP'!K26</f>
        <v>11568.731430973874</v>
      </c>
      <c r="L74" s="5"/>
    </row>
    <row r="75" spans="2:12" x14ac:dyDescent="0.5">
      <c r="B75" s="6" t="s">
        <v>106</v>
      </c>
      <c r="D75" s="109">
        <v>20000</v>
      </c>
      <c r="E75" s="15"/>
      <c r="F75" s="117">
        <v>10000</v>
      </c>
      <c r="G75" s="25">
        <f>+'CASH FLOW  &amp; BAL. SHEET ASSUMP'!G45</f>
        <v>0</v>
      </c>
      <c r="H75" s="25">
        <f>+'CASH FLOW  &amp; BAL. SHEET ASSUMP'!H45</f>
        <v>0</v>
      </c>
      <c r="I75" s="25">
        <f>+'CASH FLOW  &amp; BAL. SHEET ASSUMP'!I45</f>
        <v>0</v>
      </c>
      <c r="J75" s="25">
        <f>+'CASH FLOW  &amp; BAL. SHEET ASSUMP'!J45</f>
        <v>0</v>
      </c>
      <c r="K75" s="25">
        <f>+'CASH FLOW  &amp; BAL. SHEET ASSUMP'!K45</f>
        <v>0</v>
      </c>
      <c r="L75" s="5"/>
    </row>
    <row r="76" spans="2:12" x14ac:dyDescent="0.5">
      <c r="B76" s="6" t="s">
        <v>107</v>
      </c>
      <c r="D76" s="106">
        <f>SUM(D72:D75)</f>
        <v>77000</v>
      </c>
      <c r="E76" s="12"/>
      <c r="F76" s="100">
        <f>SUM(F72:F75)</f>
        <v>68000</v>
      </c>
      <c r="G76" s="12">
        <f t="shared" ref="G76:K76" si="19">SUM(G72:G75)</f>
        <v>64018.469498069499</v>
      </c>
      <c r="H76" s="12">
        <f t="shared" si="19"/>
        <v>36377.684823438729</v>
      </c>
      <c r="I76" s="12">
        <f t="shared" si="19"/>
        <v>39049.529412142576</v>
      </c>
      <c r="J76" s="12">
        <f t="shared" si="19"/>
        <v>41389.202225763998</v>
      </c>
      <c r="K76" s="12">
        <f t="shared" si="19"/>
        <v>43447.401392703388</v>
      </c>
      <c r="L76" s="5"/>
    </row>
    <row r="77" spans="2:12" x14ac:dyDescent="0.5">
      <c r="B77" s="6"/>
      <c r="D77" s="106"/>
      <c r="E77" s="12"/>
      <c r="F77" s="100"/>
      <c r="L77" s="5"/>
    </row>
    <row r="78" spans="2:12" x14ac:dyDescent="0.5">
      <c r="B78" s="6" t="s">
        <v>108</v>
      </c>
      <c r="D78" s="103">
        <v>1200000</v>
      </c>
      <c r="E78" s="15"/>
      <c r="F78" s="97">
        <v>1180000</v>
      </c>
      <c r="G78" s="16">
        <f>+'CASH FLOW  &amp; BAL. SHEET ASSUMP'!G54</f>
        <v>1160000</v>
      </c>
      <c r="H78" s="16">
        <f>+'CASH FLOW  &amp; BAL. SHEET ASSUMP'!H54</f>
        <v>1130000</v>
      </c>
      <c r="I78" s="16">
        <f>+'CASH FLOW  &amp; BAL. SHEET ASSUMP'!I54</f>
        <v>1090000</v>
      </c>
      <c r="J78" s="16">
        <f>+'CASH FLOW  &amp; BAL. SHEET ASSUMP'!J54</f>
        <v>1030000</v>
      </c>
      <c r="K78" s="16">
        <f>+'CASH FLOW  &amp; BAL. SHEET ASSUMP'!K54</f>
        <v>950000</v>
      </c>
      <c r="L78" s="5"/>
    </row>
    <row r="79" spans="2:12" x14ac:dyDescent="0.5">
      <c r="B79" s="6"/>
      <c r="D79" s="111"/>
      <c r="E79" s="15"/>
      <c r="F79" s="116"/>
      <c r="L79" s="5"/>
    </row>
    <row r="80" spans="2:12" x14ac:dyDescent="0.5">
      <c r="B80" s="6" t="s">
        <v>109</v>
      </c>
      <c r="D80" s="109">
        <v>12000</v>
      </c>
      <c r="E80" s="15"/>
      <c r="F80" s="117">
        <v>17000</v>
      </c>
      <c r="G80" s="62">
        <f>+F80+'[1]Fig. 16.11'!H53</f>
        <v>17000</v>
      </c>
      <c r="H80" s="62">
        <f>+G80+'[1]Fig. 16.11'!I53</f>
        <v>17000</v>
      </c>
      <c r="I80" s="62">
        <f>+H80+'[1]Fig. 16.11'!J53</f>
        <v>17000</v>
      </c>
      <c r="J80" s="62">
        <f>+I80+'[1]Fig. 16.11'!K53</f>
        <v>17000</v>
      </c>
      <c r="K80" s="62">
        <f>+J80+'[1]Fig. 16.11'!L53</f>
        <v>17000</v>
      </c>
      <c r="L80" s="5"/>
    </row>
    <row r="81" spans="2:12" x14ac:dyDescent="0.5">
      <c r="B81" s="6" t="s">
        <v>110</v>
      </c>
      <c r="D81" s="106">
        <f>+D80+D78+D76</f>
        <v>1289000</v>
      </c>
      <c r="E81" s="12"/>
      <c r="F81" s="100">
        <f t="shared" ref="F81:K81" si="20">+F80+F78+F76</f>
        <v>1265000</v>
      </c>
      <c r="G81" s="12">
        <f t="shared" si="20"/>
        <v>1241018.4694980695</v>
      </c>
      <c r="H81" s="12">
        <f t="shared" si="20"/>
        <v>1183377.6848234388</v>
      </c>
      <c r="I81" s="12">
        <f t="shared" si="20"/>
        <v>1146049.5294121425</v>
      </c>
      <c r="J81" s="12">
        <f t="shared" si="20"/>
        <v>1088389.202225764</v>
      </c>
      <c r="K81" s="12">
        <f t="shared" si="20"/>
        <v>1010447.4013927034</v>
      </c>
      <c r="L81" s="5"/>
    </row>
    <row r="82" spans="2:12" ht="9" customHeight="1" x14ac:dyDescent="0.5">
      <c r="B82" s="6"/>
      <c r="D82" s="106"/>
      <c r="E82" s="12"/>
      <c r="F82" s="100"/>
      <c r="L82" s="5"/>
    </row>
    <row r="83" spans="2:12" x14ac:dyDescent="0.5">
      <c r="B83" s="13" t="s">
        <v>111</v>
      </c>
      <c r="D83" s="106"/>
      <c r="E83" s="12"/>
      <c r="F83" s="100"/>
      <c r="L83" s="5"/>
    </row>
    <row r="84" spans="2:12" x14ac:dyDescent="0.5">
      <c r="B84" s="6" t="s">
        <v>112</v>
      </c>
      <c r="D84" s="103">
        <v>1000000</v>
      </c>
      <c r="E84" s="14"/>
      <c r="F84" s="97">
        <v>1000000</v>
      </c>
      <c r="G84" s="54">
        <f>+F84</f>
        <v>1000000</v>
      </c>
      <c r="H84" s="54">
        <f>+G84</f>
        <v>1000000</v>
      </c>
      <c r="I84" s="54">
        <f t="shared" ref="I84:K84" si="21">+H84</f>
        <v>1000000</v>
      </c>
      <c r="J84" s="54">
        <f t="shared" si="21"/>
        <v>1000000</v>
      </c>
      <c r="K84" s="54">
        <f t="shared" si="21"/>
        <v>1000000</v>
      </c>
      <c r="L84" s="5"/>
    </row>
    <row r="85" spans="2:12" x14ac:dyDescent="0.5">
      <c r="B85" s="6" t="s">
        <v>113</v>
      </c>
      <c r="D85" s="103">
        <v>0</v>
      </c>
      <c r="E85" s="14"/>
      <c r="F85" s="97">
        <v>25000</v>
      </c>
      <c r="G85" s="54">
        <f>+F85+'CASH FLOW  &amp; BAL. SHEET ASSUMP'!G66</f>
        <v>25000</v>
      </c>
      <c r="H85" s="54">
        <f>+G85+'[1]Fig. 16.11'!I77</f>
        <v>25000</v>
      </c>
      <c r="I85" s="54">
        <f>+H85+'[1]Fig. 16.11'!J77</f>
        <v>25000</v>
      </c>
      <c r="J85" s="54">
        <f>+I85+'[1]Fig. 16.11'!K77</f>
        <v>25000</v>
      </c>
      <c r="K85" s="54">
        <f>+J85+'[1]Fig. 16.11'!L77</f>
        <v>25000</v>
      </c>
      <c r="L85" s="5"/>
    </row>
    <row r="86" spans="2:12" x14ac:dyDescent="0.5">
      <c r="B86" s="6" t="s">
        <v>114</v>
      </c>
      <c r="D86" s="112">
        <v>746000</v>
      </c>
      <c r="E86" s="15"/>
      <c r="F86" s="118">
        <v>894800</v>
      </c>
      <c r="G86" s="62">
        <f>+F86+G42</f>
        <v>1107453.32</v>
      </c>
      <c r="H86" s="62">
        <f t="shared" ref="H86:K86" si="22">+G86+H42</f>
        <v>1346058.9387440002</v>
      </c>
      <c r="I86" s="62">
        <f t="shared" si="22"/>
        <v>1605498.3617702818</v>
      </c>
      <c r="J86" s="62">
        <f t="shared" si="22"/>
        <v>1879189.8301339368</v>
      </c>
      <c r="K86" s="62">
        <f t="shared" si="22"/>
        <v>2171466.663924186</v>
      </c>
      <c r="L86" s="5"/>
    </row>
    <row r="87" spans="2:12" x14ac:dyDescent="0.5">
      <c r="B87" s="6" t="s">
        <v>115</v>
      </c>
      <c r="D87" s="106">
        <f>SUM(D84:D86)</f>
        <v>1746000</v>
      </c>
      <c r="E87" s="15"/>
      <c r="F87" s="100">
        <f>SUM(F84:F86)</f>
        <v>1919800</v>
      </c>
      <c r="G87" s="12">
        <f t="shared" ref="G87:K87" si="23">SUM(G84:G86)</f>
        <v>2132453.3200000003</v>
      </c>
      <c r="H87" s="12">
        <f t="shared" si="23"/>
        <v>2371058.9387440002</v>
      </c>
      <c r="I87" s="12">
        <f t="shared" si="23"/>
        <v>2630498.3617702816</v>
      </c>
      <c r="J87" s="12">
        <f t="shared" si="23"/>
        <v>2904189.8301339368</v>
      </c>
      <c r="K87" s="12">
        <f t="shared" si="23"/>
        <v>3196466.663924186</v>
      </c>
      <c r="L87" s="5"/>
    </row>
    <row r="88" spans="2:12" x14ac:dyDescent="0.5">
      <c r="B88" s="6"/>
      <c r="D88" s="106"/>
      <c r="E88" s="15"/>
      <c r="F88" s="100"/>
      <c r="L88" s="5"/>
    </row>
    <row r="89" spans="2:12" ht="14.7" thickBot="1" x14ac:dyDescent="0.55000000000000004">
      <c r="B89" s="6" t="s">
        <v>116</v>
      </c>
      <c r="D89" s="113">
        <f>+D87+D81</f>
        <v>3035000</v>
      </c>
      <c r="E89" s="15"/>
      <c r="F89" s="120">
        <f>+F87+F81</f>
        <v>3184800</v>
      </c>
      <c r="G89" s="64">
        <f t="shared" ref="G89:K89" si="24">+G87+G81</f>
        <v>3373471.7894980698</v>
      </c>
      <c r="H89" s="64">
        <f t="shared" si="24"/>
        <v>3554436.6235674387</v>
      </c>
      <c r="I89" s="64">
        <f t="shared" si="24"/>
        <v>3776547.891182424</v>
      </c>
      <c r="J89" s="64">
        <f t="shared" si="24"/>
        <v>3992579.0323597006</v>
      </c>
      <c r="K89" s="64">
        <f t="shared" si="24"/>
        <v>4206914.0653168894</v>
      </c>
      <c r="L89" s="5"/>
    </row>
    <row r="90" spans="2:12" ht="13.85" customHeight="1" x14ac:dyDescent="0.5">
      <c r="B90" s="65" t="s">
        <v>117</v>
      </c>
      <c r="D90" s="114">
        <f>+D67-D89</f>
        <v>0</v>
      </c>
      <c r="E90" s="15"/>
      <c r="F90" s="121">
        <f t="shared" ref="F90:K90" si="25">+F67-F89</f>
        <v>0</v>
      </c>
      <c r="G90" s="66">
        <f t="shared" si="25"/>
        <v>0</v>
      </c>
      <c r="H90" s="66">
        <f t="shared" si="25"/>
        <v>0</v>
      </c>
      <c r="I90" s="66">
        <f t="shared" si="25"/>
        <v>0</v>
      </c>
      <c r="J90" s="66">
        <f t="shared" si="25"/>
        <v>0</v>
      </c>
      <c r="K90" s="66">
        <f t="shared" si="25"/>
        <v>0</v>
      </c>
      <c r="L90" s="5"/>
    </row>
    <row r="91" spans="2:12" ht="14.7" thickBot="1" x14ac:dyDescent="0.55000000000000004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1"/>
    </row>
    <row r="93" spans="2:12" ht="14.7" thickBot="1" x14ac:dyDescent="0.55000000000000004">
      <c r="B93" s="44"/>
      <c r="C93" s="44"/>
      <c r="D93" s="44"/>
      <c r="E93" s="44"/>
      <c r="F93" s="44"/>
    </row>
    <row r="94" spans="2:12" ht="20" x14ac:dyDescent="0.6">
      <c r="B94" s="1" t="s">
        <v>0</v>
      </c>
      <c r="C94" s="45"/>
      <c r="D94" s="45"/>
      <c r="E94" s="45"/>
      <c r="F94" s="45"/>
      <c r="G94" s="2"/>
      <c r="H94" s="2"/>
      <c r="I94" s="2"/>
      <c r="J94" s="2"/>
      <c r="K94" s="2"/>
      <c r="L94" s="3"/>
    </row>
    <row r="95" spans="2:12" ht="15.35" x14ac:dyDescent="0.5">
      <c r="B95" s="4" t="s">
        <v>59</v>
      </c>
      <c r="C95" s="44"/>
      <c r="D95" s="44"/>
      <c r="E95" s="44"/>
      <c r="F95" s="44"/>
      <c r="L95" s="5"/>
    </row>
    <row r="96" spans="2:12" ht="14.7" thickBot="1" x14ac:dyDescent="0.55000000000000004">
      <c r="B96" s="46"/>
      <c r="C96" s="44"/>
      <c r="D96" s="44"/>
      <c r="E96" s="44"/>
      <c r="F96" s="133" t="str">
        <f>+D47</f>
        <v>HISTORICAL</v>
      </c>
      <c r="G96" s="145" t="s">
        <v>3</v>
      </c>
      <c r="H96" s="145"/>
      <c r="I96" s="145"/>
      <c r="J96" s="145"/>
      <c r="K96" s="145"/>
      <c r="L96" s="5"/>
    </row>
    <row r="97" spans="2:12" ht="14.7" thickBot="1" x14ac:dyDescent="0.55000000000000004">
      <c r="B97" s="7" t="s">
        <v>4</v>
      </c>
      <c r="C97" s="44"/>
      <c r="D97" s="44"/>
      <c r="E97" s="11"/>
      <c r="F97" s="134" t="s">
        <v>60</v>
      </c>
      <c r="G97" s="47" t="s">
        <v>7</v>
      </c>
      <c r="H97" s="47" t="s">
        <v>8</v>
      </c>
      <c r="I97" s="47" t="s">
        <v>9</v>
      </c>
      <c r="J97" s="47" t="s">
        <v>10</v>
      </c>
      <c r="K97" s="47" t="s">
        <v>11</v>
      </c>
      <c r="L97" s="5"/>
    </row>
    <row r="98" spans="2:12" x14ac:dyDescent="0.5">
      <c r="B98" s="46"/>
      <c r="C98" s="44"/>
      <c r="D98" s="44"/>
      <c r="E98" s="48"/>
      <c r="F98" s="123"/>
      <c r="L98" s="5"/>
    </row>
    <row r="99" spans="2:12" x14ac:dyDescent="0.5">
      <c r="B99" s="49" t="s">
        <v>36</v>
      </c>
      <c r="C99" s="50"/>
      <c r="D99" s="50"/>
      <c r="E99" s="51"/>
      <c r="F99" s="124">
        <v>148800</v>
      </c>
      <c r="G99" s="16">
        <f>+G42</f>
        <v>212653.31999999998</v>
      </c>
      <c r="H99" s="16">
        <f>+H42</f>
        <v>238605.61874400004</v>
      </c>
      <c r="I99" s="16">
        <f>+I42</f>
        <v>259439.42302628164</v>
      </c>
      <c r="J99" s="16">
        <f>+J42</f>
        <v>273691.46836365503</v>
      </c>
      <c r="K99" s="16">
        <f>+K42</f>
        <v>292276.83379024931</v>
      </c>
      <c r="L99" s="5"/>
    </row>
    <row r="100" spans="2:12" x14ac:dyDescent="0.5">
      <c r="B100" s="49" t="s">
        <v>61</v>
      </c>
      <c r="C100" s="50"/>
      <c r="D100" s="50"/>
      <c r="E100" s="51"/>
      <c r="F100" s="124">
        <v>65000</v>
      </c>
      <c r="G100" s="16">
        <f t="shared" ref="G100:K101" si="26">+G33</f>
        <v>73688.399999999994</v>
      </c>
      <c r="H100" s="16">
        <f t="shared" si="26"/>
        <v>80651.990879999998</v>
      </c>
      <c r="I100" s="16">
        <f t="shared" si="26"/>
        <v>86575.137243912002</v>
      </c>
      <c r="J100" s="16">
        <f t="shared" si="26"/>
        <v>91756.062940286865</v>
      </c>
      <c r="K100" s="16">
        <f t="shared" si="26"/>
        <v>96309.689162857496</v>
      </c>
      <c r="L100" s="5"/>
    </row>
    <row r="101" spans="2:12" x14ac:dyDescent="0.5">
      <c r="B101" s="49" t="s">
        <v>62</v>
      </c>
      <c r="C101" s="50"/>
      <c r="D101" s="50"/>
      <c r="E101" s="51"/>
      <c r="F101" s="125">
        <v>5000</v>
      </c>
      <c r="G101" s="16">
        <f t="shared" si="26"/>
        <v>0</v>
      </c>
      <c r="H101" s="16">
        <f t="shared" si="26"/>
        <v>0</v>
      </c>
      <c r="I101" s="16">
        <f t="shared" si="26"/>
        <v>0</v>
      </c>
      <c r="J101" s="16">
        <f t="shared" si="26"/>
        <v>0</v>
      </c>
      <c r="K101" s="16">
        <f t="shared" si="26"/>
        <v>0</v>
      </c>
      <c r="L101" s="5"/>
    </row>
    <row r="102" spans="2:12" x14ac:dyDescent="0.5">
      <c r="B102" s="49" t="s">
        <v>63</v>
      </c>
      <c r="C102" s="50"/>
      <c r="D102" s="50"/>
      <c r="E102" s="51"/>
      <c r="F102" s="126">
        <f>SUM(F99:F101)</f>
        <v>218800</v>
      </c>
      <c r="G102" s="52">
        <f t="shared" ref="G102:K102" si="27">SUM(G99:G101)</f>
        <v>286341.71999999997</v>
      </c>
      <c r="H102" s="52">
        <f t="shared" si="27"/>
        <v>319257.60962400003</v>
      </c>
      <c r="I102" s="52">
        <f t="shared" si="27"/>
        <v>346014.56027019361</v>
      </c>
      <c r="J102" s="52">
        <f t="shared" si="27"/>
        <v>365447.53130394191</v>
      </c>
      <c r="K102" s="52">
        <f t="shared" si="27"/>
        <v>388586.52295310679</v>
      </c>
      <c r="L102" s="5"/>
    </row>
    <row r="103" spans="2:12" x14ac:dyDescent="0.5">
      <c r="B103" s="46"/>
      <c r="C103" s="44"/>
      <c r="D103" s="44"/>
      <c r="E103" s="44"/>
      <c r="F103" s="122"/>
      <c r="L103" s="5"/>
    </row>
    <row r="104" spans="2:12" x14ac:dyDescent="0.5">
      <c r="B104" s="53" t="s">
        <v>64</v>
      </c>
      <c r="C104" s="50"/>
      <c r="D104" s="50"/>
      <c r="E104" s="51"/>
      <c r="F104" s="127"/>
      <c r="L104" s="5"/>
    </row>
    <row r="105" spans="2:12" x14ac:dyDescent="0.5">
      <c r="B105" s="49" t="s">
        <v>65</v>
      </c>
      <c r="C105" s="50"/>
      <c r="D105" s="50"/>
      <c r="E105" s="51"/>
      <c r="F105" s="124">
        <v>-15000</v>
      </c>
      <c r="G105" s="54">
        <f>+F52-G52</f>
        <v>-6385.9459459459467</v>
      </c>
      <c r="H105" s="54">
        <f t="shared" ref="H105:K107" si="28">+G52-H52</f>
        <v>-6273.5052972972917</v>
      </c>
      <c r="I105" s="54">
        <f t="shared" si="28"/>
        <v>-5336.1678954162344</v>
      </c>
      <c r="J105" s="54">
        <f t="shared" si="28"/>
        <v>-4667.5006273647305</v>
      </c>
      <c r="K105" s="54">
        <f t="shared" si="28"/>
        <v>-4102.3659662798455</v>
      </c>
      <c r="L105" s="5"/>
    </row>
    <row r="106" spans="2:12" x14ac:dyDescent="0.5">
      <c r="B106" s="49" t="s">
        <v>66</v>
      </c>
      <c r="C106" s="50"/>
      <c r="D106" s="50"/>
      <c r="E106" s="51"/>
      <c r="F106" s="124">
        <v>-5000</v>
      </c>
      <c r="G106" s="54">
        <f>+F53-G53</f>
        <v>-4102.6857142857116</v>
      </c>
      <c r="H106" s="54">
        <f t="shared" si="28"/>
        <v>-4166.2036228571305</v>
      </c>
      <c r="I106" s="54">
        <f t="shared" si="28"/>
        <v>-3545.6951503748787</v>
      </c>
      <c r="J106" s="54">
        <f t="shared" si="28"/>
        <v>-3110.106651023867</v>
      </c>
      <c r="K106" s="54">
        <f t="shared" si="28"/>
        <v>-2739.533992065597</v>
      </c>
      <c r="L106" s="5"/>
    </row>
    <row r="107" spans="2:12" x14ac:dyDescent="0.5">
      <c r="B107" s="49" t="s">
        <v>67</v>
      </c>
      <c r="C107" s="50"/>
      <c r="D107" s="50"/>
      <c r="E107" s="51"/>
      <c r="F107" s="124">
        <v>1000</v>
      </c>
      <c r="G107" s="54">
        <f>+F54-G54</f>
        <v>-957.89189189189165</v>
      </c>
      <c r="H107" s="54">
        <f t="shared" si="28"/>
        <v>-941.02579459459594</v>
      </c>
      <c r="I107" s="54">
        <f t="shared" si="28"/>
        <v>-800.42518431243298</v>
      </c>
      <c r="J107" s="54">
        <f t="shared" si="28"/>
        <v>-700.12509410471102</v>
      </c>
      <c r="K107" s="54">
        <f t="shared" si="28"/>
        <v>-615.35489494197827</v>
      </c>
      <c r="L107" s="5"/>
    </row>
    <row r="108" spans="2:12" x14ac:dyDescent="0.5">
      <c r="B108" s="49" t="s">
        <v>68</v>
      </c>
      <c r="C108" s="50"/>
      <c r="D108" s="50"/>
      <c r="E108" s="51"/>
      <c r="F108" s="124">
        <v>5000</v>
      </c>
      <c r="G108" s="54">
        <f>+G72-F72</f>
        <v>4102.6857142857116</v>
      </c>
      <c r="H108" s="54">
        <f t="shared" ref="H108:K108" si="29">+H72-G72</f>
        <v>-29522.836263819961</v>
      </c>
      <c r="I108" s="54">
        <f t="shared" si="29"/>
        <v>1070.9942200789865</v>
      </c>
      <c r="J108" s="54">
        <f t="shared" si="29"/>
        <v>939.42262541200216</v>
      </c>
      <c r="K108" s="54">
        <f t="shared" si="29"/>
        <v>827.48937705543358</v>
      </c>
      <c r="L108" s="5"/>
    </row>
    <row r="109" spans="2:12" x14ac:dyDescent="0.5">
      <c r="B109" s="49" t="s">
        <v>69</v>
      </c>
      <c r="C109" s="50"/>
      <c r="D109" s="50"/>
      <c r="E109" s="51"/>
      <c r="F109" s="124">
        <v>-2000</v>
      </c>
      <c r="G109" s="54">
        <f t="shared" ref="G109:K110" si="30">+G73-F73</f>
        <v>1064.3243243243251</v>
      </c>
      <c r="H109" s="54">
        <f t="shared" si="30"/>
        <v>1045.5842162162153</v>
      </c>
      <c r="I109" s="54">
        <f t="shared" si="30"/>
        <v>889.36131590270452</v>
      </c>
      <c r="J109" s="54">
        <f t="shared" si="30"/>
        <v>777.91677122745568</v>
      </c>
      <c r="K109" s="54">
        <f t="shared" si="30"/>
        <v>683.72766104664151</v>
      </c>
      <c r="L109" s="5"/>
    </row>
    <row r="110" spans="2:12" x14ac:dyDescent="0.5">
      <c r="B110" s="49" t="s">
        <v>70</v>
      </c>
      <c r="C110" s="50"/>
      <c r="D110" s="50"/>
      <c r="E110" s="51"/>
      <c r="F110" s="124">
        <v>-2000</v>
      </c>
      <c r="G110" s="54">
        <f t="shared" si="30"/>
        <v>851.45945945946005</v>
      </c>
      <c r="H110" s="54">
        <f t="shared" si="30"/>
        <v>836.46737297297295</v>
      </c>
      <c r="I110" s="54">
        <f t="shared" si="30"/>
        <v>711.48905272216325</v>
      </c>
      <c r="J110" s="54">
        <f t="shared" si="30"/>
        <v>622.33341698196455</v>
      </c>
      <c r="K110" s="54">
        <f t="shared" si="30"/>
        <v>546.98212883731321</v>
      </c>
      <c r="L110" s="5"/>
    </row>
    <row r="111" spans="2:12" x14ac:dyDescent="0.5">
      <c r="B111" s="49" t="s">
        <v>71</v>
      </c>
      <c r="C111" s="50"/>
      <c r="D111" s="50"/>
      <c r="E111" s="51"/>
      <c r="F111" s="126">
        <f>SUM(F105:F110)</f>
        <v>-18000</v>
      </c>
      <c r="G111" s="52">
        <f t="shared" ref="G111:K111" si="31">SUM(G105:G110)</f>
        <v>-5428.0540540540533</v>
      </c>
      <c r="H111" s="52">
        <f t="shared" si="31"/>
        <v>-39021.519389379799</v>
      </c>
      <c r="I111" s="52">
        <f t="shared" si="31"/>
        <v>-7010.4436413996918</v>
      </c>
      <c r="J111" s="52">
        <f t="shared" si="31"/>
        <v>-6138.0595588718861</v>
      </c>
      <c r="K111" s="52">
        <f t="shared" si="31"/>
        <v>-5399.0556863480324</v>
      </c>
      <c r="L111" s="5"/>
    </row>
    <row r="112" spans="2:12" x14ac:dyDescent="0.5">
      <c r="B112" s="49"/>
      <c r="C112" s="50"/>
      <c r="D112" s="50"/>
      <c r="E112" s="51"/>
      <c r="F112" s="127"/>
      <c r="L112" s="5"/>
    </row>
    <row r="113" spans="2:12" x14ac:dyDescent="0.5">
      <c r="B113" s="13" t="s">
        <v>72</v>
      </c>
      <c r="C113" s="11"/>
      <c r="D113" s="11"/>
      <c r="E113" s="55"/>
      <c r="F113" s="128">
        <f>+F102+F111</f>
        <v>200800</v>
      </c>
      <c r="G113" s="55">
        <f t="shared" ref="G113:K113" si="32">+G102+G111</f>
        <v>280913.66594594589</v>
      </c>
      <c r="H113" s="55">
        <f t="shared" si="32"/>
        <v>280236.09023462026</v>
      </c>
      <c r="I113" s="55">
        <f t="shared" si="32"/>
        <v>339004.11662879394</v>
      </c>
      <c r="J113" s="55">
        <f t="shared" si="32"/>
        <v>359309.47174507001</v>
      </c>
      <c r="K113" s="55">
        <f t="shared" si="32"/>
        <v>383187.46726675873</v>
      </c>
      <c r="L113" s="5"/>
    </row>
    <row r="114" spans="2:12" x14ac:dyDescent="0.5">
      <c r="B114" s="46"/>
      <c r="C114" s="44"/>
      <c r="D114" s="44"/>
      <c r="E114" s="44"/>
      <c r="F114" s="122"/>
      <c r="L114" s="5"/>
    </row>
    <row r="115" spans="2:12" x14ac:dyDescent="0.5">
      <c r="B115" s="53" t="s">
        <v>73</v>
      </c>
      <c r="C115" s="50"/>
      <c r="D115" s="50"/>
      <c r="E115" s="51"/>
      <c r="F115" s="127"/>
      <c r="L115" s="5"/>
    </row>
    <row r="116" spans="2:12" x14ac:dyDescent="0.5">
      <c r="B116" s="49" t="s">
        <v>74</v>
      </c>
      <c r="C116" s="50"/>
      <c r="D116" s="50"/>
      <c r="E116" s="51"/>
      <c r="F116" s="124">
        <v>-125000</v>
      </c>
      <c r="G116" s="54">
        <f>-'CASH FLOW  &amp; BAL. SHEET ASSUMP'!G31*'FINANCIAL MODEL'!G12</f>
        <v>-138304.05405405405</v>
      </c>
      <c r="H116" s="54">
        <f>-'CASH FLOW  &amp; BAL. SHEET ASSUMP'!H31*'FINANCIAL MODEL'!H12</f>
        <v>-151373.85675675675</v>
      </c>
      <c r="I116" s="54">
        <f>-'CASH FLOW  &amp; BAL. SHEET ASSUMP'!I31*'FINANCIAL MODEL'!I12</f>
        <v>-162490.87320554056</v>
      </c>
      <c r="J116" s="54">
        <f>-'CASH FLOW  &amp; BAL. SHEET ASSUMP'!J31*'FINANCIAL MODEL'!J12</f>
        <v>-172214.83284588376</v>
      </c>
      <c r="K116" s="54">
        <f>-'CASH FLOW  &amp; BAL. SHEET ASSUMP'!K31*'FINANCIAL MODEL'!K12</f>
        <v>-180761.42860896679</v>
      </c>
      <c r="L116" s="5"/>
    </row>
    <row r="117" spans="2:12" x14ac:dyDescent="0.5">
      <c r="B117" s="49" t="s">
        <v>75</v>
      </c>
      <c r="C117" s="50"/>
      <c r="D117" s="50"/>
      <c r="E117" s="51"/>
      <c r="F117" s="125">
        <v>-50000</v>
      </c>
      <c r="G117" s="54">
        <f>-'CASH FLOW  &amp; BAL. SHEET ASSUMP'!G34*'FINANCIAL MODEL'!G12</f>
        <v>-55321.62162162162</v>
      </c>
      <c r="H117" s="54">
        <f>-'CASH FLOW  &amp; BAL. SHEET ASSUMP'!H34*'FINANCIAL MODEL'!H12</f>
        <v>-60549.542702702696</v>
      </c>
      <c r="I117" s="54">
        <f>-'CASH FLOW  &amp; BAL. SHEET ASSUMP'!I34*'FINANCIAL MODEL'!I12</f>
        <v>-64996.349282216222</v>
      </c>
      <c r="J117" s="54">
        <f>-'CASH FLOW  &amp; BAL. SHEET ASSUMP'!J34*'FINANCIAL MODEL'!J12</f>
        <v>-68885.933138353503</v>
      </c>
      <c r="K117" s="54">
        <f>-'CASH FLOW  &amp; BAL. SHEET ASSUMP'!K34*'FINANCIAL MODEL'!K12</f>
        <v>-72304.571443586712</v>
      </c>
      <c r="L117" s="5"/>
    </row>
    <row r="118" spans="2:12" x14ac:dyDescent="0.5">
      <c r="B118" s="49" t="s">
        <v>76</v>
      </c>
      <c r="C118" s="50"/>
      <c r="D118" s="50"/>
      <c r="E118" s="51"/>
      <c r="F118" s="127">
        <f>SUM(F116:F117)</f>
        <v>-175000</v>
      </c>
      <c r="G118" s="91">
        <f>SUM(G116:G117)</f>
        <v>-193625.67567567568</v>
      </c>
      <c r="H118" s="92">
        <f t="shared" ref="H118:K118" si="33">SUM(H116:H117)</f>
        <v>-211923.39945945944</v>
      </c>
      <c r="I118" s="92">
        <f t="shared" si="33"/>
        <v>-227487.22248775678</v>
      </c>
      <c r="J118" s="92">
        <f t="shared" si="33"/>
        <v>-241100.76598423725</v>
      </c>
      <c r="K118" s="92">
        <f t="shared" si="33"/>
        <v>-253066.00005255349</v>
      </c>
      <c r="L118" s="5"/>
    </row>
    <row r="119" spans="2:12" x14ac:dyDescent="0.5">
      <c r="B119" s="49"/>
      <c r="C119" s="50"/>
      <c r="D119" s="50"/>
      <c r="E119" s="51"/>
      <c r="F119" s="127"/>
      <c r="G119" s="51"/>
      <c r="H119" s="51"/>
      <c r="I119" s="51"/>
      <c r="J119" s="51"/>
      <c r="K119" s="51"/>
      <c r="L119" s="5"/>
    </row>
    <row r="120" spans="2:12" x14ac:dyDescent="0.5">
      <c r="B120" s="49" t="s">
        <v>77</v>
      </c>
      <c r="C120" s="50"/>
      <c r="D120" s="50"/>
      <c r="E120" s="51"/>
      <c r="F120" s="127">
        <f>+F113+F118</f>
        <v>25800</v>
      </c>
      <c r="G120" s="51">
        <f>+G113+G118</f>
        <v>87287.990270270209</v>
      </c>
      <c r="H120" s="51">
        <f t="shared" ref="H120:K120" si="34">+H113+H118</f>
        <v>68312.690775160823</v>
      </c>
      <c r="I120" s="51">
        <f t="shared" si="34"/>
        <v>111516.89414103716</v>
      </c>
      <c r="J120" s="51">
        <f t="shared" si="34"/>
        <v>118208.70576083276</v>
      </c>
      <c r="K120" s="51">
        <f t="shared" si="34"/>
        <v>130121.46721420524</v>
      </c>
      <c r="L120" s="5"/>
    </row>
    <row r="121" spans="2:12" x14ac:dyDescent="0.5">
      <c r="B121" s="46"/>
      <c r="C121" s="44"/>
      <c r="D121" s="44"/>
      <c r="E121" s="44"/>
      <c r="F121" s="122"/>
      <c r="L121" s="5"/>
    </row>
    <row r="122" spans="2:12" x14ac:dyDescent="0.5">
      <c r="B122" s="53" t="s">
        <v>78</v>
      </c>
      <c r="C122" s="44"/>
      <c r="D122" s="44"/>
      <c r="E122" s="48"/>
      <c r="F122" s="123"/>
      <c r="L122" s="5"/>
    </row>
    <row r="123" spans="2:12" x14ac:dyDescent="0.5">
      <c r="B123" s="46" t="s">
        <v>79</v>
      </c>
      <c r="C123" s="44"/>
      <c r="D123" s="44"/>
      <c r="E123" s="48"/>
      <c r="F123" s="129">
        <v>-10000</v>
      </c>
      <c r="G123" s="16">
        <f>-'CASH FLOW  &amp; BAL. SHEET ASSUMP'!G46</f>
        <v>-10000</v>
      </c>
      <c r="H123" s="16">
        <f>-'CASH FLOW  &amp; BAL. SHEET ASSUMP'!H46</f>
        <v>0</v>
      </c>
      <c r="I123" s="16">
        <f>-'CASH FLOW  &amp; BAL. SHEET ASSUMP'!I46</f>
        <v>0</v>
      </c>
      <c r="J123" s="16">
        <f>-'CASH FLOW  &amp; BAL. SHEET ASSUMP'!J46</f>
        <v>0</v>
      </c>
      <c r="K123" s="16">
        <f>-'CASH FLOW  &amp; BAL. SHEET ASSUMP'!K46</f>
        <v>0</v>
      </c>
      <c r="L123" s="5"/>
    </row>
    <row r="124" spans="2:12" x14ac:dyDescent="0.5">
      <c r="B124" s="49" t="s">
        <v>80</v>
      </c>
      <c r="C124" s="44"/>
      <c r="D124" s="44"/>
      <c r="E124" s="48"/>
      <c r="F124" s="129">
        <v>-20000</v>
      </c>
      <c r="G124" s="16">
        <f>-'CASH FLOW  &amp; BAL. SHEET ASSUMP'!G55</f>
        <v>-20000</v>
      </c>
      <c r="H124" s="16">
        <f>-'CASH FLOW  &amp; BAL. SHEET ASSUMP'!H55</f>
        <v>-30000</v>
      </c>
      <c r="I124" s="16">
        <f>-'CASH FLOW  &amp; BAL. SHEET ASSUMP'!I55</f>
        <v>-40000</v>
      </c>
      <c r="J124" s="16">
        <f>-'CASH FLOW  &amp; BAL. SHEET ASSUMP'!J55</f>
        <v>-60000</v>
      </c>
      <c r="K124" s="16">
        <f>-'CASH FLOW  &amp; BAL. SHEET ASSUMP'!K55</f>
        <v>-80000</v>
      </c>
      <c r="L124" s="5"/>
    </row>
    <row r="125" spans="2:12" x14ac:dyDescent="0.5">
      <c r="B125" s="46" t="s">
        <v>81</v>
      </c>
      <c r="C125" s="44"/>
      <c r="D125" s="44"/>
      <c r="E125" s="48"/>
      <c r="F125" s="130">
        <v>25000</v>
      </c>
      <c r="G125" s="25">
        <f>+'CASH FLOW  &amp; BAL. SHEET ASSUMP'!G66</f>
        <v>0</v>
      </c>
      <c r="H125" s="25">
        <f>+'CASH FLOW  &amp; BAL. SHEET ASSUMP'!H66</f>
        <v>0</v>
      </c>
      <c r="I125" s="25">
        <f>+'CASH FLOW  &amp; BAL. SHEET ASSUMP'!I66</f>
        <v>0</v>
      </c>
      <c r="J125" s="25">
        <f>+'CASH FLOW  &amp; BAL. SHEET ASSUMP'!J66</f>
        <v>0</v>
      </c>
      <c r="K125" s="25">
        <f>+'CASH FLOW  &amp; BAL. SHEET ASSUMP'!K66</f>
        <v>0</v>
      </c>
      <c r="L125" s="5"/>
    </row>
    <row r="126" spans="2:12" x14ac:dyDescent="0.5">
      <c r="B126" s="46" t="s">
        <v>76</v>
      </c>
      <c r="C126" s="44"/>
      <c r="D126" s="44"/>
      <c r="E126" s="48"/>
      <c r="F126" s="123">
        <f>SUM(F123:F125)</f>
        <v>-5000</v>
      </c>
      <c r="G126" s="48">
        <f t="shared" ref="G126:K126" si="35">SUM(G123:G125)</f>
        <v>-30000</v>
      </c>
      <c r="H126" s="48">
        <f t="shared" si="35"/>
        <v>-30000</v>
      </c>
      <c r="I126" s="48">
        <f t="shared" si="35"/>
        <v>-40000</v>
      </c>
      <c r="J126" s="48">
        <f t="shared" si="35"/>
        <v>-60000</v>
      </c>
      <c r="K126" s="48">
        <f t="shared" si="35"/>
        <v>-80000</v>
      </c>
      <c r="L126" s="5"/>
    </row>
    <row r="127" spans="2:12" x14ac:dyDescent="0.5">
      <c r="B127" s="46"/>
      <c r="C127" s="44"/>
      <c r="D127" s="44"/>
      <c r="E127" s="48"/>
      <c r="F127" s="123"/>
      <c r="G127" s="16"/>
      <c r="H127" s="16"/>
      <c r="I127" s="16"/>
      <c r="J127" s="16"/>
      <c r="K127" s="16"/>
      <c r="L127" s="5"/>
    </row>
    <row r="128" spans="2:12" x14ac:dyDescent="0.5">
      <c r="B128" s="13" t="s">
        <v>82</v>
      </c>
      <c r="C128" s="44"/>
      <c r="D128" s="44"/>
      <c r="E128" s="48"/>
      <c r="F128" s="123">
        <f>+F120+F126</f>
        <v>20800</v>
      </c>
      <c r="G128" s="48">
        <f t="shared" ref="G128:K128" si="36">+G120+G126</f>
        <v>57287.990270270209</v>
      </c>
      <c r="H128" s="48">
        <f t="shared" si="36"/>
        <v>38312.690775160823</v>
      </c>
      <c r="I128" s="48">
        <f t="shared" si="36"/>
        <v>71516.894141037163</v>
      </c>
      <c r="J128" s="48">
        <f t="shared" si="36"/>
        <v>58208.70576083276</v>
      </c>
      <c r="K128" s="48">
        <f t="shared" si="36"/>
        <v>50121.467214205244</v>
      </c>
      <c r="L128" s="5"/>
    </row>
    <row r="129" spans="2:12" x14ac:dyDescent="0.5">
      <c r="B129" s="46"/>
      <c r="C129" s="44"/>
      <c r="D129" s="44"/>
      <c r="E129" s="48"/>
      <c r="F129" s="123"/>
      <c r="G129" s="16"/>
      <c r="H129" s="16"/>
      <c r="I129" s="16"/>
      <c r="J129" s="16"/>
      <c r="K129" s="16"/>
      <c r="L129" s="5"/>
    </row>
    <row r="130" spans="2:12" x14ac:dyDescent="0.5">
      <c r="B130" s="46" t="s">
        <v>83</v>
      </c>
      <c r="C130" s="44"/>
      <c r="D130" s="44"/>
      <c r="E130" s="48"/>
      <c r="F130" s="129">
        <v>45000</v>
      </c>
      <c r="G130" s="16">
        <f>+F132</f>
        <v>65800</v>
      </c>
      <c r="H130" s="16">
        <f>+G132</f>
        <v>123087.99027027021</v>
      </c>
      <c r="I130" s="16">
        <f t="shared" ref="I130:K130" si="37">+H132</f>
        <v>161400.68104543103</v>
      </c>
      <c r="J130" s="16">
        <f t="shared" si="37"/>
        <v>232917.5751864682</v>
      </c>
      <c r="K130" s="16">
        <f t="shared" si="37"/>
        <v>291126.28094730095</v>
      </c>
      <c r="L130" s="5"/>
    </row>
    <row r="131" spans="2:12" x14ac:dyDescent="0.5">
      <c r="B131" s="46"/>
      <c r="C131" s="44"/>
      <c r="D131" s="44"/>
      <c r="E131" s="48"/>
      <c r="F131" s="123"/>
      <c r="G131" s="16"/>
      <c r="H131" s="16"/>
      <c r="I131" s="16"/>
      <c r="J131" s="16"/>
      <c r="K131" s="16"/>
      <c r="L131" s="5"/>
    </row>
    <row r="132" spans="2:12" ht="14.7" thickBot="1" x14ac:dyDescent="0.55000000000000004">
      <c r="B132" s="46" t="s">
        <v>84</v>
      </c>
      <c r="C132" s="44"/>
      <c r="D132" s="44"/>
      <c r="E132" s="48"/>
      <c r="F132" s="131">
        <f>+F128+F130</f>
        <v>65800</v>
      </c>
      <c r="G132" s="56">
        <f>+G130+G128</f>
        <v>123087.99027027021</v>
      </c>
      <c r="H132" s="56">
        <f>+H130+H128</f>
        <v>161400.68104543103</v>
      </c>
      <c r="I132" s="56">
        <f t="shared" ref="I132:K132" si="38">+I130+I128</f>
        <v>232917.5751864682</v>
      </c>
      <c r="J132" s="56">
        <f t="shared" si="38"/>
        <v>291126.28094730095</v>
      </c>
      <c r="K132" s="56">
        <f t="shared" si="38"/>
        <v>341247.7481615062</v>
      </c>
      <c r="L132" s="5"/>
    </row>
    <row r="133" spans="2:12" ht="15" thickTop="1" thickBot="1" x14ac:dyDescent="0.55000000000000004">
      <c r="B133" s="57"/>
      <c r="C133" s="58"/>
      <c r="D133" s="58"/>
      <c r="E133" s="58"/>
      <c r="F133" s="132"/>
      <c r="G133" s="59"/>
      <c r="H133" s="59"/>
      <c r="I133" s="59"/>
      <c r="J133" s="59"/>
      <c r="K133" s="59"/>
      <c r="L133" s="31"/>
    </row>
    <row r="134" spans="2:12" x14ac:dyDescent="0.5">
      <c r="B134" s="44"/>
      <c r="C134" s="44"/>
      <c r="D134" s="44"/>
      <c r="E134" s="44"/>
      <c r="F134" s="44"/>
    </row>
  </sheetData>
  <mergeCells count="5">
    <mergeCell ref="D5:F5"/>
    <mergeCell ref="G5:K5"/>
    <mergeCell ref="G96:K96"/>
    <mergeCell ref="G47:K47"/>
    <mergeCell ref="D47:F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A8B6-2B2F-4610-82B3-C805CE303A1C}">
  <dimension ref="B1:N135"/>
  <sheetViews>
    <sheetView topLeftCell="A13" workbookViewId="0">
      <selection activeCell="H11" sqref="H11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0.76171875" bestFit="1" customWidth="1"/>
    <col min="5" max="5" width="2.703125" customWidth="1"/>
    <col min="6" max="6" width="11.46875" customWidth="1"/>
    <col min="7" max="11" width="10.41015625" customWidth="1"/>
    <col min="12" max="12" width="3.703125" customWidth="1"/>
    <col min="250" max="250" width="4.5859375" customWidth="1"/>
    <col min="251" max="251" width="2.9375" customWidth="1"/>
    <col min="252" max="252" width="1.1171875" customWidth="1"/>
    <col min="253" max="253" width="23.17578125" customWidth="1"/>
    <col min="256" max="256" width="2.05859375" customWidth="1"/>
    <col min="257" max="257" width="10.29296875" customWidth="1"/>
    <col min="258" max="258" width="2.41015625" customWidth="1"/>
    <col min="260" max="260" width="3.9375" customWidth="1"/>
    <col min="262" max="262" width="4.17578125" customWidth="1"/>
    <col min="263" max="263" width="9.5859375" customWidth="1"/>
    <col min="506" max="506" width="4.5859375" customWidth="1"/>
    <col min="507" max="507" width="2.9375" customWidth="1"/>
    <col min="508" max="508" width="1.1171875" customWidth="1"/>
    <col min="509" max="509" width="23.17578125" customWidth="1"/>
    <col min="512" max="512" width="2.05859375" customWidth="1"/>
    <col min="513" max="513" width="10.29296875" customWidth="1"/>
    <col min="514" max="514" width="2.41015625" customWidth="1"/>
    <col min="516" max="516" width="3.9375" customWidth="1"/>
    <col min="518" max="518" width="4.17578125" customWidth="1"/>
    <col min="519" max="519" width="9.5859375" customWidth="1"/>
    <col min="762" max="762" width="4.5859375" customWidth="1"/>
    <col min="763" max="763" width="2.9375" customWidth="1"/>
    <col min="764" max="764" width="1.1171875" customWidth="1"/>
    <col min="765" max="765" width="23.17578125" customWidth="1"/>
    <col min="768" max="768" width="2.05859375" customWidth="1"/>
    <col min="769" max="769" width="10.29296875" customWidth="1"/>
    <col min="770" max="770" width="2.41015625" customWidth="1"/>
    <col min="772" max="772" width="3.9375" customWidth="1"/>
    <col min="774" max="774" width="4.17578125" customWidth="1"/>
    <col min="775" max="775" width="9.5859375" customWidth="1"/>
    <col min="1018" max="1018" width="4.5859375" customWidth="1"/>
    <col min="1019" max="1019" width="2.9375" customWidth="1"/>
    <col min="1020" max="1020" width="1.1171875" customWidth="1"/>
    <col min="1021" max="1021" width="23.17578125" customWidth="1"/>
    <col min="1024" max="1024" width="2.05859375" customWidth="1"/>
    <col min="1025" max="1025" width="10.29296875" customWidth="1"/>
    <col min="1026" max="1026" width="2.41015625" customWidth="1"/>
    <col min="1028" max="1028" width="3.9375" customWidth="1"/>
    <col min="1030" max="1030" width="4.17578125" customWidth="1"/>
    <col min="1031" max="1031" width="9.5859375" customWidth="1"/>
    <col min="1274" max="1274" width="4.5859375" customWidth="1"/>
    <col min="1275" max="1275" width="2.9375" customWidth="1"/>
    <col min="1276" max="1276" width="1.1171875" customWidth="1"/>
    <col min="1277" max="1277" width="23.17578125" customWidth="1"/>
    <col min="1280" max="1280" width="2.05859375" customWidth="1"/>
    <col min="1281" max="1281" width="10.29296875" customWidth="1"/>
    <col min="1282" max="1282" width="2.41015625" customWidth="1"/>
    <col min="1284" max="1284" width="3.9375" customWidth="1"/>
    <col min="1286" max="1286" width="4.17578125" customWidth="1"/>
    <col min="1287" max="1287" width="9.5859375" customWidth="1"/>
    <col min="1530" max="1530" width="4.5859375" customWidth="1"/>
    <col min="1531" max="1531" width="2.9375" customWidth="1"/>
    <col min="1532" max="1532" width="1.1171875" customWidth="1"/>
    <col min="1533" max="1533" width="23.17578125" customWidth="1"/>
    <col min="1536" max="1536" width="2.05859375" customWidth="1"/>
    <col min="1537" max="1537" width="10.29296875" customWidth="1"/>
    <col min="1538" max="1538" width="2.41015625" customWidth="1"/>
    <col min="1540" max="1540" width="3.9375" customWidth="1"/>
    <col min="1542" max="1542" width="4.17578125" customWidth="1"/>
    <col min="1543" max="1543" width="9.5859375" customWidth="1"/>
    <col min="1786" max="1786" width="4.5859375" customWidth="1"/>
    <col min="1787" max="1787" width="2.9375" customWidth="1"/>
    <col min="1788" max="1788" width="1.1171875" customWidth="1"/>
    <col min="1789" max="1789" width="23.17578125" customWidth="1"/>
    <col min="1792" max="1792" width="2.05859375" customWidth="1"/>
    <col min="1793" max="1793" width="10.29296875" customWidth="1"/>
    <col min="1794" max="1794" width="2.41015625" customWidth="1"/>
    <col min="1796" max="1796" width="3.9375" customWidth="1"/>
    <col min="1798" max="1798" width="4.17578125" customWidth="1"/>
    <col min="1799" max="1799" width="9.5859375" customWidth="1"/>
    <col min="2042" max="2042" width="4.5859375" customWidth="1"/>
    <col min="2043" max="2043" width="2.9375" customWidth="1"/>
    <col min="2044" max="2044" width="1.1171875" customWidth="1"/>
    <col min="2045" max="2045" width="23.17578125" customWidth="1"/>
    <col min="2048" max="2048" width="2.05859375" customWidth="1"/>
    <col min="2049" max="2049" width="10.29296875" customWidth="1"/>
    <col min="2050" max="2050" width="2.41015625" customWidth="1"/>
    <col min="2052" max="2052" width="3.9375" customWidth="1"/>
    <col min="2054" max="2054" width="4.17578125" customWidth="1"/>
    <col min="2055" max="2055" width="9.5859375" customWidth="1"/>
    <col min="2298" max="2298" width="4.5859375" customWidth="1"/>
    <col min="2299" max="2299" width="2.9375" customWidth="1"/>
    <col min="2300" max="2300" width="1.1171875" customWidth="1"/>
    <col min="2301" max="2301" width="23.17578125" customWidth="1"/>
    <col min="2304" max="2304" width="2.05859375" customWidth="1"/>
    <col min="2305" max="2305" width="10.29296875" customWidth="1"/>
    <col min="2306" max="2306" width="2.41015625" customWidth="1"/>
    <col min="2308" max="2308" width="3.9375" customWidth="1"/>
    <col min="2310" max="2310" width="4.17578125" customWidth="1"/>
    <col min="2311" max="2311" width="9.5859375" customWidth="1"/>
    <col min="2554" max="2554" width="4.5859375" customWidth="1"/>
    <col min="2555" max="2555" width="2.9375" customWidth="1"/>
    <col min="2556" max="2556" width="1.1171875" customWidth="1"/>
    <col min="2557" max="2557" width="23.17578125" customWidth="1"/>
    <col min="2560" max="2560" width="2.05859375" customWidth="1"/>
    <col min="2561" max="2561" width="10.29296875" customWidth="1"/>
    <col min="2562" max="2562" width="2.41015625" customWidth="1"/>
    <col min="2564" max="2564" width="3.9375" customWidth="1"/>
    <col min="2566" max="2566" width="4.17578125" customWidth="1"/>
    <col min="2567" max="2567" width="9.5859375" customWidth="1"/>
    <col min="2810" max="2810" width="4.5859375" customWidth="1"/>
    <col min="2811" max="2811" width="2.9375" customWidth="1"/>
    <col min="2812" max="2812" width="1.1171875" customWidth="1"/>
    <col min="2813" max="2813" width="23.17578125" customWidth="1"/>
    <col min="2816" max="2816" width="2.05859375" customWidth="1"/>
    <col min="2817" max="2817" width="10.29296875" customWidth="1"/>
    <col min="2818" max="2818" width="2.41015625" customWidth="1"/>
    <col min="2820" max="2820" width="3.9375" customWidth="1"/>
    <col min="2822" max="2822" width="4.17578125" customWidth="1"/>
    <col min="2823" max="2823" width="9.5859375" customWidth="1"/>
    <col min="3066" max="3066" width="4.5859375" customWidth="1"/>
    <col min="3067" max="3067" width="2.9375" customWidth="1"/>
    <col min="3068" max="3068" width="1.1171875" customWidth="1"/>
    <col min="3069" max="3069" width="23.17578125" customWidth="1"/>
    <col min="3072" max="3072" width="2.05859375" customWidth="1"/>
    <col min="3073" max="3073" width="10.29296875" customWidth="1"/>
    <col min="3074" max="3074" width="2.41015625" customWidth="1"/>
    <col min="3076" max="3076" width="3.9375" customWidth="1"/>
    <col min="3078" max="3078" width="4.17578125" customWidth="1"/>
    <col min="3079" max="3079" width="9.5859375" customWidth="1"/>
    <col min="3322" max="3322" width="4.5859375" customWidth="1"/>
    <col min="3323" max="3323" width="2.9375" customWidth="1"/>
    <col min="3324" max="3324" width="1.1171875" customWidth="1"/>
    <col min="3325" max="3325" width="23.17578125" customWidth="1"/>
    <col min="3328" max="3328" width="2.05859375" customWidth="1"/>
    <col min="3329" max="3329" width="10.29296875" customWidth="1"/>
    <col min="3330" max="3330" width="2.41015625" customWidth="1"/>
    <col min="3332" max="3332" width="3.9375" customWidth="1"/>
    <col min="3334" max="3334" width="4.17578125" customWidth="1"/>
    <col min="3335" max="3335" width="9.5859375" customWidth="1"/>
    <col min="3578" max="3578" width="4.5859375" customWidth="1"/>
    <col min="3579" max="3579" width="2.9375" customWidth="1"/>
    <col min="3580" max="3580" width="1.1171875" customWidth="1"/>
    <col min="3581" max="3581" width="23.17578125" customWidth="1"/>
    <col min="3584" max="3584" width="2.05859375" customWidth="1"/>
    <col min="3585" max="3585" width="10.29296875" customWidth="1"/>
    <col min="3586" max="3586" width="2.41015625" customWidth="1"/>
    <col min="3588" max="3588" width="3.9375" customWidth="1"/>
    <col min="3590" max="3590" width="4.17578125" customWidth="1"/>
    <col min="3591" max="3591" width="9.5859375" customWidth="1"/>
    <col min="3834" max="3834" width="4.5859375" customWidth="1"/>
    <col min="3835" max="3835" width="2.9375" customWidth="1"/>
    <col min="3836" max="3836" width="1.1171875" customWidth="1"/>
    <col min="3837" max="3837" width="23.17578125" customWidth="1"/>
    <col min="3840" max="3840" width="2.05859375" customWidth="1"/>
    <col min="3841" max="3841" width="10.29296875" customWidth="1"/>
    <col min="3842" max="3842" width="2.41015625" customWidth="1"/>
    <col min="3844" max="3844" width="3.9375" customWidth="1"/>
    <col min="3846" max="3846" width="4.17578125" customWidth="1"/>
    <col min="3847" max="3847" width="9.5859375" customWidth="1"/>
    <col min="4090" max="4090" width="4.5859375" customWidth="1"/>
    <col min="4091" max="4091" width="2.9375" customWidth="1"/>
    <col min="4092" max="4092" width="1.1171875" customWidth="1"/>
    <col min="4093" max="4093" width="23.17578125" customWidth="1"/>
    <col min="4096" max="4096" width="2.05859375" customWidth="1"/>
    <col min="4097" max="4097" width="10.29296875" customWidth="1"/>
    <col min="4098" max="4098" width="2.41015625" customWidth="1"/>
    <col min="4100" max="4100" width="3.9375" customWidth="1"/>
    <col min="4102" max="4102" width="4.17578125" customWidth="1"/>
    <col min="4103" max="4103" width="9.5859375" customWidth="1"/>
    <col min="4346" max="4346" width="4.5859375" customWidth="1"/>
    <col min="4347" max="4347" width="2.9375" customWidth="1"/>
    <col min="4348" max="4348" width="1.1171875" customWidth="1"/>
    <col min="4349" max="4349" width="23.17578125" customWidth="1"/>
    <col min="4352" max="4352" width="2.05859375" customWidth="1"/>
    <col min="4353" max="4353" width="10.29296875" customWidth="1"/>
    <col min="4354" max="4354" width="2.41015625" customWidth="1"/>
    <col min="4356" max="4356" width="3.9375" customWidth="1"/>
    <col min="4358" max="4358" width="4.17578125" customWidth="1"/>
    <col min="4359" max="4359" width="9.5859375" customWidth="1"/>
    <col min="4602" max="4602" width="4.5859375" customWidth="1"/>
    <col min="4603" max="4603" width="2.9375" customWidth="1"/>
    <col min="4604" max="4604" width="1.1171875" customWidth="1"/>
    <col min="4605" max="4605" width="23.17578125" customWidth="1"/>
    <col min="4608" max="4608" width="2.05859375" customWidth="1"/>
    <col min="4609" max="4609" width="10.29296875" customWidth="1"/>
    <col min="4610" max="4610" width="2.41015625" customWidth="1"/>
    <col min="4612" max="4612" width="3.9375" customWidth="1"/>
    <col min="4614" max="4614" width="4.17578125" customWidth="1"/>
    <col min="4615" max="4615" width="9.5859375" customWidth="1"/>
    <col min="4858" max="4858" width="4.5859375" customWidth="1"/>
    <col min="4859" max="4859" width="2.9375" customWidth="1"/>
    <col min="4860" max="4860" width="1.1171875" customWidth="1"/>
    <col min="4861" max="4861" width="23.17578125" customWidth="1"/>
    <col min="4864" max="4864" width="2.05859375" customWidth="1"/>
    <col min="4865" max="4865" width="10.29296875" customWidth="1"/>
    <col min="4866" max="4866" width="2.41015625" customWidth="1"/>
    <col min="4868" max="4868" width="3.9375" customWidth="1"/>
    <col min="4870" max="4870" width="4.17578125" customWidth="1"/>
    <col min="4871" max="4871" width="9.5859375" customWidth="1"/>
    <col min="5114" max="5114" width="4.5859375" customWidth="1"/>
    <col min="5115" max="5115" width="2.9375" customWidth="1"/>
    <col min="5116" max="5116" width="1.1171875" customWidth="1"/>
    <col min="5117" max="5117" width="23.17578125" customWidth="1"/>
    <col min="5120" max="5120" width="2.05859375" customWidth="1"/>
    <col min="5121" max="5121" width="10.29296875" customWidth="1"/>
    <col min="5122" max="5122" width="2.41015625" customWidth="1"/>
    <col min="5124" max="5124" width="3.9375" customWidth="1"/>
    <col min="5126" max="5126" width="4.17578125" customWidth="1"/>
    <col min="5127" max="5127" width="9.5859375" customWidth="1"/>
    <col min="5370" max="5370" width="4.5859375" customWidth="1"/>
    <col min="5371" max="5371" width="2.9375" customWidth="1"/>
    <col min="5372" max="5372" width="1.1171875" customWidth="1"/>
    <col min="5373" max="5373" width="23.17578125" customWidth="1"/>
    <col min="5376" max="5376" width="2.05859375" customWidth="1"/>
    <col min="5377" max="5377" width="10.29296875" customWidth="1"/>
    <col min="5378" max="5378" width="2.41015625" customWidth="1"/>
    <col min="5380" max="5380" width="3.9375" customWidth="1"/>
    <col min="5382" max="5382" width="4.17578125" customWidth="1"/>
    <col min="5383" max="5383" width="9.5859375" customWidth="1"/>
    <col min="5626" max="5626" width="4.5859375" customWidth="1"/>
    <col min="5627" max="5627" width="2.9375" customWidth="1"/>
    <col min="5628" max="5628" width="1.1171875" customWidth="1"/>
    <col min="5629" max="5629" width="23.17578125" customWidth="1"/>
    <col min="5632" max="5632" width="2.05859375" customWidth="1"/>
    <col min="5633" max="5633" width="10.29296875" customWidth="1"/>
    <col min="5634" max="5634" width="2.41015625" customWidth="1"/>
    <col min="5636" max="5636" width="3.9375" customWidth="1"/>
    <col min="5638" max="5638" width="4.17578125" customWidth="1"/>
    <col min="5639" max="5639" width="9.5859375" customWidth="1"/>
    <col min="5882" max="5882" width="4.5859375" customWidth="1"/>
    <col min="5883" max="5883" width="2.9375" customWidth="1"/>
    <col min="5884" max="5884" width="1.1171875" customWidth="1"/>
    <col min="5885" max="5885" width="23.17578125" customWidth="1"/>
    <col min="5888" max="5888" width="2.05859375" customWidth="1"/>
    <col min="5889" max="5889" width="10.29296875" customWidth="1"/>
    <col min="5890" max="5890" width="2.41015625" customWidth="1"/>
    <col min="5892" max="5892" width="3.9375" customWidth="1"/>
    <col min="5894" max="5894" width="4.17578125" customWidth="1"/>
    <col min="5895" max="5895" width="9.5859375" customWidth="1"/>
    <col min="6138" max="6138" width="4.5859375" customWidth="1"/>
    <col min="6139" max="6139" width="2.9375" customWidth="1"/>
    <col min="6140" max="6140" width="1.1171875" customWidth="1"/>
    <col min="6141" max="6141" width="23.17578125" customWidth="1"/>
    <col min="6144" max="6144" width="2.05859375" customWidth="1"/>
    <col min="6145" max="6145" width="10.29296875" customWidth="1"/>
    <col min="6146" max="6146" width="2.41015625" customWidth="1"/>
    <col min="6148" max="6148" width="3.9375" customWidth="1"/>
    <col min="6150" max="6150" width="4.17578125" customWidth="1"/>
    <col min="6151" max="6151" width="9.5859375" customWidth="1"/>
    <col min="6394" max="6394" width="4.5859375" customWidth="1"/>
    <col min="6395" max="6395" width="2.9375" customWidth="1"/>
    <col min="6396" max="6396" width="1.1171875" customWidth="1"/>
    <col min="6397" max="6397" width="23.17578125" customWidth="1"/>
    <col min="6400" max="6400" width="2.05859375" customWidth="1"/>
    <col min="6401" max="6401" width="10.29296875" customWidth="1"/>
    <col min="6402" max="6402" width="2.41015625" customWidth="1"/>
    <col min="6404" max="6404" width="3.9375" customWidth="1"/>
    <col min="6406" max="6406" width="4.17578125" customWidth="1"/>
    <col min="6407" max="6407" width="9.5859375" customWidth="1"/>
    <col min="6650" max="6650" width="4.5859375" customWidth="1"/>
    <col min="6651" max="6651" width="2.9375" customWidth="1"/>
    <col min="6652" max="6652" width="1.1171875" customWidth="1"/>
    <col min="6653" max="6653" width="23.17578125" customWidth="1"/>
    <col min="6656" max="6656" width="2.05859375" customWidth="1"/>
    <col min="6657" max="6657" width="10.29296875" customWidth="1"/>
    <col min="6658" max="6658" width="2.41015625" customWidth="1"/>
    <col min="6660" max="6660" width="3.9375" customWidth="1"/>
    <col min="6662" max="6662" width="4.17578125" customWidth="1"/>
    <col min="6663" max="6663" width="9.5859375" customWidth="1"/>
    <col min="6906" max="6906" width="4.5859375" customWidth="1"/>
    <col min="6907" max="6907" width="2.9375" customWidth="1"/>
    <col min="6908" max="6908" width="1.1171875" customWidth="1"/>
    <col min="6909" max="6909" width="23.17578125" customWidth="1"/>
    <col min="6912" max="6912" width="2.05859375" customWidth="1"/>
    <col min="6913" max="6913" width="10.29296875" customWidth="1"/>
    <col min="6914" max="6914" width="2.41015625" customWidth="1"/>
    <col min="6916" max="6916" width="3.9375" customWidth="1"/>
    <col min="6918" max="6918" width="4.17578125" customWidth="1"/>
    <col min="6919" max="6919" width="9.5859375" customWidth="1"/>
    <col min="7162" max="7162" width="4.5859375" customWidth="1"/>
    <col min="7163" max="7163" width="2.9375" customWidth="1"/>
    <col min="7164" max="7164" width="1.1171875" customWidth="1"/>
    <col min="7165" max="7165" width="23.17578125" customWidth="1"/>
    <col min="7168" max="7168" width="2.05859375" customWidth="1"/>
    <col min="7169" max="7169" width="10.29296875" customWidth="1"/>
    <col min="7170" max="7170" width="2.41015625" customWidth="1"/>
    <col min="7172" max="7172" width="3.9375" customWidth="1"/>
    <col min="7174" max="7174" width="4.17578125" customWidth="1"/>
    <col min="7175" max="7175" width="9.5859375" customWidth="1"/>
    <col min="7418" max="7418" width="4.5859375" customWidth="1"/>
    <col min="7419" max="7419" width="2.9375" customWidth="1"/>
    <col min="7420" max="7420" width="1.1171875" customWidth="1"/>
    <col min="7421" max="7421" width="23.17578125" customWidth="1"/>
    <col min="7424" max="7424" width="2.05859375" customWidth="1"/>
    <col min="7425" max="7425" width="10.29296875" customWidth="1"/>
    <col min="7426" max="7426" width="2.41015625" customWidth="1"/>
    <col min="7428" max="7428" width="3.9375" customWidth="1"/>
    <col min="7430" max="7430" width="4.17578125" customWidth="1"/>
    <col min="7431" max="7431" width="9.5859375" customWidth="1"/>
    <col min="7674" max="7674" width="4.5859375" customWidth="1"/>
    <col min="7675" max="7675" width="2.9375" customWidth="1"/>
    <col min="7676" max="7676" width="1.1171875" customWidth="1"/>
    <col min="7677" max="7677" width="23.17578125" customWidth="1"/>
    <col min="7680" max="7680" width="2.05859375" customWidth="1"/>
    <col min="7681" max="7681" width="10.29296875" customWidth="1"/>
    <col min="7682" max="7682" width="2.41015625" customWidth="1"/>
    <col min="7684" max="7684" width="3.9375" customWidth="1"/>
    <col min="7686" max="7686" width="4.17578125" customWidth="1"/>
    <col min="7687" max="7687" width="9.5859375" customWidth="1"/>
    <col min="7930" max="7930" width="4.5859375" customWidth="1"/>
    <col min="7931" max="7931" width="2.9375" customWidth="1"/>
    <col min="7932" max="7932" width="1.1171875" customWidth="1"/>
    <col min="7933" max="7933" width="23.17578125" customWidth="1"/>
    <col min="7936" max="7936" width="2.05859375" customWidth="1"/>
    <col min="7937" max="7937" width="10.29296875" customWidth="1"/>
    <col min="7938" max="7938" width="2.41015625" customWidth="1"/>
    <col min="7940" max="7940" width="3.9375" customWidth="1"/>
    <col min="7942" max="7942" width="4.17578125" customWidth="1"/>
    <col min="7943" max="7943" width="9.5859375" customWidth="1"/>
    <col min="8186" max="8186" width="4.5859375" customWidth="1"/>
    <col min="8187" max="8187" width="2.9375" customWidth="1"/>
    <col min="8188" max="8188" width="1.1171875" customWidth="1"/>
    <col min="8189" max="8189" width="23.17578125" customWidth="1"/>
    <col min="8192" max="8192" width="2.05859375" customWidth="1"/>
    <col min="8193" max="8193" width="10.29296875" customWidth="1"/>
    <col min="8194" max="8194" width="2.41015625" customWidth="1"/>
    <col min="8196" max="8196" width="3.9375" customWidth="1"/>
    <col min="8198" max="8198" width="4.17578125" customWidth="1"/>
    <col min="8199" max="8199" width="9.5859375" customWidth="1"/>
    <col min="8442" max="8442" width="4.5859375" customWidth="1"/>
    <col min="8443" max="8443" width="2.9375" customWidth="1"/>
    <col min="8444" max="8444" width="1.1171875" customWidth="1"/>
    <col min="8445" max="8445" width="23.17578125" customWidth="1"/>
    <col min="8448" max="8448" width="2.05859375" customWidth="1"/>
    <col min="8449" max="8449" width="10.29296875" customWidth="1"/>
    <col min="8450" max="8450" width="2.41015625" customWidth="1"/>
    <col min="8452" max="8452" width="3.9375" customWidth="1"/>
    <col min="8454" max="8454" width="4.17578125" customWidth="1"/>
    <col min="8455" max="8455" width="9.5859375" customWidth="1"/>
    <col min="8698" max="8698" width="4.5859375" customWidth="1"/>
    <col min="8699" max="8699" width="2.9375" customWidth="1"/>
    <col min="8700" max="8700" width="1.1171875" customWidth="1"/>
    <col min="8701" max="8701" width="23.17578125" customWidth="1"/>
    <col min="8704" max="8704" width="2.05859375" customWidth="1"/>
    <col min="8705" max="8705" width="10.29296875" customWidth="1"/>
    <col min="8706" max="8706" width="2.41015625" customWidth="1"/>
    <col min="8708" max="8708" width="3.9375" customWidth="1"/>
    <col min="8710" max="8710" width="4.17578125" customWidth="1"/>
    <col min="8711" max="8711" width="9.5859375" customWidth="1"/>
    <col min="8954" max="8954" width="4.5859375" customWidth="1"/>
    <col min="8955" max="8955" width="2.9375" customWidth="1"/>
    <col min="8956" max="8956" width="1.1171875" customWidth="1"/>
    <col min="8957" max="8957" width="23.17578125" customWidth="1"/>
    <col min="8960" max="8960" width="2.05859375" customWidth="1"/>
    <col min="8961" max="8961" width="10.29296875" customWidth="1"/>
    <col min="8962" max="8962" width="2.41015625" customWidth="1"/>
    <col min="8964" max="8964" width="3.9375" customWidth="1"/>
    <col min="8966" max="8966" width="4.17578125" customWidth="1"/>
    <col min="8967" max="8967" width="9.5859375" customWidth="1"/>
    <col min="9210" max="9210" width="4.5859375" customWidth="1"/>
    <col min="9211" max="9211" width="2.9375" customWidth="1"/>
    <col min="9212" max="9212" width="1.1171875" customWidth="1"/>
    <col min="9213" max="9213" width="23.17578125" customWidth="1"/>
    <col min="9216" max="9216" width="2.05859375" customWidth="1"/>
    <col min="9217" max="9217" width="10.29296875" customWidth="1"/>
    <col min="9218" max="9218" width="2.41015625" customWidth="1"/>
    <col min="9220" max="9220" width="3.9375" customWidth="1"/>
    <col min="9222" max="9222" width="4.17578125" customWidth="1"/>
    <col min="9223" max="9223" width="9.5859375" customWidth="1"/>
    <col min="9466" max="9466" width="4.5859375" customWidth="1"/>
    <col min="9467" max="9467" width="2.9375" customWidth="1"/>
    <col min="9468" max="9468" width="1.1171875" customWidth="1"/>
    <col min="9469" max="9469" width="23.17578125" customWidth="1"/>
    <col min="9472" max="9472" width="2.05859375" customWidth="1"/>
    <col min="9473" max="9473" width="10.29296875" customWidth="1"/>
    <col min="9474" max="9474" width="2.41015625" customWidth="1"/>
    <col min="9476" max="9476" width="3.9375" customWidth="1"/>
    <col min="9478" max="9478" width="4.17578125" customWidth="1"/>
    <col min="9479" max="9479" width="9.5859375" customWidth="1"/>
    <col min="9722" max="9722" width="4.5859375" customWidth="1"/>
    <col min="9723" max="9723" width="2.9375" customWidth="1"/>
    <col min="9724" max="9724" width="1.1171875" customWidth="1"/>
    <col min="9725" max="9725" width="23.17578125" customWidth="1"/>
    <col min="9728" max="9728" width="2.05859375" customWidth="1"/>
    <col min="9729" max="9729" width="10.29296875" customWidth="1"/>
    <col min="9730" max="9730" width="2.41015625" customWidth="1"/>
    <col min="9732" max="9732" width="3.9375" customWidth="1"/>
    <col min="9734" max="9734" width="4.17578125" customWidth="1"/>
    <col min="9735" max="9735" width="9.5859375" customWidth="1"/>
    <col min="9978" max="9978" width="4.5859375" customWidth="1"/>
    <col min="9979" max="9979" width="2.9375" customWidth="1"/>
    <col min="9980" max="9980" width="1.1171875" customWidth="1"/>
    <col min="9981" max="9981" width="23.17578125" customWidth="1"/>
    <col min="9984" max="9984" width="2.05859375" customWidth="1"/>
    <col min="9985" max="9985" width="10.29296875" customWidth="1"/>
    <col min="9986" max="9986" width="2.41015625" customWidth="1"/>
    <col min="9988" max="9988" width="3.9375" customWidth="1"/>
    <col min="9990" max="9990" width="4.17578125" customWidth="1"/>
    <col min="9991" max="9991" width="9.5859375" customWidth="1"/>
    <col min="10234" max="10234" width="4.5859375" customWidth="1"/>
    <col min="10235" max="10235" width="2.9375" customWidth="1"/>
    <col min="10236" max="10236" width="1.1171875" customWidth="1"/>
    <col min="10237" max="10237" width="23.17578125" customWidth="1"/>
    <col min="10240" max="10240" width="2.05859375" customWidth="1"/>
    <col min="10241" max="10241" width="10.29296875" customWidth="1"/>
    <col min="10242" max="10242" width="2.41015625" customWidth="1"/>
    <col min="10244" max="10244" width="3.9375" customWidth="1"/>
    <col min="10246" max="10246" width="4.17578125" customWidth="1"/>
    <col min="10247" max="10247" width="9.5859375" customWidth="1"/>
    <col min="10490" max="10490" width="4.5859375" customWidth="1"/>
    <col min="10491" max="10491" width="2.9375" customWidth="1"/>
    <col min="10492" max="10492" width="1.1171875" customWidth="1"/>
    <col min="10493" max="10493" width="23.17578125" customWidth="1"/>
    <col min="10496" max="10496" width="2.05859375" customWidth="1"/>
    <col min="10497" max="10497" width="10.29296875" customWidth="1"/>
    <col min="10498" max="10498" width="2.41015625" customWidth="1"/>
    <col min="10500" max="10500" width="3.9375" customWidth="1"/>
    <col min="10502" max="10502" width="4.17578125" customWidth="1"/>
    <col min="10503" max="10503" width="9.5859375" customWidth="1"/>
    <col min="10746" max="10746" width="4.5859375" customWidth="1"/>
    <col min="10747" max="10747" width="2.9375" customWidth="1"/>
    <col min="10748" max="10748" width="1.1171875" customWidth="1"/>
    <col min="10749" max="10749" width="23.17578125" customWidth="1"/>
    <col min="10752" max="10752" width="2.05859375" customWidth="1"/>
    <col min="10753" max="10753" width="10.29296875" customWidth="1"/>
    <col min="10754" max="10754" width="2.41015625" customWidth="1"/>
    <col min="10756" max="10756" width="3.9375" customWidth="1"/>
    <col min="10758" max="10758" width="4.17578125" customWidth="1"/>
    <col min="10759" max="10759" width="9.5859375" customWidth="1"/>
    <col min="11002" max="11002" width="4.5859375" customWidth="1"/>
    <col min="11003" max="11003" width="2.9375" customWidth="1"/>
    <col min="11004" max="11004" width="1.1171875" customWidth="1"/>
    <col min="11005" max="11005" width="23.17578125" customWidth="1"/>
    <col min="11008" max="11008" width="2.05859375" customWidth="1"/>
    <col min="11009" max="11009" width="10.29296875" customWidth="1"/>
    <col min="11010" max="11010" width="2.41015625" customWidth="1"/>
    <col min="11012" max="11012" width="3.9375" customWidth="1"/>
    <col min="11014" max="11014" width="4.17578125" customWidth="1"/>
    <col min="11015" max="11015" width="9.5859375" customWidth="1"/>
    <col min="11258" max="11258" width="4.5859375" customWidth="1"/>
    <col min="11259" max="11259" width="2.9375" customWidth="1"/>
    <col min="11260" max="11260" width="1.1171875" customWidth="1"/>
    <col min="11261" max="11261" width="23.17578125" customWidth="1"/>
    <col min="11264" max="11264" width="2.05859375" customWidth="1"/>
    <col min="11265" max="11265" width="10.29296875" customWidth="1"/>
    <col min="11266" max="11266" width="2.41015625" customWidth="1"/>
    <col min="11268" max="11268" width="3.9375" customWidth="1"/>
    <col min="11270" max="11270" width="4.17578125" customWidth="1"/>
    <col min="11271" max="11271" width="9.5859375" customWidth="1"/>
    <col min="11514" max="11514" width="4.5859375" customWidth="1"/>
    <col min="11515" max="11515" width="2.9375" customWidth="1"/>
    <col min="11516" max="11516" width="1.1171875" customWidth="1"/>
    <col min="11517" max="11517" width="23.17578125" customWidth="1"/>
    <col min="11520" max="11520" width="2.05859375" customWidth="1"/>
    <col min="11521" max="11521" width="10.29296875" customWidth="1"/>
    <col min="11522" max="11522" width="2.41015625" customWidth="1"/>
    <col min="11524" max="11524" width="3.9375" customWidth="1"/>
    <col min="11526" max="11526" width="4.17578125" customWidth="1"/>
    <col min="11527" max="11527" width="9.5859375" customWidth="1"/>
    <col min="11770" max="11770" width="4.5859375" customWidth="1"/>
    <col min="11771" max="11771" width="2.9375" customWidth="1"/>
    <col min="11772" max="11772" width="1.1171875" customWidth="1"/>
    <col min="11773" max="11773" width="23.17578125" customWidth="1"/>
    <col min="11776" max="11776" width="2.05859375" customWidth="1"/>
    <col min="11777" max="11777" width="10.29296875" customWidth="1"/>
    <col min="11778" max="11778" width="2.41015625" customWidth="1"/>
    <col min="11780" max="11780" width="3.9375" customWidth="1"/>
    <col min="11782" max="11782" width="4.17578125" customWidth="1"/>
    <col min="11783" max="11783" width="9.5859375" customWidth="1"/>
    <col min="12026" max="12026" width="4.5859375" customWidth="1"/>
    <col min="12027" max="12027" width="2.9375" customWidth="1"/>
    <col min="12028" max="12028" width="1.1171875" customWidth="1"/>
    <col min="12029" max="12029" width="23.17578125" customWidth="1"/>
    <col min="12032" max="12032" width="2.05859375" customWidth="1"/>
    <col min="12033" max="12033" width="10.29296875" customWidth="1"/>
    <col min="12034" max="12034" width="2.41015625" customWidth="1"/>
    <col min="12036" max="12036" width="3.9375" customWidth="1"/>
    <col min="12038" max="12038" width="4.17578125" customWidth="1"/>
    <col min="12039" max="12039" width="9.5859375" customWidth="1"/>
    <col min="12282" max="12282" width="4.5859375" customWidth="1"/>
    <col min="12283" max="12283" width="2.9375" customWidth="1"/>
    <col min="12284" max="12284" width="1.1171875" customWidth="1"/>
    <col min="12285" max="12285" width="23.17578125" customWidth="1"/>
    <col min="12288" max="12288" width="2.05859375" customWidth="1"/>
    <col min="12289" max="12289" width="10.29296875" customWidth="1"/>
    <col min="12290" max="12290" width="2.41015625" customWidth="1"/>
    <col min="12292" max="12292" width="3.9375" customWidth="1"/>
    <col min="12294" max="12294" width="4.17578125" customWidth="1"/>
    <col min="12295" max="12295" width="9.5859375" customWidth="1"/>
    <col min="12538" max="12538" width="4.5859375" customWidth="1"/>
    <col min="12539" max="12539" width="2.9375" customWidth="1"/>
    <col min="12540" max="12540" width="1.1171875" customWidth="1"/>
    <col min="12541" max="12541" width="23.17578125" customWidth="1"/>
    <col min="12544" max="12544" width="2.05859375" customWidth="1"/>
    <col min="12545" max="12545" width="10.29296875" customWidth="1"/>
    <col min="12546" max="12546" width="2.41015625" customWidth="1"/>
    <col min="12548" max="12548" width="3.9375" customWidth="1"/>
    <col min="12550" max="12550" width="4.17578125" customWidth="1"/>
    <col min="12551" max="12551" width="9.5859375" customWidth="1"/>
    <col min="12794" max="12794" width="4.5859375" customWidth="1"/>
    <col min="12795" max="12795" width="2.9375" customWidth="1"/>
    <col min="12796" max="12796" width="1.1171875" customWidth="1"/>
    <col min="12797" max="12797" width="23.17578125" customWidth="1"/>
    <col min="12800" max="12800" width="2.05859375" customWidth="1"/>
    <col min="12801" max="12801" width="10.29296875" customWidth="1"/>
    <col min="12802" max="12802" width="2.41015625" customWidth="1"/>
    <col min="12804" max="12804" width="3.9375" customWidth="1"/>
    <col min="12806" max="12806" width="4.17578125" customWidth="1"/>
    <col min="12807" max="12807" width="9.5859375" customWidth="1"/>
    <col min="13050" max="13050" width="4.5859375" customWidth="1"/>
    <col min="13051" max="13051" width="2.9375" customWidth="1"/>
    <col min="13052" max="13052" width="1.1171875" customWidth="1"/>
    <col min="13053" max="13053" width="23.17578125" customWidth="1"/>
    <col min="13056" max="13056" width="2.05859375" customWidth="1"/>
    <col min="13057" max="13057" width="10.29296875" customWidth="1"/>
    <col min="13058" max="13058" width="2.41015625" customWidth="1"/>
    <col min="13060" max="13060" width="3.9375" customWidth="1"/>
    <col min="13062" max="13062" width="4.17578125" customWidth="1"/>
    <col min="13063" max="13063" width="9.5859375" customWidth="1"/>
    <col min="13306" max="13306" width="4.5859375" customWidth="1"/>
    <col min="13307" max="13307" width="2.9375" customWidth="1"/>
    <col min="13308" max="13308" width="1.1171875" customWidth="1"/>
    <col min="13309" max="13309" width="23.17578125" customWidth="1"/>
    <col min="13312" max="13312" width="2.05859375" customWidth="1"/>
    <col min="13313" max="13313" width="10.29296875" customWidth="1"/>
    <col min="13314" max="13314" width="2.41015625" customWidth="1"/>
    <col min="13316" max="13316" width="3.9375" customWidth="1"/>
    <col min="13318" max="13318" width="4.17578125" customWidth="1"/>
    <col min="13319" max="13319" width="9.5859375" customWidth="1"/>
    <col min="13562" max="13562" width="4.5859375" customWidth="1"/>
    <col min="13563" max="13563" width="2.9375" customWidth="1"/>
    <col min="13564" max="13564" width="1.1171875" customWidth="1"/>
    <col min="13565" max="13565" width="23.17578125" customWidth="1"/>
    <col min="13568" max="13568" width="2.05859375" customWidth="1"/>
    <col min="13569" max="13569" width="10.29296875" customWidth="1"/>
    <col min="13570" max="13570" width="2.41015625" customWidth="1"/>
    <col min="13572" max="13572" width="3.9375" customWidth="1"/>
    <col min="13574" max="13574" width="4.17578125" customWidth="1"/>
    <col min="13575" max="13575" width="9.5859375" customWidth="1"/>
    <col min="13818" max="13818" width="4.5859375" customWidth="1"/>
    <col min="13819" max="13819" width="2.9375" customWidth="1"/>
    <col min="13820" max="13820" width="1.1171875" customWidth="1"/>
    <col min="13821" max="13821" width="23.17578125" customWidth="1"/>
    <col min="13824" max="13824" width="2.05859375" customWidth="1"/>
    <col min="13825" max="13825" width="10.29296875" customWidth="1"/>
    <col min="13826" max="13826" width="2.41015625" customWidth="1"/>
    <col min="13828" max="13828" width="3.9375" customWidth="1"/>
    <col min="13830" max="13830" width="4.17578125" customWidth="1"/>
    <col min="13831" max="13831" width="9.5859375" customWidth="1"/>
    <col min="14074" max="14074" width="4.5859375" customWidth="1"/>
    <col min="14075" max="14075" width="2.9375" customWidth="1"/>
    <col min="14076" max="14076" width="1.1171875" customWidth="1"/>
    <col min="14077" max="14077" width="23.17578125" customWidth="1"/>
    <col min="14080" max="14080" width="2.05859375" customWidth="1"/>
    <col min="14081" max="14081" width="10.29296875" customWidth="1"/>
    <col min="14082" max="14082" width="2.41015625" customWidth="1"/>
    <col min="14084" max="14084" width="3.9375" customWidth="1"/>
    <col min="14086" max="14086" width="4.17578125" customWidth="1"/>
    <col min="14087" max="14087" width="9.5859375" customWidth="1"/>
    <col min="14330" max="14330" width="4.5859375" customWidth="1"/>
    <col min="14331" max="14331" width="2.9375" customWidth="1"/>
    <col min="14332" max="14332" width="1.1171875" customWidth="1"/>
    <col min="14333" max="14333" width="23.17578125" customWidth="1"/>
    <col min="14336" max="14336" width="2.05859375" customWidth="1"/>
    <col min="14337" max="14337" width="10.29296875" customWidth="1"/>
    <col min="14338" max="14338" width="2.41015625" customWidth="1"/>
    <col min="14340" max="14340" width="3.9375" customWidth="1"/>
    <col min="14342" max="14342" width="4.17578125" customWidth="1"/>
    <col min="14343" max="14343" width="9.5859375" customWidth="1"/>
    <col min="14586" max="14586" width="4.5859375" customWidth="1"/>
    <col min="14587" max="14587" width="2.9375" customWidth="1"/>
    <col min="14588" max="14588" width="1.1171875" customWidth="1"/>
    <col min="14589" max="14589" width="23.17578125" customWidth="1"/>
    <col min="14592" max="14592" width="2.05859375" customWidth="1"/>
    <col min="14593" max="14593" width="10.29296875" customWidth="1"/>
    <col min="14594" max="14594" width="2.41015625" customWidth="1"/>
    <col min="14596" max="14596" width="3.9375" customWidth="1"/>
    <col min="14598" max="14598" width="4.17578125" customWidth="1"/>
    <col min="14599" max="14599" width="9.5859375" customWidth="1"/>
    <col min="14842" max="14842" width="4.5859375" customWidth="1"/>
    <col min="14843" max="14843" width="2.9375" customWidth="1"/>
    <col min="14844" max="14844" width="1.1171875" customWidth="1"/>
    <col min="14845" max="14845" width="23.17578125" customWidth="1"/>
    <col min="14848" max="14848" width="2.05859375" customWidth="1"/>
    <col min="14849" max="14849" width="10.29296875" customWidth="1"/>
    <col min="14850" max="14850" width="2.41015625" customWidth="1"/>
    <col min="14852" max="14852" width="3.9375" customWidth="1"/>
    <col min="14854" max="14854" width="4.17578125" customWidth="1"/>
    <col min="14855" max="14855" width="9.5859375" customWidth="1"/>
    <col min="15098" max="15098" width="4.5859375" customWidth="1"/>
    <col min="15099" max="15099" width="2.9375" customWidth="1"/>
    <col min="15100" max="15100" width="1.1171875" customWidth="1"/>
    <col min="15101" max="15101" width="23.17578125" customWidth="1"/>
    <col min="15104" max="15104" width="2.05859375" customWidth="1"/>
    <col min="15105" max="15105" width="10.29296875" customWidth="1"/>
    <col min="15106" max="15106" width="2.41015625" customWidth="1"/>
    <col min="15108" max="15108" width="3.9375" customWidth="1"/>
    <col min="15110" max="15110" width="4.17578125" customWidth="1"/>
    <col min="15111" max="15111" width="9.5859375" customWidth="1"/>
    <col min="15354" max="15354" width="4.5859375" customWidth="1"/>
    <col min="15355" max="15355" width="2.9375" customWidth="1"/>
    <col min="15356" max="15356" width="1.1171875" customWidth="1"/>
    <col min="15357" max="15357" width="23.17578125" customWidth="1"/>
    <col min="15360" max="15360" width="2.05859375" customWidth="1"/>
    <col min="15361" max="15361" width="10.29296875" customWidth="1"/>
    <col min="15362" max="15362" width="2.41015625" customWidth="1"/>
    <col min="15364" max="15364" width="3.9375" customWidth="1"/>
    <col min="15366" max="15366" width="4.17578125" customWidth="1"/>
    <col min="15367" max="15367" width="9.5859375" customWidth="1"/>
    <col min="15610" max="15610" width="4.5859375" customWidth="1"/>
    <col min="15611" max="15611" width="2.9375" customWidth="1"/>
    <col min="15612" max="15612" width="1.1171875" customWidth="1"/>
    <col min="15613" max="15613" width="23.17578125" customWidth="1"/>
    <col min="15616" max="15616" width="2.05859375" customWidth="1"/>
    <col min="15617" max="15617" width="10.29296875" customWidth="1"/>
    <col min="15618" max="15618" width="2.41015625" customWidth="1"/>
    <col min="15620" max="15620" width="3.9375" customWidth="1"/>
    <col min="15622" max="15622" width="4.17578125" customWidth="1"/>
    <col min="15623" max="15623" width="9.5859375" customWidth="1"/>
    <col min="15866" max="15866" width="4.5859375" customWidth="1"/>
    <col min="15867" max="15867" width="2.9375" customWidth="1"/>
    <col min="15868" max="15868" width="1.1171875" customWidth="1"/>
    <col min="15869" max="15869" width="23.17578125" customWidth="1"/>
    <col min="15872" max="15872" width="2.05859375" customWidth="1"/>
    <col min="15873" max="15873" width="10.29296875" customWidth="1"/>
    <col min="15874" max="15874" width="2.41015625" customWidth="1"/>
    <col min="15876" max="15876" width="3.9375" customWidth="1"/>
    <col min="15878" max="15878" width="4.17578125" customWidth="1"/>
    <col min="15879" max="15879" width="9.5859375" customWidth="1"/>
    <col min="16122" max="16122" width="4.5859375" customWidth="1"/>
    <col min="16123" max="16123" width="2.9375" customWidth="1"/>
    <col min="16124" max="16124" width="1.1171875" customWidth="1"/>
    <col min="16125" max="16125" width="23.17578125" customWidth="1"/>
    <col min="16128" max="16128" width="2.05859375" customWidth="1"/>
    <col min="16129" max="16129" width="10.29296875" customWidth="1"/>
    <col min="16130" max="16130" width="2.41015625" customWidth="1"/>
    <col min="16132" max="16132" width="3.9375" customWidth="1"/>
    <col min="16134" max="16134" width="4.17578125" customWidth="1"/>
    <col min="16135" max="16135" width="9.5859375" customWidth="1"/>
  </cols>
  <sheetData>
    <row r="1" spans="2:12" ht="14.7" thickBot="1" x14ac:dyDescent="0.55000000000000004"/>
    <row r="2" spans="2:12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15.35" x14ac:dyDescent="0.5">
      <c r="B3" s="4" t="s">
        <v>1</v>
      </c>
      <c r="L3" s="5"/>
    </row>
    <row r="4" spans="2:12" ht="7.85" customHeight="1" x14ac:dyDescent="0.5">
      <c r="B4" s="6"/>
      <c r="L4" s="5"/>
    </row>
    <row r="5" spans="2:12" ht="14.7" thickBot="1" x14ac:dyDescent="0.55000000000000004">
      <c r="B5" s="6"/>
      <c r="D5" s="142" t="s">
        <v>2</v>
      </c>
      <c r="E5" s="143"/>
      <c r="F5" s="144"/>
      <c r="G5" s="145" t="s">
        <v>3</v>
      </c>
      <c r="H5" s="145"/>
      <c r="I5" s="145"/>
      <c r="J5" s="145"/>
      <c r="K5" s="145"/>
      <c r="L5" s="5"/>
    </row>
    <row r="6" spans="2:12" ht="14.7" thickBot="1" x14ac:dyDescent="0.55000000000000004">
      <c r="B6" s="7" t="s">
        <v>4</v>
      </c>
      <c r="D6" s="108" t="s">
        <v>5</v>
      </c>
      <c r="E6" s="60"/>
      <c r="F6" s="115" t="s">
        <v>6</v>
      </c>
      <c r="G6" s="47" t="s">
        <v>7</v>
      </c>
      <c r="H6" s="47" t="s">
        <v>8</v>
      </c>
      <c r="I6" s="47" t="s">
        <v>9</v>
      </c>
      <c r="J6" s="47" t="s">
        <v>10</v>
      </c>
      <c r="K6" s="47" t="s">
        <v>11</v>
      </c>
      <c r="L6" s="5"/>
    </row>
    <row r="7" spans="2:12" ht="15.35" x14ac:dyDescent="0.5">
      <c r="B7" s="10"/>
      <c r="D7" s="101"/>
      <c r="E7" s="12"/>
      <c r="F7" s="95"/>
      <c r="L7" s="5"/>
    </row>
    <row r="8" spans="2:12" x14ac:dyDescent="0.5">
      <c r="B8" s="13" t="s">
        <v>12</v>
      </c>
      <c r="D8" s="102"/>
      <c r="E8" s="12"/>
      <c r="F8" s="96"/>
      <c r="L8" s="5"/>
    </row>
    <row r="9" spans="2:12" x14ac:dyDescent="0.5">
      <c r="B9" s="6" t="s">
        <v>13</v>
      </c>
      <c r="D9" s="103">
        <v>800000</v>
      </c>
      <c r="E9" s="15"/>
      <c r="F9" s="97">
        <v>920000</v>
      </c>
      <c r="G9" s="16"/>
      <c r="H9" s="16"/>
      <c r="I9" s="16"/>
      <c r="J9" s="16"/>
      <c r="K9" s="16"/>
      <c r="L9" s="5"/>
    </row>
    <row r="10" spans="2:12" x14ac:dyDescent="0.5">
      <c r="B10" s="6" t="s">
        <v>14</v>
      </c>
      <c r="D10" s="103">
        <v>120000</v>
      </c>
      <c r="E10" s="15"/>
      <c r="F10" s="97">
        <v>140000</v>
      </c>
      <c r="G10" s="16"/>
      <c r="H10" s="16"/>
      <c r="I10" s="16"/>
      <c r="J10" s="16"/>
      <c r="K10" s="16"/>
      <c r="L10" s="5"/>
    </row>
    <row r="11" spans="2:12" x14ac:dyDescent="0.5">
      <c r="B11" s="6" t="s">
        <v>15</v>
      </c>
      <c r="D11" s="103">
        <v>40000</v>
      </c>
      <c r="E11" s="15"/>
      <c r="F11" s="97">
        <v>50000</v>
      </c>
      <c r="G11" s="16"/>
      <c r="H11" s="16"/>
      <c r="I11" s="16"/>
      <c r="J11" s="16"/>
      <c r="K11" s="16"/>
      <c r="L11" s="5"/>
    </row>
    <row r="12" spans="2:12" ht="13.85" customHeight="1" x14ac:dyDescent="0.5">
      <c r="B12" s="6" t="s">
        <v>16</v>
      </c>
      <c r="D12" s="104">
        <f>SUM(D9:D11)</f>
        <v>960000</v>
      </c>
      <c r="E12" s="12"/>
      <c r="F12" s="98">
        <f>SUM(F9:F11)</f>
        <v>1110000</v>
      </c>
      <c r="G12" s="18"/>
      <c r="H12" s="18"/>
      <c r="I12" s="18"/>
      <c r="J12" s="18"/>
      <c r="K12" s="18"/>
      <c r="L12" s="5"/>
    </row>
    <row r="13" spans="2:12" ht="13.85" customHeight="1" x14ac:dyDescent="0.5">
      <c r="B13" s="19" t="s">
        <v>17</v>
      </c>
      <c r="D13" s="105"/>
      <c r="E13" s="20"/>
      <c r="F13" s="99">
        <f>+F12/D12-1</f>
        <v>0.15625</v>
      </c>
      <c r="G13" s="21"/>
      <c r="H13" s="21"/>
      <c r="I13" s="21"/>
      <c r="J13" s="21"/>
      <c r="K13" s="21"/>
      <c r="L13" s="5"/>
    </row>
    <row r="14" spans="2:12" ht="6.75" customHeight="1" x14ac:dyDescent="0.5">
      <c r="B14" s="6"/>
      <c r="D14" s="106"/>
      <c r="E14" s="12"/>
      <c r="F14" s="100"/>
      <c r="G14" s="22"/>
      <c r="H14" s="22"/>
      <c r="I14" s="22"/>
      <c r="J14" s="22"/>
      <c r="K14" s="22"/>
      <c r="L14" s="5"/>
    </row>
    <row r="15" spans="2:12" x14ac:dyDescent="0.5">
      <c r="B15" s="13" t="s">
        <v>18</v>
      </c>
      <c r="D15" s="106"/>
      <c r="E15" s="12"/>
      <c r="F15" s="100"/>
      <c r="G15" s="22"/>
      <c r="H15" s="22"/>
      <c r="I15" s="22"/>
      <c r="J15" s="22"/>
      <c r="K15" s="22"/>
      <c r="L15" s="5"/>
    </row>
    <row r="16" spans="2:12" x14ac:dyDescent="0.5">
      <c r="B16" s="6" t="str">
        <f>+B9</f>
        <v xml:space="preserve">  U.S.</v>
      </c>
      <c r="D16" s="103">
        <v>293000</v>
      </c>
      <c r="E16" s="15"/>
      <c r="F16" s="97">
        <v>350000</v>
      </c>
      <c r="G16" s="22"/>
      <c r="H16" s="22"/>
      <c r="I16" s="22"/>
      <c r="J16" s="22"/>
      <c r="K16" s="22"/>
      <c r="L16" s="5"/>
    </row>
    <row r="17" spans="2:12" x14ac:dyDescent="0.5">
      <c r="B17" s="6" t="str">
        <f>+B10</f>
        <v xml:space="preserve">  Europe</v>
      </c>
      <c r="D17" s="103">
        <v>39000</v>
      </c>
      <c r="E17" s="15"/>
      <c r="F17" s="97">
        <v>50000</v>
      </c>
      <c r="G17" s="22"/>
      <c r="H17" s="22"/>
      <c r="I17" s="22"/>
      <c r="J17" s="22"/>
      <c r="K17" s="22"/>
      <c r="L17" s="5"/>
    </row>
    <row r="18" spans="2:12" x14ac:dyDescent="0.5">
      <c r="B18" s="6" t="str">
        <f>+B11</f>
        <v xml:space="preserve">  Asia</v>
      </c>
      <c r="D18" s="103">
        <v>13000</v>
      </c>
      <c r="E18" s="15"/>
      <c r="F18" s="97">
        <v>20000</v>
      </c>
      <c r="G18" s="22"/>
      <c r="H18" s="22"/>
      <c r="I18" s="22"/>
      <c r="J18" s="22"/>
      <c r="K18" s="22"/>
      <c r="L18" s="5"/>
    </row>
    <row r="19" spans="2:12" x14ac:dyDescent="0.5">
      <c r="B19" s="6" t="s">
        <v>19</v>
      </c>
      <c r="D19" s="104">
        <f>SUM(D16:D18)</f>
        <v>345000</v>
      </c>
      <c r="E19" s="12"/>
      <c r="F19" s="98">
        <f>SUM(F16:F18)</f>
        <v>420000</v>
      </c>
      <c r="G19" s="18"/>
      <c r="H19" s="18"/>
      <c r="I19" s="18"/>
      <c r="J19" s="18"/>
      <c r="K19" s="18"/>
      <c r="L19" s="5"/>
    </row>
    <row r="20" spans="2:12" ht="6.75" customHeight="1" x14ac:dyDescent="0.5">
      <c r="B20" s="6"/>
      <c r="D20" s="106"/>
      <c r="E20" s="12"/>
      <c r="F20" s="100"/>
      <c r="G20" s="22"/>
      <c r="H20" s="22"/>
      <c r="I20" s="22"/>
      <c r="J20" s="22"/>
      <c r="K20" s="22"/>
      <c r="L20" s="5"/>
    </row>
    <row r="21" spans="2:12" x14ac:dyDescent="0.5">
      <c r="B21" s="6" t="s">
        <v>20</v>
      </c>
      <c r="D21" s="106">
        <f>+D12-D19</f>
        <v>615000</v>
      </c>
      <c r="E21" s="12"/>
      <c r="F21" s="100">
        <f>+F12-F19</f>
        <v>690000</v>
      </c>
      <c r="G21" s="12"/>
      <c r="H21" s="12"/>
      <c r="I21" s="12"/>
      <c r="J21" s="12"/>
      <c r="K21" s="12"/>
      <c r="L21" s="5"/>
    </row>
    <row r="22" spans="2:12" ht="13.85" customHeight="1" x14ac:dyDescent="0.5">
      <c r="B22" s="19" t="s">
        <v>21</v>
      </c>
      <c r="D22" s="105"/>
      <c r="E22" s="20"/>
      <c r="F22" s="99">
        <f>+F21/F12</f>
        <v>0.6216216216216216</v>
      </c>
      <c r="G22" s="21"/>
      <c r="H22" s="21"/>
      <c r="I22" s="21"/>
      <c r="J22" s="21"/>
      <c r="K22" s="21"/>
      <c r="L22" s="5"/>
    </row>
    <row r="23" spans="2:12" ht="9" customHeight="1" x14ac:dyDescent="0.5">
      <c r="B23" s="6"/>
      <c r="D23" s="106"/>
      <c r="E23" s="12"/>
      <c r="F23" s="100"/>
      <c r="G23" s="22"/>
      <c r="H23" s="22"/>
      <c r="I23" s="22"/>
      <c r="J23" s="22"/>
      <c r="K23" s="22"/>
      <c r="L23" s="5"/>
    </row>
    <row r="24" spans="2:12" x14ac:dyDescent="0.5">
      <c r="B24" s="13" t="s">
        <v>22</v>
      </c>
      <c r="D24" s="106"/>
      <c r="E24" s="12"/>
      <c r="F24" s="100"/>
      <c r="G24" s="22"/>
      <c r="H24" s="22"/>
      <c r="I24" s="22"/>
      <c r="J24" s="22"/>
      <c r="K24" s="22"/>
      <c r="L24" s="5"/>
    </row>
    <row r="25" spans="2:12" x14ac:dyDescent="0.5">
      <c r="B25" s="6" t="s">
        <v>23</v>
      </c>
      <c r="D25" s="103">
        <v>145000</v>
      </c>
      <c r="E25" s="15"/>
      <c r="F25" s="97">
        <v>165000</v>
      </c>
      <c r="G25" s="22"/>
      <c r="H25" s="22"/>
      <c r="I25" s="22"/>
      <c r="J25" s="22"/>
      <c r="K25" s="22"/>
      <c r="L25" s="5"/>
    </row>
    <row r="26" spans="2:12" x14ac:dyDescent="0.5">
      <c r="B26" s="6" t="s">
        <v>24</v>
      </c>
      <c r="D26" s="103">
        <v>75000</v>
      </c>
      <c r="E26" s="15"/>
      <c r="F26" s="97">
        <v>80000</v>
      </c>
      <c r="G26" s="22"/>
      <c r="H26" s="22"/>
      <c r="I26" s="22"/>
      <c r="J26" s="22"/>
      <c r="K26" s="22"/>
      <c r="L26" s="5"/>
    </row>
    <row r="27" spans="2:12" x14ac:dyDescent="0.5">
      <c r="B27" s="6" t="s">
        <v>25</v>
      </c>
      <c r="D27" s="103">
        <v>10000</v>
      </c>
      <c r="E27" s="15"/>
      <c r="F27" s="97">
        <v>12000</v>
      </c>
      <c r="G27" s="22"/>
      <c r="H27" s="22"/>
      <c r="I27" s="22"/>
      <c r="J27" s="22"/>
      <c r="K27" s="22"/>
      <c r="L27" s="5"/>
    </row>
    <row r="28" spans="2:12" x14ac:dyDescent="0.5">
      <c r="B28" s="6" t="s">
        <v>26</v>
      </c>
      <c r="D28" s="104">
        <f>SUM(D25:D27)</f>
        <v>230000</v>
      </c>
      <c r="E28" s="17"/>
      <c r="F28" s="98">
        <f>SUM(F25:F27)</f>
        <v>257000</v>
      </c>
      <c r="G28" s="17"/>
      <c r="H28" s="17"/>
      <c r="I28" s="17"/>
      <c r="J28" s="17"/>
      <c r="K28" s="17"/>
      <c r="L28" s="5"/>
    </row>
    <row r="29" spans="2:12" ht="6.75" customHeight="1" x14ac:dyDescent="0.5">
      <c r="B29" s="6"/>
      <c r="D29" s="106"/>
      <c r="E29" s="12"/>
      <c r="F29" s="100"/>
      <c r="G29" s="22"/>
      <c r="H29" s="22"/>
      <c r="I29" s="22"/>
      <c r="J29" s="22"/>
      <c r="K29" s="22"/>
      <c r="L29" s="5"/>
    </row>
    <row r="30" spans="2:12" ht="15.35" customHeight="1" x14ac:dyDescent="0.5">
      <c r="B30" s="13" t="s">
        <v>27</v>
      </c>
      <c r="D30" s="106">
        <f>+D21-D28</f>
        <v>385000</v>
      </c>
      <c r="E30" s="12"/>
      <c r="F30" s="100">
        <f>+F21-F28</f>
        <v>433000</v>
      </c>
      <c r="G30" s="12"/>
      <c r="H30" s="12"/>
      <c r="I30" s="12"/>
      <c r="J30" s="12"/>
      <c r="K30" s="12"/>
      <c r="L30" s="5"/>
    </row>
    <row r="31" spans="2:12" ht="15.35" customHeight="1" x14ac:dyDescent="0.5">
      <c r="B31" s="19" t="s">
        <v>28</v>
      </c>
      <c r="D31" s="107">
        <f>+D30/D12</f>
        <v>0.40104166666666669</v>
      </c>
      <c r="E31" s="20"/>
      <c r="F31" s="99">
        <f>+F30/F12</f>
        <v>0.3900900900900901</v>
      </c>
      <c r="G31" s="21"/>
      <c r="H31" s="21"/>
      <c r="I31" s="21"/>
      <c r="J31" s="21"/>
      <c r="K31" s="21"/>
      <c r="L31" s="5"/>
    </row>
    <row r="32" spans="2:12" ht="15.35" customHeight="1" x14ac:dyDescent="0.5">
      <c r="B32" s="6"/>
      <c r="D32" s="106"/>
      <c r="E32" s="12"/>
      <c r="F32" s="100"/>
      <c r="G32" s="22"/>
      <c r="H32" s="22"/>
      <c r="I32" s="22"/>
      <c r="J32" s="22"/>
      <c r="K32" s="22"/>
      <c r="L32" s="5"/>
    </row>
    <row r="33" spans="2:12" ht="15.35" customHeight="1" x14ac:dyDescent="0.5">
      <c r="B33" s="13" t="s">
        <v>29</v>
      </c>
      <c r="D33" s="103">
        <v>60000</v>
      </c>
      <c r="E33" s="15"/>
      <c r="F33" s="97">
        <v>65000</v>
      </c>
      <c r="G33" s="22"/>
      <c r="H33" s="22"/>
      <c r="I33" s="22"/>
      <c r="J33" s="22"/>
      <c r="K33" s="22"/>
      <c r="L33" s="5"/>
    </row>
    <row r="34" spans="2:12" ht="15.35" customHeight="1" x14ac:dyDescent="0.5">
      <c r="B34" s="13" t="s">
        <v>30</v>
      </c>
      <c r="D34" s="103">
        <v>0</v>
      </c>
      <c r="E34" s="15"/>
      <c r="F34" s="97">
        <v>0</v>
      </c>
      <c r="G34" s="22"/>
      <c r="H34" s="22"/>
      <c r="I34" s="22"/>
      <c r="J34" s="22"/>
      <c r="K34" s="22"/>
      <c r="L34" s="5"/>
    </row>
    <row r="35" spans="2:12" ht="7.5" customHeight="1" x14ac:dyDescent="0.5">
      <c r="B35" s="6"/>
      <c r="D35" s="106"/>
      <c r="E35" s="12"/>
      <c r="F35" s="100"/>
      <c r="G35" s="22"/>
      <c r="H35" s="22"/>
      <c r="I35" s="22"/>
      <c r="J35" s="22"/>
      <c r="K35" s="22"/>
      <c r="L35" s="5"/>
    </row>
    <row r="36" spans="2:12" ht="17.100000000000001" customHeight="1" x14ac:dyDescent="0.5">
      <c r="B36" s="13" t="s">
        <v>31</v>
      </c>
      <c r="D36" s="104">
        <f>+D30-D33-D34</f>
        <v>325000</v>
      </c>
      <c r="E36" s="12"/>
      <c r="F36" s="98">
        <f>+F30-F33-F34</f>
        <v>368000</v>
      </c>
      <c r="G36" s="17"/>
      <c r="H36" s="17"/>
      <c r="I36" s="17"/>
      <c r="J36" s="17"/>
      <c r="K36" s="17"/>
      <c r="L36" s="5"/>
    </row>
    <row r="37" spans="2:12" ht="17.100000000000001" customHeight="1" x14ac:dyDescent="0.5">
      <c r="B37" s="19" t="s">
        <v>32</v>
      </c>
      <c r="D37" s="107">
        <f>+D36/D12</f>
        <v>0.33854166666666669</v>
      </c>
      <c r="E37" s="20"/>
      <c r="F37" s="99">
        <f>+F36/F12</f>
        <v>0.33153153153153153</v>
      </c>
      <c r="G37" s="21"/>
      <c r="H37" s="21"/>
      <c r="I37" s="21"/>
      <c r="J37" s="21"/>
      <c r="K37" s="21"/>
      <c r="L37" s="5"/>
    </row>
    <row r="38" spans="2:12" ht="17.100000000000001" customHeight="1" x14ac:dyDescent="0.5">
      <c r="B38" s="6"/>
      <c r="D38" s="106"/>
      <c r="E38" s="12"/>
      <c r="F38" s="100"/>
      <c r="L38" s="5"/>
    </row>
    <row r="39" spans="2:12" x14ac:dyDescent="0.5">
      <c r="B39" s="6" t="s">
        <v>33</v>
      </c>
      <c r="D39" s="102"/>
      <c r="E39" s="12"/>
      <c r="F39" s="96"/>
      <c r="G39" s="25"/>
      <c r="H39" s="25"/>
      <c r="I39" s="25"/>
      <c r="J39" s="25"/>
      <c r="K39" s="25"/>
      <c r="L39" s="5"/>
    </row>
    <row r="40" spans="2:12" x14ac:dyDescent="0.5">
      <c r="B40" s="26" t="s">
        <v>34</v>
      </c>
      <c r="D40" s="102"/>
      <c r="E40" s="74"/>
      <c r="F40" s="96"/>
      <c r="G40" s="22"/>
      <c r="H40" s="22"/>
      <c r="I40" s="22"/>
      <c r="J40" s="22"/>
      <c r="K40" s="22"/>
      <c r="L40" s="5"/>
    </row>
    <row r="41" spans="2:12" x14ac:dyDescent="0.5">
      <c r="B41" s="6" t="s">
        <v>35</v>
      </c>
      <c r="C41" s="27"/>
      <c r="D41" s="102"/>
      <c r="E41" s="74"/>
      <c r="F41" s="96"/>
      <c r="G41" s="16"/>
      <c r="H41" s="16"/>
      <c r="I41" s="16"/>
      <c r="J41" s="16"/>
      <c r="K41" s="16"/>
      <c r="L41" s="5"/>
    </row>
    <row r="42" spans="2:12" ht="14.7" thickBot="1" x14ac:dyDescent="0.55000000000000004">
      <c r="B42" s="26" t="s">
        <v>36</v>
      </c>
      <c r="D42" s="102"/>
      <c r="E42" s="74"/>
      <c r="F42" s="96"/>
      <c r="G42" s="28"/>
      <c r="H42" s="28"/>
      <c r="I42" s="28"/>
      <c r="J42" s="28"/>
      <c r="K42" s="28"/>
      <c r="L42" s="5"/>
    </row>
    <row r="43" spans="2:12" ht="15" thickTop="1" thickBot="1" x14ac:dyDescent="0.55000000000000004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1"/>
    </row>
    <row r="44" spans="2:12" ht="14.7" thickBot="1" x14ac:dyDescent="0.55000000000000004"/>
    <row r="45" spans="2:12" ht="20" x14ac:dyDescent="0.6">
      <c r="B45" s="1" t="s">
        <v>0</v>
      </c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2:12" ht="15.75" customHeight="1" x14ac:dyDescent="0.5">
      <c r="B46" s="4" t="s">
        <v>85</v>
      </c>
      <c r="L46" s="5"/>
    </row>
    <row r="47" spans="2:12" ht="14.7" thickBot="1" x14ac:dyDescent="0.55000000000000004">
      <c r="B47" s="6"/>
      <c r="D47" s="142" t="s">
        <v>2</v>
      </c>
      <c r="E47" s="143"/>
      <c r="F47" s="144"/>
      <c r="G47" s="145" t="s">
        <v>3</v>
      </c>
      <c r="H47" s="145"/>
      <c r="I47" s="145"/>
      <c r="J47" s="145"/>
      <c r="K47" s="145"/>
      <c r="L47" s="5"/>
    </row>
    <row r="48" spans="2:12" ht="17.25" customHeight="1" thickBot="1" x14ac:dyDescent="0.55000000000000004">
      <c r="B48" s="7" t="s">
        <v>4</v>
      </c>
      <c r="D48" s="108" t="s">
        <v>5</v>
      </c>
      <c r="E48" s="60"/>
      <c r="F48" s="115" t="s">
        <v>6</v>
      </c>
      <c r="G48" s="47" t="s">
        <v>7</v>
      </c>
      <c r="H48" s="47" t="s">
        <v>8</v>
      </c>
      <c r="I48" s="47" t="s">
        <v>9</v>
      </c>
      <c r="J48" s="47" t="s">
        <v>10</v>
      </c>
      <c r="K48" s="47" t="s">
        <v>11</v>
      </c>
      <c r="L48" s="5"/>
    </row>
    <row r="49" spans="2:14" x14ac:dyDescent="0.5">
      <c r="B49" s="6"/>
      <c r="D49" s="102"/>
      <c r="E49" s="74"/>
      <c r="F49" s="96"/>
      <c r="L49" s="5"/>
    </row>
    <row r="50" spans="2:14" x14ac:dyDescent="0.5">
      <c r="B50" s="13" t="s">
        <v>86</v>
      </c>
      <c r="D50" s="102"/>
      <c r="E50" s="74"/>
      <c r="F50" s="96"/>
      <c r="L50" s="5"/>
    </row>
    <row r="51" spans="2:14" x14ac:dyDescent="0.5">
      <c r="B51" s="6" t="s">
        <v>87</v>
      </c>
      <c r="D51" s="103">
        <v>45000</v>
      </c>
      <c r="E51" s="12"/>
      <c r="F51" s="116">
        <v>65800</v>
      </c>
      <c r="G51" s="16"/>
      <c r="H51" s="16"/>
      <c r="I51" s="16"/>
      <c r="J51" s="16"/>
      <c r="K51" s="16"/>
      <c r="L51" s="5"/>
    </row>
    <row r="52" spans="2:14" x14ac:dyDescent="0.5">
      <c r="B52" s="6" t="s">
        <v>88</v>
      </c>
      <c r="D52" s="103">
        <v>45000</v>
      </c>
      <c r="E52" s="12"/>
      <c r="F52" s="97">
        <v>60000</v>
      </c>
      <c r="G52" s="16"/>
      <c r="H52" s="16"/>
      <c r="I52" s="16"/>
      <c r="J52" s="16"/>
      <c r="K52" s="16"/>
      <c r="L52" s="5"/>
      <c r="N52" t="s">
        <v>159</v>
      </c>
    </row>
    <row r="53" spans="2:14" x14ac:dyDescent="0.5">
      <c r="B53" s="6" t="s">
        <v>89</v>
      </c>
      <c r="D53" s="103">
        <v>35000</v>
      </c>
      <c r="E53" s="12"/>
      <c r="F53" s="97">
        <v>40000</v>
      </c>
      <c r="G53" s="94"/>
      <c r="H53" s="94"/>
      <c r="I53" s="94"/>
      <c r="J53" s="94"/>
      <c r="K53" s="94"/>
      <c r="L53" s="5"/>
      <c r="N53" t="s">
        <v>160</v>
      </c>
    </row>
    <row r="54" spans="2:14" x14ac:dyDescent="0.5">
      <c r="B54" s="6" t="s">
        <v>90</v>
      </c>
      <c r="D54" s="109">
        <v>10000</v>
      </c>
      <c r="E54" s="12"/>
      <c r="F54" s="117">
        <v>9000</v>
      </c>
      <c r="G54" s="25"/>
      <c r="H54" s="25"/>
      <c r="I54" s="25"/>
      <c r="J54" s="25"/>
      <c r="K54" s="25"/>
      <c r="L54" s="5"/>
    </row>
    <row r="55" spans="2:14" x14ac:dyDescent="0.5">
      <c r="B55" s="6" t="s">
        <v>91</v>
      </c>
      <c r="D55" s="106">
        <f>SUM(D51:D54)</f>
        <v>135000</v>
      </c>
      <c r="E55" s="12"/>
      <c r="F55" s="100">
        <f>SUM(F51:F54)</f>
        <v>174800</v>
      </c>
      <c r="G55" s="12"/>
      <c r="H55" s="12"/>
      <c r="I55" s="12"/>
      <c r="J55" s="12"/>
      <c r="K55" s="12"/>
      <c r="L55" s="5"/>
    </row>
    <row r="56" spans="2:14" x14ac:dyDescent="0.5">
      <c r="B56" s="6"/>
      <c r="D56" s="106"/>
      <c r="E56" s="12"/>
      <c r="F56" s="100"/>
      <c r="L56" s="5"/>
    </row>
    <row r="57" spans="2:14" x14ac:dyDescent="0.5">
      <c r="B57" s="13" t="s">
        <v>92</v>
      </c>
      <c r="D57" s="106"/>
      <c r="E57" s="12"/>
      <c r="F57" s="100"/>
      <c r="L57" s="5"/>
    </row>
    <row r="58" spans="2:14" x14ac:dyDescent="0.5">
      <c r="B58" s="6" t="s">
        <v>93</v>
      </c>
      <c r="D58" s="103">
        <v>2500000</v>
      </c>
      <c r="E58" s="15"/>
      <c r="F58" s="116">
        <v>2500000</v>
      </c>
      <c r="L58" s="5"/>
    </row>
    <row r="59" spans="2:14" x14ac:dyDescent="0.5">
      <c r="B59" s="6" t="s">
        <v>94</v>
      </c>
      <c r="D59" s="103">
        <v>450000</v>
      </c>
      <c r="E59" s="15"/>
      <c r="F59" s="97">
        <v>550000</v>
      </c>
      <c r="L59" s="5"/>
    </row>
    <row r="60" spans="2:14" x14ac:dyDescent="0.5">
      <c r="B60" s="6" t="s">
        <v>95</v>
      </c>
      <c r="D60" s="109">
        <v>50000</v>
      </c>
      <c r="E60" s="15"/>
      <c r="F60" s="117">
        <v>75000</v>
      </c>
      <c r="G60" s="61"/>
      <c r="H60" s="61"/>
      <c r="I60" s="61"/>
      <c r="J60" s="61"/>
      <c r="K60" s="61"/>
      <c r="L60" s="5"/>
    </row>
    <row r="61" spans="2:14" x14ac:dyDescent="0.5">
      <c r="B61" s="6" t="s">
        <v>96</v>
      </c>
      <c r="D61" s="106">
        <f>SUM(D58:D60)</f>
        <v>3000000</v>
      </c>
      <c r="E61" s="12"/>
      <c r="F61" s="100">
        <f>SUM(F58:F60)</f>
        <v>3125000</v>
      </c>
      <c r="G61" s="54"/>
      <c r="H61" s="54"/>
      <c r="I61" s="54"/>
      <c r="J61" s="54"/>
      <c r="K61" s="54"/>
      <c r="L61" s="5"/>
    </row>
    <row r="62" spans="2:14" x14ac:dyDescent="0.5">
      <c r="B62" s="6" t="s">
        <v>97</v>
      </c>
      <c r="D62" s="109">
        <v>-300000</v>
      </c>
      <c r="E62" s="15"/>
      <c r="F62" s="118">
        <v>-365000</v>
      </c>
      <c r="G62" s="62"/>
      <c r="H62" s="62"/>
      <c r="I62" s="62"/>
      <c r="J62" s="62"/>
      <c r="K62" s="62"/>
      <c r="L62" s="5"/>
    </row>
    <row r="63" spans="2:14" x14ac:dyDescent="0.5">
      <c r="B63" s="6" t="s">
        <v>98</v>
      </c>
      <c r="D63" s="106">
        <f>SUM(D61:D62)</f>
        <v>2700000</v>
      </c>
      <c r="E63" s="12"/>
      <c r="F63" s="100">
        <f>SUM(F61:F62)</f>
        <v>2760000</v>
      </c>
      <c r="G63" s="12"/>
      <c r="H63" s="12"/>
      <c r="I63" s="12"/>
      <c r="J63" s="12"/>
      <c r="K63" s="12"/>
      <c r="L63" s="5"/>
    </row>
    <row r="64" spans="2:14" x14ac:dyDescent="0.5">
      <c r="B64" s="6"/>
      <c r="D64" s="106"/>
      <c r="E64" s="12"/>
      <c r="F64" s="100"/>
      <c r="L64" s="5"/>
    </row>
    <row r="65" spans="2:14" x14ac:dyDescent="0.5">
      <c r="B65" s="6" t="s">
        <v>99</v>
      </c>
      <c r="D65" s="103">
        <v>200000</v>
      </c>
      <c r="E65" s="14"/>
      <c r="F65" s="97">
        <v>250000</v>
      </c>
      <c r="G65" s="54"/>
      <c r="H65" s="54"/>
      <c r="I65" s="54"/>
      <c r="J65" s="54"/>
      <c r="K65" s="54"/>
      <c r="L65" s="5"/>
    </row>
    <row r="66" spans="2:14" x14ac:dyDescent="0.5">
      <c r="B66" s="6"/>
      <c r="D66" s="106"/>
      <c r="E66" s="12"/>
      <c r="F66" s="100"/>
      <c r="L66" s="5"/>
    </row>
    <row r="67" spans="2:14" ht="14.7" thickBot="1" x14ac:dyDescent="0.55000000000000004">
      <c r="B67" s="6" t="s">
        <v>100</v>
      </c>
      <c r="D67" s="110">
        <f>+D65+D63+D55</f>
        <v>3035000</v>
      </c>
      <c r="E67" s="12"/>
      <c r="F67" s="119">
        <f>+F65+F63+F55</f>
        <v>3184800</v>
      </c>
      <c r="G67" s="63"/>
      <c r="H67" s="63"/>
      <c r="I67" s="63"/>
      <c r="J67" s="63"/>
      <c r="K67" s="63"/>
      <c r="L67" s="5"/>
    </row>
    <row r="68" spans="2:14" ht="14.7" thickTop="1" x14ac:dyDescent="0.5">
      <c r="B68" s="6"/>
      <c r="D68" s="106"/>
      <c r="E68" s="12"/>
      <c r="F68" s="100"/>
      <c r="L68" s="5"/>
    </row>
    <row r="69" spans="2:14" x14ac:dyDescent="0.5">
      <c r="B69" s="13" t="s">
        <v>101</v>
      </c>
      <c r="D69" s="106"/>
      <c r="E69" s="12"/>
      <c r="F69" s="100"/>
      <c r="L69" s="5"/>
    </row>
    <row r="70" spans="2:14" x14ac:dyDescent="0.5">
      <c r="B70" s="6"/>
      <c r="D70" s="106"/>
      <c r="E70" s="12"/>
      <c r="F70" s="100"/>
      <c r="L70" s="5"/>
    </row>
    <row r="71" spans="2:14" x14ac:dyDescent="0.5">
      <c r="B71" s="13" t="s">
        <v>102</v>
      </c>
      <c r="D71" s="106"/>
      <c r="E71" s="12"/>
      <c r="F71" s="100"/>
      <c r="L71" s="5"/>
    </row>
    <row r="72" spans="2:14" x14ac:dyDescent="0.5">
      <c r="B72" s="6" t="s">
        <v>103</v>
      </c>
      <c r="D72" s="103">
        <v>35000</v>
      </c>
      <c r="E72" s="15"/>
      <c r="F72" s="97">
        <v>40000</v>
      </c>
      <c r="G72" s="94"/>
      <c r="H72" s="94"/>
      <c r="I72" s="94"/>
      <c r="J72" s="94"/>
      <c r="K72" s="94"/>
      <c r="L72" s="5"/>
      <c r="N72" t="s">
        <v>161</v>
      </c>
    </row>
    <row r="73" spans="2:14" x14ac:dyDescent="0.5">
      <c r="B73" s="6" t="s">
        <v>104</v>
      </c>
      <c r="D73" s="103">
        <v>12000</v>
      </c>
      <c r="E73" s="15"/>
      <c r="F73" s="97">
        <v>10000</v>
      </c>
      <c r="G73" s="16"/>
      <c r="H73" s="16"/>
      <c r="I73" s="16"/>
      <c r="J73" s="16"/>
      <c r="K73" s="16"/>
      <c r="L73" s="5"/>
    </row>
    <row r="74" spans="2:14" x14ac:dyDescent="0.5">
      <c r="B74" s="6" t="s">
        <v>105</v>
      </c>
      <c r="D74" s="103">
        <v>10000</v>
      </c>
      <c r="E74" s="15"/>
      <c r="F74" s="97">
        <v>8000</v>
      </c>
      <c r="G74" s="16"/>
      <c r="H74" s="16"/>
      <c r="I74" s="16"/>
      <c r="J74" s="16"/>
      <c r="K74" s="16"/>
      <c r="L74" s="5"/>
    </row>
    <row r="75" spans="2:14" x14ac:dyDescent="0.5">
      <c r="B75" s="6" t="s">
        <v>106</v>
      </c>
      <c r="D75" s="109">
        <v>20000</v>
      </c>
      <c r="E75" s="15"/>
      <c r="F75" s="117">
        <v>10000</v>
      </c>
      <c r="G75" s="25"/>
      <c r="H75" s="25"/>
      <c r="I75" s="25"/>
      <c r="J75" s="25"/>
      <c r="K75" s="25"/>
      <c r="L75" s="5"/>
    </row>
    <row r="76" spans="2:14" x14ac:dyDescent="0.5">
      <c r="B76" s="6" t="s">
        <v>107</v>
      </c>
      <c r="D76" s="106">
        <f>SUM(D72:D75)</f>
        <v>77000</v>
      </c>
      <c r="E76" s="12"/>
      <c r="F76" s="100">
        <f>SUM(F72:F75)</f>
        <v>68000</v>
      </c>
      <c r="G76" s="12"/>
      <c r="H76" s="12"/>
      <c r="I76" s="12"/>
      <c r="J76" s="12"/>
      <c r="K76" s="12"/>
      <c r="L76" s="5"/>
    </row>
    <row r="77" spans="2:14" x14ac:dyDescent="0.5">
      <c r="B77" s="6"/>
      <c r="D77" s="106"/>
      <c r="E77" s="12"/>
      <c r="F77" s="100"/>
      <c r="L77" s="5"/>
    </row>
    <row r="78" spans="2:14" x14ac:dyDescent="0.5">
      <c r="B78" s="6" t="s">
        <v>108</v>
      </c>
      <c r="D78" s="103">
        <v>1200000</v>
      </c>
      <c r="E78" s="15"/>
      <c r="F78" s="97">
        <v>1180000</v>
      </c>
      <c r="G78" s="16"/>
      <c r="H78" s="16"/>
      <c r="I78" s="16"/>
      <c r="J78" s="16"/>
      <c r="K78" s="16"/>
      <c r="L78" s="5"/>
    </row>
    <row r="79" spans="2:14" x14ac:dyDescent="0.5">
      <c r="B79" s="6"/>
      <c r="D79" s="111"/>
      <c r="E79" s="15"/>
      <c r="F79" s="116"/>
      <c r="L79" s="5"/>
    </row>
    <row r="80" spans="2:14" x14ac:dyDescent="0.5">
      <c r="B80" s="6" t="s">
        <v>109</v>
      </c>
      <c r="D80" s="109">
        <v>12000</v>
      </c>
      <c r="E80" s="15"/>
      <c r="F80" s="117">
        <v>17000</v>
      </c>
      <c r="G80" s="62"/>
      <c r="H80" s="62"/>
      <c r="I80" s="62"/>
      <c r="J80" s="62"/>
      <c r="K80" s="62"/>
      <c r="L80" s="5"/>
    </row>
    <row r="81" spans="2:12" x14ac:dyDescent="0.5">
      <c r="B81" s="6" t="s">
        <v>110</v>
      </c>
      <c r="D81" s="106">
        <f>+D80+D78+D76</f>
        <v>1289000</v>
      </c>
      <c r="E81" s="12"/>
      <c r="F81" s="100">
        <f>+F80+F78+F76</f>
        <v>1265000</v>
      </c>
      <c r="G81" s="12"/>
      <c r="H81" s="12"/>
      <c r="I81" s="12"/>
      <c r="J81" s="12"/>
      <c r="K81" s="12"/>
      <c r="L81" s="5"/>
    </row>
    <row r="82" spans="2:12" ht="9" customHeight="1" x14ac:dyDescent="0.5">
      <c r="B82" s="6"/>
      <c r="D82" s="106"/>
      <c r="E82" s="12"/>
      <c r="F82" s="100"/>
      <c r="L82" s="5"/>
    </row>
    <row r="83" spans="2:12" x14ac:dyDescent="0.5">
      <c r="B83" s="13" t="s">
        <v>111</v>
      </c>
      <c r="D83" s="106"/>
      <c r="E83" s="12"/>
      <c r="F83" s="100"/>
      <c r="L83" s="5"/>
    </row>
    <row r="84" spans="2:12" x14ac:dyDescent="0.5">
      <c r="B84" s="6" t="s">
        <v>112</v>
      </c>
      <c r="D84" s="103">
        <v>1000000</v>
      </c>
      <c r="E84" s="14"/>
      <c r="F84" s="97">
        <v>1000000</v>
      </c>
      <c r="G84" s="54"/>
      <c r="H84" s="54"/>
      <c r="I84" s="54"/>
      <c r="J84" s="54"/>
      <c r="K84" s="54"/>
      <c r="L84" s="5"/>
    </row>
    <row r="85" spans="2:12" x14ac:dyDescent="0.5">
      <c r="B85" s="6" t="s">
        <v>113</v>
      </c>
      <c r="D85" s="103">
        <v>0</v>
      </c>
      <c r="E85" s="14"/>
      <c r="F85" s="97">
        <v>25000</v>
      </c>
      <c r="G85" s="54"/>
      <c r="H85" s="54"/>
      <c r="I85" s="54"/>
      <c r="J85" s="54"/>
      <c r="K85" s="54"/>
      <c r="L85" s="5"/>
    </row>
    <row r="86" spans="2:12" x14ac:dyDescent="0.5">
      <c r="B86" s="6" t="s">
        <v>114</v>
      </c>
      <c r="D86" s="112">
        <v>746000</v>
      </c>
      <c r="E86" s="15"/>
      <c r="F86" s="118">
        <v>894800</v>
      </c>
      <c r="G86" s="62"/>
      <c r="H86" s="62"/>
      <c r="I86" s="62"/>
      <c r="J86" s="62"/>
      <c r="K86" s="62"/>
      <c r="L86" s="5"/>
    </row>
    <row r="87" spans="2:12" x14ac:dyDescent="0.5">
      <c r="B87" s="6" t="s">
        <v>115</v>
      </c>
      <c r="D87" s="106">
        <f>SUM(D84:D86)</f>
        <v>1746000</v>
      </c>
      <c r="E87" s="15"/>
      <c r="F87" s="100">
        <f>SUM(F84:F86)</f>
        <v>1919800</v>
      </c>
      <c r="G87" s="12"/>
      <c r="H87" s="12"/>
      <c r="I87" s="12"/>
      <c r="J87" s="12"/>
      <c r="K87" s="12"/>
      <c r="L87" s="5"/>
    </row>
    <row r="88" spans="2:12" x14ac:dyDescent="0.5">
      <c r="B88" s="6"/>
      <c r="D88" s="106"/>
      <c r="E88" s="15"/>
      <c r="F88" s="100"/>
      <c r="L88" s="5"/>
    </row>
    <row r="89" spans="2:12" ht="14.7" thickBot="1" x14ac:dyDescent="0.55000000000000004">
      <c r="B89" s="6" t="s">
        <v>116</v>
      </c>
      <c r="D89" s="113">
        <f>+D87+D81</f>
        <v>3035000</v>
      </c>
      <c r="E89" s="15"/>
      <c r="F89" s="120">
        <f>+F87+F81</f>
        <v>3184800</v>
      </c>
      <c r="G89" s="64"/>
      <c r="H89" s="64"/>
      <c r="I89" s="64"/>
      <c r="J89" s="64"/>
      <c r="K89" s="64"/>
      <c r="L89" s="5"/>
    </row>
    <row r="90" spans="2:12" ht="13.85" customHeight="1" x14ac:dyDescent="0.5">
      <c r="B90" s="65" t="s">
        <v>117</v>
      </c>
      <c r="D90" s="114">
        <f>+D67-D89</f>
        <v>0</v>
      </c>
      <c r="E90" s="15"/>
      <c r="F90" s="121">
        <f t="shared" ref="F90" si="0">+F67-F89</f>
        <v>0</v>
      </c>
      <c r="G90" s="66"/>
      <c r="H90" s="66"/>
      <c r="I90" s="66"/>
      <c r="J90" s="66"/>
      <c r="K90" s="66"/>
      <c r="L90" s="5"/>
    </row>
    <row r="91" spans="2:12" ht="14.7" thickBot="1" x14ac:dyDescent="0.55000000000000004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1"/>
    </row>
    <row r="93" spans="2:12" ht="14.7" thickBot="1" x14ac:dyDescent="0.55000000000000004">
      <c r="B93" s="44"/>
      <c r="C93" s="44"/>
      <c r="D93" s="44"/>
      <c r="E93" s="44"/>
      <c r="F93" s="44"/>
    </row>
    <row r="94" spans="2:12" ht="20" x14ac:dyDescent="0.6">
      <c r="B94" s="1" t="s">
        <v>0</v>
      </c>
      <c r="C94" s="45"/>
      <c r="D94" s="45"/>
      <c r="E94" s="45"/>
      <c r="F94" s="45"/>
      <c r="G94" s="2"/>
      <c r="H94" s="2"/>
      <c r="I94" s="2"/>
      <c r="J94" s="2"/>
      <c r="K94" s="2"/>
      <c r="L94" s="3"/>
    </row>
    <row r="95" spans="2:12" ht="15.35" x14ac:dyDescent="0.5">
      <c r="B95" s="4" t="s">
        <v>59</v>
      </c>
      <c r="C95" s="44"/>
      <c r="D95" s="44"/>
      <c r="E95" s="44"/>
      <c r="F95" s="44"/>
      <c r="L95" s="5"/>
    </row>
    <row r="96" spans="2:12" ht="14.7" thickBot="1" x14ac:dyDescent="0.55000000000000004">
      <c r="B96" s="46"/>
      <c r="C96" s="44"/>
      <c r="D96" s="44"/>
      <c r="E96" s="44"/>
      <c r="F96" s="133" t="str">
        <f>+D47</f>
        <v>HISTORICAL</v>
      </c>
      <c r="G96" s="145" t="s">
        <v>3</v>
      </c>
      <c r="H96" s="145"/>
      <c r="I96" s="145"/>
      <c r="J96" s="145"/>
      <c r="K96" s="145"/>
      <c r="L96" s="5"/>
    </row>
    <row r="97" spans="2:12" ht="14.7" thickBot="1" x14ac:dyDescent="0.55000000000000004">
      <c r="B97" s="7" t="s">
        <v>4</v>
      </c>
      <c r="C97" s="44"/>
      <c r="D97" s="44"/>
      <c r="E97" s="11"/>
      <c r="F97" s="134" t="s">
        <v>60</v>
      </c>
      <c r="G97" s="47" t="s">
        <v>7</v>
      </c>
      <c r="H97" s="47" t="s">
        <v>8</v>
      </c>
      <c r="I97" s="47" t="s">
        <v>9</v>
      </c>
      <c r="J97" s="47" t="s">
        <v>10</v>
      </c>
      <c r="K97" s="47" t="s">
        <v>11</v>
      </c>
      <c r="L97" s="5"/>
    </row>
    <row r="98" spans="2:12" x14ac:dyDescent="0.5">
      <c r="B98" s="46"/>
      <c r="C98" s="44"/>
      <c r="D98" s="44"/>
      <c r="E98" s="48"/>
      <c r="F98" s="123"/>
      <c r="L98" s="5"/>
    </row>
    <row r="99" spans="2:12" x14ac:dyDescent="0.5">
      <c r="B99" s="49" t="s">
        <v>36</v>
      </c>
      <c r="C99" s="50"/>
      <c r="D99" s="50"/>
      <c r="E99" s="51"/>
      <c r="F99" s="124">
        <v>148800</v>
      </c>
      <c r="G99" s="16"/>
      <c r="H99" s="16"/>
      <c r="I99" s="16"/>
      <c r="J99" s="16"/>
      <c r="K99" s="16"/>
      <c r="L99" s="5"/>
    </row>
    <row r="100" spans="2:12" x14ac:dyDescent="0.5">
      <c r="B100" s="49" t="s">
        <v>61</v>
      </c>
      <c r="C100" s="50"/>
      <c r="D100" s="50"/>
      <c r="E100" s="51"/>
      <c r="F100" s="124">
        <v>65000</v>
      </c>
      <c r="G100" s="16"/>
      <c r="H100" s="16"/>
      <c r="I100" s="16"/>
      <c r="J100" s="16"/>
      <c r="K100" s="16"/>
      <c r="L100" s="5"/>
    </row>
    <row r="101" spans="2:12" x14ac:dyDescent="0.5">
      <c r="B101" s="49" t="s">
        <v>158</v>
      </c>
      <c r="C101" s="50"/>
      <c r="D101" s="50"/>
      <c r="E101" s="51"/>
      <c r="F101" s="124"/>
      <c r="G101" s="16"/>
      <c r="H101" s="16"/>
      <c r="I101" s="16"/>
      <c r="J101" s="16"/>
      <c r="K101" s="16"/>
      <c r="L101" s="5"/>
    </row>
    <row r="102" spans="2:12" x14ac:dyDescent="0.5">
      <c r="B102" s="49" t="s">
        <v>62</v>
      </c>
      <c r="C102" s="50"/>
      <c r="D102" s="50"/>
      <c r="E102" s="51"/>
      <c r="F102" s="125">
        <v>5000</v>
      </c>
      <c r="G102" s="16"/>
      <c r="H102" s="16"/>
      <c r="I102" s="16"/>
      <c r="J102" s="16"/>
      <c r="K102" s="16"/>
      <c r="L102" s="5"/>
    </row>
    <row r="103" spans="2:12" x14ac:dyDescent="0.5">
      <c r="B103" s="49" t="s">
        <v>63</v>
      </c>
      <c r="C103" s="50"/>
      <c r="D103" s="50"/>
      <c r="E103" s="51"/>
      <c r="F103" s="126">
        <f>SUM(F99:F102)</f>
        <v>218800</v>
      </c>
      <c r="G103" s="52"/>
      <c r="H103" s="52"/>
      <c r="I103" s="52"/>
      <c r="J103" s="52"/>
      <c r="K103" s="52"/>
      <c r="L103" s="5"/>
    </row>
    <row r="104" spans="2:12" x14ac:dyDescent="0.5">
      <c r="B104" s="46"/>
      <c r="C104" s="44"/>
      <c r="D104" s="44"/>
      <c r="E104" s="44"/>
      <c r="F104" s="122"/>
      <c r="L104" s="5"/>
    </row>
    <row r="105" spans="2:12" x14ac:dyDescent="0.5">
      <c r="B105" s="53" t="s">
        <v>64</v>
      </c>
      <c r="C105" s="50"/>
      <c r="D105" s="50"/>
      <c r="E105" s="51"/>
      <c r="F105" s="127"/>
      <c r="L105" s="5"/>
    </row>
    <row r="106" spans="2:12" x14ac:dyDescent="0.5">
      <c r="B106" s="49" t="s">
        <v>65</v>
      </c>
      <c r="C106" s="50"/>
      <c r="D106" s="50"/>
      <c r="E106" s="51"/>
      <c r="F106" s="124">
        <v>-15000</v>
      </c>
      <c r="G106" s="54"/>
      <c r="H106" s="54"/>
      <c r="I106" s="54"/>
      <c r="J106" s="54"/>
      <c r="K106" s="54"/>
      <c r="L106" s="5"/>
    </row>
    <row r="107" spans="2:12" x14ac:dyDescent="0.5">
      <c r="B107" s="49" t="s">
        <v>66</v>
      </c>
      <c r="C107" s="50"/>
      <c r="D107" s="50"/>
      <c r="E107" s="51"/>
      <c r="F107" s="124">
        <v>-5000</v>
      </c>
      <c r="G107" s="54"/>
      <c r="H107" s="54"/>
      <c r="I107" s="54"/>
      <c r="J107" s="54"/>
      <c r="K107" s="54"/>
      <c r="L107" s="5"/>
    </row>
    <row r="108" spans="2:12" x14ac:dyDescent="0.5">
      <c r="B108" s="49" t="s">
        <v>67</v>
      </c>
      <c r="C108" s="50"/>
      <c r="D108" s="50"/>
      <c r="E108" s="51"/>
      <c r="F108" s="124">
        <v>1000</v>
      </c>
      <c r="G108" s="54"/>
      <c r="H108" s="54"/>
      <c r="I108" s="54"/>
      <c r="J108" s="54"/>
      <c r="K108" s="54"/>
      <c r="L108" s="5"/>
    </row>
    <row r="109" spans="2:12" x14ac:dyDescent="0.5">
      <c r="B109" s="49" t="s">
        <v>68</v>
      </c>
      <c r="C109" s="50"/>
      <c r="D109" s="50"/>
      <c r="E109" s="51"/>
      <c r="F109" s="124">
        <v>5000</v>
      </c>
      <c r="G109" s="54"/>
      <c r="H109" s="54"/>
      <c r="I109" s="54"/>
      <c r="J109" s="54"/>
      <c r="K109" s="54"/>
      <c r="L109" s="5"/>
    </row>
    <row r="110" spans="2:12" x14ac:dyDescent="0.5">
      <c r="B110" s="49" t="s">
        <v>69</v>
      </c>
      <c r="C110" s="50"/>
      <c r="D110" s="50"/>
      <c r="E110" s="51"/>
      <c r="F110" s="124">
        <v>-2000</v>
      </c>
      <c r="G110" s="54"/>
      <c r="H110" s="54"/>
      <c r="I110" s="54"/>
      <c r="J110" s="54"/>
      <c r="K110" s="54"/>
      <c r="L110" s="5"/>
    </row>
    <row r="111" spans="2:12" x14ac:dyDescent="0.5">
      <c r="B111" s="49" t="s">
        <v>70</v>
      </c>
      <c r="C111" s="50"/>
      <c r="D111" s="50"/>
      <c r="E111" s="51"/>
      <c r="F111" s="124">
        <v>-2000</v>
      </c>
      <c r="G111" s="54"/>
      <c r="H111" s="54"/>
      <c r="I111" s="54"/>
      <c r="J111" s="54"/>
      <c r="K111" s="54"/>
      <c r="L111" s="5"/>
    </row>
    <row r="112" spans="2:12" x14ac:dyDescent="0.5">
      <c r="B112" s="49" t="s">
        <v>71</v>
      </c>
      <c r="C112" s="50"/>
      <c r="D112" s="50"/>
      <c r="E112" s="51"/>
      <c r="F112" s="126">
        <f>SUM(F106:F111)</f>
        <v>-18000</v>
      </c>
      <c r="G112" s="52"/>
      <c r="H112" s="52"/>
      <c r="I112" s="52"/>
      <c r="J112" s="52"/>
      <c r="K112" s="52"/>
      <c r="L112" s="5"/>
    </row>
    <row r="113" spans="2:12" x14ac:dyDescent="0.5">
      <c r="B113" s="49"/>
      <c r="C113" s="50"/>
      <c r="D113" s="50"/>
      <c r="E113" s="51"/>
      <c r="F113" s="127"/>
      <c r="L113" s="5"/>
    </row>
    <row r="114" spans="2:12" x14ac:dyDescent="0.5">
      <c r="B114" s="13" t="s">
        <v>72</v>
      </c>
      <c r="C114" s="11"/>
      <c r="D114" s="11"/>
      <c r="E114" s="55"/>
      <c r="F114" s="128">
        <f>+F103+F112</f>
        <v>200800</v>
      </c>
      <c r="G114" s="55"/>
      <c r="H114" s="55"/>
      <c r="I114" s="55"/>
      <c r="J114" s="55"/>
      <c r="K114" s="55"/>
      <c r="L114" s="5"/>
    </row>
    <row r="115" spans="2:12" x14ac:dyDescent="0.5">
      <c r="B115" s="46"/>
      <c r="C115" s="44"/>
      <c r="D115" s="44"/>
      <c r="E115" s="44"/>
      <c r="F115" s="122"/>
      <c r="L115" s="5"/>
    </row>
    <row r="116" spans="2:12" x14ac:dyDescent="0.5">
      <c r="B116" s="53" t="s">
        <v>73</v>
      </c>
      <c r="C116" s="50"/>
      <c r="D116" s="50"/>
      <c r="E116" s="51"/>
      <c r="F116" s="127"/>
      <c r="L116" s="5"/>
    </row>
    <row r="117" spans="2:12" x14ac:dyDescent="0.5">
      <c r="B117" s="49" t="s">
        <v>74</v>
      </c>
      <c r="C117" s="50"/>
      <c r="D117" s="50"/>
      <c r="E117" s="51"/>
      <c r="F117" s="124">
        <v>-125000</v>
      </c>
      <c r="G117" s="54"/>
      <c r="H117" s="54"/>
      <c r="I117" s="54"/>
      <c r="J117" s="54"/>
      <c r="K117" s="54"/>
      <c r="L117" s="5"/>
    </row>
    <row r="118" spans="2:12" x14ac:dyDescent="0.5">
      <c r="B118" s="49" t="s">
        <v>75</v>
      </c>
      <c r="C118" s="50"/>
      <c r="D118" s="50"/>
      <c r="E118" s="51"/>
      <c r="F118" s="125">
        <v>-50000</v>
      </c>
      <c r="G118" s="54"/>
      <c r="H118" s="54"/>
      <c r="I118" s="54"/>
      <c r="J118" s="54"/>
      <c r="K118" s="54"/>
      <c r="L118" s="5"/>
    </row>
    <row r="119" spans="2:12" x14ac:dyDescent="0.5">
      <c r="B119" s="49" t="s">
        <v>76</v>
      </c>
      <c r="C119" s="50"/>
      <c r="D119" s="50"/>
      <c r="E119" s="51"/>
      <c r="F119" s="127">
        <f>SUM(F117:F118)</f>
        <v>-175000</v>
      </c>
      <c r="G119" s="91"/>
      <c r="H119" s="91"/>
      <c r="I119" s="91"/>
      <c r="J119" s="91"/>
      <c r="K119" s="91"/>
      <c r="L119" s="5"/>
    </row>
    <row r="120" spans="2:12" x14ac:dyDescent="0.5">
      <c r="B120" s="49"/>
      <c r="C120" s="50"/>
      <c r="D120" s="50"/>
      <c r="E120" s="51"/>
      <c r="F120" s="127"/>
      <c r="G120" s="51"/>
      <c r="H120" s="51"/>
      <c r="I120" s="51"/>
      <c r="J120" s="51"/>
      <c r="K120" s="51"/>
      <c r="L120" s="5"/>
    </row>
    <row r="121" spans="2:12" x14ac:dyDescent="0.5">
      <c r="B121" s="49" t="s">
        <v>77</v>
      </c>
      <c r="C121" s="50"/>
      <c r="D121" s="50"/>
      <c r="E121" s="51"/>
      <c r="F121" s="127">
        <f>+F114+F119</f>
        <v>25800</v>
      </c>
      <c r="G121" s="51"/>
      <c r="H121" s="51"/>
      <c r="I121" s="51"/>
      <c r="J121" s="51"/>
      <c r="K121" s="51"/>
      <c r="L121" s="5"/>
    </row>
    <row r="122" spans="2:12" x14ac:dyDescent="0.5">
      <c r="B122" s="46"/>
      <c r="C122" s="44"/>
      <c r="D122" s="44"/>
      <c r="E122" s="44"/>
      <c r="F122" s="122"/>
      <c r="L122" s="5"/>
    </row>
    <row r="123" spans="2:12" x14ac:dyDescent="0.5">
      <c r="B123" s="53" t="s">
        <v>78</v>
      </c>
      <c r="C123" s="44"/>
      <c r="D123" s="44"/>
      <c r="E123" s="48"/>
      <c r="F123" s="123"/>
      <c r="L123" s="5"/>
    </row>
    <row r="124" spans="2:12" x14ac:dyDescent="0.5">
      <c r="B124" s="46" t="s">
        <v>79</v>
      </c>
      <c r="C124" s="44"/>
      <c r="D124" s="44"/>
      <c r="E124" s="48"/>
      <c r="F124" s="129">
        <v>-10000</v>
      </c>
      <c r="G124" s="16"/>
      <c r="H124" s="16"/>
      <c r="I124" s="16"/>
      <c r="J124" s="16"/>
      <c r="K124" s="16"/>
      <c r="L124" s="5"/>
    </row>
    <row r="125" spans="2:12" x14ac:dyDescent="0.5">
      <c r="B125" s="49" t="s">
        <v>80</v>
      </c>
      <c r="C125" s="44"/>
      <c r="D125" s="44"/>
      <c r="E125" s="48"/>
      <c r="F125" s="129">
        <v>-20000</v>
      </c>
      <c r="G125" s="16"/>
      <c r="H125" s="16"/>
      <c r="I125" s="16"/>
      <c r="J125" s="16"/>
      <c r="K125" s="16"/>
      <c r="L125" s="5"/>
    </row>
    <row r="126" spans="2:12" x14ac:dyDescent="0.5">
      <c r="B126" s="46" t="s">
        <v>81</v>
      </c>
      <c r="C126" s="44"/>
      <c r="D126" s="44"/>
      <c r="E126" s="48"/>
      <c r="F126" s="130">
        <v>25000</v>
      </c>
      <c r="G126" s="25"/>
      <c r="H126" s="25"/>
      <c r="I126" s="25"/>
      <c r="J126" s="25"/>
      <c r="K126" s="25"/>
      <c r="L126" s="5"/>
    </row>
    <row r="127" spans="2:12" x14ac:dyDescent="0.5">
      <c r="B127" s="46" t="s">
        <v>76</v>
      </c>
      <c r="C127" s="44"/>
      <c r="D127" s="44"/>
      <c r="E127" s="48"/>
      <c r="F127" s="123">
        <f>SUM(F124:F126)</f>
        <v>-5000</v>
      </c>
      <c r="G127" s="48"/>
      <c r="H127" s="48"/>
      <c r="I127" s="48"/>
      <c r="J127" s="48"/>
      <c r="K127" s="48"/>
      <c r="L127" s="5"/>
    </row>
    <row r="128" spans="2:12" x14ac:dyDescent="0.5">
      <c r="B128" s="46"/>
      <c r="C128" s="44"/>
      <c r="D128" s="44"/>
      <c r="E128" s="48"/>
      <c r="F128" s="123"/>
      <c r="G128" s="16"/>
      <c r="H128" s="16"/>
      <c r="I128" s="16"/>
      <c r="J128" s="16"/>
      <c r="K128" s="16"/>
      <c r="L128" s="5"/>
    </row>
    <row r="129" spans="2:12" x14ac:dyDescent="0.5">
      <c r="B129" s="13" t="s">
        <v>82</v>
      </c>
      <c r="C129" s="44"/>
      <c r="D129" s="44"/>
      <c r="E129" s="48"/>
      <c r="F129" s="123">
        <f>+F121+F127</f>
        <v>20800</v>
      </c>
      <c r="G129" s="48"/>
      <c r="H129" s="48"/>
      <c r="I129" s="48"/>
      <c r="J129" s="48"/>
      <c r="K129" s="48"/>
      <c r="L129" s="5"/>
    </row>
    <row r="130" spans="2:12" x14ac:dyDescent="0.5">
      <c r="B130" s="46"/>
      <c r="C130" s="44"/>
      <c r="D130" s="44"/>
      <c r="E130" s="48"/>
      <c r="F130" s="123"/>
      <c r="G130" s="16"/>
      <c r="H130" s="16"/>
      <c r="I130" s="16"/>
      <c r="J130" s="16"/>
      <c r="K130" s="16"/>
      <c r="L130" s="5"/>
    </row>
    <row r="131" spans="2:12" x14ac:dyDescent="0.5">
      <c r="B131" s="46" t="s">
        <v>83</v>
      </c>
      <c r="C131" s="44"/>
      <c r="D131" s="44"/>
      <c r="E131" s="48"/>
      <c r="F131" s="129">
        <v>45000</v>
      </c>
      <c r="G131" s="16"/>
      <c r="H131" s="16"/>
      <c r="I131" s="16"/>
      <c r="J131" s="16"/>
      <c r="K131" s="16"/>
      <c r="L131" s="5"/>
    </row>
    <row r="132" spans="2:12" x14ac:dyDescent="0.5">
      <c r="B132" s="46"/>
      <c r="C132" s="44"/>
      <c r="D132" s="44"/>
      <c r="E132" s="48"/>
      <c r="F132" s="123"/>
      <c r="G132" s="16"/>
      <c r="H132" s="16"/>
      <c r="I132" s="16"/>
      <c r="J132" s="16"/>
      <c r="K132" s="16"/>
      <c r="L132" s="5"/>
    </row>
    <row r="133" spans="2:12" ht="14.7" thickBot="1" x14ac:dyDescent="0.55000000000000004">
      <c r="B133" s="46" t="s">
        <v>84</v>
      </c>
      <c r="C133" s="44"/>
      <c r="D133" s="44"/>
      <c r="E133" s="48"/>
      <c r="F133" s="131">
        <f>+F129+F131</f>
        <v>65800</v>
      </c>
      <c r="G133" s="56"/>
      <c r="H133" s="56"/>
      <c r="I133" s="56"/>
      <c r="J133" s="56"/>
      <c r="K133" s="56"/>
      <c r="L133" s="5"/>
    </row>
    <row r="134" spans="2:12" ht="15" thickTop="1" thickBot="1" x14ac:dyDescent="0.55000000000000004">
      <c r="B134" s="57"/>
      <c r="C134" s="58"/>
      <c r="D134" s="58"/>
      <c r="E134" s="58"/>
      <c r="F134" s="132"/>
      <c r="G134" s="59"/>
      <c r="H134" s="59"/>
      <c r="I134" s="59"/>
      <c r="J134" s="59"/>
      <c r="K134" s="59"/>
      <c r="L134" s="31"/>
    </row>
    <row r="135" spans="2:12" x14ac:dyDescent="0.5">
      <c r="B135" s="44"/>
      <c r="C135" s="44"/>
      <c r="D135" s="44"/>
      <c r="E135" s="44"/>
      <c r="F135" s="44"/>
    </row>
  </sheetData>
  <mergeCells count="5">
    <mergeCell ref="D5:F5"/>
    <mergeCell ref="G5:K5"/>
    <mergeCell ref="D47:F47"/>
    <mergeCell ref="G47:K47"/>
    <mergeCell ref="G96:K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7D0DD-56B2-4EA9-AB31-515F6AD842D3}">
  <dimension ref="B1:L44"/>
  <sheetViews>
    <sheetView topLeftCell="A7" workbookViewId="0">
      <selection activeCell="D26" sqref="D26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6" max="6" width="10.1171875" customWidth="1"/>
    <col min="7" max="11" width="10.41015625" customWidth="1"/>
    <col min="12" max="12" width="3.703125" customWidth="1"/>
  </cols>
  <sheetData>
    <row r="1" spans="2:12" ht="14.7" thickBot="1" x14ac:dyDescent="0.55000000000000004"/>
    <row r="2" spans="2:12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5">
      <c r="B3" s="32" t="s">
        <v>37</v>
      </c>
      <c r="L3" s="5"/>
    </row>
    <row r="4" spans="2:12" x14ac:dyDescent="0.5">
      <c r="B4" s="6"/>
      <c r="L4" s="5"/>
    </row>
    <row r="5" spans="2:12" ht="14.7" thickBot="1" x14ac:dyDescent="0.55000000000000004">
      <c r="B5" s="6"/>
      <c r="D5" s="146" t="s">
        <v>2</v>
      </c>
      <c r="E5" s="146"/>
      <c r="F5" s="146"/>
      <c r="G5" s="146" t="s">
        <v>3</v>
      </c>
      <c r="H5" s="146"/>
      <c r="I5" s="146"/>
      <c r="J5" s="146"/>
      <c r="K5" s="146"/>
      <c r="L5" s="5"/>
    </row>
    <row r="6" spans="2:12" ht="14.7" thickBot="1" x14ac:dyDescent="0.55000000000000004">
      <c r="B6" s="7" t="s">
        <v>4</v>
      </c>
      <c r="D6" s="8" t="s">
        <v>5</v>
      </c>
      <c r="E6" s="9"/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5"/>
    </row>
    <row r="7" spans="2:12" x14ac:dyDescent="0.5">
      <c r="B7" s="13" t="s">
        <v>12</v>
      </c>
      <c r="L7" s="5"/>
    </row>
    <row r="8" spans="2:12" x14ac:dyDescent="0.5">
      <c r="B8" s="13" t="s">
        <v>38</v>
      </c>
      <c r="L8" s="5"/>
    </row>
    <row r="9" spans="2:12" x14ac:dyDescent="0.5">
      <c r="B9" s="6" t="s">
        <v>13</v>
      </c>
      <c r="C9" s="33"/>
      <c r="F9" s="34">
        <f>+F15/D15-1</f>
        <v>7.4999999999999956E-2</v>
      </c>
      <c r="G9" s="35">
        <v>0.05</v>
      </c>
      <c r="H9" s="35">
        <v>4.4999999999999998E-2</v>
      </c>
      <c r="I9" s="35">
        <v>0.03</v>
      </c>
      <c r="J9" s="35">
        <v>2.5000000000000001E-2</v>
      </c>
      <c r="K9" s="35">
        <v>0.02</v>
      </c>
      <c r="L9" s="5"/>
    </row>
    <row r="10" spans="2:12" x14ac:dyDescent="0.5">
      <c r="B10" s="6" t="s">
        <v>14</v>
      </c>
      <c r="C10" s="33"/>
      <c r="F10" s="34">
        <f>+F16/D16-1</f>
        <v>0.10869565217391308</v>
      </c>
      <c r="G10" s="35">
        <v>0.1</v>
      </c>
      <c r="H10" s="35">
        <v>0.08</v>
      </c>
      <c r="I10" s="35">
        <v>0.06</v>
      </c>
      <c r="J10" s="35">
        <v>0.04</v>
      </c>
      <c r="K10" s="35">
        <v>0.02</v>
      </c>
      <c r="L10" s="5"/>
    </row>
    <row r="11" spans="2:12" x14ac:dyDescent="0.5">
      <c r="B11" s="6" t="s">
        <v>15</v>
      </c>
      <c r="C11" s="33"/>
      <c r="F11" s="34">
        <f>+F17/D17-1</f>
        <v>0.21951219512195119</v>
      </c>
      <c r="G11" s="35">
        <v>0.2</v>
      </c>
      <c r="H11" s="35">
        <v>0.18</v>
      </c>
      <c r="I11" s="35">
        <v>0.15</v>
      </c>
      <c r="J11" s="35">
        <v>0.12</v>
      </c>
      <c r="K11" s="35">
        <v>0.08</v>
      </c>
      <c r="L11" s="5"/>
    </row>
    <row r="12" spans="2:12" x14ac:dyDescent="0.5">
      <c r="B12" s="6" t="s">
        <v>39</v>
      </c>
      <c r="C12" s="12"/>
      <c r="F12" s="36">
        <f>+'[1]Fig. 16.10'!F12/'[1]Fig. 16.10'!D12-1</f>
        <v>0.15625</v>
      </c>
      <c r="G12" s="37">
        <f>+'[1]Fig. 16.10'!H12/'[1]Fig. 16.10'!F12-1</f>
        <v>0.10643243243243239</v>
      </c>
      <c r="H12" s="37">
        <f>+'[1]Fig. 16.10'!I12/'[1]Fig. 16.10'!H12-1</f>
        <v>9.4500503199960839E-2</v>
      </c>
      <c r="I12" s="37">
        <f>+'[1]Fig. 16.10'!J12/'[1]Fig. 16.10'!I12-1</f>
        <v>7.3440795438328488E-2</v>
      </c>
      <c r="J12" s="37">
        <f>+'[1]Fig. 16.10'!K12/'[1]Fig. 16.10'!J12-1</f>
        <v>5.9843112714663249E-2</v>
      </c>
      <c r="K12" s="37">
        <f>+'[1]Fig. 16.10'!L12/'[1]Fig. 16.10'!K12-1</f>
        <v>4.9627524074720375E-2</v>
      </c>
      <c r="L12" s="5"/>
    </row>
    <row r="13" spans="2:12" x14ac:dyDescent="0.5">
      <c r="B13" s="6"/>
      <c r="C13" s="12"/>
      <c r="L13" s="5"/>
    </row>
    <row r="14" spans="2:12" x14ac:dyDescent="0.5">
      <c r="B14" s="13" t="s">
        <v>40</v>
      </c>
      <c r="L14" s="5"/>
    </row>
    <row r="15" spans="2:12" x14ac:dyDescent="0.5">
      <c r="B15" s="6" t="s">
        <v>13</v>
      </c>
      <c r="C15" s="33"/>
      <c r="D15" s="135">
        <v>16000</v>
      </c>
      <c r="E15" s="136"/>
      <c r="F15" s="135">
        <v>17200</v>
      </c>
      <c r="G15" s="16">
        <f>+F15*(1+G9)</f>
        <v>18060</v>
      </c>
      <c r="H15" s="16">
        <f t="shared" ref="H15:K15" si="0">+G15*(1+H9)</f>
        <v>18872.699999999997</v>
      </c>
      <c r="I15" s="16">
        <f t="shared" si="0"/>
        <v>19438.880999999998</v>
      </c>
      <c r="J15" s="16">
        <f t="shared" si="0"/>
        <v>19924.853024999997</v>
      </c>
      <c r="K15" s="16">
        <f t="shared" si="0"/>
        <v>20323.350085499998</v>
      </c>
      <c r="L15" s="5"/>
    </row>
    <row r="16" spans="2:12" x14ac:dyDescent="0.5">
      <c r="B16" s="6" t="s">
        <v>14</v>
      </c>
      <c r="C16" s="33"/>
      <c r="D16" s="135">
        <v>2300</v>
      </c>
      <c r="E16" s="136"/>
      <c r="F16" s="135">
        <v>2550</v>
      </c>
      <c r="G16" s="16">
        <f t="shared" ref="G16:K17" si="1">+F16*(1+G10)</f>
        <v>2805</v>
      </c>
      <c r="H16" s="16">
        <f t="shared" si="1"/>
        <v>3029.4</v>
      </c>
      <c r="I16" s="16">
        <f t="shared" si="1"/>
        <v>3211.1640000000002</v>
      </c>
      <c r="J16" s="16">
        <f t="shared" si="1"/>
        <v>3339.6105600000005</v>
      </c>
      <c r="K16" s="16">
        <f t="shared" si="1"/>
        <v>3406.4027712000006</v>
      </c>
      <c r="L16" s="5"/>
    </row>
    <row r="17" spans="2:12" x14ac:dyDescent="0.5">
      <c r="B17" s="6" t="s">
        <v>15</v>
      </c>
      <c r="C17" s="33"/>
      <c r="D17" s="135">
        <v>820</v>
      </c>
      <c r="E17" s="136"/>
      <c r="F17" s="135">
        <v>1000</v>
      </c>
      <c r="G17" s="16">
        <f t="shared" si="1"/>
        <v>1200</v>
      </c>
      <c r="H17" s="16">
        <f t="shared" si="1"/>
        <v>1416</v>
      </c>
      <c r="I17" s="16">
        <f t="shared" si="1"/>
        <v>1628.3999999999999</v>
      </c>
      <c r="J17" s="16">
        <f t="shared" si="1"/>
        <v>1823.808</v>
      </c>
      <c r="K17" s="16">
        <f t="shared" si="1"/>
        <v>1969.7126400000002</v>
      </c>
      <c r="L17" s="5"/>
    </row>
    <row r="18" spans="2:12" x14ac:dyDescent="0.5">
      <c r="B18" s="6" t="s">
        <v>41</v>
      </c>
      <c r="C18" s="12"/>
      <c r="D18" s="23">
        <f>SUM(D15:D17)</f>
        <v>19120</v>
      </c>
      <c r="F18" s="23">
        <f t="shared" ref="F18:K18" si="2">SUM(F15:F17)</f>
        <v>20750</v>
      </c>
      <c r="G18" s="23">
        <f t="shared" si="2"/>
        <v>22065</v>
      </c>
      <c r="H18" s="23">
        <f t="shared" si="2"/>
        <v>23318.1</v>
      </c>
      <c r="I18" s="23">
        <f t="shared" si="2"/>
        <v>24278.445</v>
      </c>
      <c r="J18" s="23">
        <f t="shared" si="2"/>
        <v>25088.271584999999</v>
      </c>
      <c r="K18" s="23">
        <f t="shared" si="2"/>
        <v>25699.465496699999</v>
      </c>
      <c r="L18" s="5"/>
    </row>
    <row r="19" spans="2:12" x14ac:dyDescent="0.5">
      <c r="B19" s="6"/>
      <c r="C19" s="12"/>
      <c r="L19" s="5"/>
    </row>
    <row r="20" spans="2:12" x14ac:dyDescent="0.5">
      <c r="B20" s="13" t="s">
        <v>42</v>
      </c>
      <c r="L20" s="5"/>
    </row>
    <row r="21" spans="2:12" x14ac:dyDescent="0.5">
      <c r="B21" s="6" t="s">
        <v>13</v>
      </c>
      <c r="C21" s="33"/>
      <c r="F21" s="34">
        <f>+F27/D27-1</f>
        <v>6.976744186046524E-2</v>
      </c>
      <c r="G21" s="35">
        <v>0.04</v>
      </c>
      <c r="H21" s="35">
        <v>3.5000000000000003E-2</v>
      </c>
      <c r="I21" s="35">
        <v>0.03</v>
      </c>
      <c r="J21" s="35">
        <v>2.5000000000000001E-2</v>
      </c>
      <c r="K21" s="35">
        <f>+J21</f>
        <v>2.5000000000000001E-2</v>
      </c>
      <c r="L21" s="5"/>
    </row>
    <row r="22" spans="2:12" x14ac:dyDescent="0.5">
      <c r="B22" s="6" t="s">
        <v>14</v>
      </c>
      <c r="C22" s="33"/>
      <c r="F22" s="34">
        <f>+F28/D28-1</f>
        <v>5.2287581699346442E-2</v>
      </c>
      <c r="G22" s="35">
        <v>0.05</v>
      </c>
      <c r="H22" s="35">
        <v>4.4999999999999998E-2</v>
      </c>
      <c r="I22" s="35">
        <v>0.04</v>
      </c>
      <c r="J22" s="35">
        <v>0.03</v>
      </c>
      <c r="K22" s="35">
        <v>2.5000000000000001E-2</v>
      </c>
      <c r="L22" s="5"/>
    </row>
    <row r="23" spans="2:12" x14ac:dyDescent="0.5">
      <c r="B23" s="6" t="s">
        <v>15</v>
      </c>
      <c r="C23" s="33"/>
      <c r="F23" s="34">
        <f>+F29/D29-1</f>
        <v>2.4999999999999911E-2</v>
      </c>
      <c r="G23" s="35">
        <v>0.03</v>
      </c>
      <c r="H23" s="35">
        <f>+G23</f>
        <v>0.03</v>
      </c>
      <c r="I23" s="35">
        <f>+H23</f>
        <v>0.03</v>
      </c>
      <c r="J23" s="35">
        <f>+I23</f>
        <v>0.03</v>
      </c>
      <c r="K23" s="35">
        <v>2.5000000000000001E-2</v>
      </c>
      <c r="L23" s="5"/>
    </row>
    <row r="24" spans="2:12" x14ac:dyDescent="0.5">
      <c r="B24" s="6" t="s">
        <v>43</v>
      </c>
      <c r="C24" s="12"/>
      <c r="F24" s="24"/>
      <c r="G24" s="36">
        <f>+G30/F30-1</f>
        <v>4.0492770132471101E-2</v>
      </c>
      <c r="H24" s="36">
        <f>+H30/G30-1</f>
        <v>3.5682735862147208E-2</v>
      </c>
      <c r="I24" s="36">
        <f>+I30/H30-1</f>
        <v>3.0980353647463321E-2</v>
      </c>
      <c r="J24" s="36">
        <f>+J30/I30-1</f>
        <v>2.5632341131711645E-2</v>
      </c>
      <c r="K24" s="36">
        <f>+K30/J30-1</f>
        <v>2.4664905597320708E-2</v>
      </c>
      <c r="L24" s="5"/>
    </row>
    <row r="25" spans="2:12" x14ac:dyDescent="0.5">
      <c r="B25" s="6"/>
      <c r="C25" s="12"/>
      <c r="L25" s="5"/>
    </row>
    <row r="26" spans="2:12" x14ac:dyDescent="0.5">
      <c r="B26" s="13" t="s">
        <v>44</v>
      </c>
      <c r="L26" s="5"/>
    </row>
    <row r="27" spans="2:12" x14ac:dyDescent="0.5">
      <c r="B27" s="6" t="s">
        <v>13</v>
      </c>
      <c r="C27" s="33"/>
      <c r="D27" s="38">
        <f>+'FINANCIAL MODEL'!D9/'REVENUE ASSUMPTIONS'!D15</f>
        <v>50</v>
      </c>
      <c r="F27" s="38">
        <f>+'FINANCIAL MODEL'!F9/'REVENUE ASSUMPTIONS'!F15</f>
        <v>53.488372093023258</v>
      </c>
      <c r="G27" s="39">
        <f>+F27*(1+G21)</f>
        <v>55.627906976744192</v>
      </c>
      <c r="H27" s="39">
        <f t="shared" ref="H27:K27" si="3">+G27*(1+H21)</f>
        <v>57.574883720930238</v>
      </c>
      <c r="I27" s="39">
        <f t="shared" si="3"/>
        <v>59.302130232558149</v>
      </c>
      <c r="J27" s="39">
        <f t="shared" si="3"/>
        <v>60.784683488372096</v>
      </c>
      <c r="K27" s="39">
        <f t="shared" si="3"/>
        <v>62.304300575581394</v>
      </c>
      <c r="L27" s="5"/>
    </row>
    <row r="28" spans="2:12" x14ac:dyDescent="0.5">
      <c r="B28" s="6" t="s">
        <v>14</v>
      </c>
      <c r="C28" s="33"/>
      <c r="D28" s="38">
        <f>+'FINANCIAL MODEL'!D10/'REVENUE ASSUMPTIONS'!D16</f>
        <v>52.173913043478258</v>
      </c>
      <c r="F28" s="38">
        <f>+'FINANCIAL MODEL'!F10/'REVENUE ASSUMPTIONS'!F16</f>
        <v>54.901960784313722</v>
      </c>
      <c r="G28" s="39">
        <f t="shared" ref="G28:K29" si="4">+F28*(1+G22)</f>
        <v>57.647058823529413</v>
      </c>
      <c r="H28" s="39">
        <f t="shared" si="4"/>
        <v>60.241176470588229</v>
      </c>
      <c r="I28" s="39">
        <f t="shared" si="4"/>
        <v>62.65082352941176</v>
      </c>
      <c r="J28" s="39">
        <f t="shared" si="4"/>
        <v>64.530348235294113</v>
      </c>
      <c r="K28" s="39">
        <f t="shared" si="4"/>
        <v>66.143606941176458</v>
      </c>
      <c r="L28" s="5"/>
    </row>
    <row r="29" spans="2:12" x14ac:dyDescent="0.5">
      <c r="B29" s="6" t="s">
        <v>15</v>
      </c>
      <c r="C29" s="33"/>
      <c r="D29" s="38">
        <f>+'FINANCIAL MODEL'!D11/'REVENUE ASSUMPTIONS'!D17</f>
        <v>48.780487804878049</v>
      </c>
      <c r="F29" s="38">
        <f>+'FINANCIAL MODEL'!F11/'REVENUE ASSUMPTIONS'!F17</f>
        <v>50</v>
      </c>
      <c r="G29" s="39">
        <f t="shared" si="4"/>
        <v>51.5</v>
      </c>
      <c r="H29" s="39">
        <f t="shared" si="4"/>
        <v>53.045000000000002</v>
      </c>
      <c r="I29" s="39">
        <f t="shared" si="4"/>
        <v>54.63635</v>
      </c>
      <c r="J29" s="39">
        <f t="shared" si="4"/>
        <v>56.275440500000002</v>
      </c>
      <c r="K29" s="39">
        <f t="shared" si="4"/>
        <v>57.682326512499998</v>
      </c>
      <c r="L29" s="5"/>
    </row>
    <row r="30" spans="2:12" x14ac:dyDescent="0.5">
      <c r="B30" s="6" t="s">
        <v>45</v>
      </c>
      <c r="C30" s="12"/>
      <c r="D30" s="40">
        <f>+'FINANCIAL MODEL'!D12/'REVENUE ASSUMPTIONS'!D18</f>
        <v>50.2092050209205</v>
      </c>
      <c r="F30" s="40">
        <f>+'[1]Fig. 16.10'!F12/F18</f>
        <v>53.493975903614455</v>
      </c>
      <c r="G30" s="40">
        <f>+'[1]Fig. 16.10'!H12/G18</f>
        <v>55.660095173351465</v>
      </c>
      <c r="H30" s="40">
        <f>+'[1]Fig. 16.10'!I12/H18</f>
        <v>57.646199647484146</v>
      </c>
      <c r="I30" s="40">
        <f>+'[1]Fig. 16.10'!J12/I18</f>
        <v>59.432099298995475</v>
      </c>
      <c r="J30" s="40">
        <f>+'[1]Fig. 16.10'!K12/J18</f>
        <v>60.955483142401093</v>
      </c>
      <c r="K30" s="40">
        <f>+'[1]Fig. 16.10'!L12/K18</f>
        <v>62.458944379747493</v>
      </c>
      <c r="L30" s="5"/>
    </row>
    <row r="31" spans="2:12" x14ac:dyDescent="0.5">
      <c r="B31" s="6"/>
      <c r="C31" s="12"/>
      <c r="L31" s="5"/>
    </row>
    <row r="32" spans="2:12" x14ac:dyDescent="0.5">
      <c r="B32" s="13" t="s">
        <v>48</v>
      </c>
      <c r="C32" s="12"/>
      <c r="L32" s="5"/>
    </row>
    <row r="33" spans="2:12" x14ac:dyDescent="0.5">
      <c r="B33" s="6" t="s">
        <v>13</v>
      </c>
      <c r="C33" s="12"/>
      <c r="D33" s="22">
        <f>+D27*D15</f>
        <v>800000</v>
      </c>
      <c r="F33" s="22">
        <f t="shared" ref="F33" si="5">+F27*F15</f>
        <v>920000</v>
      </c>
      <c r="G33" s="22">
        <f>+G15*G27</f>
        <v>1004640.0000000001</v>
      </c>
      <c r="H33" s="22">
        <f t="shared" ref="H33:K33" si="6">+H15*H27</f>
        <v>1086593.5079999999</v>
      </c>
      <c r="I33" s="22">
        <f t="shared" si="6"/>
        <v>1152767.0526372001</v>
      </c>
      <c r="J33" s="22">
        <f t="shared" si="6"/>
        <v>1211125.8846769582</v>
      </c>
      <c r="K33" s="22">
        <f t="shared" si="6"/>
        <v>1266232.1124297597</v>
      </c>
      <c r="L33" s="5"/>
    </row>
    <row r="34" spans="2:12" x14ac:dyDescent="0.5">
      <c r="B34" s="6" t="s">
        <v>14</v>
      </c>
      <c r="C34" s="12"/>
      <c r="D34" s="22">
        <f>+D28*D16</f>
        <v>120000</v>
      </c>
      <c r="F34" s="22">
        <f t="shared" ref="F34" si="7">+F28*F16</f>
        <v>140000</v>
      </c>
      <c r="G34" s="22">
        <f t="shared" ref="G34:K35" si="8">+G16*G28</f>
        <v>161700</v>
      </c>
      <c r="H34" s="22">
        <f t="shared" si="8"/>
        <v>182494.62</v>
      </c>
      <c r="I34" s="22">
        <f t="shared" si="8"/>
        <v>201182.06908799999</v>
      </c>
      <c r="J34" s="22">
        <f t="shared" si="8"/>
        <v>215506.23240706563</v>
      </c>
      <c r="K34" s="22">
        <f t="shared" si="8"/>
        <v>225311.76598158709</v>
      </c>
      <c r="L34" s="5"/>
    </row>
    <row r="35" spans="2:12" x14ac:dyDescent="0.5">
      <c r="B35" s="6" t="s">
        <v>15</v>
      </c>
      <c r="C35" s="12"/>
      <c r="D35" s="22">
        <f>+D29*D17</f>
        <v>40000</v>
      </c>
      <c r="F35" s="22">
        <f t="shared" ref="F35" si="9">+F29*F17</f>
        <v>50000</v>
      </c>
      <c r="G35" s="22">
        <f t="shared" si="8"/>
        <v>61800</v>
      </c>
      <c r="H35" s="22">
        <f t="shared" si="8"/>
        <v>75111.72</v>
      </c>
      <c r="I35" s="22">
        <f t="shared" si="8"/>
        <v>88969.832339999994</v>
      </c>
      <c r="J35" s="22">
        <f t="shared" si="8"/>
        <v>102635.598587424</v>
      </c>
      <c r="K35" s="22">
        <f t="shared" si="8"/>
        <v>113617.60763627838</v>
      </c>
      <c r="L35" s="5"/>
    </row>
    <row r="36" spans="2:12" ht="14.7" thickBot="1" x14ac:dyDescent="0.55000000000000004">
      <c r="B36" s="6" t="s">
        <v>47</v>
      </c>
      <c r="C36" s="12"/>
      <c r="D36" s="28">
        <f>SUM(D33:D35)</f>
        <v>960000</v>
      </c>
      <c r="F36" s="28">
        <f t="shared" ref="F36:K36" si="10">SUM(F33:F35)</f>
        <v>1110000</v>
      </c>
      <c r="G36" s="28">
        <f t="shared" si="10"/>
        <v>1228140</v>
      </c>
      <c r="H36" s="28">
        <f t="shared" si="10"/>
        <v>1344199.848</v>
      </c>
      <c r="I36" s="28">
        <f t="shared" si="10"/>
        <v>1442918.9540652002</v>
      </c>
      <c r="J36" s="28">
        <f t="shared" si="10"/>
        <v>1529267.7156714478</v>
      </c>
      <c r="K36" s="28">
        <f t="shared" si="10"/>
        <v>1605161.4860476251</v>
      </c>
      <c r="L36" s="5"/>
    </row>
    <row r="37" spans="2:12" ht="14.7" thickTop="1" x14ac:dyDescent="0.5">
      <c r="B37" s="6"/>
      <c r="C37" s="12"/>
      <c r="L37" s="5"/>
    </row>
    <row r="38" spans="2:12" x14ac:dyDescent="0.5">
      <c r="B38" s="13" t="s">
        <v>46</v>
      </c>
      <c r="L38" s="5"/>
    </row>
    <row r="39" spans="2:12" x14ac:dyDescent="0.5">
      <c r="B39" s="6" t="s">
        <v>13</v>
      </c>
      <c r="C39" s="33"/>
      <c r="F39" s="34">
        <f>+'FINANCIAL MODEL'!F9/'FINANCIAL MODEL'!D9-1</f>
        <v>0.14999999999999991</v>
      </c>
      <c r="G39" s="34">
        <f>+'[1]Fig. 16.10'!H9/'[1]Fig. 16.10'!F9-1</f>
        <v>9.2000000000000082E-2</v>
      </c>
      <c r="H39" s="34">
        <f>+'[1]Fig. 16.10'!I9/'[1]Fig. 16.10'!H9-1</f>
        <v>8.1574999999999731E-2</v>
      </c>
      <c r="I39" s="34">
        <f>+'[1]Fig. 16.10'!J9/'[1]Fig. 16.10'!I9-1</f>
        <v>6.0900000000000176E-2</v>
      </c>
      <c r="J39" s="34">
        <f>+'[1]Fig. 16.10'!K9/'[1]Fig. 16.10'!J9-1</f>
        <v>5.062499999999992E-2</v>
      </c>
      <c r="K39" s="34">
        <f>+'[1]Fig. 16.10'!L9/'[1]Fig. 16.10'!K9-1</f>
        <v>4.5499999999999874E-2</v>
      </c>
      <c r="L39" s="5"/>
    </row>
    <row r="40" spans="2:12" x14ac:dyDescent="0.5">
      <c r="B40" s="6" t="s">
        <v>14</v>
      </c>
      <c r="C40" s="33"/>
      <c r="F40" s="34">
        <f>+'FINANCIAL MODEL'!F10/'FINANCIAL MODEL'!D10-1</f>
        <v>0.16666666666666674</v>
      </c>
      <c r="G40" s="34">
        <f>+'[1]Fig. 16.10'!H10/'[1]Fig. 16.10'!F10-1</f>
        <v>0.15500000000000003</v>
      </c>
      <c r="H40" s="34">
        <f>+'[1]Fig. 16.10'!I10/'[1]Fig. 16.10'!H10-1</f>
        <v>0.12860000000000005</v>
      </c>
      <c r="I40" s="34">
        <f>+'[1]Fig. 16.10'!J10/'[1]Fig. 16.10'!I10-1</f>
        <v>0.10240000000000005</v>
      </c>
      <c r="J40" s="34">
        <f>+'[1]Fig. 16.10'!K10/'[1]Fig. 16.10'!J10-1</f>
        <v>7.1200000000000152E-2</v>
      </c>
      <c r="K40" s="34">
        <f>+'[1]Fig. 16.10'!L10/'[1]Fig. 16.10'!K10-1</f>
        <v>4.5499999999999874E-2</v>
      </c>
      <c r="L40" s="5"/>
    </row>
    <row r="41" spans="2:12" x14ac:dyDescent="0.5">
      <c r="B41" s="6" t="s">
        <v>15</v>
      </c>
      <c r="C41" s="33"/>
      <c r="F41" s="34">
        <f>+'FINANCIAL MODEL'!F11/'FINANCIAL MODEL'!D11-1</f>
        <v>0.25</v>
      </c>
      <c r="G41" s="34">
        <f>+'[1]Fig. 16.10'!H11/'[1]Fig. 16.10'!F11-1</f>
        <v>0.23599999999999999</v>
      </c>
      <c r="H41" s="34">
        <f>+'[1]Fig. 16.10'!I11/'[1]Fig. 16.10'!H11-1</f>
        <v>0.21540000000000004</v>
      </c>
      <c r="I41" s="34">
        <f>+'[1]Fig. 16.10'!J11/'[1]Fig. 16.10'!I11-1</f>
        <v>0.18449999999999989</v>
      </c>
      <c r="J41" s="34">
        <f>+'[1]Fig. 16.10'!K11/'[1]Fig. 16.10'!J11-1</f>
        <v>0.15360000000000018</v>
      </c>
      <c r="K41" s="34">
        <f>+'[1]Fig. 16.10'!L11/'[1]Fig. 16.10'!K11-1</f>
        <v>0.10700000000000021</v>
      </c>
      <c r="L41" s="5"/>
    </row>
    <row r="42" spans="2:12" x14ac:dyDescent="0.5">
      <c r="B42" s="6" t="s">
        <v>43</v>
      </c>
      <c r="C42" s="12"/>
      <c r="F42" s="36">
        <f>+'[1]Fig. 16.10'!F12/'[1]Fig. 16.10'!D12-1</f>
        <v>0.15625</v>
      </c>
      <c r="G42" s="36">
        <f>+'[1]Fig. 16.10'!H12/'[1]Fig. 16.10'!F12-1</f>
        <v>0.10643243243243239</v>
      </c>
      <c r="H42" s="36">
        <f>+'[1]Fig. 16.10'!I12/'[1]Fig. 16.10'!H12-1</f>
        <v>9.4500503199960839E-2</v>
      </c>
      <c r="I42" s="36">
        <f>+'[1]Fig. 16.10'!J12/'[1]Fig. 16.10'!I12-1</f>
        <v>7.3440795438328488E-2</v>
      </c>
      <c r="J42" s="36">
        <f>+'[1]Fig. 16.10'!K12/'[1]Fig. 16.10'!J12-1</f>
        <v>5.9843112714663249E-2</v>
      </c>
      <c r="K42" s="36">
        <f>+'[1]Fig. 16.10'!L12/'[1]Fig. 16.10'!K12-1</f>
        <v>4.9627524074720375E-2</v>
      </c>
      <c r="L42" s="5"/>
    </row>
    <row r="43" spans="2:12" ht="14.7" thickBot="1" x14ac:dyDescent="0.55000000000000004">
      <c r="B43" s="29"/>
      <c r="C43" s="41"/>
      <c r="D43" s="30"/>
      <c r="E43" s="30"/>
      <c r="F43" s="30"/>
      <c r="G43" s="30"/>
      <c r="H43" s="30"/>
      <c r="I43" s="30"/>
      <c r="J43" s="30"/>
      <c r="K43" s="30"/>
      <c r="L43" s="31"/>
    </row>
    <row r="44" spans="2:12" x14ac:dyDescent="0.5">
      <c r="K44" s="42"/>
    </row>
  </sheetData>
  <mergeCells count="2">
    <mergeCell ref="D5:F5"/>
    <mergeCell ref="G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591BE-9011-4224-BCE3-0C56EF40586E}">
  <dimension ref="B1:L25"/>
  <sheetViews>
    <sheetView topLeftCell="A7" workbookViewId="0">
      <selection activeCell="G24" sqref="G24:K24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11" width="10.41015625" customWidth="1"/>
    <col min="12" max="12" width="3.703125" customWidth="1"/>
  </cols>
  <sheetData>
    <row r="1" spans="2:12" ht="14.7" thickBot="1" x14ac:dyDescent="0.55000000000000004"/>
    <row r="2" spans="2:12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5">
      <c r="B3" s="32" t="s">
        <v>49</v>
      </c>
      <c r="L3" s="5"/>
    </row>
    <row r="4" spans="2:12" ht="14.7" thickBot="1" x14ac:dyDescent="0.55000000000000004">
      <c r="B4" s="6"/>
      <c r="C4" s="12"/>
      <c r="D4" s="146" t="s">
        <v>2</v>
      </c>
      <c r="E4" s="146"/>
      <c r="F4" s="146"/>
      <c r="G4" s="146" t="s">
        <v>3</v>
      </c>
      <c r="H4" s="146"/>
      <c r="I4" s="146"/>
      <c r="J4" s="146"/>
      <c r="K4" s="146"/>
      <c r="L4" s="5"/>
    </row>
    <row r="5" spans="2:12" ht="14.7" thickBot="1" x14ac:dyDescent="0.55000000000000004">
      <c r="B5" s="7" t="s">
        <v>4</v>
      </c>
      <c r="C5" s="12"/>
      <c r="D5" s="8" t="s">
        <v>5</v>
      </c>
      <c r="E5" s="9"/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5"/>
    </row>
    <row r="6" spans="2:12" x14ac:dyDescent="0.5">
      <c r="B6" s="13" t="s">
        <v>50</v>
      </c>
      <c r="C6" s="12"/>
      <c r="L6" s="5"/>
    </row>
    <row r="7" spans="2:12" x14ac:dyDescent="0.5">
      <c r="B7" s="6" t="str">
        <f>+'[1]Fig. 16.1'!B9</f>
        <v xml:space="preserve">  U.S.</v>
      </c>
      <c r="C7" s="33"/>
      <c r="D7" s="34">
        <f>+'FINANCIAL MODEL'!D16/'FINANCIAL MODEL'!D9</f>
        <v>0.36625000000000002</v>
      </c>
      <c r="F7" s="34">
        <f>+'FINANCIAL MODEL'!F16/'FINANCIAL MODEL'!F9</f>
        <v>0.38043478260869568</v>
      </c>
      <c r="G7" s="35">
        <v>0.38</v>
      </c>
      <c r="H7" s="35">
        <f t="shared" ref="H7:K9" si="0">+G7</f>
        <v>0.38</v>
      </c>
      <c r="I7" s="35">
        <f t="shared" si="0"/>
        <v>0.38</v>
      </c>
      <c r="J7" s="35">
        <f t="shared" si="0"/>
        <v>0.38</v>
      </c>
      <c r="K7" s="35">
        <f t="shared" si="0"/>
        <v>0.38</v>
      </c>
      <c r="L7" s="5"/>
    </row>
    <row r="8" spans="2:12" x14ac:dyDescent="0.5">
      <c r="B8" s="6" t="str">
        <f>+'[1]Fig. 16.1'!B10</f>
        <v xml:space="preserve">  Europe</v>
      </c>
      <c r="C8" s="33"/>
      <c r="D8" s="34">
        <f>+'FINANCIAL MODEL'!D17/'FINANCIAL MODEL'!D10</f>
        <v>0.32500000000000001</v>
      </c>
      <c r="F8" s="34">
        <f>+'FINANCIAL MODEL'!F17/'FINANCIAL MODEL'!F10</f>
        <v>0.35714285714285715</v>
      </c>
      <c r="G8" s="35">
        <v>0.35</v>
      </c>
      <c r="H8" s="35">
        <f t="shared" si="0"/>
        <v>0.35</v>
      </c>
      <c r="I8" s="35">
        <f t="shared" si="0"/>
        <v>0.35</v>
      </c>
      <c r="J8" s="35">
        <f t="shared" si="0"/>
        <v>0.35</v>
      </c>
      <c r="K8" s="35">
        <f t="shared" si="0"/>
        <v>0.35</v>
      </c>
      <c r="L8" s="5"/>
    </row>
    <row r="9" spans="2:12" x14ac:dyDescent="0.5">
      <c r="B9" s="6" t="str">
        <f>+'[1]Fig. 16.1'!B11</f>
        <v xml:space="preserve">  Asia</v>
      </c>
      <c r="C9" s="33"/>
      <c r="D9" s="34">
        <f>+'FINANCIAL MODEL'!D18/'FINANCIAL MODEL'!D11</f>
        <v>0.32500000000000001</v>
      </c>
      <c r="F9" s="34">
        <f>+'FINANCIAL MODEL'!F18/'FINANCIAL MODEL'!F11</f>
        <v>0.4</v>
      </c>
      <c r="G9" s="35">
        <v>0.4</v>
      </c>
      <c r="H9" s="35">
        <f t="shared" si="0"/>
        <v>0.4</v>
      </c>
      <c r="I9" s="35">
        <f t="shared" si="0"/>
        <v>0.4</v>
      </c>
      <c r="J9" s="35">
        <f t="shared" si="0"/>
        <v>0.4</v>
      </c>
      <c r="K9" s="35">
        <f t="shared" si="0"/>
        <v>0.4</v>
      </c>
      <c r="L9" s="5"/>
    </row>
    <row r="10" spans="2:12" x14ac:dyDescent="0.5">
      <c r="B10" s="6" t="s">
        <v>51</v>
      </c>
      <c r="C10" s="12"/>
      <c r="D10" s="36">
        <f>+'FINANCIAL MODEL'!D19/'FINANCIAL MODEL'!D12</f>
        <v>0.359375</v>
      </c>
      <c r="F10" s="36">
        <f>+'FINANCIAL MODEL'!F19/'FINANCIAL MODEL'!F12</f>
        <v>0.3783783783783784</v>
      </c>
      <c r="G10" s="36">
        <f>+'[1]Fig. 16.10'!H19/'[1]Fig. 16.10'!H12</f>
        <v>0.37705652450046417</v>
      </c>
      <c r="H10" s="36">
        <f>+'[1]Fig. 16.10'!I19/'[1]Fig. 16.10'!I12</f>
        <v>0.37704463275612565</v>
      </c>
      <c r="I10" s="36">
        <f>+'[1]Fig. 16.10'!J19/'[1]Fig. 16.10'!J12</f>
        <v>0.37705037804524694</v>
      </c>
      <c r="J10" s="36">
        <f>+'[1]Fig. 16.10'!K19/'[1]Fig. 16.10'!K12</f>
        <v>0.37711464843254988</v>
      </c>
      <c r="K10" s="36">
        <f>+'[1]Fig. 16.10'!L19/'[1]Fig. 16.10'!L12</f>
        <v>0.37720464210876975</v>
      </c>
      <c r="L10" s="5"/>
    </row>
    <row r="11" spans="2:12" x14ac:dyDescent="0.5">
      <c r="B11" s="6"/>
      <c r="C11" s="12"/>
      <c r="L11" s="5"/>
    </row>
    <row r="12" spans="2:12" x14ac:dyDescent="0.5">
      <c r="B12" s="13" t="s">
        <v>52</v>
      </c>
      <c r="C12" s="12"/>
      <c r="L12" s="5"/>
    </row>
    <row r="13" spans="2:12" x14ac:dyDescent="0.5">
      <c r="B13" s="6" t="str">
        <f>+'[1]Fig. 16.1'!B15</f>
        <v xml:space="preserve">  U.S.</v>
      </c>
      <c r="C13" s="33"/>
      <c r="D13" s="34">
        <f t="shared" ref="D13:K16" si="1">1-D7</f>
        <v>0.63375000000000004</v>
      </c>
      <c r="F13" s="34">
        <f t="shared" si="1"/>
        <v>0.61956521739130432</v>
      </c>
      <c r="G13" s="43">
        <f t="shared" si="1"/>
        <v>0.62</v>
      </c>
      <c r="H13" s="43">
        <f t="shared" si="1"/>
        <v>0.62</v>
      </c>
      <c r="I13" s="43">
        <f t="shared" si="1"/>
        <v>0.62</v>
      </c>
      <c r="J13" s="43">
        <f t="shared" si="1"/>
        <v>0.62</v>
      </c>
      <c r="K13" s="43">
        <f t="shared" si="1"/>
        <v>0.62</v>
      </c>
      <c r="L13" s="5"/>
    </row>
    <row r="14" spans="2:12" x14ac:dyDescent="0.5">
      <c r="B14" s="6" t="str">
        <f>+'[1]Fig. 16.1'!B16</f>
        <v xml:space="preserve">  Europe</v>
      </c>
      <c r="C14" s="33"/>
      <c r="D14" s="34">
        <f t="shared" si="1"/>
        <v>0.67500000000000004</v>
      </c>
      <c r="F14" s="34">
        <f t="shared" si="1"/>
        <v>0.64285714285714279</v>
      </c>
      <c r="G14" s="43">
        <f t="shared" si="1"/>
        <v>0.65</v>
      </c>
      <c r="H14" s="43">
        <f t="shared" si="1"/>
        <v>0.65</v>
      </c>
      <c r="I14" s="43">
        <f t="shared" si="1"/>
        <v>0.65</v>
      </c>
      <c r="J14" s="43">
        <f t="shared" si="1"/>
        <v>0.65</v>
      </c>
      <c r="K14" s="43">
        <f t="shared" si="1"/>
        <v>0.65</v>
      </c>
      <c r="L14" s="5"/>
    </row>
    <row r="15" spans="2:12" x14ac:dyDescent="0.5">
      <c r="B15" s="6" t="str">
        <f>+'[1]Fig. 16.1'!B17</f>
        <v xml:space="preserve">  Asia</v>
      </c>
      <c r="C15" s="33"/>
      <c r="D15" s="34">
        <f t="shared" si="1"/>
        <v>0.67500000000000004</v>
      </c>
      <c r="F15" s="34">
        <f t="shared" si="1"/>
        <v>0.6</v>
      </c>
      <c r="G15" s="43">
        <f t="shared" si="1"/>
        <v>0.6</v>
      </c>
      <c r="H15" s="43">
        <f t="shared" si="1"/>
        <v>0.6</v>
      </c>
      <c r="I15" s="43">
        <f t="shared" si="1"/>
        <v>0.6</v>
      </c>
      <c r="J15" s="43">
        <f t="shared" si="1"/>
        <v>0.6</v>
      </c>
      <c r="K15" s="43">
        <f t="shared" si="1"/>
        <v>0.6</v>
      </c>
      <c r="L15" s="5"/>
    </row>
    <row r="16" spans="2:12" x14ac:dyDescent="0.5">
      <c r="B16" s="6" t="s">
        <v>51</v>
      </c>
      <c r="C16" s="12"/>
      <c r="D16" s="36">
        <f t="shared" si="1"/>
        <v>0.640625</v>
      </c>
      <c r="F16" s="36">
        <f t="shared" si="1"/>
        <v>0.6216216216216216</v>
      </c>
      <c r="G16" s="36">
        <f t="shared" si="1"/>
        <v>0.62294347549953577</v>
      </c>
      <c r="H16" s="36">
        <f t="shared" si="1"/>
        <v>0.62295536724387435</v>
      </c>
      <c r="I16" s="36">
        <f t="shared" si="1"/>
        <v>0.62294962195475301</v>
      </c>
      <c r="J16" s="36">
        <f t="shared" si="1"/>
        <v>0.62288535156745017</v>
      </c>
      <c r="K16" s="36">
        <f t="shared" si="1"/>
        <v>0.62279535789123019</v>
      </c>
      <c r="L16" s="5"/>
    </row>
    <row r="17" spans="2:12" x14ac:dyDescent="0.5">
      <c r="B17" s="6"/>
      <c r="C17" s="12"/>
      <c r="L17" s="5"/>
    </row>
    <row r="18" spans="2:12" x14ac:dyDescent="0.5">
      <c r="B18" s="13" t="s">
        <v>53</v>
      </c>
      <c r="C18" s="12"/>
      <c r="L18" s="5"/>
    </row>
    <row r="19" spans="2:12" x14ac:dyDescent="0.5">
      <c r="B19" s="137" t="s">
        <v>54</v>
      </c>
      <c r="C19" s="138"/>
      <c r="D19" s="139"/>
      <c r="E19" s="140"/>
      <c r="F19" s="139">
        <f>+'FINANCIAL MODEL-BLANK'!F25/'FINANCIAL MODEL-BLANK'!D25-1</f>
        <v>0.13793103448275867</v>
      </c>
      <c r="G19" s="141">
        <v>0.05</v>
      </c>
      <c r="H19" s="141">
        <f t="shared" ref="H19:K21" si="2">+G19</f>
        <v>0.05</v>
      </c>
      <c r="I19" s="141">
        <f t="shared" si="2"/>
        <v>0.05</v>
      </c>
      <c r="J19" s="141">
        <f t="shared" si="2"/>
        <v>0.05</v>
      </c>
      <c r="K19" s="141">
        <f t="shared" si="2"/>
        <v>0.05</v>
      </c>
      <c r="L19" s="5"/>
    </row>
    <row r="20" spans="2:12" x14ac:dyDescent="0.5">
      <c r="B20" s="6" t="s">
        <v>55</v>
      </c>
      <c r="C20" s="33"/>
      <c r="D20" s="34">
        <f>+'FINANCIAL MODEL'!D26/'FINANCIAL MODEL'!D$12</f>
        <v>7.8125E-2</v>
      </c>
      <c r="F20" s="34">
        <f>+'FINANCIAL MODEL'!F26/'FINANCIAL MODEL'!F$12</f>
        <v>7.2072072072072071E-2</v>
      </c>
      <c r="G20" s="35">
        <v>7.0000000000000007E-2</v>
      </c>
      <c r="H20" s="35">
        <f t="shared" si="2"/>
        <v>7.0000000000000007E-2</v>
      </c>
      <c r="I20" s="35">
        <f t="shared" si="2"/>
        <v>7.0000000000000007E-2</v>
      </c>
      <c r="J20" s="35">
        <f t="shared" si="2"/>
        <v>7.0000000000000007E-2</v>
      </c>
      <c r="K20" s="35">
        <f t="shared" si="2"/>
        <v>7.0000000000000007E-2</v>
      </c>
      <c r="L20" s="5"/>
    </row>
    <row r="21" spans="2:12" x14ac:dyDescent="0.5">
      <c r="B21" s="6" t="s">
        <v>56</v>
      </c>
      <c r="C21" s="33"/>
      <c r="D21" s="34">
        <f>+'FINANCIAL MODEL'!D27/'FINANCIAL MODEL'!D$12</f>
        <v>1.0416666666666666E-2</v>
      </c>
      <c r="F21" s="34">
        <f>+'FINANCIAL MODEL'!F27/'FINANCIAL MODEL'!F$12</f>
        <v>1.0810810810810811E-2</v>
      </c>
      <c r="G21" s="35">
        <v>0.01</v>
      </c>
      <c r="H21" s="35">
        <f t="shared" si="2"/>
        <v>0.01</v>
      </c>
      <c r="I21" s="35">
        <f t="shared" si="2"/>
        <v>0.01</v>
      </c>
      <c r="J21" s="35">
        <f t="shared" si="2"/>
        <v>0.01</v>
      </c>
      <c r="K21" s="35">
        <f t="shared" si="2"/>
        <v>0.01</v>
      </c>
      <c r="L21" s="5"/>
    </row>
    <row r="22" spans="2:12" x14ac:dyDescent="0.5">
      <c r="B22" s="6" t="s">
        <v>57</v>
      </c>
      <c r="C22" s="12"/>
      <c r="D22" s="36">
        <f>+'FINANCIAL MODEL'!D28/'FINANCIAL MODEL'!D$12</f>
        <v>0.23958333333333334</v>
      </c>
      <c r="F22" s="36">
        <f>+'FINANCIAL MODEL'!F28/'FINANCIAL MODEL'!F$12</f>
        <v>0.23153153153153153</v>
      </c>
      <c r="G22" s="36">
        <f>+'[1]Fig. 16.10'!H28/'[1]Fig. 16.10'!H12</f>
        <v>0.22106697933460356</v>
      </c>
      <c r="H22" s="36">
        <f>+'[1]Fig. 16.10'!I28/'[1]Fig. 16.10'!I12</f>
        <v>0.21533143919831779</v>
      </c>
      <c r="I22" s="36">
        <f>+'[1]Fig. 16.10'!J28/'[1]Fig. 16.10'!J12</f>
        <v>0.21237619788822112</v>
      </c>
      <c r="J22" s="36">
        <f>+'[1]Fig. 16.10'!K28/'[1]Fig. 16.10'!K12</f>
        <v>0.21114677645695398</v>
      </c>
      <c r="K22" s="36">
        <f>+'[1]Fig. 16.10'!L28/'[1]Fig. 16.10'!L12</f>
        <v>0.21119331583953285</v>
      </c>
      <c r="L22" s="5"/>
    </row>
    <row r="23" spans="2:12" x14ac:dyDescent="0.5">
      <c r="B23" s="6"/>
      <c r="C23" s="12"/>
      <c r="L23" s="5"/>
    </row>
    <row r="24" spans="2:12" x14ac:dyDescent="0.5">
      <c r="B24" s="6" t="s">
        <v>58</v>
      </c>
      <c r="D24" s="34">
        <f>+'FINANCIAL MODEL'!D33/'FINANCIAL MODEL'!D12</f>
        <v>6.25E-2</v>
      </c>
      <c r="F24" s="34">
        <f>+'FINANCIAL MODEL'!F33/'FINANCIAL MODEL'!F12</f>
        <v>5.8558558558558557E-2</v>
      </c>
      <c r="G24" s="35">
        <v>0.06</v>
      </c>
      <c r="H24" s="35">
        <v>0.06</v>
      </c>
      <c r="I24" s="35">
        <v>0.06</v>
      </c>
      <c r="J24" s="35">
        <v>0.06</v>
      </c>
      <c r="K24" s="35">
        <v>0.06</v>
      </c>
      <c r="L24" s="5"/>
    </row>
    <row r="25" spans="2:12" ht="14.7" thickBot="1" x14ac:dyDescent="0.55000000000000004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1"/>
    </row>
  </sheetData>
  <mergeCells count="2">
    <mergeCell ref="D4:F4"/>
    <mergeCell ref="G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8EDC0-0FD4-4060-A9C4-027B7357D19D}">
  <dimension ref="B1:L78"/>
  <sheetViews>
    <sheetView workbookViewId="0">
      <selection activeCell="B51" sqref="B51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9.87890625" bestFit="1" customWidth="1"/>
    <col min="5" max="5" width="2.703125" customWidth="1"/>
    <col min="6" max="6" width="10.1171875" customWidth="1"/>
    <col min="7" max="11" width="10.41015625" customWidth="1"/>
    <col min="12" max="12" width="3.703125" customWidth="1"/>
  </cols>
  <sheetData>
    <row r="1" spans="2:12" ht="14.7" thickBot="1" x14ac:dyDescent="0.55000000000000004"/>
    <row r="2" spans="2:12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14.7" customHeight="1" x14ac:dyDescent="0.6">
      <c r="B3" s="76"/>
      <c r="C3" s="74"/>
      <c r="D3" s="74"/>
      <c r="E3" s="74"/>
      <c r="F3" s="74"/>
      <c r="G3" s="74"/>
      <c r="H3" s="74"/>
      <c r="I3" s="74"/>
      <c r="J3" s="74"/>
      <c r="K3" s="74"/>
      <c r="L3" s="5"/>
    </row>
    <row r="4" spans="2:12" x14ac:dyDescent="0.5">
      <c r="B4" s="77" t="s">
        <v>118</v>
      </c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2:12" x14ac:dyDescent="0.5">
      <c r="B5" s="6"/>
      <c r="C5" s="12"/>
      <c r="D5" s="146" t="s">
        <v>2</v>
      </c>
      <c r="E5" s="146"/>
      <c r="F5" s="146"/>
      <c r="G5" s="146" t="s">
        <v>3</v>
      </c>
      <c r="H5" s="146"/>
      <c r="I5" s="146"/>
      <c r="J5" s="146"/>
      <c r="K5" s="146"/>
      <c r="L5" s="5"/>
    </row>
    <row r="6" spans="2:12" x14ac:dyDescent="0.5">
      <c r="B6" s="6"/>
      <c r="C6" s="12"/>
      <c r="D6" s="8" t="s">
        <v>5</v>
      </c>
      <c r="E6" s="9"/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5"/>
    </row>
    <row r="7" spans="2:12" x14ac:dyDescent="0.5">
      <c r="B7" s="67" t="s">
        <v>119</v>
      </c>
      <c r="L7" s="5"/>
    </row>
    <row r="8" spans="2:12" x14ac:dyDescent="0.5">
      <c r="B8" s="6" t="s">
        <v>120</v>
      </c>
      <c r="D8" s="68">
        <f>+'FINANCIAL MODEL'!D12/'FINANCIAL MODEL'!D52</f>
        <v>21.333333333333332</v>
      </c>
      <c r="F8" s="68">
        <f>+'FINANCIAL MODEL'!F12/'FINANCIAL MODEL'!F52</f>
        <v>18.5</v>
      </c>
      <c r="G8" s="69">
        <f>365/G9</f>
        <v>18.5</v>
      </c>
      <c r="H8" s="69">
        <f t="shared" ref="H8:K8" si="0">365/H9</f>
        <v>18.5</v>
      </c>
      <c r="I8" s="69">
        <f t="shared" si="0"/>
        <v>18.5</v>
      </c>
      <c r="J8" s="69">
        <f t="shared" si="0"/>
        <v>18.5</v>
      </c>
      <c r="K8" s="69">
        <f t="shared" si="0"/>
        <v>18.5</v>
      </c>
      <c r="L8" s="5"/>
    </row>
    <row r="9" spans="2:12" x14ac:dyDescent="0.5">
      <c r="B9" s="6" t="s">
        <v>121</v>
      </c>
      <c r="D9" s="70">
        <f>365/D8</f>
        <v>17.109375</v>
      </c>
      <c r="F9" s="70">
        <f>365/F8</f>
        <v>19.72972972972973</v>
      </c>
      <c r="G9" s="71">
        <f>+F9</f>
        <v>19.72972972972973</v>
      </c>
      <c r="H9" s="71">
        <f>+G9</f>
        <v>19.72972972972973</v>
      </c>
      <c r="I9" s="71">
        <f t="shared" ref="I9:K9" si="1">+H9</f>
        <v>19.72972972972973</v>
      </c>
      <c r="J9" s="71">
        <f t="shared" si="1"/>
        <v>19.72972972972973</v>
      </c>
      <c r="K9" s="71">
        <f t="shared" si="1"/>
        <v>19.72972972972973</v>
      </c>
      <c r="L9" s="5"/>
    </row>
    <row r="10" spans="2:12" x14ac:dyDescent="0.5">
      <c r="B10" s="6"/>
      <c r="L10" s="5"/>
    </row>
    <row r="11" spans="2:12" x14ac:dyDescent="0.5">
      <c r="B11" s="67" t="s">
        <v>122</v>
      </c>
      <c r="L11" s="5"/>
    </row>
    <row r="12" spans="2:12" x14ac:dyDescent="0.5">
      <c r="B12" s="6" t="s">
        <v>123</v>
      </c>
      <c r="D12" s="68">
        <f>+'FINANCIAL MODEL'!D19/'FINANCIAL MODEL'!D53</f>
        <v>9.8571428571428577</v>
      </c>
      <c r="F12" s="68">
        <f>+'FINANCIAL MODEL'!F19/'FINANCIAL MODEL'!F53</f>
        <v>10.5</v>
      </c>
      <c r="G12" s="69">
        <f>365/G13</f>
        <v>10.5</v>
      </c>
      <c r="H12" s="69">
        <f t="shared" ref="H12:K12" si="2">365/H13</f>
        <v>10.5</v>
      </c>
      <c r="I12" s="69">
        <f t="shared" si="2"/>
        <v>10.5</v>
      </c>
      <c r="J12" s="69">
        <f t="shared" si="2"/>
        <v>10.5</v>
      </c>
      <c r="K12" s="69">
        <f t="shared" si="2"/>
        <v>10.5</v>
      </c>
      <c r="L12" s="5"/>
    </row>
    <row r="13" spans="2:12" x14ac:dyDescent="0.5">
      <c r="B13" s="6" t="s">
        <v>124</v>
      </c>
      <c r="D13" s="70">
        <f>365/D12</f>
        <v>37.028985507246375</v>
      </c>
      <c r="F13" s="70">
        <f>365/F12</f>
        <v>34.761904761904759</v>
      </c>
      <c r="G13" s="71">
        <f>+F13</f>
        <v>34.761904761904759</v>
      </c>
      <c r="H13" s="71">
        <f>+G13</f>
        <v>34.761904761904759</v>
      </c>
      <c r="I13" s="71">
        <f t="shared" ref="I13:K13" si="3">+H13</f>
        <v>34.761904761904759</v>
      </c>
      <c r="J13" s="71">
        <f t="shared" si="3"/>
        <v>34.761904761904759</v>
      </c>
      <c r="K13" s="71">
        <f t="shared" si="3"/>
        <v>34.761904761904759</v>
      </c>
      <c r="L13" s="5"/>
    </row>
    <row r="14" spans="2:12" x14ac:dyDescent="0.5">
      <c r="B14" s="6"/>
      <c r="L14" s="5"/>
    </row>
    <row r="15" spans="2:12" x14ac:dyDescent="0.5">
      <c r="B15" s="67" t="s">
        <v>125</v>
      </c>
      <c r="L15" s="5"/>
    </row>
    <row r="16" spans="2:12" x14ac:dyDescent="0.5">
      <c r="B16" s="6" t="s">
        <v>126</v>
      </c>
      <c r="D16" s="34">
        <f>+'FINANCIAL MODEL'!D54/'FINANCIAL MODEL'!D12</f>
        <v>1.0416666666666666E-2</v>
      </c>
      <c r="F16" s="34">
        <f>+'FINANCIAL MODEL'!F54/'FINANCIAL MODEL'!F12</f>
        <v>8.1081081081081086E-3</v>
      </c>
      <c r="G16" s="35">
        <f>+F16</f>
        <v>8.1081081081081086E-3</v>
      </c>
      <c r="H16" s="35">
        <f>+G16</f>
        <v>8.1081081081081086E-3</v>
      </c>
      <c r="I16" s="35">
        <f t="shared" ref="I16:K16" si="4">+H16</f>
        <v>8.1081081081081086E-3</v>
      </c>
      <c r="J16" s="35">
        <f t="shared" si="4"/>
        <v>8.1081081081081086E-3</v>
      </c>
      <c r="K16" s="35">
        <f t="shared" si="4"/>
        <v>8.1081081081081086E-3</v>
      </c>
      <c r="L16" s="5"/>
    </row>
    <row r="17" spans="2:12" x14ac:dyDescent="0.5">
      <c r="B17" s="6"/>
      <c r="L17" s="5"/>
    </row>
    <row r="18" spans="2:12" x14ac:dyDescent="0.5">
      <c r="B18" s="67" t="s">
        <v>127</v>
      </c>
      <c r="L18" s="5"/>
    </row>
    <row r="19" spans="2:12" x14ac:dyDescent="0.5">
      <c r="B19" s="6" t="s">
        <v>128</v>
      </c>
      <c r="D19" s="68">
        <f>+'FINANCIAL MODEL'!D19/'FINANCIAL MODEL'!D72</f>
        <v>9.8571428571428577</v>
      </c>
      <c r="F19" s="68">
        <f>+'FINANCIAL MODEL'!F19/'FINANCIAL MODEL'!F72</f>
        <v>10.5</v>
      </c>
      <c r="G19" s="69">
        <f>365/G20</f>
        <v>10.5</v>
      </c>
      <c r="H19" s="69">
        <f t="shared" ref="H19:K19" si="5">365/H20</f>
        <v>10.5</v>
      </c>
      <c r="I19" s="69">
        <f t="shared" si="5"/>
        <v>10.5</v>
      </c>
      <c r="J19" s="69">
        <f t="shared" si="5"/>
        <v>10.5</v>
      </c>
      <c r="K19" s="69">
        <f t="shared" si="5"/>
        <v>10.5</v>
      </c>
      <c r="L19" s="5"/>
    </row>
    <row r="20" spans="2:12" x14ac:dyDescent="0.5">
      <c r="B20" s="6" t="s">
        <v>129</v>
      </c>
      <c r="D20" s="70">
        <f>365/D19</f>
        <v>37.028985507246375</v>
      </c>
      <c r="F20" s="70">
        <f>365/F19</f>
        <v>34.761904761904759</v>
      </c>
      <c r="G20" s="71">
        <f>+F20</f>
        <v>34.761904761904759</v>
      </c>
      <c r="H20" s="71">
        <f>+G20</f>
        <v>34.761904761904759</v>
      </c>
      <c r="I20" s="71">
        <f t="shared" ref="I20:K20" si="6">+H20</f>
        <v>34.761904761904759</v>
      </c>
      <c r="J20" s="71">
        <f t="shared" si="6"/>
        <v>34.761904761904759</v>
      </c>
      <c r="K20" s="71">
        <f t="shared" si="6"/>
        <v>34.761904761904759</v>
      </c>
      <c r="L20" s="5"/>
    </row>
    <row r="21" spans="2:12" x14ac:dyDescent="0.5">
      <c r="B21" s="6"/>
      <c r="L21" s="5"/>
    </row>
    <row r="22" spans="2:12" x14ac:dyDescent="0.5">
      <c r="B22" s="67" t="s">
        <v>130</v>
      </c>
      <c r="L22" s="5"/>
    </row>
    <row r="23" spans="2:12" x14ac:dyDescent="0.5">
      <c r="B23" s="6" t="s">
        <v>131</v>
      </c>
      <c r="D23" s="34">
        <f>+'FINANCIAL MODEL'!D73/'FINANCIAL MODEL'!D12</f>
        <v>1.2500000000000001E-2</v>
      </c>
      <c r="F23" s="34">
        <f>+'FINANCIAL MODEL'!F73/'FINANCIAL MODEL'!F12</f>
        <v>9.0090090090090089E-3</v>
      </c>
      <c r="G23" s="35">
        <f>+F23</f>
        <v>9.0090090090090089E-3</v>
      </c>
      <c r="H23" s="35">
        <f>+G23</f>
        <v>9.0090090090090089E-3</v>
      </c>
      <c r="I23" s="35">
        <f t="shared" ref="I23:K23" si="7">+H23</f>
        <v>9.0090090090090089E-3</v>
      </c>
      <c r="J23" s="35">
        <f t="shared" si="7"/>
        <v>9.0090090090090089E-3</v>
      </c>
      <c r="K23" s="35">
        <f t="shared" si="7"/>
        <v>9.0090090090090089E-3</v>
      </c>
      <c r="L23" s="5"/>
    </row>
    <row r="24" spans="2:12" x14ac:dyDescent="0.5">
      <c r="B24" s="6"/>
      <c r="L24" s="5"/>
    </row>
    <row r="25" spans="2:12" x14ac:dyDescent="0.5">
      <c r="B25" s="67" t="s">
        <v>132</v>
      </c>
      <c r="L25" s="5"/>
    </row>
    <row r="26" spans="2:12" x14ac:dyDescent="0.5">
      <c r="B26" s="6" t="s">
        <v>133</v>
      </c>
      <c r="D26" s="34">
        <f>+'FINANCIAL MODEL'!D74/'FINANCIAL MODEL'!D12</f>
        <v>1.0416666666666666E-2</v>
      </c>
      <c r="F26" s="34">
        <f>+'FINANCIAL MODEL'!F74/'FINANCIAL MODEL'!F12</f>
        <v>7.2072072072072073E-3</v>
      </c>
      <c r="G26" s="35">
        <f>+F26</f>
        <v>7.2072072072072073E-3</v>
      </c>
      <c r="H26" s="35">
        <f>+G26</f>
        <v>7.2072072072072073E-3</v>
      </c>
      <c r="I26" s="35">
        <f t="shared" ref="I26:K26" si="8">+H26</f>
        <v>7.2072072072072073E-3</v>
      </c>
      <c r="J26" s="35">
        <f t="shared" si="8"/>
        <v>7.2072072072072073E-3</v>
      </c>
      <c r="K26" s="35">
        <f t="shared" si="8"/>
        <v>7.2072072072072073E-3</v>
      </c>
      <c r="L26" s="5"/>
    </row>
    <row r="27" spans="2:12" ht="14.7" thickBot="1" x14ac:dyDescent="0.55000000000000004">
      <c r="B27" s="6"/>
      <c r="D27" s="34"/>
      <c r="F27" s="34"/>
      <c r="G27" s="35"/>
      <c r="H27" s="35"/>
      <c r="I27" s="35"/>
      <c r="J27" s="35"/>
      <c r="K27" s="35"/>
      <c r="L27" s="5"/>
    </row>
    <row r="28" spans="2:12" x14ac:dyDescent="0.5">
      <c r="B28" s="80" t="s">
        <v>134</v>
      </c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2:12" x14ac:dyDescent="0.5">
      <c r="B29" s="6"/>
      <c r="C29" s="74"/>
      <c r="D29" s="74"/>
      <c r="E29" s="74"/>
      <c r="F29" s="74"/>
      <c r="G29" s="74"/>
      <c r="H29" s="74"/>
      <c r="I29" s="74"/>
      <c r="J29" s="74"/>
      <c r="K29" s="74"/>
      <c r="L29" s="5"/>
    </row>
    <row r="30" spans="2:12" x14ac:dyDescent="0.5">
      <c r="B30" s="67" t="s">
        <v>135</v>
      </c>
      <c r="C30" s="74"/>
      <c r="D30" s="74"/>
      <c r="E30" s="74"/>
      <c r="F30" s="74"/>
      <c r="G30" s="74"/>
      <c r="H30" s="74"/>
      <c r="I30" s="74"/>
      <c r="J30" s="74"/>
      <c r="K30" s="74"/>
      <c r="L30" s="5"/>
    </row>
    <row r="31" spans="2:12" x14ac:dyDescent="0.5">
      <c r="B31" s="6" t="s">
        <v>136</v>
      </c>
      <c r="C31" s="74"/>
      <c r="D31" s="73"/>
      <c r="E31" s="74"/>
      <c r="F31" s="34">
        <f>-'FINANCIAL MODEL'!F116/'FINANCIAL MODEL'!F12</f>
        <v>0.11261261261261261</v>
      </c>
      <c r="G31" s="35">
        <f>+F31</f>
        <v>0.11261261261261261</v>
      </c>
      <c r="H31" s="35">
        <f>+G31</f>
        <v>0.11261261261261261</v>
      </c>
      <c r="I31" s="35">
        <f t="shared" ref="I31:K31" si="9">+H31</f>
        <v>0.11261261261261261</v>
      </c>
      <c r="J31" s="35">
        <f t="shared" si="9"/>
        <v>0.11261261261261261</v>
      </c>
      <c r="K31" s="35">
        <f t="shared" si="9"/>
        <v>0.11261261261261261</v>
      </c>
      <c r="L31" s="5"/>
    </row>
    <row r="32" spans="2:12" x14ac:dyDescent="0.5">
      <c r="B32" s="6"/>
      <c r="C32" s="74"/>
      <c r="D32" s="74"/>
      <c r="E32" s="74"/>
      <c r="F32" s="75"/>
      <c r="G32" s="74"/>
      <c r="H32" s="74"/>
      <c r="I32" s="74"/>
      <c r="J32" s="74"/>
      <c r="K32" s="74"/>
      <c r="L32" s="5"/>
    </row>
    <row r="33" spans="2:12" x14ac:dyDescent="0.5">
      <c r="B33" s="67" t="s">
        <v>137</v>
      </c>
      <c r="C33" s="74"/>
      <c r="D33" s="74"/>
      <c r="E33" s="74"/>
      <c r="F33" s="75"/>
      <c r="G33" s="74"/>
      <c r="H33" s="74"/>
      <c r="I33" s="74"/>
      <c r="J33" s="74"/>
      <c r="K33" s="74"/>
      <c r="L33" s="5"/>
    </row>
    <row r="34" spans="2:12" x14ac:dyDescent="0.5">
      <c r="B34" s="6" t="s">
        <v>138</v>
      </c>
      <c r="C34" s="74"/>
      <c r="D34" s="74"/>
      <c r="E34" s="74"/>
      <c r="F34" s="34">
        <f>-'FINANCIAL MODEL'!F117/'FINANCIAL MODEL'!F12</f>
        <v>4.5045045045045043E-2</v>
      </c>
      <c r="G34" s="35">
        <f>+F34</f>
        <v>4.5045045045045043E-2</v>
      </c>
      <c r="H34" s="35">
        <f>+G34</f>
        <v>4.5045045045045043E-2</v>
      </c>
      <c r="I34" s="35">
        <f t="shared" ref="I34:K34" si="10">+H34</f>
        <v>4.5045045045045043E-2</v>
      </c>
      <c r="J34" s="35">
        <f t="shared" si="10"/>
        <v>4.5045045045045043E-2</v>
      </c>
      <c r="K34" s="35">
        <f t="shared" si="10"/>
        <v>4.5045045045045043E-2</v>
      </c>
      <c r="L34" s="5"/>
    </row>
    <row r="35" spans="2:12" ht="14.7" thickBot="1" x14ac:dyDescent="0.55000000000000004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1"/>
    </row>
    <row r="36" spans="2:12" x14ac:dyDescent="0.5">
      <c r="B36" s="77" t="s">
        <v>150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 x14ac:dyDescent="0.5">
      <c r="B37" s="6"/>
      <c r="C37" s="12"/>
      <c r="D37" s="12"/>
      <c r="E37" s="12"/>
      <c r="F37" s="12"/>
      <c r="G37" s="12"/>
      <c r="H37" s="12"/>
      <c r="I37" s="12"/>
      <c r="J37" s="12"/>
      <c r="K37" s="12"/>
      <c r="L37" s="5"/>
    </row>
    <row r="38" spans="2:12" x14ac:dyDescent="0.5">
      <c r="B38" s="6" t="s">
        <v>139</v>
      </c>
      <c r="C38" s="12"/>
      <c r="D38" s="12"/>
      <c r="E38" s="12"/>
      <c r="F38" s="83">
        <v>0.02</v>
      </c>
      <c r="G38" s="84">
        <f>+F38+G39</f>
        <v>2.5000000000000001E-2</v>
      </c>
      <c r="H38" s="84">
        <f>+G38+H39</f>
        <v>3.0000000000000002E-2</v>
      </c>
      <c r="I38" s="84">
        <f t="shared" ref="I38:K38" si="11">+H38+I39</f>
        <v>3.5000000000000003E-2</v>
      </c>
      <c r="J38" s="84">
        <f t="shared" si="11"/>
        <v>4.5000000000000005E-2</v>
      </c>
      <c r="K38" s="84">
        <f t="shared" si="11"/>
        <v>4.5000000000000005E-2</v>
      </c>
      <c r="L38" s="85"/>
    </row>
    <row r="39" spans="2:12" x14ac:dyDescent="0.5">
      <c r="B39" s="6" t="s">
        <v>140</v>
      </c>
      <c r="C39" s="12"/>
      <c r="D39" s="12"/>
      <c r="E39" s="12"/>
      <c r="F39" s="12"/>
      <c r="G39" s="35">
        <v>5.0000000000000001E-3</v>
      </c>
      <c r="H39" s="35">
        <v>5.0000000000000001E-3</v>
      </c>
      <c r="I39" s="35">
        <v>5.0000000000000001E-3</v>
      </c>
      <c r="J39" s="35">
        <v>0.01</v>
      </c>
      <c r="K39" s="35">
        <v>0</v>
      </c>
      <c r="L39" s="85"/>
    </row>
    <row r="40" spans="2:12" x14ac:dyDescent="0.5">
      <c r="B40" s="6"/>
      <c r="C40" s="12"/>
      <c r="D40" s="12"/>
      <c r="E40" s="12"/>
      <c r="F40" s="12"/>
      <c r="G40" s="12"/>
      <c r="H40" s="12"/>
      <c r="I40" s="12"/>
      <c r="J40" s="12"/>
      <c r="K40" s="12"/>
      <c r="L40" s="85"/>
    </row>
    <row r="41" spans="2:12" x14ac:dyDescent="0.5">
      <c r="B41" s="67" t="s">
        <v>141</v>
      </c>
      <c r="L41" s="5"/>
    </row>
    <row r="42" spans="2:12" x14ac:dyDescent="0.5">
      <c r="B42" s="6" t="s">
        <v>142</v>
      </c>
      <c r="G42" s="35">
        <v>0.03</v>
      </c>
      <c r="H42" s="35">
        <v>0.03</v>
      </c>
      <c r="I42" s="35">
        <v>0.03</v>
      </c>
      <c r="J42" s="35">
        <v>0.03</v>
      </c>
      <c r="K42" s="35">
        <v>0.03</v>
      </c>
      <c r="L42" s="5"/>
    </row>
    <row r="43" spans="2:12" x14ac:dyDescent="0.5">
      <c r="B43" s="6" t="s">
        <v>143</v>
      </c>
      <c r="G43" s="72">
        <f>+G42+G38</f>
        <v>5.5E-2</v>
      </c>
      <c r="H43" s="72">
        <f>+H42+H38</f>
        <v>0.06</v>
      </c>
      <c r="I43" s="72">
        <f>+I42+I38</f>
        <v>6.5000000000000002E-2</v>
      </c>
      <c r="J43" s="72">
        <f>+J42+J38</f>
        <v>7.5000000000000011E-2</v>
      </c>
      <c r="K43" s="72">
        <f>+K42+K38</f>
        <v>7.5000000000000011E-2</v>
      </c>
      <c r="L43" s="5"/>
    </row>
    <row r="44" spans="2:12" x14ac:dyDescent="0.5">
      <c r="B44" s="6"/>
      <c r="G44" s="72"/>
      <c r="H44" s="72"/>
      <c r="I44" s="72"/>
      <c r="J44" s="72"/>
      <c r="K44" s="72"/>
      <c r="L44" s="5"/>
    </row>
    <row r="45" spans="2:12" x14ac:dyDescent="0.5">
      <c r="B45" s="6" t="s">
        <v>144</v>
      </c>
      <c r="D45" s="54">
        <f>+'FINANCIAL MODEL'!D75</f>
        <v>20000</v>
      </c>
      <c r="F45" s="54">
        <f>+'FINANCIAL MODEL'!F75</f>
        <v>10000</v>
      </c>
      <c r="G45" s="22">
        <f>+F45-G46</f>
        <v>0</v>
      </c>
      <c r="L45" s="5"/>
    </row>
    <row r="46" spans="2:12" x14ac:dyDescent="0.5">
      <c r="B46" s="6" t="s">
        <v>145</v>
      </c>
      <c r="G46" s="86">
        <v>10000</v>
      </c>
      <c r="H46" s="86">
        <v>0</v>
      </c>
      <c r="I46" s="86">
        <v>0</v>
      </c>
      <c r="J46" s="86">
        <v>0</v>
      </c>
      <c r="K46" s="86">
        <v>0</v>
      </c>
      <c r="L46" s="87"/>
    </row>
    <row r="47" spans="2:12" x14ac:dyDescent="0.5">
      <c r="B47" s="6" t="s">
        <v>146</v>
      </c>
      <c r="G47" s="25">
        <f>+F45*G43</f>
        <v>550</v>
      </c>
      <c r="H47" s="25">
        <f>+G45*H43</f>
        <v>0</v>
      </c>
      <c r="I47" s="25">
        <f t="shared" ref="I47:K47" si="12">+H45*I43</f>
        <v>0</v>
      </c>
      <c r="J47" s="25">
        <f t="shared" si="12"/>
        <v>0</v>
      </c>
      <c r="K47" s="25">
        <f t="shared" si="12"/>
        <v>0</v>
      </c>
      <c r="L47" s="5"/>
    </row>
    <row r="48" spans="2:12" x14ac:dyDescent="0.5">
      <c r="B48" s="6" t="s">
        <v>147</v>
      </c>
      <c r="G48" s="22">
        <f>+G47+G46</f>
        <v>10550</v>
      </c>
      <c r="H48" s="22">
        <f t="shared" ref="H48:K48" si="13">+H47+H46</f>
        <v>0</v>
      </c>
      <c r="I48" s="22">
        <f t="shared" si="13"/>
        <v>0</v>
      </c>
      <c r="J48" s="22">
        <f t="shared" si="13"/>
        <v>0</v>
      </c>
      <c r="K48" s="22">
        <f t="shared" si="13"/>
        <v>0</v>
      </c>
      <c r="L48" s="5"/>
    </row>
    <row r="49" spans="2:12" x14ac:dyDescent="0.5">
      <c r="B49" s="6"/>
      <c r="L49" s="5"/>
    </row>
    <row r="50" spans="2:12" x14ac:dyDescent="0.5">
      <c r="B50" s="67" t="s">
        <v>148</v>
      </c>
      <c r="L50" s="5"/>
    </row>
    <row r="51" spans="2:12" x14ac:dyDescent="0.5">
      <c r="B51" s="6" t="s">
        <v>142</v>
      </c>
      <c r="G51" s="72">
        <f>+G42</f>
        <v>0.03</v>
      </c>
      <c r="H51" s="72">
        <f t="shared" ref="H51:K51" si="14">+H42</f>
        <v>0.03</v>
      </c>
      <c r="I51" s="72">
        <f t="shared" si="14"/>
        <v>0.03</v>
      </c>
      <c r="J51" s="72">
        <f t="shared" si="14"/>
        <v>0.03</v>
      </c>
      <c r="K51" s="72">
        <f t="shared" si="14"/>
        <v>0.03</v>
      </c>
      <c r="L51" s="5"/>
    </row>
    <row r="52" spans="2:12" x14ac:dyDescent="0.5">
      <c r="B52" s="6" t="s">
        <v>143</v>
      </c>
      <c r="G52" s="72">
        <f>+G51+G38</f>
        <v>5.5E-2</v>
      </c>
      <c r="H52" s="72">
        <f>+H51+H38</f>
        <v>0.06</v>
      </c>
      <c r="I52" s="72">
        <f>+I51+I38</f>
        <v>6.5000000000000002E-2</v>
      </c>
      <c r="J52" s="72">
        <f>+J51+J38</f>
        <v>7.5000000000000011E-2</v>
      </c>
      <c r="K52" s="72">
        <f>+K51+K38</f>
        <v>7.5000000000000011E-2</v>
      </c>
      <c r="L52" s="5"/>
    </row>
    <row r="53" spans="2:12" x14ac:dyDescent="0.5">
      <c r="B53" s="6"/>
      <c r="L53" s="5"/>
    </row>
    <row r="54" spans="2:12" x14ac:dyDescent="0.5">
      <c r="B54" s="6" t="s">
        <v>144</v>
      </c>
      <c r="D54" s="54">
        <f>+'FINANCIAL MODEL'!D78</f>
        <v>1200000</v>
      </c>
      <c r="F54" s="54">
        <f>+'FINANCIAL MODEL'!F78</f>
        <v>1180000</v>
      </c>
      <c r="G54" s="22">
        <f>+F54-G55</f>
        <v>1160000</v>
      </c>
      <c r="H54" s="22">
        <f>+G54-H55</f>
        <v>1130000</v>
      </c>
      <c r="I54" s="22">
        <f t="shared" ref="I54:K54" si="15">+H54-I55</f>
        <v>1090000</v>
      </c>
      <c r="J54" s="22">
        <f t="shared" si="15"/>
        <v>1030000</v>
      </c>
      <c r="K54" s="22">
        <f t="shared" si="15"/>
        <v>950000</v>
      </c>
      <c r="L54" s="5"/>
    </row>
    <row r="55" spans="2:12" x14ac:dyDescent="0.5">
      <c r="B55" s="6" t="s">
        <v>145</v>
      </c>
      <c r="G55" s="86">
        <v>20000</v>
      </c>
      <c r="H55" s="86">
        <v>30000</v>
      </c>
      <c r="I55" s="86">
        <v>40000</v>
      </c>
      <c r="J55" s="86">
        <v>60000</v>
      </c>
      <c r="K55" s="86">
        <v>80000</v>
      </c>
      <c r="L55" s="5"/>
    </row>
    <row r="56" spans="2:12" x14ac:dyDescent="0.5">
      <c r="B56" s="6" t="s">
        <v>146</v>
      </c>
      <c r="G56" s="25">
        <f>+F54*G52</f>
        <v>64900</v>
      </c>
      <c r="H56" s="25">
        <f>+G54*H52</f>
        <v>69600</v>
      </c>
      <c r="I56" s="25">
        <f t="shared" ref="I56:K56" si="16">+H54*I52</f>
        <v>73450</v>
      </c>
      <c r="J56" s="25">
        <f t="shared" si="16"/>
        <v>81750.000000000015</v>
      </c>
      <c r="K56" s="25">
        <f t="shared" si="16"/>
        <v>77250.000000000015</v>
      </c>
      <c r="L56" s="5"/>
    </row>
    <row r="57" spans="2:12" x14ac:dyDescent="0.5">
      <c r="B57" s="6" t="s">
        <v>147</v>
      </c>
      <c r="G57" s="22">
        <f>+G56+G55</f>
        <v>84900</v>
      </c>
      <c r="H57" s="22">
        <f t="shared" ref="H57:K57" si="17">+H56+H55</f>
        <v>99600</v>
      </c>
      <c r="I57" s="22">
        <f t="shared" si="17"/>
        <v>113450</v>
      </c>
      <c r="J57" s="22">
        <f t="shared" si="17"/>
        <v>141750</v>
      </c>
      <c r="K57" s="22">
        <f t="shared" si="17"/>
        <v>157250</v>
      </c>
      <c r="L57" s="5"/>
    </row>
    <row r="58" spans="2:12" x14ac:dyDescent="0.5">
      <c r="B58" s="6"/>
      <c r="L58" s="5"/>
    </row>
    <row r="59" spans="2:12" x14ac:dyDescent="0.5">
      <c r="B59" s="6" t="s">
        <v>149</v>
      </c>
      <c r="D59" s="54">
        <f>+D54+D45</f>
        <v>1220000</v>
      </c>
      <c r="F59" s="54">
        <f>+F54+F45</f>
        <v>1190000</v>
      </c>
      <c r="G59" s="22">
        <f>+G54+G45</f>
        <v>1160000</v>
      </c>
      <c r="H59" s="22">
        <f t="shared" ref="H59:K59" si="18">+H54+H45</f>
        <v>1130000</v>
      </c>
      <c r="I59" s="22">
        <f t="shared" si="18"/>
        <v>1090000</v>
      </c>
      <c r="J59" s="22">
        <f t="shared" si="18"/>
        <v>1030000</v>
      </c>
      <c r="K59" s="22">
        <f t="shared" si="18"/>
        <v>950000</v>
      </c>
      <c r="L59" s="5"/>
    </row>
    <row r="60" spans="2:12" x14ac:dyDescent="0.5">
      <c r="B60" s="6" t="s">
        <v>144</v>
      </c>
      <c r="G60" s="22">
        <f t="shared" ref="G60:K62" si="19">+G55+G46</f>
        <v>30000</v>
      </c>
      <c r="H60" s="22">
        <f t="shared" si="19"/>
        <v>30000</v>
      </c>
      <c r="I60" s="22">
        <f t="shared" si="19"/>
        <v>40000</v>
      </c>
      <c r="J60" s="22">
        <f t="shared" si="19"/>
        <v>60000</v>
      </c>
      <c r="K60" s="22">
        <f t="shared" si="19"/>
        <v>80000</v>
      </c>
      <c r="L60" s="5"/>
    </row>
    <row r="61" spans="2:12" x14ac:dyDescent="0.5">
      <c r="B61" s="6" t="s">
        <v>145</v>
      </c>
      <c r="G61" s="22">
        <f t="shared" si="19"/>
        <v>65450</v>
      </c>
      <c r="H61" s="22">
        <f t="shared" si="19"/>
        <v>69600</v>
      </c>
      <c r="I61" s="22">
        <f t="shared" si="19"/>
        <v>73450</v>
      </c>
      <c r="J61" s="22">
        <f t="shared" si="19"/>
        <v>81750.000000000015</v>
      </c>
      <c r="K61" s="22">
        <f t="shared" si="19"/>
        <v>77250.000000000015</v>
      </c>
      <c r="L61" s="5"/>
    </row>
    <row r="62" spans="2:12" x14ac:dyDescent="0.5">
      <c r="B62" s="6" t="s">
        <v>146</v>
      </c>
      <c r="G62" s="88">
        <f t="shared" si="19"/>
        <v>95450</v>
      </c>
      <c r="H62" s="88">
        <f t="shared" si="19"/>
        <v>99600</v>
      </c>
      <c r="I62" s="88">
        <f t="shared" si="19"/>
        <v>113450</v>
      </c>
      <c r="J62" s="88">
        <f t="shared" si="19"/>
        <v>141750</v>
      </c>
      <c r="K62" s="88">
        <f t="shared" si="19"/>
        <v>157250</v>
      </c>
      <c r="L62" s="5"/>
    </row>
    <row r="63" spans="2:12" x14ac:dyDescent="0.5">
      <c r="B63" s="6" t="s">
        <v>147</v>
      </c>
      <c r="G63" s="22">
        <f>+G62+G61</f>
        <v>160900</v>
      </c>
      <c r="H63" s="22">
        <f t="shared" ref="H63:K63" si="20">+H62+H61</f>
        <v>169200</v>
      </c>
      <c r="I63" s="22">
        <f t="shared" si="20"/>
        <v>186900</v>
      </c>
      <c r="J63" s="22">
        <f t="shared" si="20"/>
        <v>223500</v>
      </c>
      <c r="K63" s="22">
        <f t="shared" si="20"/>
        <v>234500</v>
      </c>
      <c r="L63" s="5"/>
    </row>
    <row r="64" spans="2:12" ht="14.7" thickBot="1" x14ac:dyDescent="0.55000000000000004"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1"/>
    </row>
    <row r="65" spans="2:12" x14ac:dyDescent="0.5">
      <c r="B65" s="77" t="s">
        <v>150</v>
      </c>
      <c r="C65" s="93"/>
      <c r="D65" s="93"/>
      <c r="E65" s="93"/>
      <c r="F65" s="93"/>
      <c r="G65" s="93"/>
      <c r="H65" s="93"/>
      <c r="I65" s="93"/>
      <c r="J65" s="93"/>
      <c r="K65" s="93"/>
      <c r="L65" s="90"/>
    </row>
    <row r="66" spans="2:12" x14ac:dyDescent="0.5">
      <c r="B66" s="6" t="s">
        <v>157</v>
      </c>
      <c r="C66" s="74"/>
      <c r="D66" s="74"/>
      <c r="E66" s="74"/>
      <c r="F66" s="74"/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5"/>
    </row>
    <row r="67" spans="2:12" x14ac:dyDescent="0.5">
      <c r="B67" s="6"/>
      <c r="C67" s="74"/>
      <c r="D67" s="74"/>
      <c r="E67" s="74"/>
      <c r="F67" s="74"/>
      <c r="G67" s="74"/>
      <c r="H67" s="74"/>
      <c r="I67" s="74"/>
      <c r="J67" s="74"/>
      <c r="K67" s="74"/>
      <c r="L67" s="5"/>
    </row>
    <row r="68" spans="2:12" x14ac:dyDescent="0.5">
      <c r="B68" s="77" t="s">
        <v>151</v>
      </c>
      <c r="C68" s="78"/>
      <c r="D68" s="78"/>
      <c r="E68" s="78"/>
      <c r="F68" s="78"/>
      <c r="G68" s="78"/>
      <c r="H68" s="78"/>
      <c r="I68" s="78"/>
      <c r="J68" s="78"/>
      <c r="K68" s="78"/>
      <c r="L68" s="79"/>
    </row>
    <row r="69" spans="2:12" ht="14.7" thickBot="1" x14ac:dyDescent="0.55000000000000004">
      <c r="B69" s="6"/>
      <c r="C69" s="12"/>
      <c r="D69" s="146" t="s">
        <v>2</v>
      </c>
      <c r="E69" s="146"/>
      <c r="F69" s="146"/>
      <c r="G69" s="146" t="s">
        <v>3</v>
      </c>
      <c r="H69" s="146"/>
      <c r="I69" s="146"/>
      <c r="J69" s="146"/>
      <c r="K69" s="146"/>
      <c r="L69" s="5"/>
    </row>
    <row r="70" spans="2:12" ht="14.7" thickBot="1" x14ac:dyDescent="0.55000000000000004">
      <c r="B70" s="7" t="s">
        <v>4</v>
      </c>
      <c r="C70" s="12"/>
      <c r="D70" s="8" t="s">
        <v>5</v>
      </c>
      <c r="E70" s="9"/>
      <c r="F70" s="8" t="s">
        <v>6</v>
      </c>
      <c r="G70" s="8" t="s">
        <v>7</v>
      </c>
      <c r="H70" s="8" t="s">
        <v>8</v>
      </c>
      <c r="I70" s="8" t="s">
        <v>9</v>
      </c>
      <c r="J70" s="8" t="s">
        <v>10</v>
      </c>
      <c r="K70" s="8" t="s">
        <v>11</v>
      </c>
      <c r="L70" s="5"/>
    </row>
    <row r="71" spans="2:12" x14ac:dyDescent="0.5">
      <c r="B71" s="6" t="s">
        <v>34</v>
      </c>
      <c r="G71" s="16">
        <f>+'FINANCIAL MODEL'!G40</f>
        <v>354422.19999999995</v>
      </c>
      <c r="H71" s="16">
        <f>+'FINANCIAL MODEL'!H40</f>
        <v>397676.0312400001</v>
      </c>
      <c r="I71" s="16">
        <f>+'FINANCIAL MODEL'!I40</f>
        <v>432399.03837713611</v>
      </c>
      <c r="J71" s="16">
        <f>+'FINANCIAL MODEL'!J40</f>
        <v>456152.44727275835</v>
      </c>
      <c r="K71" s="16">
        <f>+'FINANCIAL MODEL'!K40</f>
        <v>487128.05631708214</v>
      </c>
      <c r="L71" s="5"/>
    </row>
    <row r="72" spans="2:12" x14ac:dyDescent="0.5">
      <c r="B72" s="6" t="s">
        <v>152</v>
      </c>
      <c r="G72" s="89">
        <v>0.4</v>
      </c>
      <c r="H72" s="89">
        <v>0.4</v>
      </c>
      <c r="I72" s="89">
        <v>0.4</v>
      </c>
      <c r="J72" s="89">
        <v>0.4</v>
      </c>
      <c r="K72" s="89">
        <v>0.4</v>
      </c>
      <c r="L72" s="5"/>
    </row>
    <row r="73" spans="2:12" x14ac:dyDescent="0.5">
      <c r="B73" s="6" t="s">
        <v>153</v>
      </c>
      <c r="G73" s="16">
        <f>+G72*G71</f>
        <v>141768.87999999998</v>
      </c>
      <c r="H73" s="16">
        <f t="shared" ref="H73:K73" si="21">+H72*H71</f>
        <v>159070.41249600006</v>
      </c>
      <c r="I73" s="16">
        <f t="shared" si="21"/>
        <v>172959.61535085447</v>
      </c>
      <c r="J73" s="16">
        <f t="shared" si="21"/>
        <v>182460.97890910335</v>
      </c>
      <c r="K73" s="16">
        <f t="shared" si="21"/>
        <v>194851.22252683286</v>
      </c>
      <c r="L73" s="5"/>
    </row>
    <row r="74" spans="2:12" x14ac:dyDescent="0.5">
      <c r="B74" s="6" t="s">
        <v>154</v>
      </c>
      <c r="G74" s="16">
        <f>+G73*G77</f>
        <v>5670.7551999999987</v>
      </c>
      <c r="H74" s="16">
        <f t="shared" ref="H74:K74" si="22">+H73*H77</f>
        <v>6362.8164998400025</v>
      </c>
      <c r="I74" s="16">
        <f t="shared" si="22"/>
        <v>6918.3846140341784</v>
      </c>
      <c r="J74" s="16">
        <f t="shared" si="22"/>
        <v>7298.4391563641339</v>
      </c>
      <c r="K74" s="16">
        <f t="shared" si="22"/>
        <v>7794.0489010733145</v>
      </c>
      <c r="L74" s="5"/>
    </row>
    <row r="75" spans="2:12" x14ac:dyDescent="0.5">
      <c r="B75" s="6" t="s">
        <v>155</v>
      </c>
      <c r="G75" s="23">
        <f>+G73-G74</f>
        <v>136098.12479999999</v>
      </c>
      <c r="H75" s="23">
        <f t="shared" ref="H75:K75" si="23">+H73-H74</f>
        <v>152707.59599616006</v>
      </c>
      <c r="I75" s="23">
        <f t="shared" si="23"/>
        <v>166041.23073682029</v>
      </c>
      <c r="J75" s="23">
        <f t="shared" si="23"/>
        <v>175162.53975273922</v>
      </c>
      <c r="K75" s="23">
        <f t="shared" si="23"/>
        <v>187057.17362575955</v>
      </c>
      <c r="L75" s="5"/>
    </row>
    <row r="76" spans="2:12" x14ac:dyDescent="0.5">
      <c r="B76" s="6"/>
      <c r="L76" s="5"/>
    </row>
    <row r="77" spans="2:12" x14ac:dyDescent="0.5">
      <c r="B77" s="6" t="s">
        <v>156</v>
      </c>
      <c r="G77" s="35">
        <v>0.04</v>
      </c>
      <c r="H77" s="35">
        <v>0.04</v>
      </c>
      <c r="I77" s="35">
        <v>0.04</v>
      </c>
      <c r="J77" s="35">
        <v>0.04</v>
      </c>
      <c r="K77" s="35">
        <v>0.04</v>
      </c>
      <c r="L77" s="5"/>
    </row>
    <row r="78" spans="2:12" ht="14.7" thickBot="1" x14ac:dyDescent="0.55000000000000004"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1"/>
    </row>
  </sheetData>
  <mergeCells count="4">
    <mergeCell ref="D69:F69"/>
    <mergeCell ref="G69:K69"/>
    <mergeCell ref="D5:F5"/>
    <mergeCell ref="G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FINANCIAL MODEL</vt:lpstr>
      <vt:lpstr>FINANCIAL MODEL-BLANK</vt:lpstr>
      <vt:lpstr>REVENUE ASSUMPTIONS</vt:lpstr>
      <vt:lpstr>COGS &amp; OPER. EXPENSES</vt:lpstr>
      <vt:lpstr>CASH FLOW  &amp; BAL. SHEET ASSUMP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2021-02-14T21:41:16Z</dcterms:created>
  <dcterms:modified xsi:type="dcterms:W3CDTF">2021-02-25T21:39:29Z</dcterms:modified>
</cp:coreProperties>
</file>