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hris Droussiotis\Dropbox\File requests\INVESTMENTS FINANCE CREDIT\Chapters\ACTIVE LEARNING\PART III - SECONDARY MARKETS\EXCEL SPREADSHEETS\"/>
    </mc:Choice>
  </mc:AlternateContent>
  <xr:revisionPtr revIDLastSave="0" documentId="13_ncr:1_{F1F32A1C-3004-4079-B1D6-11740F49893F}" xr6:coauthVersionLast="47" xr6:coauthVersionMax="47" xr10:uidLastSave="{00000000-0000-0000-0000-000000000000}"/>
  <bookViews>
    <workbookView xWindow="-110" yWindow="-110" windowWidth="19420" windowHeight="10300" firstSheet="8" activeTab="11" xr2:uid="{A45004A8-AE8C-4F75-BFD4-00C7C0101642}"/>
  </bookViews>
  <sheets>
    <sheet name="Figure 14.1" sheetId="2" r:id="rId1"/>
    <sheet name="Figure 14.2" sheetId="3" r:id="rId2"/>
    <sheet name="Figure 14.3" sheetId="1" r:id="rId3"/>
    <sheet name="Figure 14.4a" sheetId="4" r:id="rId4"/>
    <sheet name="Figure 14.4b" sheetId="21" r:id="rId5"/>
    <sheet name="Figure 14.5" sheetId="7" r:id="rId6"/>
    <sheet name="Figure 14.6" sheetId="8" r:id="rId7"/>
    <sheet name="Figure 14.7" sheetId="13" r:id="rId8"/>
    <sheet name="Figure 14.8" sheetId="9" r:id="rId9"/>
    <sheet name="Figure 14.11" sheetId="12" r:id="rId10"/>
    <sheet name="Figure 14.9" sheetId="11" r:id="rId11"/>
    <sheet name="Figure 14.10" sheetId="10" r:id="rId12"/>
    <sheet name="Speculation Basis" sheetId="19" r:id="rId13"/>
    <sheet name="FRAs" sheetId="18" r:id="rId14"/>
    <sheet name="Credit Derivatives" sheetId="15" r:id="rId15"/>
    <sheet name="CDO and CDS" sheetId="16" r:id="rId16"/>
    <sheet name="CASE STUDY" sheetId="14" r:id="rId17"/>
    <sheet name="Sheet3" sheetId="6" r:id="rId18"/>
    <sheet name="Sheet1" sheetId="17" r:id="rId1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9" i="21" l="1"/>
  <c r="D17" i="21"/>
  <c r="D20" i="21" s="1"/>
  <c r="C19" i="21"/>
  <c r="AR20" i="21"/>
  <c r="C13" i="4"/>
  <c r="D20" i="4" s="1"/>
  <c r="I5" i="7"/>
  <c r="AT39" i="1"/>
  <c r="AR33" i="1"/>
  <c r="AT40" i="1" s="1"/>
  <c r="E16" i="19"/>
  <c r="E15" i="19"/>
  <c r="E14" i="19"/>
  <c r="E12" i="19"/>
  <c r="E8" i="19"/>
  <c r="I11" i="2"/>
  <c r="H11" i="2"/>
  <c r="H7" i="2"/>
  <c r="G26" i="1"/>
  <c r="G24" i="1"/>
  <c r="G25" i="1"/>
  <c r="G10" i="1"/>
  <c r="G9" i="1"/>
  <c r="G8" i="1"/>
  <c r="G32" i="18"/>
  <c r="C32" i="18"/>
  <c r="E18" i="18"/>
  <c r="G21" i="18"/>
  <c r="G25" i="18"/>
  <c r="G29" i="18" s="1"/>
  <c r="G34" i="18" s="1"/>
  <c r="C25" i="18"/>
  <c r="C29" i="18" s="1"/>
  <c r="C21" i="18"/>
  <c r="C15" i="18"/>
  <c r="C18" i="18" s="1"/>
  <c r="D18" i="18" s="1"/>
  <c r="G29" i="17"/>
  <c r="C29" i="17"/>
  <c r="G28" i="17"/>
  <c r="C28" i="17"/>
  <c r="G23" i="17"/>
  <c r="G31" i="17" s="1"/>
  <c r="K7" i="17" s="1"/>
  <c r="C23" i="17"/>
  <c r="C31" i="17" s="1"/>
  <c r="G22" i="17"/>
  <c r="C22" i="17"/>
  <c r="K5" i="17"/>
  <c r="K4" i="17"/>
  <c r="K8" i="17" s="1"/>
  <c r="K9" i="17" s="1"/>
  <c r="K12" i="17" s="1"/>
  <c r="K2" i="17"/>
  <c r="C14" i="12"/>
  <c r="C15" i="12"/>
  <c r="C13" i="12"/>
  <c r="D25" i="10"/>
  <c r="C36" i="16"/>
  <c r="E33" i="16" s="1"/>
  <c r="D7" i="16"/>
  <c r="D5" i="16"/>
  <c r="C34" i="18" l="1"/>
  <c r="E34" i="16"/>
  <c r="H33" i="16"/>
  <c r="E36" i="16"/>
  <c r="E32" i="16"/>
  <c r="H32" i="16" s="1"/>
  <c r="E35" i="16"/>
  <c r="E31" i="16"/>
  <c r="H34" i="16"/>
  <c r="H31" i="16"/>
  <c r="H35" i="16"/>
  <c r="C38" i="16"/>
  <c r="H38" i="16" l="1"/>
  <c r="C6" i="16" s="1"/>
  <c r="D6" i="16" s="1"/>
  <c r="D8" i="16" s="1"/>
  <c r="D9" i="16" s="1"/>
  <c r="D37" i="16"/>
  <c r="D33" i="16"/>
  <c r="D32" i="16"/>
  <c r="D35" i="16"/>
  <c r="D31" i="16"/>
  <c r="D38" i="16"/>
  <c r="D34" i="16"/>
  <c r="D36" i="16"/>
  <c r="B34" i="14" l="1"/>
  <c r="B42" i="14"/>
  <c r="B33" i="14"/>
  <c r="H38" i="14"/>
  <c r="B39" i="14" s="1"/>
  <c r="H39" i="14"/>
  <c r="B41" i="14" s="1"/>
  <c r="J38" i="14"/>
  <c r="B40" i="14" s="1"/>
  <c r="B14" i="14"/>
  <c r="C24" i="14" s="1"/>
  <c r="B35" i="14"/>
  <c r="B15" i="14"/>
  <c r="C22" i="14" s="1"/>
  <c r="C23" i="14" s="1"/>
  <c r="D21" i="14"/>
  <c r="D24" i="14" s="1"/>
  <c r="G17" i="13"/>
  <c r="F14" i="13"/>
  <c r="F15" i="13"/>
  <c r="F16" i="13"/>
  <c r="F17" i="13"/>
  <c r="F18" i="13"/>
  <c r="E15" i="13"/>
  <c r="G15" i="13" s="1"/>
  <c r="E16" i="13"/>
  <c r="G16" i="13" s="1"/>
  <c r="E17" i="13"/>
  <c r="E18" i="13"/>
  <c r="G18" i="13" s="1"/>
  <c r="E14" i="13"/>
  <c r="G14" i="13" s="1"/>
  <c r="G19" i="13" s="1"/>
  <c r="B24" i="14" l="1"/>
  <c r="D22" i="14"/>
  <c r="D23" i="14" s="1"/>
  <c r="C25" i="14"/>
  <c r="B22" i="14"/>
  <c r="B23" i="14" s="1"/>
  <c r="A4" i="12"/>
  <c r="A5" i="12"/>
  <c r="A6" i="12"/>
  <c r="A7" i="12"/>
  <c r="A8" i="12"/>
  <c r="A9" i="12"/>
  <c r="A10" i="12"/>
  <c r="A11" i="12"/>
  <c r="A12" i="12"/>
  <c r="A13" i="12"/>
  <c r="A14" i="12"/>
  <c r="A15" i="12"/>
  <c r="A16" i="12"/>
  <c r="A17" i="12"/>
  <c r="A18" i="12"/>
  <c r="A19" i="12"/>
  <c r="A20" i="12"/>
  <c r="A21" i="12"/>
  <c r="A22" i="12"/>
  <c r="A23" i="12"/>
  <c r="D18" i="12"/>
  <c r="D13" i="12"/>
  <c r="F13" i="12" s="1"/>
  <c r="A3" i="12"/>
  <c r="A2" i="12"/>
  <c r="A19" i="10"/>
  <c r="A20" i="10"/>
  <c r="A21" i="10"/>
  <c r="A22" i="10"/>
  <c r="A23" i="10"/>
  <c r="A24" i="10"/>
  <c r="A25" i="10"/>
  <c r="A26" i="10"/>
  <c r="A27" i="10"/>
  <c r="A28" i="10"/>
  <c r="A29" i="10"/>
  <c r="A30" i="10"/>
  <c r="A31" i="10"/>
  <c r="A32" i="10"/>
  <c r="A33" i="10"/>
  <c r="A34" i="10"/>
  <c r="A35" i="10"/>
  <c r="A36" i="10"/>
  <c r="D24" i="10"/>
  <c r="B25" i="14" l="1"/>
  <c r="D25" i="14"/>
  <c r="A3" i="10"/>
  <c r="A4" i="10"/>
  <c r="A5" i="10"/>
  <c r="A6" i="10"/>
  <c r="A7" i="10"/>
  <c r="A8" i="10"/>
  <c r="A9" i="10"/>
  <c r="A10" i="10"/>
  <c r="A11" i="10"/>
  <c r="A12" i="10"/>
  <c r="A13" i="10"/>
  <c r="A14" i="10"/>
  <c r="A15" i="10"/>
  <c r="A16" i="10"/>
  <c r="A17" i="10"/>
  <c r="A18" i="10"/>
  <c r="A2" i="10"/>
  <c r="B14" i="12"/>
  <c r="D14" i="12" s="1"/>
  <c r="F14" i="12" s="1"/>
  <c r="B10" i="11"/>
  <c r="B11" i="11" s="1"/>
  <c r="E9" i="11"/>
  <c r="H9" i="11" s="1"/>
  <c r="C9" i="11"/>
  <c r="D9" i="11" s="1"/>
  <c r="D15" i="10"/>
  <c r="D11" i="10"/>
  <c r="D23" i="10" s="1"/>
  <c r="D31" i="10" s="1"/>
  <c r="A3" i="9"/>
  <c r="A4" i="9"/>
  <c r="A5" i="9"/>
  <c r="A6" i="9"/>
  <c r="A7" i="9"/>
  <c r="A8" i="9"/>
  <c r="A9" i="9"/>
  <c r="A10" i="9"/>
  <c r="A11" i="9"/>
  <c r="A12" i="9"/>
  <c r="A13" i="9"/>
  <c r="A14" i="9"/>
  <c r="A15" i="9"/>
  <c r="A16" i="9"/>
  <c r="A17" i="9"/>
  <c r="A18" i="9"/>
  <c r="A19" i="9"/>
  <c r="A20" i="9"/>
  <c r="A21" i="9"/>
  <c r="A22" i="9"/>
  <c r="A23" i="9"/>
  <c r="A24" i="9"/>
  <c r="A25" i="9"/>
  <c r="A26" i="9"/>
  <c r="A27" i="9"/>
  <c r="A28" i="9"/>
  <c r="A29" i="9"/>
  <c r="A30" i="9"/>
  <c r="A32" i="9"/>
  <c r="A33" i="9"/>
  <c r="A34" i="9"/>
  <c r="A35" i="9"/>
  <c r="A36" i="9"/>
  <c r="A2" i="9"/>
  <c r="B16" i="9"/>
  <c r="D16" i="9" s="1"/>
  <c r="L17" i="9" s="1"/>
  <c r="M15" i="9"/>
  <c r="L15" i="9"/>
  <c r="N15" i="9" s="1"/>
  <c r="C24" i="8"/>
  <c r="E12" i="8"/>
  <c r="C26" i="8"/>
  <c r="C25" i="8"/>
  <c r="C19" i="8"/>
  <c r="E19" i="8" s="1"/>
  <c r="G19" i="8" s="1"/>
  <c r="C18" i="8"/>
  <c r="E18" i="8" s="1"/>
  <c r="G18" i="8" s="1"/>
  <c r="C17" i="8"/>
  <c r="E17" i="8" s="1"/>
  <c r="G17" i="8" s="1"/>
  <c r="D22" i="7"/>
  <c r="M22" i="7"/>
  <c r="M23" i="7" s="1"/>
  <c r="M25" i="7" s="1"/>
  <c r="D17" i="7"/>
  <c r="G17" i="7" s="1"/>
  <c r="B113" i="6"/>
  <c r="B114" i="6" s="1"/>
  <c r="B115" i="6" s="1"/>
  <c r="B112" i="6"/>
  <c r="D112" i="6" s="1"/>
  <c r="K111" i="6"/>
  <c r="J111" i="6"/>
  <c r="D95" i="6"/>
  <c r="G95" i="6" s="1"/>
  <c r="D94" i="6"/>
  <c r="G94" i="6" s="1"/>
  <c r="G93" i="6"/>
  <c r="F85" i="6"/>
  <c r="E85" i="6"/>
  <c r="G85" i="6" s="1"/>
  <c r="F84" i="6"/>
  <c r="E84" i="6"/>
  <c r="G84" i="6" s="1"/>
  <c r="F83" i="6"/>
  <c r="E83" i="6"/>
  <c r="F82" i="6"/>
  <c r="E82" i="6"/>
  <c r="G82" i="6" s="1"/>
  <c r="F81" i="6"/>
  <c r="E81" i="6"/>
  <c r="G81" i="6" s="1"/>
  <c r="C69" i="6"/>
  <c r="C68" i="6"/>
  <c r="C67" i="6"/>
  <c r="E64" i="6"/>
  <c r="E69" i="6" s="1"/>
  <c r="F69" i="6" s="1"/>
  <c r="E63" i="6"/>
  <c r="E62" i="6"/>
  <c r="E61" i="6"/>
  <c r="N60" i="6"/>
  <c r="J56" i="6"/>
  <c r="L56" i="6" s="1"/>
  <c r="N56" i="6" s="1"/>
  <c r="C56" i="6"/>
  <c r="E56" i="6" s="1"/>
  <c r="G56" i="6" s="1"/>
  <c r="J55" i="6"/>
  <c r="L55" i="6" s="1"/>
  <c r="N55" i="6" s="1"/>
  <c r="E55" i="6"/>
  <c r="G55" i="6" s="1"/>
  <c r="C55" i="6"/>
  <c r="J54" i="6"/>
  <c r="L54" i="6" s="1"/>
  <c r="N54" i="6" s="1"/>
  <c r="C54" i="6"/>
  <c r="E54" i="6" s="1"/>
  <c r="G54" i="6" s="1"/>
  <c r="H37" i="6"/>
  <c r="I37" i="6" s="1"/>
  <c r="J37" i="6" s="1"/>
  <c r="K37" i="6" s="1"/>
  <c r="F37" i="6"/>
  <c r="G37" i="6" s="1"/>
  <c r="E33" i="6"/>
  <c r="F29" i="6"/>
  <c r="G28" i="6"/>
  <c r="H28" i="6" s="1"/>
  <c r="E23" i="6"/>
  <c r="E26" i="6" s="1"/>
  <c r="K16" i="6"/>
  <c r="N15" i="6"/>
  <c r="N17" i="6" s="1"/>
  <c r="N18" i="6" s="1"/>
  <c r="K14" i="6"/>
  <c r="F14" i="6"/>
  <c r="G14" i="6" s="1"/>
  <c r="F13" i="6"/>
  <c r="G13" i="6" s="1"/>
  <c r="F12" i="6"/>
  <c r="F11" i="6"/>
  <c r="G11" i="6" s="1"/>
  <c r="G10" i="6"/>
  <c r="F10" i="6"/>
  <c r="F9" i="6"/>
  <c r="G9" i="6" s="1"/>
  <c r="E9" i="6"/>
  <c r="C9" i="6"/>
  <c r="F27" i="6" s="1"/>
  <c r="G29" i="6" s="1"/>
  <c r="F20" i="4"/>
  <c r="E20" i="4"/>
  <c r="C11" i="4"/>
  <c r="F18" i="4"/>
  <c r="F19" i="4" s="1"/>
  <c r="G17" i="4"/>
  <c r="G20" i="4" s="1"/>
  <c r="G8" i="4"/>
  <c r="G7" i="4"/>
  <c r="G6" i="4"/>
  <c r="N57" i="6" l="1"/>
  <c r="K18" i="6"/>
  <c r="D68" i="6"/>
  <c r="G83" i="6"/>
  <c r="E67" i="6"/>
  <c r="F67" i="6" s="1"/>
  <c r="D16" i="10"/>
  <c r="D32" i="10" s="1"/>
  <c r="D33" i="10" s="1"/>
  <c r="D35" i="10" s="1"/>
  <c r="D28" i="10"/>
  <c r="B15" i="12"/>
  <c r="D15" i="12" s="1"/>
  <c r="F15" i="12" s="1"/>
  <c r="D17" i="12" s="1"/>
  <c r="D19" i="12" s="1"/>
  <c r="D21" i="12" s="1"/>
  <c r="D22" i="12" s="1"/>
  <c r="C11" i="11"/>
  <c r="D11" i="11" s="1"/>
  <c r="B12" i="11"/>
  <c r="E11" i="11"/>
  <c r="F9" i="11"/>
  <c r="G9" i="11" s="1"/>
  <c r="C10" i="11"/>
  <c r="D10" i="11" s="1"/>
  <c r="E10" i="11"/>
  <c r="O15" i="9"/>
  <c r="I15" i="9"/>
  <c r="N17" i="9"/>
  <c r="I17" i="9"/>
  <c r="B17" i="9"/>
  <c r="C16" i="9"/>
  <c r="E16" i="9" s="1"/>
  <c r="J15" i="9"/>
  <c r="G20" i="8"/>
  <c r="E24" i="8"/>
  <c r="G24" i="8" s="1"/>
  <c r="E26" i="8"/>
  <c r="G26" i="8" s="1"/>
  <c r="E25" i="8"/>
  <c r="G25" i="8" s="1"/>
  <c r="D25" i="7"/>
  <c r="C10" i="6"/>
  <c r="E36" i="6"/>
  <c r="F33" i="6"/>
  <c r="F35" i="6"/>
  <c r="F36" i="6" s="1"/>
  <c r="D67" i="6"/>
  <c r="G67" i="6" s="1"/>
  <c r="I67" i="6" s="1"/>
  <c r="L111" i="6"/>
  <c r="M111" i="6" s="1"/>
  <c r="G111" i="6"/>
  <c r="H111" i="6" s="1"/>
  <c r="K115" i="6"/>
  <c r="B116" i="6"/>
  <c r="C114" i="6"/>
  <c r="E10" i="6"/>
  <c r="H10" i="6" s="1"/>
  <c r="G57" i="6"/>
  <c r="K59" i="6" s="1"/>
  <c r="D114" i="6"/>
  <c r="I28" i="6"/>
  <c r="E68" i="6"/>
  <c r="F68" i="6" s="1"/>
  <c r="G68" i="6" s="1"/>
  <c r="I68" i="6" s="1"/>
  <c r="J113" i="6"/>
  <c r="K113" i="6"/>
  <c r="H9" i="6"/>
  <c r="G12" i="6"/>
  <c r="F23" i="6"/>
  <c r="F25" i="6"/>
  <c r="F26" i="6" s="1"/>
  <c r="E40" i="6"/>
  <c r="D69" i="6"/>
  <c r="G69" i="6" s="1"/>
  <c r="I69" i="6" s="1"/>
  <c r="C112" i="6"/>
  <c r="E112" i="6" s="1"/>
  <c r="F21" i="4"/>
  <c r="G18" i="4"/>
  <c r="E18" i="4"/>
  <c r="E19" i="4" l="1"/>
  <c r="E21" i="4" s="1"/>
  <c r="G19" i="4"/>
  <c r="G21" i="4" s="1"/>
  <c r="F11" i="11"/>
  <c r="G11" i="11" s="1"/>
  <c r="H11" i="11"/>
  <c r="H10" i="11"/>
  <c r="F10" i="11"/>
  <c r="G10" i="11" s="1"/>
  <c r="C12" i="11"/>
  <c r="D12" i="11" s="1"/>
  <c r="B13" i="11"/>
  <c r="E12" i="11"/>
  <c r="M17" i="9"/>
  <c r="O17" i="9" s="1"/>
  <c r="B18" i="9"/>
  <c r="G27" i="8"/>
  <c r="K22" i="8" s="1"/>
  <c r="E41" i="6"/>
  <c r="L113" i="6"/>
  <c r="M113" i="6" s="1"/>
  <c r="G113" i="6"/>
  <c r="H113" i="6" s="1"/>
  <c r="J115" i="6"/>
  <c r="E114" i="6"/>
  <c r="C116" i="6"/>
  <c r="B117" i="6"/>
  <c r="D116" i="6"/>
  <c r="I70" i="6"/>
  <c r="E11" i="6"/>
  <c r="H11" i="6" s="1"/>
  <c r="G27" i="6"/>
  <c r="H29" i="6" s="1"/>
  <c r="C11" i="6"/>
  <c r="G25" i="6"/>
  <c r="G26" i="6" s="1"/>
  <c r="F40" i="6" s="1"/>
  <c r="G23" i="6"/>
  <c r="J28" i="6"/>
  <c r="G33" i="6"/>
  <c r="G35" i="6"/>
  <c r="G36" i="6" s="1"/>
  <c r="F41" i="6" s="1"/>
  <c r="F12" i="11" l="1"/>
  <c r="G12" i="11" s="1"/>
  <c r="H12" i="11"/>
  <c r="E13" i="11"/>
  <c r="C13" i="11"/>
  <c r="D13" i="11" s="1"/>
  <c r="B14" i="11"/>
  <c r="J17" i="9"/>
  <c r="D18" i="9"/>
  <c r="C18" i="9"/>
  <c r="B19" i="9"/>
  <c r="F42" i="6"/>
  <c r="H35" i="6"/>
  <c r="H36" i="6" s="1"/>
  <c r="H33" i="6"/>
  <c r="H23" i="6"/>
  <c r="H25" i="6"/>
  <c r="H26" i="6" s="1"/>
  <c r="H27" i="6"/>
  <c r="I29" i="6" s="1"/>
  <c r="C12" i="6"/>
  <c r="E12" i="6"/>
  <c r="H12" i="6" s="1"/>
  <c r="E116" i="6"/>
  <c r="J117" i="6"/>
  <c r="G115" i="6"/>
  <c r="H115" i="6" s="1"/>
  <c r="L115" i="6"/>
  <c r="M115" i="6" s="1"/>
  <c r="K117" i="6"/>
  <c r="B118" i="6"/>
  <c r="K28" i="6"/>
  <c r="H13" i="11" l="1"/>
  <c r="F13" i="11"/>
  <c r="G13" i="11" s="1"/>
  <c r="B15" i="11"/>
  <c r="E14" i="11"/>
  <c r="C14" i="11"/>
  <c r="D14" i="11" s="1"/>
  <c r="B20" i="9"/>
  <c r="M19" i="9"/>
  <c r="L19" i="9"/>
  <c r="E18" i="9"/>
  <c r="L117" i="6"/>
  <c r="M117" i="6" s="1"/>
  <c r="G117" i="6"/>
  <c r="H117" i="6" s="1"/>
  <c r="G41" i="6"/>
  <c r="I25" i="6"/>
  <c r="I26" i="6" s="1"/>
  <c r="G40" i="6" s="1"/>
  <c r="I23" i="6"/>
  <c r="D118" i="6"/>
  <c r="C118" i="6"/>
  <c r="B119" i="6"/>
  <c r="I27" i="6"/>
  <c r="J29" i="6" s="1"/>
  <c r="E13" i="6"/>
  <c r="H13" i="6" s="1"/>
  <c r="C13" i="6"/>
  <c r="I33" i="6"/>
  <c r="I35" i="6"/>
  <c r="I36" i="6" s="1"/>
  <c r="F14" i="11" l="1"/>
  <c r="G14" i="11" s="1"/>
  <c r="H14" i="11"/>
  <c r="B16" i="11"/>
  <c r="E15" i="11"/>
  <c r="C15" i="11"/>
  <c r="D15" i="11" s="1"/>
  <c r="N19" i="9"/>
  <c r="O19" i="9" s="1"/>
  <c r="I19" i="9"/>
  <c r="J19" i="9" s="1"/>
  <c r="B21" i="9"/>
  <c r="D20" i="9"/>
  <c r="C20" i="9"/>
  <c r="G42" i="6"/>
  <c r="E14" i="6"/>
  <c r="H14" i="6" s="1"/>
  <c r="J27" i="6"/>
  <c r="K29" i="6" s="1"/>
  <c r="C14" i="6"/>
  <c r="K119" i="6"/>
  <c r="B120" i="6"/>
  <c r="J119" i="6"/>
  <c r="E118" i="6"/>
  <c r="J33" i="6"/>
  <c r="J35" i="6"/>
  <c r="J36" i="6" s="1"/>
  <c r="J23" i="6"/>
  <c r="J25" i="6"/>
  <c r="J26" i="6" s="1"/>
  <c r="F15" i="11" l="1"/>
  <c r="G15" i="11" s="1"/>
  <c r="H15" i="11"/>
  <c r="C16" i="11"/>
  <c r="D16" i="11" s="1"/>
  <c r="B17" i="11"/>
  <c r="E16" i="11"/>
  <c r="M21" i="9"/>
  <c r="B22" i="9"/>
  <c r="L21" i="9"/>
  <c r="E20" i="9"/>
  <c r="K35" i="6"/>
  <c r="K34" i="6"/>
  <c r="K33" i="6" s="1"/>
  <c r="D120" i="6"/>
  <c r="E120" i="6" s="1"/>
  <c r="E121" i="6" s="1"/>
  <c r="F125" i="6" s="1"/>
  <c r="E127" i="6" s="1"/>
  <c r="C120" i="6"/>
  <c r="K24" i="6"/>
  <c r="K23" i="6"/>
  <c r="K25" i="6"/>
  <c r="L119" i="6"/>
  <c r="M119" i="6" s="1"/>
  <c r="M121" i="6" s="1"/>
  <c r="E128" i="6" s="1"/>
  <c r="G119" i="6"/>
  <c r="H119" i="6" s="1"/>
  <c r="H121" i="6" s="1"/>
  <c r="E17" i="11" l="1"/>
  <c r="C17" i="11"/>
  <c r="D17" i="11" s="1"/>
  <c r="B18" i="11"/>
  <c r="F16" i="11"/>
  <c r="G16" i="11" s="1"/>
  <c r="H16" i="11"/>
  <c r="N21" i="9"/>
  <c r="O21" i="9" s="1"/>
  <c r="I21" i="9"/>
  <c r="J21" i="9" s="1"/>
  <c r="C22" i="9"/>
  <c r="B23" i="9"/>
  <c r="D22" i="9"/>
  <c r="E129" i="6"/>
  <c r="G129" i="6" s="1"/>
  <c r="K36" i="6"/>
  <c r="H41" i="6" s="1"/>
  <c r="D41" i="6" s="1"/>
  <c r="K26" i="6"/>
  <c r="H40" i="6" s="1"/>
  <c r="B19" i="11" l="1"/>
  <c r="E18" i="11"/>
  <c r="C18" i="11"/>
  <c r="D18" i="11" s="1"/>
  <c r="H17" i="11"/>
  <c r="F17" i="11"/>
  <c r="G17" i="11" s="1"/>
  <c r="L23" i="9"/>
  <c r="E22" i="9"/>
  <c r="M23" i="9"/>
  <c r="B24" i="9"/>
  <c r="H42" i="6"/>
  <c r="D40" i="6"/>
  <c r="H18" i="11" l="1"/>
  <c r="F18" i="11"/>
  <c r="G18" i="11" s="1"/>
  <c r="C19" i="11"/>
  <c r="D19" i="11" s="1"/>
  <c r="B20" i="11"/>
  <c r="E19" i="11"/>
  <c r="N23" i="9"/>
  <c r="O23" i="9" s="1"/>
  <c r="O25" i="9" s="1"/>
  <c r="E30" i="9" s="1"/>
  <c r="I23" i="9"/>
  <c r="J23" i="9" s="1"/>
  <c r="J25" i="9" s="1"/>
  <c r="D24" i="9"/>
  <c r="C24" i="9"/>
  <c r="G26" i="9" l="1"/>
  <c r="E26" i="9"/>
  <c r="C20" i="11"/>
  <c r="D20" i="11" s="1"/>
  <c r="B21" i="11"/>
  <c r="E20" i="11"/>
  <c r="F19" i="11"/>
  <c r="G19" i="11" s="1"/>
  <c r="H19" i="11"/>
  <c r="E24" i="9"/>
  <c r="E25" i="9" s="1"/>
  <c r="E27" i="9" s="1"/>
  <c r="E29" i="9" s="1"/>
  <c r="F20" i="11" l="1"/>
  <c r="G20" i="11" s="1"/>
  <c r="H20" i="11"/>
  <c r="C21" i="11"/>
  <c r="D21" i="11" s="1"/>
  <c r="B22" i="11"/>
  <c r="E21" i="11"/>
  <c r="E32" i="9"/>
  <c r="E34" i="9" s="1"/>
  <c r="B23" i="11" l="1"/>
  <c r="E22" i="11"/>
  <c r="C22" i="11"/>
  <c r="D22" i="11" s="1"/>
  <c r="H21" i="11"/>
  <c r="F21" i="11"/>
  <c r="G21" i="11" s="1"/>
  <c r="E14" i="1"/>
  <c r="E15" i="1" l="1"/>
  <c r="E16" i="1" s="1"/>
  <c r="E17" i="1" s="1"/>
  <c r="E18" i="1" s="1"/>
  <c r="E19" i="1" s="1"/>
  <c r="E20" i="1" s="1"/>
  <c r="E21" i="1" s="1"/>
  <c r="E22" i="1" s="1"/>
  <c r="E23" i="1" s="1"/>
  <c r="E24" i="1" s="1"/>
  <c r="E25" i="1" s="1"/>
  <c r="E26" i="1" s="1"/>
  <c r="L14" i="1"/>
  <c r="L15" i="1" s="1"/>
  <c r="L16" i="1" s="1"/>
  <c r="L17" i="1" s="1"/>
  <c r="L18" i="1" s="1"/>
  <c r="L19" i="1" s="1"/>
  <c r="L20" i="1" s="1"/>
  <c r="L21" i="1" s="1"/>
  <c r="L22" i="1" s="1"/>
  <c r="L23" i="1" s="1"/>
  <c r="L24" i="1" s="1"/>
  <c r="L25" i="1" s="1"/>
  <c r="L26" i="1" s="1"/>
  <c r="F22" i="11"/>
  <c r="G22" i="11" s="1"/>
  <c r="H22" i="11"/>
  <c r="B24" i="11"/>
  <c r="E23" i="11"/>
  <c r="C23" i="11"/>
  <c r="D23" i="11" s="1"/>
  <c r="F23" i="11" l="1"/>
  <c r="G23" i="11" s="1"/>
  <c r="H23" i="11"/>
  <c r="C24" i="11"/>
  <c r="D24" i="11" s="1"/>
  <c r="B25" i="11"/>
  <c r="E24" i="11"/>
  <c r="G49" i="3"/>
  <c r="G50" i="3"/>
  <c r="G48" i="3"/>
  <c r="G42" i="3"/>
  <c r="G44" i="3"/>
  <c r="G43" i="3"/>
  <c r="C25" i="11" l="1"/>
  <c r="D25" i="11" s="1"/>
  <c r="E25" i="11"/>
  <c r="F24" i="11"/>
  <c r="G24" i="11" s="1"/>
  <c r="H24" i="11"/>
  <c r="G16" i="1"/>
  <c r="G20" i="1"/>
  <c r="G22" i="1"/>
  <c r="G23" i="1"/>
  <c r="G15" i="1"/>
  <c r="I14" i="1"/>
  <c r="B13" i="2"/>
  <c r="G14" i="2"/>
  <c r="G16" i="2"/>
  <c r="G15" i="2"/>
  <c r="C14" i="2"/>
  <c r="H14" i="2" s="1"/>
  <c r="G13" i="2"/>
  <c r="E32" i="2"/>
  <c r="J32" i="2"/>
  <c r="I27" i="2"/>
  <c r="H27" i="2"/>
  <c r="H26" i="2"/>
  <c r="I33" i="2" s="1"/>
  <c r="D27" i="2"/>
  <c r="C27" i="2"/>
  <c r="C26" i="2"/>
  <c r="D33" i="2" s="1"/>
  <c r="H24" i="2"/>
  <c r="H25" i="2" s="1"/>
  <c r="C24" i="2"/>
  <c r="C25" i="2" s="1"/>
  <c r="H22" i="2"/>
  <c r="G30" i="2" s="1"/>
  <c r="C22" i="2"/>
  <c r="B30" i="2" s="1"/>
  <c r="C8" i="2"/>
  <c r="C16" i="2" s="1"/>
  <c r="J14" i="1"/>
  <c r="K14" i="1" s="1"/>
  <c r="M14" i="1" s="1"/>
  <c r="H25" i="11" l="1"/>
  <c r="F25" i="11"/>
  <c r="G25" i="11" s="1"/>
  <c r="J15" i="1"/>
  <c r="K15" i="1" s="1"/>
  <c r="M15" i="1" s="1"/>
  <c r="H15" i="2"/>
  <c r="E33" i="2"/>
  <c r="E34" i="2" s="1"/>
  <c r="H35" i="2"/>
  <c r="I35" i="2"/>
  <c r="J35" i="2"/>
  <c r="H33" i="2"/>
  <c r="H34" i="2" s="1"/>
  <c r="J33" i="2"/>
  <c r="J34" i="2" s="1"/>
  <c r="C33" i="2"/>
  <c r="C34" i="2" s="1"/>
  <c r="D34" i="2"/>
  <c r="E35" i="2"/>
  <c r="D35" i="2"/>
  <c r="I34" i="2"/>
  <c r="C35" i="2"/>
  <c r="H36" i="2" l="1"/>
  <c r="J36" i="2"/>
  <c r="D36" i="2"/>
  <c r="I36" i="2"/>
  <c r="C36" i="2"/>
  <c r="E36" i="2"/>
  <c r="J16" i="1" l="1"/>
  <c r="K16" i="1" s="1"/>
  <c r="M16" i="1" s="1"/>
  <c r="G19" i="1" l="1"/>
  <c r="G18" i="1"/>
  <c r="G17" i="1"/>
  <c r="G21" i="1"/>
  <c r="J17" i="1" l="1"/>
  <c r="G27" i="1"/>
  <c r="N27" i="1" s="1"/>
  <c r="O27" i="1" s="1"/>
  <c r="J18" i="1" l="1"/>
  <c r="K17" i="1"/>
  <c r="M17" i="1" s="1"/>
  <c r="J19" i="1" l="1"/>
  <c r="K18" i="1"/>
  <c r="M18" i="1" s="1"/>
  <c r="J20" i="1" l="1"/>
  <c r="K19" i="1"/>
  <c r="M19" i="1" s="1"/>
  <c r="J21" i="1" l="1"/>
  <c r="K20" i="1"/>
  <c r="M20" i="1" s="1"/>
  <c r="J22" i="1" l="1"/>
  <c r="K21" i="1"/>
  <c r="M21" i="1" s="1"/>
  <c r="J23" i="1" l="1"/>
  <c r="K22" i="1"/>
  <c r="M22" i="1" s="1"/>
  <c r="J24" i="1" l="1"/>
  <c r="K23" i="1"/>
  <c r="M23" i="1" s="1"/>
  <c r="J25" i="1" l="1"/>
  <c r="K24" i="1"/>
  <c r="M24" i="1" s="1"/>
  <c r="J26" i="1" l="1"/>
  <c r="K26" i="1" s="1"/>
  <c r="M26" i="1" s="1"/>
  <c r="K25" i="1"/>
  <c r="M25" i="1" s="1"/>
</calcChain>
</file>

<file path=xl/sharedStrings.xml><?xml version="1.0" encoding="utf-8"?>
<sst xmlns="http://schemas.openxmlformats.org/spreadsheetml/2006/main" count="1098" uniqueCount="703">
  <si>
    <t>FUTURES and FORWARDS</t>
  </si>
  <si>
    <t>Day</t>
  </si>
  <si>
    <t>Futures
Price</t>
  </si>
  <si>
    <t>Profit (loss) per ounce</t>
  </si>
  <si>
    <t>10% 
Balance *</t>
  </si>
  <si>
    <t>Today</t>
  </si>
  <si>
    <t>Credit</t>
  </si>
  <si>
    <t>Debit</t>
  </si>
  <si>
    <t>Delivery</t>
  </si>
  <si>
    <t>sum=</t>
  </si>
  <si>
    <t>bushels</t>
  </si>
  <si>
    <t>Total Proceeds</t>
  </si>
  <si>
    <t>FORWARD CONTRACTS</t>
  </si>
  <si>
    <t>BUYER:</t>
  </si>
  <si>
    <t>SELLER:</t>
  </si>
  <si>
    <t>VOLUME:</t>
  </si>
  <si>
    <t>PRICE:</t>
  </si>
  <si>
    <t>DATE:</t>
  </si>
  <si>
    <t>LONG:</t>
  </si>
  <si>
    <t>SHORT:</t>
  </si>
  <si>
    <t>EXP. DATE:</t>
  </si>
  <si>
    <t>TYPE:</t>
  </si>
  <si>
    <t>Delivery Basis</t>
  </si>
  <si>
    <t xml:space="preserve">TYPE: </t>
  </si>
  <si>
    <t>Cash Basis</t>
  </si>
  <si>
    <t>Bread Company</t>
  </si>
  <si>
    <t>Wheat Farms Inc.</t>
  </si>
  <si>
    <t>per bushel</t>
  </si>
  <si>
    <t>TOTAL COST</t>
  </si>
  <si>
    <t>(6 months)</t>
  </si>
  <si>
    <t>CONTRACT:</t>
  </si>
  <si>
    <t>NO OF CONTRACTS:</t>
  </si>
  <si>
    <t>PARTY A</t>
  </si>
  <si>
    <t>PARTY B</t>
  </si>
  <si>
    <t>WHEAT PRICES ON DELIVERY DAY</t>
  </si>
  <si>
    <t xml:space="preserve">+ Profit/Loss form Forward Contract </t>
  </si>
  <si>
    <t>Net Payment</t>
  </si>
  <si>
    <t xml:space="preserve">   Increase/Decrease in Spot Prices</t>
  </si>
  <si>
    <t>Revenues</t>
  </si>
  <si>
    <t>Cost of Goods Sold - Wheat Expenses</t>
  </si>
  <si>
    <t>3/15/20XX</t>
  </si>
  <si>
    <t>INDIRECT (DERIVATIVE)FORWARD CONTRACT BETWEEN EACH PARTY (LONG &amp; SHORT) WITH FINANCIAL INSTITUTION</t>
  </si>
  <si>
    <t>Figure 14.1</t>
  </si>
  <si>
    <t>Direct Contracts and Indirect Derivative Contracts</t>
  </si>
  <si>
    <t>Income Statement</t>
  </si>
  <si>
    <t>Transaction on Delivery/Expiration Day</t>
  </si>
  <si>
    <t>Fully Hedged</t>
  </si>
  <si>
    <t>Cost of Wheat Purchases at Spot Prices</t>
  </si>
  <si>
    <t>Revenue from Wheat Sales at Spot Price</t>
  </si>
  <si>
    <t>Scenarios - Spot Prices</t>
  </si>
  <si>
    <t>DIRECT PRIVATE FORWARD CONTRACT BETWEEN TWO PARTIES (Not using the financial institution)</t>
  </si>
  <si>
    <t>Units</t>
  </si>
  <si>
    <t>Price</t>
  </si>
  <si>
    <t>Corn (CBOT)</t>
  </si>
  <si>
    <t>Wheat (CBOT)</t>
  </si>
  <si>
    <t>Oats (CBOT)</t>
  </si>
  <si>
    <t>Rough Rice (CBOT)</t>
  </si>
  <si>
    <t>USD/cwt</t>
  </si>
  <si>
    <t>Soybean (CBOT)</t>
  </si>
  <si>
    <t>USd/lb.</t>
  </si>
  <si>
    <t>Cocoa (ICE)</t>
  </si>
  <si>
    <t>USD/MT</t>
  </si>
  <si>
    <t>Coffee 'C' (ICE)</t>
  </si>
  <si>
    <t>Sugar #11 (ICE)</t>
  </si>
  <si>
    <t>Orange Juice (ICE)</t>
  </si>
  <si>
    <t>Cotton #2 (ICE)</t>
  </si>
  <si>
    <t>Live Cattle (CME)</t>
  </si>
  <si>
    <t>Lean Hogs (CME)</t>
  </si>
  <si>
    <t>AGRICULTURE</t>
  </si>
  <si>
    <t>Gold (Comex)</t>
  </si>
  <si>
    <t>USD/t oz.</t>
  </si>
  <si>
    <t>Silver (Comex)</t>
  </si>
  <si>
    <t>WTI Crude Oil (Nymex)</t>
  </si>
  <si>
    <t>USD/bbl.</t>
  </si>
  <si>
    <t>Brent Crude (ICE)</t>
  </si>
  <si>
    <t>Natural Gas (Nymex)</t>
  </si>
  <si>
    <t>USD/MMBtu</t>
  </si>
  <si>
    <t>Heating Oil (Nymex)</t>
  </si>
  <si>
    <t>Future
Price</t>
  </si>
  <si>
    <t>Delivery Day (Future)</t>
  </si>
  <si>
    <t>%
Change</t>
  </si>
  <si>
    <t>Copper (Comex)</t>
  </si>
  <si>
    <t>USD/lb</t>
  </si>
  <si>
    <t>Aluminum (LME)</t>
  </si>
  <si>
    <t>Precious Metals &amp; Industrial Metals</t>
  </si>
  <si>
    <t>$
Change</t>
  </si>
  <si>
    <t>Delivery
Day</t>
  </si>
  <si>
    <t>Energy</t>
  </si>
  <si>
    <t>Daily Mark-to-Market - 5/15/20xx</t>
  </si>
  <si>
    <t>Monday</t>
  </si>
  <si>
    <t>Tuesday</t>
  </si>
  <si>
    <t>Wednesday</t>
  </si>
  <si>
    <t>Thursday</t>
  </si>
  <si>
    <t>Friday</t>
  </si>
  <si>
    <t>Volume per 
Contract</t>
  </si>
  <si>
    <t>Silver (COMEX)</t>
  </si>
  <si>
    <t>USD/troy oz.</t>
  </si>
  <si>
    <t>USD / Unit Contract contract</t>
  </si>
  <si>
    <t>Figure 14.3</t>
  </si>
  <si>
    <t>Profit</t>
  </si>
  <si>
    <t>HPR%</t>
  </si>
  <si>
    <t>Balance</t>
  </si>
  <si>
    <t>Deposit
(Initial
Invest.)</t>
  </si>
  <si>
    <t>Interest Rate Funds</t>
  </si>
  <si>
    <t>145-080</t>
  </si>
  <si>
    <t>122-050</t>
  </si>
  <si>
    <t>Treasury Bonds (CBT)</t>
  </si>
  <si>
    <t>Treasury Notes (CBT)</t>
  </si>
  <si>
    <t>5-yr Tresury Notes (CBT)</t>
  </si>
  <si>
    <t>30-Day Fed Funds (CBT)</t>
  </si>
  <si>
    <t>1-Month Libor (CME)</t>
  </si>
  <si>
    <t>Daily Avg</t>
  </si>
  <si>
    <t>pts of 100%</t>
  </si>
  <si>
    <t>114-195</t>
  </si>
  <si>
    <t>Currency Futures</t>
  </si>
  <si>
    <t>Index Futures</t>
  </si>
  <si>
    <t>Japanese Yen (CME)</t>
  </si>
  <si>
    <t>Canadian Dollar (CME)</t>
  </si>
  <si>
    <t>Euro (CME)</t>
  </si>
  <si>
    <t>$ per CAD</t>
  </si>
  <si>
    <r>
      <rPr>
        <sz val="10"/>
        <rFont val="Calibri"/>
        <family val="2"/>
      </rPr>
      <t>¥</t>
    </r>
    <r>
      <rPr>
        <sz val="10"/>
        <rFont val="Arial"/>
        <family val="2"/>
      </rPr>
      <t>12500000</t>
    </r>
  </si>
  <si>
    <r>
      <rPr>
        <sz val="10"/>
        <rFont val="Calibri"/>
        <family val="2"/>
      </rPr>
      <t>€</t>
    </r>
    <r>
      <rPr>
        <sz val="10"/>
        <rFont val="Arial"/>
        <family val="2"/>
      </rPr>
      <t>125,000</t>
    </r>
  </si>
  <si>
    <r>
      <t xml:space="preserve">$ per </t>
    </r>
    <r>
      <rPr>
        <sz val="10"/>
        <rFont val="Calibri"/>
        <family val="2"/>
      </rPr>
      <t>€</t>
    </r>
  </si>
  <si>
    <r>
      <t xml:space="preserve">$ per 100 </t>
    </r>
    <r>
      <rPr>
        <sz val="10"/>
        <rFont val="Calibri"/>
        <family val="2"/>
      </rPr>
      <t>¥</t>
    </r>
  </si>
  <si>
    <t>S&amp;P 500 Index (CME)</t>
  </si>
  <si>
    <t>Mini Nasdaq 100 (CME)</t>
  </si>
  <si>
    <t>Mini Russel 2000 (CME)</t>
  </si>
  <si>
    <t>$USD x Index</t>
  </si>
  <si>
    <t>$USD x index</t>
  </si>
  <si>
    <t>FUTURES MARKETS - EXCHANGE PRICE</t>
  </si>
  <si>
    <t>pts 32nds of 100%.</t>
  </si>
  <si>
    <t>Contracts</t>
  </si>
  <si>
    <t>Lock in Exchange Rate - futures =</t>
  </si>
  <si>
    <r>
      <t xml:space="preserve">Purhase Goods in </t>
    </r>
    <r>
      <rPr>
        <sz val="11"/>
        <color theme="1"/>
        <rFont val="Calibri"/>
        <family val="2"/>
      </rPr>
      <t>€</t>
    </r>
    <r>
      <rPr>
        <sz val="11"/>
        <color theme="1"/>
        <rFont val="Calibri"/>
        <family val="2"/>
        <scheme val="minor"/>
      </rPr>
      <t xml:space="preserve"> =</t>
    </r>
  </si>
  <si>
    <r>
      <t>EXCHANGE RATES 
$/</t>
    </r>
    <r>
      <rPr>
        <b/>
        <sz val="11"/>
        <color theme="1"/>
        <rFont val="Calibri"/>
        <family val="2"/>
      </rPr>
      <t>€</t>
    </r>
  </si>
  <si>
    <t>Net Payment for the European Goods</t>
  </si>
  <si>
    <t>Increase/Decrease in Spot Prices</t>
  </si>
  <si>
    <t>Figure 14.4</t>
  </si>
  <si>
    <t xml:space="preserve">Simple Interest Rate Swap </t>
  </si>
  <si>
    <t>Interest Rate Swap Between 2 Companies</t>
  </si>
  <si>
    <t>Notional Amount =</t>
  </si>
  <si>
    <t>million</t>
  </si>
  <si>
    <t>Fixed Rate =</t>
  </si>
  <si>
    <t>SWAP Rate</t>
  </si>
  <si>
    <t>Time
 (six months)</t>
  </si>
  <si>
    <t>LIBOR
 Rate</t>
  </si>
  <si>
    <t>LIBOR SPEAD</t>
  </si>
  <si>
    <t>Floating Cash Flow Paid by A 
($ mm)</t>
  </si>
  <si>
    <t>Fixed Cash 
Flow
 Paid by XYZ
($ mm)</t>
  </si>
  <si>
    <t>Net 
Cash Flow for XYZ
($ mm)</t>
  </si>
  <si>
    <t>Net 
Cash Flow for A
($ mm)</t>
  </si>
  <si>
    <t>Company A</t>
  </si>
  <si>
    <t>Company B</t>
  </si>
  <si>
    <t>Fixed Rate</t>
  </si>
  <si>
    <t>Float (L+)</t>
  </si>
  <si>
    <t>IR View:</t>
  </si>
  <si>
    <t>Low</t>
  </si>
  <si>
    <t>IR View</t>
  </si>
  <si>
    <t>High</t>
  </si>
  <si>
    <t>Choose:</t>
  </si>
  <si>
    <t>Fixed</t>
  </si>
  <si>
    <t>Float</t>
  </si>
  <si>
    <t>Cash Flow:</t>
  </si>
  <si>
    <t>Pay</t>
  </si>
  <si>
    <t>-(L+1.0%)</t>
  </si>
  <si>
    <t>-LIBOR</t>
  </si>
  <si>
    <t>Company (XYZ) enterer into a Swap Agreement with the Market Maker (A)</t>
  </si>
  <si>
    <t>Receive</t>
  </si>
  <si>
    <t xml:space="preserve">+ L  </t>
  </si>
  <si>
    <t>Net Pay</t>
  </si>
  <si>
    <t xml:space="preserve"> L + 5 bps</t>
  </si>
  <si>
    <t>Savings</t>
  </si>
  <si>
    <t>Simple Interest Rate Swap - Cash Flow - IRR</t>
  </si>
  <si>
    <t>Unhedged</t>
  </si>
  <si>
    <t>Outstanding</t>
  </si>
  <si>
    <t>Increase/Decrease in Principal</t>
  </si>
  <si>
    <t>Interest Payment</t>
  </si>
  <si>
    <t>Total Debt Service</t>
  </si>
  <si>
    <t>LIBOR Rate forward</t>
  </si>
  <si>
    <t>LIBOR Spread</t>
  </si>
  <si>
    <t>Total Interest Rate</t>
  </si>
  <si>
    <t>Hedged</t>
  </si>
  <si>
    <t>SWAP RATE DEBT</t>
  </si>
  <si>
    <t>Effective Cost of Debt</t>
  </si>
  <si>
    <t>Unhedged Cost of Debt</t>
  </si>
  <si>
    <t>Hedged Cost of Debt</t>
  </si>
  <si>
    <t>Savings / (Cost) for Hedging</t>
  </si>
  <si>
    <t xml:space="preserve">Simple Currency Swap </t>
  </si>
  <si>
    <t>COMPANY XYZ</t>
  </si>
  <si>
    <r>
      <t>Bond Par Value (</t>
    </r>
    <r>
      <rPr>
        <b/>
        <sz val="10"/>
        <rFont val="Arial"/>
        <family val="2"/>
      </rPr>
      <t>€</t>
    </r>
    <r>
      <rPr>
        <b/>
        <sz val="10"/>
        <rFont val="Arial"/>
        <family val="2"/>
      </rPr>
      <t>)=</t>
    </r>
  </si>
  <si>
    <t>million Euros</t>
  </si>
  <si>
    <t>Euro-denominated Rate=</t>
  </si>
  <si>
    <t>Dollar-denomiated Rate =</t>
  </si>
  <si>
    <t>Spot Exchange Rate=</t>
  </si>
  <si>
    <t>per €</t>
  </si>
  <si>
    <t>UNHEDGED</t>
  </si>
  <si>
    <t>HEDGED</t>
  </si>
  <si>
    <t xml:space="preserve">Time
</t>
  </si>
  <si>
    <r>
      <t>Unhedged Euro 
Cash Flow
 (</t>
    </r>
    <r>
      <rPr>
        <b/>
        <sz val="10"/>
        <rFont val="Arial"/>
        <family val="2"/>
      </rPr>
      <t>€)</t>
    </r>
  </si>
  <si>
    <t>Forward Exchange Rate</t>
  </si>
  <si>
    <t>Hedges Dollar Cash Flow
($)</t>
  </si>
  <si>
    <t>Present Value of the unhedged Cash Flows
($)</t>
  </si>
  <si>
    <t xml:space="preserve"> 
Cash Flow
 ($)</t>
  </si>
  <si>
    <t>Present Value of the hedged Cash Flows
($)</t>
  </si>
  <si>
    <t>Benefit =</t>
  </si>
  <si>
    <t>Market Maker (A)</t>
  </si>
  <si>
    <t>Disc. Rate</t>
  </si>
  <si>
    <t>Swap Agreement Payment =</t>
  </si>
  <si>
    <t>million bond</t>
  </si>
  <si>
    <t>Swap Agreement Dollar Rate =</t>
  </si>
  <si>
    <t>Swap Agreement Receipt =</t>
  </si>
  <si>
    <t>Euro million bond</t>
  </si>
  <si>
    <t>Swap Agreement Euro Rate =</t>
  </si>
  <si>
    <r>
      <t>Forward Exchange Rate
 ($/</t>
    </r>
    <r>
      <rPr>
        <b/>
        <sz val="10"/>
        <rFont val="Arial"/>
        <family val="2"/>
      </rPr>
      <t>€)</t>
    </r>
  </si>
  <si>
    <t>Received Dollar Interest 
($)</t>
  </si>
  <si>
    <r>
      <t>Pay UnHedged Euro Interest
 (</t>
    </r>
    <r>
      <rPr>
        <b/>
        <sz val="10"/>
        <rFont val="Arial"/>
        <family val="2"/>
      </rPr>
      <t>€</t>
    </r>
    <r>
      <rPr>
        <b/>
        <sz val="10"/>
        <rFont val="Arial"/>
        <family val="2"/>
      </rPr>
      <t>)</t>
    </r>
  </si>
  <si>
    <t>Pay UnHedged Euro Interest
 ($)</t>
  </si>
  <si>
    <t>Net Cash Flow
($)</t>
  </si>
  <si>
    <t>Credit Default Swap</t>
  </si>
  <si>
    <t>Lender A that receivesLIBOR SPREAD</t>
  </si>
  <si>
    <t>Lender A that pays CDS Rate based on Forwards</t>
  </si>
  <si>
    <t xml:space="preserve"> Cash Flow Received from borrower
($ mm)</t>
  </si>
  <si>
    <t xml:space="preserve"> CDS cost paid to counterter party
($ mm)</t>
  </si>
  <si>
    <t xml:space="preserve"> Cash Flow Received 
($ mm)</t>
  </si>
  <si>
    <t xml:space="preserve">Pricing of Nth to default bonds. Assumes the bonds owned as assets have </t>
  </si>
  <si>
    <t>perfectly correlated basis</t>
  </si>
  <si>
    <t>Default</t>
  </si>
  <si>
    <t>Probability</t>
  </si>
  <si>
    <t>Probability N or more</t>
  </si>
  <si>
    <t>Payoffs - Default</t>
  </si>
  <si>
    <t>Payoff - No Default</t>
  </si>
  <si>
    <t>Expected Payoff</t>
  </si>
  <si>
    <t>Yield</t>
  </si>
  <si>
    <t>First</t>
  </si>
  <si>
    <t>Second</t>
  </si>
  <si>
    <t>Third</t>
  </si>
  <si>
    <t>Valuation of Credit Default Swap (CDS) - John Hall's method</t>
  </si>
  <si>
    <t>Assumptions:</t>
  </si>
  <si>
    <t>Notional=</t>
  </si>
  <si>
    <t>PV of Payments    =          PV of Payoff</t>
  </si>
  <si>
    <t>Risk Free Rate=</t>
  </si>
  <si>
    <t>Prob. Of Default=</t>
  </si>
  <si>
    <t>Recovery Rate=</t>
  </si>
  <si>
    <t>Payments by CDS Buyer (Buyer of protection)</t>
  </si>
  <si>
    <t>Payoffs by CDS seller (protection seller)</t>
  </si>
  <si>
    <t>PAYMENT</t>
  </si>
  <si>
    <t>EXPECTED PAYOFF</t>
  </si>
  <si>
    <t>Expected Payments</t>
  </si>
  <si>
    <t>Expected Accrual</t>
  </si>
  <si>
    <t>Time</t>
  </si>
  <si>
    <t>Discount Factor (comp. e)</t>
  </si>
  <si>
    <t>Prob of Survival</t>
  </si>
  <si>
    <t>PV of Exp. Payments</t>
  </si>
  <si>
    <t>PV of Exp. Acrrual</t>
  </si>
  <si>
    <t>Probability of Default</t>
  </si>
  <si>
    <t>% of Notional</t>
  </si>
  <si>
    <t>PV of:</t>
  </si>
  <si>
    <t>TOTAL=</t>
  </si>
  <si>
    <t>Per $1 Notional</t>
  </si>
  <si>
    <t>Total Exp. Pmt</t>
  </si>
  <si>
    <t>Total</t>
  </si>
  <si>
    <t>Exp. Paymants =</t>
  </si>
  <si>
    <t>Exp. Payoff =</t>
  </si>
  <si>
    <t>Solve spread (s) (Exp. Pmt x Spread = Exp./ Payoff)=</t>
  </si>
  <si>
    <t>bps</t>
  </si>
  <si>
    <t>Insurance Payment</t>
  </si>
  <si>
    <t>Swap Rate:</t>
  </si>
  <si>
    <t>Notional Amount</t>
  </si>
  <si>
    <t xml:space="preserve">Cross-Currency Swap </t>
  </si>
  <si>
    <t>UNHEDGED - WITH A AN EXCHNAGE FUTURE ASSUMPTION</t>
  </si>
  <si>
    <r>
      <t xml:space="preserve">Forward Exchange Rate
</t>
    </r>
    <r>
      <rPr>
        <b/>
        <sz val="10"/>
        <rFont val="Calibri"/>
        <family val="2"/>
      </rPr>
      <t>$/€</t>
    </r>
  </si>
  <si>
    <t>million (Euros)</t>
  </si>
  <si>
    <t>$ per €</t>
  </si>
  <si>
    <t>Figure 14.6</t>
  </si>
  <si>
    <t>BOND INFORMATION</t>
  </si>
  <si>
    <t>Euro-denominated Fixed Rate=</t>
  </si>
  <si>
    <t>years</t>
  </si>
  <si>
    <t>SWAP INFORMATION</t>
  </si>
  <si>
    <t>Nominal Amount in $</t>
  </si>
  <si>
    <t>Years (Term) =</t>
  </si>
  <si>
    <t>Construction Note - Face Value (€)=</t>
  </si>
  <si>
    <t>Dollar-denominated Fixed Rate =</t>
  </si>
  <si>
    <t>HEDGED VIA SWAP CONTRACT</t>
  </si>
  <si>
    <t>PV of Payments =  PV of Payoff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</si>
  <si>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</si>
  <si>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</si>
  <si>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</si>
  <si>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</si>
  <si>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</si>
  <si>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</si>
  <si>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</si>
  <si>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</si>
  <si>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</si>
  <si>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</si>
  <si>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</si>
  <si>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</si>
  <si>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</si>
  <si>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INPUT</t>
  </si>
  <si>
    <t>(Exp. Pmt x Spread = Exp./ Payoff)=</t>
  </si>
  <si>
    <t xml:space="preserve">Solve spread (s) </t>
  </si>
  <si>
    <r>
      <t>Discount Factor (comp. e)
e</t>
    </r>
    <r>
      <rPr>
        <b/>
        <vertAlign val="superscript"/>
        <sz val="10"/>
        <rFont val="Arial"/>
        <family val="2"/>
      </rPr>
      <t>-it</t>
    </r>
  </si>
  <si>
    <t>=+D16*C17</t>
  </si>
  <si>
    <t>Probability of Default
p.(d)</t>
  </si>
  <si>
    <r>
      <t>Prob of Survival (p =
(1-def)</t>
    </r>
    <r>
      <rPr>
        <b/>
        <vertAlign val="superscript"/>
        <sz val="10"/>
        <rFont val="Arial"/>
        <family val="2"/>
      </rPr>
      <t>t</t>
    </r>
  </si>
  <si>
    <t>Expected Accrual
adj of 1/2 year</t>
  </si>
  <si>
    <t>Plus Accrued</t>
  </si>
  <si>
    <t>Exp. Payments =</t>
  </si>
  <si>
    <t>CDS Premium (Insurance) Payment</t>
  </si>
  <si>
    <t>=+E30/E29</t>
  </si>
  <si>
    <t>=SUM(E15:E24)</t>
  </si>
  <si>
    <t>=+E25+E26</t>
  </si>
  <si>
    <t>=+E27</t>
  </si>
  <si>
    <t>=+O25</t>
  </si>
  <si>
    <t>O</t>
  </si>
  <si>
    <t>% of Notional
p(d) (1-Rec)</t>
  </si>
  <si>
    <t>Recovery Rate (Rec)=</t>
  </si>
  <si>
    <t>Prob. Of Default (d)=</t>
  </si>
  <si>
    <t>Risk Free Rate (Rf)=</t>
  </si>
  <si>
    <t>Notional (N)=</t>
  </si>
  <si>
    <t>PRICING AND VALUATION OF FORWARD RATE AGREEMENTS</t>
  </si>
  <si>
    <t>INPUT:</t>
  </si>
  <si>
    <t>Description</t>
  </si>
  <si>
    <t xml:space="preserve"> Symbol</t>
  </si>
  <si>
    <t>L(h)</t>
  </si>
  <si>
    <t>m</t>
  </si>
  <si>
    <t>days</t>
  </si>
  <si>
    <t>h</t>
  </si>
  <si>
    <t>L(m+h)</t>
  </si>
  <si>
    <t>m+h</t>
  </si>
  <si>
    <t>Basis</t>
  </si>
  <si>
    <t>Days into its life</t>
  </si>
  <si>
    <t>g</t>
  </si>
  <si>
    <t>Days remaining (h-g)</t>
  </si>
  <si>
    <t>h-g</t>
  </si>
  <si>
    <t>Days of Reference + Remaining</t>
  </si>
  <si>
    <t>L(h-g)</t>
  </si>
  <si>
    <t>L(h+m-g)</t>
  </si>
  <si>
    <t>OUTPUT</t>
  </si>
  <si>
    <t>Formula</t>
  </si>
  <si>
    <t>1+(Lb*((m+h)/360)</t>
  </si>
  <si>
    <t>1+(La*(h/360)</t>
  </si>
  <si>
    <t>(N/D-1)*(360/m)</t>
  </si>
  <si>
    <t>Adj for Days Remain (A)</t>
  </si>
  <si>
    <t>FRA Rate Calc</t>
  </si>
  <si>
    <t>1/(1+Lc*((h-g)/360))</t>
  </si>
  <si>
    <t>HEDGING AN ANTICIPATED LOAN WITH A FORWARD RATE AGREEMENT</t>
  </si>
  <si>
    <t>Nominal Value=</t>
  </si>
  <si>
    <t>Spread =</t>
  </si>
  <si>
    <t>FRA PAYOFF ON DAY 30 ($)</t>
  </si>
  <si>
    <t>AMOUNT DUE ON LOAN ON DAY 120 ($)</t>
  </si>
  <si>
    <t>TOTAL AMOUNT PAID ON DAY 120 ($)</t>
  </si>
  <si>
    <t>EFFECTIVE RATE ON LOAN (%) based on 365 days</t>
  </si>
  <si>
    <t>EFFECTIVE RATE WITHOUT FRA (%)</t>
  </si>
  <si>
    <t>SWAPTIONS</t>
  </si>
  <si>
    <t>Discount Bond Price</t>
  </si>
  <si>
    <t>R</t>
  </si>
  <si>
    <t>Exercise Rate (X) =</t>
  </si>
  <si>
    <t>Swap to pay and receive LIBOR</t>
  </si>
  <si>
    <t>Swap to pay LIBOR and receive</t>
  </si>
  <si>
    <t>The Net Effect =</t>
  </si>
  <si>
    <t>Payments</t>
  </si>
  <si>
    <t>per year</t>
  </si>
  <si>
    <t>PV Payments</t>
  </si>
  <si>
    <t xml:space="preserve"> This what the Swaption is worth at Expiration</t>
  </si>
  <si>
    <t>FRA PAYOFF COMPOUND TO DAY 90 ($)</t>
  </si>
  <si>
    <t>Agreed Rate (LIBOR)</t>
  </si>
  <si>
    <t>Figure 14.8</t>
  </si>
  <si>
    <t>Figure 14.9</t>
  </si>
  <si>
    <t>Figure 14.10</t>
  </si>
  <si>
    <t>Result</t>
  </si>
  <si>
    <t>Excel Formula</t>
  </si>
  <si>
    <t>FRA Calculation</t>
  </si>
  <si>
    <t>=1+(D10*(D11/D12))</t>
  </si>
  <si>
    <t>=1+(D7*(D9/D12))</t>
  </si>
  <si>
    <t>=+((D22/D23)-1)*(D12/D8)</t>
  </si>
  <si>
    <t>STEP 3 -FRA Rate Calc</t>
  </si>
  <si>
    <t>STEP 2 - Valuing FRA durinng its Life</t>
  </si>
  <si>
    <t>STEP 1 - Solving for the rate of FRA:</t>
  </si>
  <si>
    <t>OUTPUT:</t>
  </si>
  <si>
    <t>(1+(step1*(m/360)</t>
  </si>
  <si>
    <t>(1+(Ld*(h+m-g)/360)</t>
  </si>
  <si>
    <t>Numerator (N)</t>
  </si>
  <si>
    <t>Denominator (D)</t>
  </si>
  <si>
    <t>Deenominator (D)</t>
  </si>
  <si>
    <t>N/D</t>
  </si>
  <si>
    <t>Value FRA (VFRA)</t>
  </si>
  <si>
    <t>=1/(1+(D17*(D15/D12)))</t>
  </si>
  <si>
    <t>=1+(D25*(D8/D12))</t>
  </si>
  <si>
    <t>=1+(D18*(D16/360))</t>
  </si>
  <si>
    <t>=+D31/D32</t>
  </si>
  <si>
    <t>=+(D28-D33)*D6</t>
  </si>
  <si>
    <t>m+g</t>
  </si>
  <si>
    <t>Rate
(INPUT)</t>
  </si>
  <si>
    <t>Term Days</t>
  </si>
  <si>
    <t>Notional Amount:</t>
  </si>
  <si>
    <t>1 year (360-Day) Rate=</t>
  </si>
  <si>
    <t>2 year (720-Day) Rate=</t>
  </si>
  <si>
    <t>3 Years (1080-Day) Rate=</t>
  </si>
  <si>
    <t>3 Year Swap Rate =</t>
  </si>
  <si>
    <t>Less Exerice Price (X)</t>
  </si>
  <si>
    <t>=1/(1+(C13*(B13/360)))</t>
  </si>
  <si>
    <t>=1/(1+(C14*(B14/360)))</t>
  </si>
  <si>
    <t>=1/(1+(C15*(B15/360)))</t>
  </si>
  <si>
    <t>=+((1-D13)/SUM($D$13:D13))*360/360</t>
  </si>
  <si>
    <t>=+((1-D14)/SUM($D$13:D14))*360/360</t>
  </si>
  <si>
    <t>=+((1-D15)/SUM($D$13:D15))*360/360</t>
  </si>
  <si>
    <t>=+F15</t>
  </si>
  <si>
    <t>=-C6</t>
  </si>
  <si>
    <t>=+D17+D18</t>
  </si>
  <si>
    <t>=+C5*D19</t>
  </si>
  <si>
    <t>=+D21*(D13+D14+D15)</t>
  </si>
  <si>
    <t>Figure 14.2</t>
  </si>
  <si>
    <t>(1,000,000/5,000)</t>
  </si>
  <si>
    <t>Cents/bu.</t>
  </si>
  <si>
    <t>Cents/gal.</t>
  </si>
  <si>
    <t>US COMPANY (Business in Europe)</t>
  </si>
  <si>
    <t>Figure 14.11</t>
  </si>
  <si>
    <t>Time
(six months)</t>
  </si>
  <si>
    <t>Lender A
receives
LIBOR
SPREAD</t>
  </si>
  <si>
    <t>Lender A 
pays CDS
Rate based
on Forward
Rates</t>
  </si>
  <si>
    <t>CREDIT DEFAULT SWAP</t>
  </si>
  <si>
    <t>Interest Rate:</t>
  </si>
  <si>
    <t>Maturity/Term:</t>
  </si>
  <si>
    <t>CDS Contract</t>
  </si>
  <si>
    <t>Loan Amount:</t>
  </si>
  <si>
    <t>LIBOR + 3.00%</t>
  </si>
  <si>
    <t xml:space="preserve">Cash Flow
Received from borrower 
</t>
  </si>
  <si>
    <t xml:space="preserve">CDS Cost
paid to Counter party
</t>
  </si>
  <si>
    <t xml:space="preserve">Cash Flow
Recived
</t>
  </si>
  <si>
    <t xml:space="preserve">    Total</t>
  </si>
  <si>
    <t>Fig. 14.7</t>
  </si>
  <si>
    <t>LOAN AGREEMENT TERMS:</t>
  </si>
  <si>
    <t>April</t>
  </si>
  <si>
    <t>FUTURES CONTRACT</t>
  </si>
  <si>
    <t>(420,000/42,000)</t>
  </si>
  <si>
    <t>ZZZ Airlines, INC.</t>
  </si>
  <si>
    <t xml:space="preserve">April </t>
  </si>
  <si>
    <t>HEATING OIL PRICES ON DELIVERY DAY</t>
  </si>
  <si>
    <t>100% Hedge</t>
  </si>
  <si>
    <t>Cost of Jet Fuel Purchases at Spot Prices</t>
  </si>
  <si>
    <t>Optimum Method</t>
  </si>
  <si>
    <t>(420,000/42,000 * H)</t>
  </si>
  <si>
    <r>
      <t>Monthly Stand. Dev. (</t>
    </r>
    <r>
      <rPr>
        <sz val="11"/>
        <color theme="1"/>
        <rFont val="Calibri"/>
        <family val="2"/>
      </rPr>
      <t>σ) for Spot Price (S)</t>
    </r>
  </si>
  <si>
    <r>
      <t>Monthly Stand. Dev. (</t>
    </r>
    <r>
      <rPr>
        <sz val="11"/>
        <color theme="1"/>
        <rFont val="Calibri"/>
        <family val="2"/>
      </rPr>
      <t>σ) for Future Price (K)</t>
    </r>
  </si>
  <si>
    <t>Corelation between S and K</t>
  </si>
  <si>
    <t>Heating Oil Historical Prices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</si>
  <si>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</si>
  <si>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</si>
  <si>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</si>
  <si>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</si>
  <si>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</si>
  <si>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</si>
  <si>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</si>
  <si>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</si>
  <si>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</si>
  <si>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</si>
  <si>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</si>
  <si>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Month</t>
  </si>
  <si>
    <t xml:space="preserve">Spot </t>
  </si>
  <si>
    <t>Futures</t>
  </si>
  <si>
    <t>Monthly % Changes</t>
  </si>
  <si>
    <t>Stand. Dev</t>
  </si>
  <si>
    <t>gallons</t>
  </si>
  <si>
    <t>Correlation</t>
  </si>
  <si>
    <t>Optimal Hedge Ratio (H)</t>
  </si>
  <si>
    <t xml:space="preserve">FUTURES MARKETS </t>
  </si>
  <si>
    <t>Cents/lb.</t>
  </si>
  <si>
    <t>USd/bu.</t>
  </si>
  <si>
    <t>COMPANY C</t>
  </si>
  <si>
    <t>BANK A</t>
  </si>
  <si>
    <t>FUND B</t>
  </si>
  <si>
    <t>Loan</t>
  </si>
  <si>
    <t>Principal + Interest</t>
  </si>
  <si>
    <t>Risk</t>
  </si>
  <si>
    <t>Pay in the event that Company C will default</t>
  </si>
  <si>
    <t>TRS
CDS
CSO</t>
  </si>
  <si>
    <t>mm</t>
  </si>
  <si>
    <r>
      <t xml:space="preserve">PORTFOLIO OF INVESTMENTS
</t>
    </r>
    <r>
      <rPr>
        <sz val="11"/>
        <color theme="1"/>
        <rFont val="Calibri"/>
        <family val="2"/>
        <scheme val="minor"/>
      </rPr>
      <t>Investments in Leveraged Loans</t>
    </r>
  </si>
  <si>
    <t>Interest Exp.</t>
  </si>
  <si>
    <t>Mgmt Fee</t>
  </si>
  <si>
    <t xml:space="preserve">  Total Income</t>
  </si>
  <si>
    <t>ROE %</t>
  </si>
  <si>
    <t>Loan A</t>
  </si>
  <si>
    <t>Loan B</t>
  </si>
  <si>
    <t>Loan C</t>
  </si>
  <si>
    <t>Loan D</t>
  </si>
  <si>
    <t>Loan E</t>
  </si>
  <si>
    <t>Loan F</t>
  </si>
  <si>
    <t>Loan G</t>
  </si>
  <si>
    <t>Loan H</t>
  </si>
  <si>
    <t>METANEXT CLO INVESTMENT &amp; PORTFOLIO MANAGEMENT COMPANY</t>
  </si>
  <si>
    <t>Loan I</t>
  </si>
  <si>
    <t>Loan K</t>
  </si>
  <si>
    <t>Loan L</t>
  </si>
  <si>
    <t>Loan M</t>
  </si>
  <si>
    <t>Loan N</t>
  </si>
  <si>
    <t>Loan O</t>
  </si>
  <si>
    <t>Loan P</t>
  </si>
  <si>
    <t>Loan Q</t>
  </si>
  <si>
    <t>Loan R</t>
  </si>
  <si>
    <t>Loan S</t>
  </si>
  <si>
    <t>Loan T</t>
  </si>
  <si>
    <t>Loan U</t>
  </si>
  <si>
    <t>$500 million</t>
  </si>
  <si>
    <t>Loan V</t>
  </si>
  <si>
    <t>Loan W</t>
  </si>
  <si>
    <t>Loan X</t>
  </si>
  <si>
    <t>Loan Z</t>
  </si>
  <si>
    <t>Portfolio Management Fee 0.5%</t>
  </si>
  <si>
    <t>Loan AA</t>
  </si>
  <si>
    <t>Loan AB</t>
  </si>
  <si>
    <t>Loan AC</t>
  </si>
  <si>
    <t>Loan AD</t>
  </si>
  <si>
    <t>Loan AE</t>
  </si>
  <si>
    <t>Loan AF</t>
  </si>
  <si>
    <t>Loan AG</t>
  </si>
  <si>
    <t>Loan AH</t>
  </si>
  <si>
    <t>Loan AI</t>
  </si>
  <si>
    <t>Loan AJ</t>
  </si>
  <si>
    <t>Loan AK</t>
  </si>
  <si>
    <t>Loan AL</t>
  </si>
  <si>
    <t>* MDLO Summary Income Statement</t>
  </si>
  <si>
    <t>Weighted Average Portfolio Revenue 6.0%</t>
  </si>
  <si>
    <t>Tranches</t>
  </si>
  <si>
    <t xml:space="preserve"> Rating
S&amp;P/M</t>
  </si>
  <si>
    <t xml:space="preserve"> %  
Cap</t>
  </si>
  <si>
    <t xml:space="preserve"> % Debt</t>
  </si>
  <si>
    <t>Tranche A</t>
  </si>
  <si>
    <t>AAA/Aaa</t>
  </si>
  <si>
    <t>Tranche B</t>
  </si>
  <si>
    <t>AA/Aa2</t>
  </si>
  <si>
    <t>Tranche C</t>
  </si>
  <si>
    <t>A/A2</t>
  </si>
  <si>
    <t>Tranche D</t>
  </si>
  <si>
    <t>BBB/Baa2</t>
  </si>
  <si>
    <t>Tranche E</t>
  </si>
  <si>
    <t>BB/Ba2</t>
  </si>
  <si>
    <t xml:space="preserve">  Total Debt</t>
  </si>
  <si>
    <t>Equity</t>
  </si>
  <si>
    <t>NR</t>
  </si>
  <si>
    <t xml:space="preserve"> </t>
  </si>
  <si>
    <t>Capital Structure</t>
  </si>
  <si>
    <t xml:space="preserve">WACD
</t>
  </si>
  <si>
    <t>Coupon
Payment</t>
  </si>
  <si>
    <t>Weighted
Average
Cost of Debt
2.52%</t>
  </si>
  <si>
    <t>Par 
amount
($ mm)</t>
  </si>
  <si>
    <t>Metanext CDO Fund IV (MDLO) (COMPANY C)</t>
  </si>
  <si>
    <t>INVESTORS B</t>
  </si>
  <si>
    <t>INSURANCE FIRM A</t>
  </si>
  <si>
    <t>Underline</t>
  </si>
  <si>
    <t>Asset</t>
  </si>
  <si>
    <t xml:space="preserve">   Buying CDS</t>
  </si>
  <si>
    <t xml:space="preserve">   and paying Premium</t>
  </si>
  <si>
    <t>Notional Amount=</t>
  </si>
  <si>
    <t>Asset Val</t>
  </si>
  <si>
    <t>Bank=</t>
  </si>
  <si>
    <t>Leverage</t>
  </si>
  <si>
    <t>Debt</t>
  </si>
  <si>
    <t>Invest in Assets without Owning them</t>
  </si>
  <si>
    <t>ARCHEGOS CAPITAL 
MANAGEMENT
(Hedge Fund)</t>
  </si>
  <si>
    <t>PORTFOLIO OF STOCKS</t>
  </si>
  <si>
    <t>Income</t>
  </si>
  <si>
    <t>Intest</t>
  </si>
  <si>
    <t xml:space="preserve"> Pay the</t>
  </si>
  <si>
    <t>Make</t>
  </si>
  <si>
    <t>Profit Ret</t>
  </si>
  <si>
    <t>BUYS</t>
  </si>
  <si>
    <t>Premium</t>
  </si>
  <si>
    <t>Need to Sell =</t>
  </si>
  <si>
    <t>Pmt</t>
  </si>
  <si>
    <t>INVESTMENT BANK
(owner of the assets)</t>
  </si>
  <si>
    <t>L + Spread</t>
  </si>
  <si>
    <t>PROFITABLE</t>
  </si>
  <si>
    <t>NO PROFITABLE</t>
  </si>
  <si>
    <t>Hedge Fund</t>
  </si>
  <si>
    <t>Pays (LIBOR):</t>
  </si>
  <si>
    <t>Pays:</t>
  </si>
  <si>
    <t>Total Pmt</t>
  </si>
  <si>
    <t>Payment</t>
  </si>
  <si>
    <t>Receives:</t>
  </si>
  <si>
    <t>Gains %</t>
  </si>
  <si>
    <t>Dividend Yield</t>
  </si>
  <si>
    <t>Total Return</t>
  </si>
  <si>
    <t xml:space="preserve"> Payment</t>
  </si>
  <si>
    <t>milion</t>
  </si>
  <si>
    <t>Net Profit</t>
  </si>
  <si>
    <t>Pay Interest</t>
  </si>
  <si>
    <t>FRA=$10,000,000 [(LIBOR-0.03)(90/360)/(1+LIBOR (90/360) )]</t>
  </si>
  <si>
    <t>Spread</t>
  </si>
  <si>
    <t>Days Basis</t>
  </si>
  <si>
    <t>Days</t>
  </si>
  <si>
    <t>Reference</t>
  </si>
  <si>
    <t>Year Basis</t>
  </si>
  <si>
    <t>LOAN</t>
  </si>
  <si>
    <t>FRA</t>
  </si>
  <si>
    <t>Loan Rate Payment</t>
  </si>
  <si>
    <t>Interest Paid</t>
  </si>
  <si>
    <t>Quarterly Pmt</t>
  </si>
  <si>
    <t>Payment Loan</t>
  </si>
  <si>
    <t>Inerest Payment</t>
  </si>
  <si>
    <t>Nominal Amount [( LIBOR - FRA Ref)*(90/360) / (1+ LIBOR (90/360)]</t>
  </si>
  <si>
    <t>Received</t>
  </si>
  <si>
    <t xml:space="preserve">Net </t>
  </si>
  <si>
    <r>
      <rPr>
        <b/>
        <u/>
        <sz val="12"/>
        <color theme="1"/>
        <rFont val="Calibri"/>
        <family val="2"/>
        <scheme val="minor"/>
      </rPr>
      <t xml:space="preserve"> HIGH YIELD BOND FUND: </t>
    </r>
    <r>
      <rPr>
        <sz val="11"/>
        <color theme="1"/>
        <rFont val="Calibri"/>
        <family val="2"/>
        <scheme val="minor"/>
      </rPr>
      <t xml:space="preserve">
</t>
    </r>
    <r>
      <rPr>
        <u/>
        <sz val="11"/>
        <color theme="1"/>
        <rFont val="Calibri"/>
        <family val="2"/>
        <scheme val="minor"/>
      </rPr>
      <t>Capital Raising as follows:</t>
    </r>
    <r>
      <rPr>
        <b/>
        <sz val="11"/>
        <color theme="1"/>
        <rFont val="Calibri"/>
        <family val="2"/>
        <scheme val="minor"/>
      </rPr>
      <t xml:space="preserve">
DEBT TRANCHES:</t>
    </r>
    <r>
      <rPr>
        <sz val="11"/>
        <color theme="1"/>
        <rFont val="Calibri"/>
        <family val="2"/>
        <scheme val="minor"/>
      </rPr>
      <t xml:space="preserve">
  Tranche A (AAA)
  Tranche B (AA)
  Tranche C (A)         $450mm 
  Tranche D (BBB)
  Tranche E (BB)
</t>
    </r>
    <r>
      <rPr>
        <b/>
        <sz val="11"/>
        <color theme="1"/>
        <rFont val="Calibri"/>
        <family val="2"/>
        <scheme val="minor"/>
      </rPr>
      <t>EQUITY TRANCHE  $50 million</t>
    </r>
  </si>
  <si>
    <t>30 days</t>
  </si>
  <si>
    <t>90 days</t>
  </si>
  <si>
    <t>Months</t>
  </si>
  <si>
    <t>180 days</t>
  </si>
  <si>
    <t>60 days</t>
  </si>
  <si>
    <t>FRA INITIATION</t>
  </si>
  <si>
    <t>FRA EXPIRATION</t>
  </si>
  <si>
    <t/>
  </si>
  <si>
    <t>THEROTICAL LOAN MATURITY</t>
  </si>
  <si>
    <t>Dec</t>
  </si>
  <si>
    <t>Nov</t>
  </si>
  <si>
    <t>11/2</t>
  </si>
  <si>
    <t>11/3</t>
  </si>
  <si>
    <t>11/4</t>
  </si>
  <si>
    <t>11/7</t>
  </si>
  <si>
    <t>11/8</t>
  </si>
  <si>
    <t>11/9</t>
  </si>
  <si>
    <t>11/10</t>
  </si>
  <si>
    <t>11/11</t>
  </si>
  <si>
    <t>11/14</t>
  </si>
  <si>
    <t>11/15</t>
  </si>
  <si>
    <t>11/16</t>
  </si>
  <si>
    <t>11/17</t>
  </si>
  <si>
    <t>11/18</t>
  </si>
  <si>
    <t>Margin %</t>
  </si>
  <si>
    <t>Margin
Call</t>
  </si>
  <si>
    <t>Jan</t>
  </si>
  <si>
    <t>Feb</t>
  </si>
  <si>
    <t>SELLER OBLIGATIONS:</t>
  </si>
  <si>
    <t>Delivery Item:</t>
  </si>
  <si>
    <t>Wheat</t>
  </si>
  <si>
    <t>Delivery Volume:</t>
  </si>
  <si>
    <t>Delivery Day:</t>
  </si>
  <si>
    <t>March 21, 2022</t>
  </si>
  <si>
    <t>BUYER OBLIGATION</t>
  </si>
  <si>
    <t>SPECULATION TRADING</t>
  </si>
  <si>
    <t>FUTURE(K)=</t>
  </si>
  <si>
    <t>Cash (S) =</t>
  </si>
  <si>
    <t>(LBMA Gold)</t>
  </si>
  <si>
    <t>Gain</t>
  </si>
  <si>
    <t>ACTION</t>
  </si>
  <si>
    <t>SHORT</t>
  </si>
  <si>
    <t>LONG(BUY)</t>
  </si>
  <si>
    <t>Loss</t>
  </si>
  <si>
    <t>K / S</t>
  </si>
  <si>
    <t>Uniteed Airlines  needs to buy 1,000,000 gallons of Jet fule in 3 months</t>
  </si>
  <si>
    <t>SD Cash</t>
  </si>
  <si>
    <t>SD K</t>
  </si>
  <si>
    <t>Cor</t>
  </si>
  <si>
    <t>Op = Cor x (Sd Cash / SD k)</t>
  </si>
  <si>
    <t>-SOFR</t>
  </si>
  <si>
    <t>+SOFR</t>
  </si>
  <si>
    <t xml:space="preserve"> SOFR + 5 bps</t>
  </si>
  <si>
    <t>Notional</t>
  </si>
  <si>
    <t>Term</t>
  </si>
  <si>
    <t>5 years</t>
  </si>
  <si>
    <t>Pricing Terms</t>
  </si>
  <si>
    <t>SOFR</t>
  </si>
  <si>
    <t>Bank A</t>
  </si>
  <si>
    <t>Bank B</t>
  </si>
  <si>
    <t>SOFR + 1.00%</t>
  </si>
  <si>
    <t>SWAP HOUSE</t>
  </si>
  <si>
    <t>View/Decision</t>
  </si>
  <si>
    <t>Float (SOFR+)</t>
  </si>
  <si>
    <t>* SOFR = Secured Overnight Financing Rate</t>
  </si>
  <si>
    <t>Receive / Pay</t>
  </si>
  <si>
    <t>Receive /Pay Swap Rate:</t>
  </si>
  <si>
    <r>
      <rPr>
        <b/>
        <u/>
        <sz val="11"/>
        <color theme="1"/>
        <rFont val="Calibri"/>
        <family val="2"/>
        <scheme val="minor"/>
      </rPr>
      <t xml:space="preserve">Synopsis: </t>
    </r>
    <r>
      <rPr>
        <sz val="11"/>
        <color theme="1"/>
        <rFont val="Calibri"/>
        <family val="2"/>
        <scheme val="minor"/>
      </rPr>
      <t>Companies A and B seeking independantly $100 million loan and obtaining a term sheet from Bank A and Bank B, respectively</t>
    </r>
  </si>
  <si>
    <t xml:space="preserve">Interest Rate Swap </t>
  </si>
  <si>
    <t>Investment Bank
SWAP Ageement</t>
  </si>
  <si>
    <t>Company A
Loan Agreement</t>
  </si>
  <si>
    <t>Company B
Loan Agreement</t>
  </si>
  <si>
    <t>Mark-to-Market Analysis</t>
  </si>
  <si>
    <t>Fully and Partial Hedging</t>
  </si>
  <si>
    <t>Number of Contracts</t>
  </si>
  <si>
    <t>Hedging %</t>
  </si>
  <si>
    <t>Optimizing your Hedging</t>
  </si>
  <si>
    <t>Hedging Optimum</t>
  </si>
  <si>
    <t>Spot Price 3-month Standard Deviation</t>
  </si>
  <si>
    <t>Future Price 3-month Standard Deviation</t>
  </si>
  <si>
    <t>Purchase =</t>
  </si>
  <si>
    <t>gallons of Heatinmg Oil</t>
  </si>
  <si>
    <t>Correletion</t>
  </si>
  <si>
    <t>Hedge Ratio</t>
  </si>
  <si>
    <t>Number of Contracts at 100%</t>
  </si>
  <si>
    <t>Number of Contracts -optimized</t>
  </si>
  <si>
    <t>Cost of purchasing at the European good at the spot Prices</t>
  </si>
  <si>
    <t>Figure 14.5</t>
  </si>
  <si>
    <t>Company Pays Floating Rate SOFR + 2.0% on $10 million</t>
  </si>
  <si>
    <t>Lock in FRA SOFR=</t>
  </si>
  <si>
    <t>If SOFR=</t>
  </si>
  <si>
    <t>SOFR on Day 30 (%)</t>
  </si>
  <si>
    <t>SOFR (spot of h) lets call La</t>
  </si>
  <si>
    <t>SOFR (Reference Days)</t>
  </si>
  <si>
    <t>SOFR (Days FRA exp)</t>
  </si>
  <si>
    <t>SOFR(spot of h+m) lets call Lb</t>
  </si>
  <si>
    <t xml:space="preserve">SOFR(Days m+h) </t>
  </si>
  <si>
    <t>SOFR(spot of h-g) lets call Lc</t>
  </si>
  <si>
    <t>SOFR (spot of h+m-g) lets call 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</si>
</sst>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&quot;$&quot;\ 0.00"/>
    <numFmt numFmtId="166" formatCode="_(&quot;$&quot;* #,##0_);_(&quot;$&quot;* \(#,##0\);_(&quot;$&quot;* &quot;-&quot;??_);_(@_)"/>
    <numFmt numFmtId="167" formatCode="[$-409]mmmmm\-yy;@"/>
    <numFmt numFmtId="168" formatCode="0.0%"/>
    <numFmt numFmtId="169" formatCode="_(* #,##0.000_);_(* \(#,##0.000\);_(* &quot;-&quot;??_);_(@_)"/>
    <numFmt numFmtId="170" formatCode="_(* #,##0.0000_);_(* \(#,##0.0000\);_(* &quot;-&quot;??_);_(@_)"/>
    <numFmt numFmtId="171" formatCode="0.00\x"/>
    <numFmt numFmtId="172" formatCode="[$€-2]\ #,##0.00"/>
    <numFmt numFmtId="173" formatCode="[$€-2]\ #,##0"/>
    <numFmt numFmtId="174" formatCode="0.0000\x"/>
    <numFmt numFmtId="175" formatCode="0.000%"/>
    <numFmt numFmtId="176" formatCode="0.0000%"/>
    <numFmt numFmtId="177" formatCode="0.0000"/>
    <numFmt numFmtId="178" formatCode="0.0"/>
    <numFmt numFmtId="179" formatCode="0.000"/>
    <numFmt numFmtId="180" formatCode="_(* #,##0.0_);_(* \(#,##0.0\);_(* &quot;-&quot;??_);_(@_)"/>
    <numFmt numFmtId="181" formatCode="0.0\x"/>
  </numFmts>
  <fonts count="4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u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11"/>
      <color theme="0"/>
      <name val="Calibri"/>
      <family val="2"/>
      <scheme val="minor"/>
    </font>
    <font>
      <sz val="10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u/>
      <sz val="10"/>
      <name val="Arial"/>
      <family val="2"/>
    </font>
    <font>
      <sz val="10"/>
      <color indexed="12"/>
      <name val="Arial"/>
      <family val="2"/>
    </font>
    <font>
      <b/>
      <u/>
      <sz val="12"/>
      <name val="Arial"/>
      <family val="2"/>
    </font>
    <font>
      <b/>
      <sz val="14"/>
      <name val="Arial"/>
      <family val="2"/>
    </font>
    <font>
      <b/>
      <sz val="10"/>
      <name val="Calibri"/>
      <family val="2"/>
    </font>
    <font>
      <b/>
      <vertAlign val="superscript"/>
      <sz val="10"/>
      <name val="Arial"/>
      <family val="2"/>
    </font>
    <font>
      <i/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8"/>
      <name val="Calibri"/>
      <family val="2"/>
      <scheme val="minor"/>
    </font>
    <font>
      <sz val="11"/>
      <color rgb="FFFF0000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7"/>
      <color theme="1"/>
      <name val="Cambria Math"/>
      <family val="1"/>
    </font>
    <font>
      <b/>
      <i/>
      <sz val="11"/>
      <color theme="1"/>
      <name val="Calibri"/>
      <family val="2"/>
      <scheme val="minor"/>
    </font>
    <font>
      <b/>
      <sz val="12"/>
      <color rgb="FFFF0000"/>
      <name val="Arial"/>
      <family val="2"/>
    </font>
  </fonts>
  <fills count="22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</fills>
  <borders count="4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28">
    <xf numFmtId="0" fontId="0" fillId="0" borderId="0" xfId="0"/>
    <xf numFmtId="0" fontId="4" fillId="0" borderId="0" xfId="0" applyFont="1"/>
    <xf numFmtId="0" fontId="5" fillId="0" borderId="0" xfId="0" applyFont="1"/>
    <xf numFmtId="0" fontId="0" fillId="0" borderId="0" xfId="0" applyAlignment="1">
      <alignment wrapText="1"/>
    </xf>
    <xf numFmtId="44" fontId="0" fillId="0" borderId="0" xfId="2" applyFont="1"/>
    <xf numFmtId="43" fontId="0" fillId="0" borderId="0" xfId="1" applyFont="1"/>
    <xf numFmtId="43" fontId="0" fillId="0" borderId="0" xfId="0" applyNumberFormat="1"/>
    <xf numFmtId="0" fontId="0" fillId="0" borderId="0" xfId="0" applyAlignment="1">
      <alignment horizontal="right"/>
    </xf>
    <xf numFmtId="43" fontId="0" fillId="0" borderId="1" xfId="1" applyFont="1" applyBorder="1"/>
    <xf numFmtId="164" fontId="0" fillId="0" borderId="0" xfId="1" applyNumberFormat="1" applyFont="1"/>
    <xf numFmtId="0" fontId="0" fillId="0" borderId="0" xfId="0" quotePrefix="1"/>
    <xf numFmtId="164" fontId="0" fillId="0" borderId="1" xfId="1" applyNumberFormat="1" applyFont="1" applyBorder="1"/>
    <xf numFmtId="0" fontId="7" fillId="0" borderId="0" xfId="0" applyFont="1"/>
    <xf numFmtId="165" fontId="0" fillId="0" borderId="0" xfId="2" applyNumberFormat="1" applyFont="1"/>
    <xf numFmtId="164" fontId="0" fillId="0" borderId="0" xfId="0" applyNumberFormat="1"/>
    <xf numFmtId="166" fontId="0" fillId="0" borderId="0" xfId="2" applyNumberFormat="1" applyFont="1"/>
    <xf numFmtId="165" fontId="0" fillId="0" borderId="0" xfId="0" applyNumberFormat="1"/>
    <xf numFmtId="0" fontId="0" fillId="4" borderId="2" xfId="0" applyFill="1" applyBorder="1"/>
    <xf numFmtId="0" fontId="3" fillId="4" borderId="2" xfId="0" applyFont="1" applyFill="1" applyBorder="1"/>
    <xf numFmtId="165" fontId="6" fillId="0" borderId="3" xfId="2" applyNumberFormat="1" applyFont="1" applyBorder="1"/>
    <xf numFmtId="0" fontId="8" fillId="0" borderId="0" xfId="0" applyFont="1"/>
    <xf numFmtId="0" fontId="5" fillId="4" borderId="2" xfId="0" applyFont="1" applyFill="1" applyBorder="1" applyAlignment="1">
      <alignment horizontal="center"/>
    </xf>
    <xf numFmtId="165" fontId="6" fillId="0" borderId="2" xfId="2" applyNumberFormat="1" applyFont="1" applyBorder="1"/>
    <xf numFmtId="165" fontId="0" fillId="5" borderId="2" xfId="0" applyNumberFormat="1" applyFill="1" applyBorder="1" applyAlignment="1">
      <alignment horizontal="center" wrapText="1"/>
    </xf>
    <xf numFmtId="0" fontId="3" fillId="0" borderId="0" xfId="0" applyFont="1" applyAlignment="1">
      <alignment horizontal="center"/>
    </xf>
    <xf numFmtId="165" fontId="6" fillId="0" borderId="3" xfId="2" applyNumberFormat="1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167" fontId="0" fillId="0" borderId="0" xfId="0" applyNumberFormat="1" applyAlignment="1">
      <alignment horizontal="center" vertical="center"/>
    </xf>
    <xf numFmtId="17" fontId="0" fillId="0" borderId="0" xfId="0" quotePrefix="1" applyNumberFormat="1"/>
    <xf numFmtId="0" fontId="9" fillId="0" borderId="0" xfId="0" applyFont="1"/>
    <xf numFmtId="0" fontId="6" fillId="0" borderId="4" xfId="0" applyFont="1" applyBorder="1" applyAlignment="1">
      <alignment horizontal="center" vertical="top"/>
    </xf>
    <xf numFmtId="43" fontId="6" fillId="0" borderId="4" xfId="1" applyFont="1" applyBorder="1" applyAlignment="1">
      <alignment vertical="top"/>
    </xf>
    <xf numFmtId="43" fontId="6" fillId="0" borderId="4" xfId="1" applyFont="1" applyBorder="1" applyAlignment="1">
      <alignment vertical="center"/>
    </xf>
    <xf numFmtId="10" fontId="6" fillId="0" borderId="4" xfId="0" applyNumberFormat="1" applyFont="1" applyBorder="1" applyAlignment="1">
      <alignment vertical="center"/>
    </xf>
    <xf numFmtId="0" fontId="10" fillId="0" borderId="0" xfId="0" applyFont="1" applyAlignment="1">
      <alignment vertical="top"/>
    </xf>
    <xf numFmtId="0" fontId="10" fillId="0" borderId="0" xfId="0" applyFont="1" applyAlignment="1">
      <alignment vertical="center"/>
    </xf>
    <xf numFmtId="10" fontId="10" fillId="0" borderId="0" xfId="0" applyNumberFormat="1" applyFont="1" applyAlignment="1">
      <alignment vertical="center"/>
    </xf>
    <xf numFmtId="167" fontId="10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/>
    <xf numFmtId="0" fontId="6" fillId="0" borderId="4" xfId="0" applyFont="1" applyBorder="1"/>
    <xf numFmtId="167" fontId="6" fillId="0" borderId="4" xfId="0" quotePrefix="1" applyNumberFormat="1" applyFont="1" applyBorder="1" applyAlignment="1">
      <alignment horizontal="center" vertical="center"/>
    </xf>
    <xf numFmtId="43" fontId="6" fillId="0" borderId="4" xfId="1" applyFont="1" applyBorder="1" applyAlignment="1">
      <alignment horizontal="right" vertical="top"/>
    </xf>
    <xf numFmtId="10" fontId="6" fillId="0" borderId="4" xfId="0" applyNumberFormat="1" applyFont="1" applyBorder="1" applyAlignment="1">
      <alignment horizontal="right" vertical="top"/>
    </xf>
    <xf numFmtId="0" fontId="12" fillId="3" borderId="0" xfId="0" applyFont="1" applyFill="1"/>
    <xf numFmtId="0" fontId="13" fillId="3" borderId="0" xfId="0" applyFont="1" applyFill="1" applyAlignment="1">
      <alignment horizontal="center"/>
    </xf>
    <xf numFmtId="0" fontId="13" fillId="3" borderId="0" xfId="0" applyFont="1" applyFill="1"/>
    <xf numFmtId="167" fontId="13" fillId="3" borderId="0" xfId="0" applyNumberFormat="1" applyFont="1" applyFill="1" applyAlignment="1">
      <alignment horizontal="center" vertical="center"/>
    </xf>
    <xf numFmtId="0" fontId="10" fillId="4" borderId="4" xfId="0" applyFont="1" applyFill="1" applyBorder="1" applyAlignment="1">
      <alignment horizontal="center" vertical="center"/>
    </xf>
    <xf numFmtId="0" fontId="11" fillId="4" borderId="4" xfId="0" applyFont="1" applyFill="1" applyBorder="1" applyAlignment="1">
      <alignment horizontal="center" vertical="center" wrapText="1"/>
    </xf>
    <xf numFmtId="167" fontId="6" fillId="0" borderId="0" xfId="0" applyNumberFormat="1" applyFont="1" applyAlignment="1">
      <alignment horizontal="center" vertical="center"/>
    </xf>
    <xf numFmtId="14" fontId="10" fillId="0" borderId="0" xfId="0" quotePrefix="1" applyNumberFormat="1" applyFont="1" applyAlignment="1">
      <alignment horizontal="center"/>
    </xf>
    <xf numFmtId="167" fontId="11" fillId="4" borderId="4" xfId="0" applyNumberFormat="1" applyFont="1" applyFill="1" applyBorder="1" applyAlignment="1">
      <alignment horizontal="center" vertical="center" wrapText="1"/>
    </xf>
    <xf numFmtId="164" fontId="6" fillId="0" borderId="4" xfId="1" applyNumberFormat="1" applyFont="1" applyBorder="1"/>
    <xf numFmtId="164" fontId="12" fillId="3" borderId="0" xfId="1" applyNumberFormat="1" applyFont="1" applyFill="1"/>
    <xf numFmtId="164" fontId="11" fillId="4" borderId="4" xfId="1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168" fontId="0" fillId="0" borderId="1" xfId="3" applyNumberFormat="1" applyFont="1" applyBorder="1"/>
    <xf numFmtId="164" fontId="0" fillId="0" borderId="1" xfId="0" applyNumberFormat="1" applyBorder="1"/>
    <xf numFmtId="43" fontId="6" fillId="0" borderId="4" xfId="1" quotePrefix="1" applyFont="1" applyBorder="1" applyAlignment="1">
      <alignment horizontal="right" vertical="top"/>
    </xf>
    <xf numFmtId="0" fontId="6" fillId="0" borderId="4" xfId="0" quotePrefix="1" applyFont="1" applyBorder="1"/>
    <xf numFmtId="10" fontId="6" fillId="0" borderId="4" xfId="1" applyNumberFormat="1" applyFont="1" applyBorder="1" applyAlignment="1">
      <alignment horizontal="right" vertical="top"/>
    </xf>
    <xf numFmtId="170" fontId="6" fillId="0" borderId="4" xfId="1" quotePrefix="1" applyNumberFormat="1" applyFont="1" applyBorder="1" applyAlignment="1">
      <alignment horizontal="right" vertical="top"/>
    </xf>
    <xf numFmtId="164" fontId="6" fillId="0" borderId="4" xfId="1" quotePrefix="1" applyNumberFormat="1" applyFont="1" applyBorder="1" applyAlignment="1">
      <alignment horizontal="right"/>
    </xf>
    <xf numFmtId="0" fontId="6" fillId="0" borderId="4" xfId="0" quotePrefix="1" applyFont="1" applyBorder="1" applyAlignment="1">
      <alignment horizontal="center" vertical="top"/>
    </xf>
    <xf numFmtId="169" fontId="6" fillId="0" borderId="4" xfId="1" applyNumberFormat="1" applyFont="1" applyBorder="1" applyAlignment="1">
      <alignment horizontal="right" vertical="top"/>
    </xf>
    <xf numFmtId="10" fontId="6" fillId="0" borderId="4" xfId="3" applyNumberFormat="1" applyFont="1" applyBorder="1" applyAlignment="1">
      <alignment horizontal="right" vertical="top"/>
    </xf>
    <xf numFmtId="0" fontId="6" fillId="6" borderId="4" xfId="0" applyFont="1" applyFill="1" applyBorder="1"/>
    <xf numFmtId="164" fontId="6" fillId="6" borderId="4" xfId="1" applyNumberFormat="1" applyFont="1" applyFill="1" applyBorder="1"/>
    <xf numFmtId="0" fontId="6" fillId="6" borderId="4" xfId="0" applyFont="1" applyFill="1" applyBorder="1" applyAlignment="1">
      <alignment horizontal="center" vertical="top"/>
    </xf>
    <xf numFmtId="10" fontId="6" fillId="6" borderId="4" xfId="0" applyNumberFormat="1" applyFont="1" applyFill="1" applyBorder="1" applyAlignment="1">
      <alignment horizontal="right" vertical="top"/>
    </xf>
    <xf numFmtId="167" fontId="6" fillId="6" borderId="4" xfId="0" quotePrefix="1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right"/>
    </xf>
    <xf numFmtId="17" fontId="0" fillId="0" borderId="0" xfId="0" quotePrefix="1" applyNumberFormat="1" applyAlignment="1">
      <alignment horizontal="right"/>
    </xf>
    <xf numFmtId="0" fontId="12" fillId="3" borderId="0" xfId="0" applyFont="1" applyFill="1" applyAlignment="1">
      <alignment horizontal="right"/>
    </xf>
    <xf numFmtId="164" fontId="6" fillId="0" borderId="4" xfId="1" applyNumberFormat="1" applyFont="1" applyBorder="1" applyAlignment="1">
      <alignment horizontal="right"/>
    </xf>
    <xf numFmtId="164" fontId="0" fillId="0" borderId="0" xfId="1" applyNumberFormat="1" applyFont="1" applyAlignment="1">
      <alignment horizontal="right"/>
    </xf>
    <xf numFmtId="164" fontId="12" fillId="3" borderId="0" xfId="1" applyNumberFormat="1" applyFont="1" applyFill="1" applyAlignment="1">
      <alignment horizontal="right"/>
    </xf>
    <xf numFmtId="164" fontId="11" fillId="4" borderId="4" xfId="1" applyNumberFormat="1" applyFont="1" applyFill="1" applyBorder="1" applyAlignment="1">
      <alignment horizontal="right" vertical="center" wrapText="1"/>
    </xf>
    <xf numFmtId="164" fontId="6" fillId="6" borderId="4" xfId="1" quotePrefix="1" applyNumberFormat="1" applyFont="1" applyFill="1" applyBorder="1" applyAlignment="1">
      <alignment horizontal="right"/>
    </xf>
    <xf numFmtId="0" fontId="6" fillId="6" borderId="4" xfId="0" quotePrefix="1" applyFont="1" applyFill="1" applyBorder="1" applyAlignment="1">
      <alignment horizontal="center" vertical="top"/>
    </xf>
    <xf numFmtId="170" fontId="6" fillId="6" borderId="4" xfId="1" quotePrefix="1" applyNumberFormat="1" applyFont="1" applyFill="1" applyBorder="1" applyAlignment="1">
      <alignment horizontal="right" vertical="top"/>
    </xf>
    <xf numFmtId="171" fontId="0" fillId="5" borderId="2" xfId="0" applyNumberFormat="1" applyFill="1" applyBorder="1" applyAlignment="1">
      <alignment horizontal="center" wrapText="1"/>
    </xf>
    <xf numFmtId="171" fontId="6" fillId="0" borderId="3" xfId="1" applyNumberFormat="1" applyFont="1" applyBorder="1" applyAlignment="1">
      <alignment horizontal="center"/>
    </xf>
    <xf numFmtId="171" fontId="6" fillId="0" borderId="2" xfId="2" applyNumberFormat="1" applyFont="1" applyBorder="1" applyAlignment="1">
      <alignment horizontal="center"/>
    </xf>
    <xf numFmtId="164" fontId="0" fillId="0" borderId="0" xfId="1" applyNumberFormat="1" applyFont="1" applyAlignment="1">
      <alignment horizontal="center"/>
    </xf>
    <xf numFmtId="164" fontId="0" fillId="0" borderId="1" xfId="1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3" fillId="4" borderId="2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left" vertical="center"/>
    </xf>
    <xf numFmtId="173" fontId="0" fillId="0" borderId="0" xfId="0" applyNumberFormat="1"/>
    <xf numFmtId="174" fontId="0" fillId="0" borderId="0" xfId="0" applyNumberFormat="1"/>
    <xf numFmtId="10" fontId="6" fillId="0" borderId="4" xfId="3" applyNumberFormat="1" applyFont="1" applyBorder="1" applyAlignment="1">
      <alignment horizontal="center" vertical="top"/>
    </xf>
    <xf numFmtId="10" fontId="6" fillId="0" borderId="4" xfId="1" applyNumberFormat="1" applyFont="1" applyBorder="1" applyAlignment="1">
      <alignment horizontal="center" vertical="top"/>
    </xf>
    <xf numFmtId="10" fontId="6" fillId="6" borderId="4" xfId="1" applyNumberFormat="1" applyFont="1" applyFill="1" applyBorder="1" applyAlignment="1">
      <alignment horizontal="center" vertical="top"/>
    </xf>
    <xf numFmtId="169" fontId="6" fillId="0" borderId="4" xfId="1" applyNumberFormat="1" applyFont="1" applyBorder="1" applyAlignment="1">
      <alignment horizontal="center" vertical="center"/>
    </xf>
    <xf numFmtId="169" fontId="6" fillId="6" borderId="4" xfId="1" applyNumberFormat="1" applyFont="1" applyFill="1" applyBorder="1" applyAlignment="1">
      <alignment horizontal="center" vertical="center"/>
    </xf>
    <xf numFmtId="44" fontId="5" fillId="0" borderId="0" xfId="2" applyFont="1" applyAlignment="1">
      <alignment horizontal="right" wrapText="1"/>
    </xf>
    <xf numFmtId="0" fontId="5" fillId="0" borderId="0" xfId="0" applyFont="1" applyAlignment="1">
      <alignment horizontal="center" wrapText="1"/>
    </xf>
    <xf numFmtId="10" fontId="5" fillId="0" borderId="0" xfId="2" applyNumberFormat="1" applyFont="1" applyAlignment="1">
      <alignment horizontal="right" wrapText="1"/>
    </xf>
    <xf numFmtId="0" fontId="0" fillId="0" borderId="0" xfId="0" applyAlignment="1">
      <alignment horizontal="center" wrapText="1"/>
    </xf>
    <xf numFmtId="0" fontId="5" fillId="2" borderId="5" xfId="0" applyFont="1" applyFill="1" applyBorder="1"/>
    <xf numFmtId="10" fontId="5" fillId="0" borderId="6" xfId="0" applyNumberFormat="1" applyFont="1" applyBorder="1" applyAlignment="1">
      <alignment horizontal="center"/>
    </xf>
    <xf numFmtId="0" fontId="5" fillId="2" borderId="3" xfId="0" applyFont="1" applyFill="1" applyBorder="1" applyAlignment="1">
      <alignment horizontal="center" wrapText="1"/>
    </xf>
    <xf numFmtId="0" fontId="5" fillId="2" borderId="3" xfId="0" applyFont="1" applyFill="1" applyBorder="1" applyAlignment="1">
      <alignment wrapText="1"/>
    </xf>
    <xf numFmtId="10" fontId="0" fillId="0" borderId="0" xfId="0" applyNumberFormat="1" applyAlignment="1">
      <alignment horizontal="center"/>
    </xf>
    <xf numFmtId="10" fontId="0" fillId="0" borderId="0" xfId="3" applyNumberFormat="1" applyFont="1"/>
    <xf numFmtId="44" fontId="0" fillId="0" borderId="0" xfId="0" applyNumberFormat="1"/>
    <xf numFmtId="0" fontId="18" fillId="0" borderId="0" xfId="0" applyFont="1"/>
    <xf numFmtId="10" fontId="0" fillId="0" borderId="0" xfId="0" applyNumberFormat="1"/>
    <xf numFmtId="168" fontId="0" fillId="0" borderId="0" xfId="0" quotePrefix="1" applyNumberFormat="1" applyAlignment="1">
      <alignment horizontal="right"/>
    </xf>
    <xf numFmtId="0" fontId="0" fillId="0" borderId="2" xfId="0" applyBorder="1"/>
    <xf numFmtId="0" fontId="0" fillId="0" borderId="0" xfId="0" quotePrefix="1" applyAlignment="1">
      <alignment horizontal="right"/>
    </xf>
    <xf numFmtId="10" fontId="0" fillId="0" borderId="0" xfId="0" quotePrefix="1" applyNumberFormat="1" applyAlignment="1">
      <alignment horizontal="right"/>
    </xf>
    <xf numFmtId="10" fontId="0" fillId="0" borderId="0" xfId="0" quotePrefix="1" applyNumberFormat="1"/>
    <xf numFmtId="10" fontId="0" fillId="0" borderId="1" xfId="0" applyNumberFormat="1" applyBorder="1"/>
    <xf numFmtId="0" fontId="5" fillId="0" borderId="0" xfId="0" applyFont="1" applyAlignment="1">
      <alignment horizontal="center"/>
    </xf>
    <xf numFmtId="0" fontId="5" fillId="2" borderId="2" xfId="0" applyFont="1" applyFill="1" applyBorder="1"/>
    <xf numFmtId="175" fontId="0" fillId="0" borderId="0" xfId="0" applyNumberFormat="1"/>
    <xf numFmtId="175" fontId="19" fillId="0" borderId="0" xfId="3" applyNumberFormat="1" applyFont="1"/>
    <xf numFmtId="175" fontId="0" fillId="0" borderId="0" xfId="3" applyNumberFormat="1" applyFont="1"/>
    <xf numFmtId="0" fontId="5" fillId="2" borderId="2" xfId="0" applyFont="1" applyFill="1" applyBorder="1" applyAlignment="1">
      <alignment horizontal="center" wrapText="1"/>
    </xf>
    <xf numFmtId="176" fontId="0" fillId="0" borderId="0" xfId="0" applyNumberFormat="1"/>
    <xf numFmtId="176" fontId="0" fillId="0" borderId="2" xfId="0" applyNumberFormat="1" applyBorder="1"/>
    <xf numFmtId="43" fontId="0" fillId="0" borderId="2" xfId="0" applyNumberFormat="1" applyBorder="1"/>
    <xf numFmtId="0" fontId="20" fillId="0" borderId="0" xfId="0" applyFont="1"/>
    <xf numFmtId="0" fontId="5" fillId="0" borderId="2" xfId="0" applyFont="1" applyBorder="1"/>
    <xf numFmtId="2" fontId="0" fillId="0" borderId="0" xfId="0" applyNumberFormat="1"/>
    <xf numFmtId="177" fontId="0" fillId="0" borderId="0" xfId="0" applyNumberFormat="1"/>
    <xf numFmtId="8" fontId="0" fillId="0" borderId="0" xfId="0" applyNumberFormat="1"/>
    <xf numFmtId="8" fontId="5" fillId="2" borderId="1" xfId="0" applyNumberFormat="1" applyFont="1" applyFill="1" applyBorder="1"/>
    <xf numFmtId="0" fontId="5" fillId="2" borderId="7" xfId="0" applyFont="1" applyFill="1" applyBorder="1" applyAlignment="1">
      <alignment horizontal="right"/>
    </xf>
    <xf numFmtId="8" fontId="5" fillId="2" borderId="8" xfId="0" applyNumberFormat="1" applyFont="1" applyFill="1" applyBorder="1"/>
    <xf numFmtId="0" fontId="5" fillId="0" borderId="7" xfId="0" applyFont="1" applyBorder="1"/>
    <xf numFmtId="10" fontId="5" fillId="0" borderId="8" xfId="0" applyNumberFormat="1" applyFont="1" applyBorder="1"/>
    <xf numFmtId="0" fontId="21" fillId="7" borderId="7" xfId="0" applyFont="1" applyFill="1" applyBorder="1"/>
    <xf numFmtId="0" fontId="21" fillId="7" borderId="9" xfId="0" applyFont="1" applyFill="1" applyBorder="1"/>
    <xf numFmtId="0" fontId="21" fillId="0" borderId="9" xfId="0" applyFont="1" applyBorder="1"/>
    <xf numFmtId="0" fontId="0" fillId="8" borderId="9" xfId="0" applyFill="1" applyBorder="1"/>
    <xf numFmtId="0" fontId="0" fillId="8" borderId="8" xfId="0" applyFill="1" applyBorder="1"/>
    <xf numFmtId="9" fontId="0" fillId="0" borderId="0" xfId="0" applyNumberFormat="1"/>
    <xf numFmtId="0" fontId="5" fillId="2" borderId="3" xfId="0" applyFont="1" applyFill="1" applyBorder="1"/>
    <xf numFmtId="0" fontId="0" fillId="2" borderId="3" xfId="0" applyFill="1" applyBorder="1"/>
    <xf numFmtId="0" fontId="5" fillId="7" borderId="3" xfId="0" applyFont="1" applyFill="1" applyBorder="1" applyAlignment="1">
      <alignment wrapText="1"/>
    </xf>
    <xf numFmtId="0" fontId="5" fillId="7" borderId="9" xfId="0" applyFont="1" applyFill="1" applyBorder="1" applyAlignment="1">
      <alignment wrapText="1"/>
    </xf>
    <xf numFmtId="0" fontId="5" fillId="8" borderId="3" xfId="0" applyFont="1" applyFill="1" applyBorder="1" applyAlignment="1">
      <alignment wrapText="1"/>
    </xf>
    <xf numFmtId="178" fontId="0" fillId="0" borderId="0" xfId="0" applyNumberFormat="1"/>
    <xf numFmtId="179" fontId="0" fillId="0" borderId="0" xfId="0" applyNumberFormat="1"/>
    <xf numFmtId="168" fontId="0" fillId="0" borderId="0" xfId="3" applyNumberFormat="1" applyFont="1"/>
    <xf numFmtId="178" fontId="0" fillId="0" borderId="3" xfId="0" applyNumberFormat="1" applyBorder="1"/>
    <xf numFmtId="179" fontId="0" fillId="0" borderId="3" xfId="0" applyNumberFormat="1" applyBorder="1"/>
    <xf numFmtId="168" fontId="0" fillId="0" borderId="3" xfId="3" applyNumberFormat="1" applyFont="1" applyBorder="1"/>
    <xf numFmtId="0" fontId="0" fillId="0" borderId="3" xfId="0" applyBorder="1"/>
    <xf numFmtId="179" fontId="5" fillId="7" borderId="5" xfId="0" applyNumberFormat="1" applyFont="1" applyFill="1" applyBorder="1"/>
    <xf numFmtId="179" fontId="5" fillId="7" borderId="6" xfId="0" applyNumberFormat="1" applyFont="1" applyFill="1" applyBorder="1"/>
    <xf numFmtId="179" fontId="5" fillId="8" borderId="6" xfId="0" applyNumberFormat="1" applyFont="1" applyFill="1" applyBorder="1"/>
    <xf numFmtId="43" fontId="5" fillId="2" borderId="7" xfId="1" applyFont="1" applyFill="1" applyBorder="1"/>
    <xf numFmtId="0" fontId="5" fillId="2" borderId="8" xfId="0" applyFont="1" applyFill="1" applyBorder="1"/>
    <xf numFmtId="0" fontId="6" fillId="0" borderId="0" xfId="0" applyFont="1"/>
    <xf numFmtId="172" fontId="6" fillId="0" borderId="0" xfId="0" applyNumberFormat="1" applyFont="1"/>
    <xf numFmtId="0" fontId="5" fillId="0" borderId="0" xfId="0" applyFont="1" applyAlignment="1">
      <alignment horizontal="right"/>
    </xf>
    <xf numFmtId="0" fontId="21" fillId="0" borderId="7" xfId="0" applyFont="1" applyBorder="1"/>
    <xf numFmtId="0" fontId="0" fillId="0" borderId="8" xfId="0" applyBorder="1"/>
    <xf numFmtId="0" fontId="0" fillId="9" borderId="2" xfId="0" applyFill="1" applyBorder="1" applyAlignment="1">
      <alignment horizontal="center" vertical="center"/>
    </xf>
    <xf numFmtId="0" fontId="0" fillId="9" borderId="4" xfId="0" applyFill="1" applyBorder="1"/>
    <xf numFmtId="0" fontId="0" fillId="9" borderId="4" xfId="0" applyFill="1" applyBorder="1" applyAlignment="1">
      <alignment horizontal="center" vertical="center"/>
    </xf>
    <xf numFmtId="0" fontId="14" fillId="3" borderId="0" xfId="0" applyFont="1" applyFill="1"/>
    <xf numFmtId="0" fontId="5" fillId="7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7" borderId="9" xfId="0" applyFont="1" applyFill="1" applyBorder="1" applyAlignment="1">
      <alignment horizontal="center" vertical="center" wrapText="1"/>
    </xf>
    <xf numFmtId="0" fontId="5" fillId="8" borderId="3" xfId="0" applyFont="1" applyFill="1" applyBorder="1" applyAlignment="1">
      <alignment horizontal="center" vertical="center" wrapText="1"/>
    </xf>
    <xf numFmtId="179" fontId="0" fillId="0" borderId="0" xfId="0" quotePrefix="1" applyNumberFormat="1"/>
    <xf numFmtId="179" fontId="24" fillId="0" borderId="0" xfId="0" quotePrefix="1" applyNumberFormat="1" applyFont="1"/>
    <xf numFmtId="179" fontId="5" fillId="7" borderId="5" xfId="0" quotePrefix="1" applyNumberFormat="1" applyFont="1" applyFill="1" applyBorder="1"/>
    <xf numFmtId="179" fontId="3" fillId="0" borderId="0" xfId="0" quotePrefix="1" applyNumberFormat="1" applyFont="1"/>
    <xf numFmtId="0" fontId="24" fillId="0" borderId="0" xfId="0" applyFont="1"/>
    <xf numFmtId="0" fontId="24" fillId="0" borderId="0" xfId="0" quotePrefix="1" applyFont="1"/>
    <xf numFmtId="43" fontId="5" fillId="2" borderId="9" xfId="1" applyFont="1" applyFill="1" applyBorder="1"/>
    <xf numFmtId="179" fontId="24" fillId="0" borderId="0" xfId="0" applyNumberFormat="1" applyFont="1"/>
    <xf numFmtId="0" fontId="0" fillId="0" borderId="0" xfId="0" applyAlignment="1">
      <alignment horizontal="center" vertical="center"/>
    </xf>
    <xf numFmtId="0" fontId="3" fillId="4" borderId="0" xfId="0" applyFont="1" applyFill="1"/>
    <xf numFmtId="0" fontId="3" fillId="4" borderId="0" xfId="0" applyFont="1" applyFill="1" applyAlignment="1">
      <alignment horizontal="center"/>
    </xf>
    <xf numFmtId="0" fontId="3" fillId="4" borderId="0" xfId="0" applyFont="1" applyFill="1" applyAlignment="1">
      <alignment horizontal="center" vertical="center"/>
    </xf>
    <xf numFmtId="0" fontId="3" fillId="10" borderId="0" xfId="0" applyFont="1" applyFill="1"/>
    <xf numFmtId="0" fontId="3" fillId="10" borderId="0" xfId="0" applyFont="1" applyFill="1" applyAlignment="1">
      <alignment horizontal="center"/>
    </xf>
    <xf numFmtId="10" fontId="3" fillId="10" borderId="0" xfId="0" applyNumberFormat="1" applyFont="1" applyFill="1" applyAlignment="1">
      <alignment horizontal="center" vertical="center"/>
    </xf>
    <xf numFmtId="0" fontId="0" fillId="0" borderId="0" xfId="0" quotePrefix="1" applyAlignment="1">
      <alignment horizontal="center"/>
    </xf>
    <xf numFmtId="10" fontId="0" fillId="0" borderId="0" xfId="3" quotePrefix="1" applyNumberFormat="1" applyFont="1"/>
    <xf numFmtId="0" fontId="25" fillId="0" borderId="0" xfId="0" applyFont="1"/>
    <xf numFmtId="0" fontId="3" fillId="4" borderId="4" xfId="0" applyFont="1" applyFill="1" applyBorder="1" applyAlignment="1">
      <alignment horizontal="center" vertical="center" wrapText="1"/>
    </xf>
    <xf numFmtId="10" fontId="0" fillId="0" borderId="4" xfId="3" applyNumberFormat="1" applyFont="1" applyBorder="1"/>
    <xf numFmtId="166" fontId="0" fillId="0" borderId="4" xfId="2" applyNumberFormat="1" applyFont="1" applyBorder="1"/>
    <xf numFmtId="166" fontId="0" fillId="0" borderId="4" xfId="0" applyNumberFormat="1" applyBorder="1"/>
    <xf numFmtId="10" fontId="0" fillId="0" borderId="4" xfId="0" applyNumberFormat="1" applyBorder="1"/>
    <xf numFmtId="0" fontId="0" fillId="5" borderId="4" xfId="0" applyFill="1" applyBorder="1"/>
    <xf numFmtId="166" fontId="0" fillId="5" borderId="4" xfId="2" applyNumberFormat="1" applyFont="1" applyFill="1" applyBorder="1"/>
    <xf numFmtId="10" fontId="0" fillId="5" borderId="4" xfId="3" applyNumberFormat="1" applyFont="1" applyFill="1" applyBorder="1"/>
    <xf numFmtId="0" fontId="0" fillId="5" borderId="2" xfId="0" applyFill="1" applyBorder="1"/>
    <xf numFmtId="0" fontId="0" fillId="5" borderId="12" xfId="0" applyFill="1" applyBorder="1"/>
    <xf numFmtId="0" fontId="0" fillId="5" borderId="11" xfId="0" applyFill="1" applyBorder="1"/>
    <xf numFmtId="10" fontId="0" fillId="5" borderId="12" xfId="0" applyNumberFormat="1" applyFill="1" applyBorder="1"/>
    <xf numFmtId="0" fontId="0" fillId="5" borderId="10" xfId="0" applyFill="1" applyBorder="1"/>
    <xf numFmtId="10" fontId="0" fillId="0" borderId="4" xfId="3" applyNumberFormat="1" applyFont="1" applyBorder="1" applyAlignment="1">
      <alignment horizontal="center"/>
    </xf>
    <xf numFmtId="166" fontId="0" fillId="0" borderId="4" xfId="2" applyNumberFormat="1" applyFont="1" applyBorder="1" applyAlignment="1">
      <alignment horizontal="center"/>
    </xf>
    <xf numFmtId="0" fontId="0" fillId="9" borderId="4" xfId="0" applyFill="1" applyBorder="1" applyAlignment="1">
      <alignment horizontal="center"/>
    </xf>
    <xf numFmtId="0" fontId="0" fillId="9" borderId="12" xfId="0" applyFill="1" applyBorder="1" applyAlignment="1">
      <alignment horizontal="center"/>
    </xf>
    <xf numFmtId="10" fontId="0" fillId="0" borderId="0" xfId="3" quotePrefix="1" applyNumberFormat="1" applyFont="1" applyFill="1" applyBorder="1"/>
    <xf numFmtId="0" fontId="3" fillId="0" borderId="0" xfId="0" applyFont="1"/>
    <xf numFmtId="0" fontId="3" fillId="0" borderId="0" xfId="0" quotePrefix="1" applyFont="1" applyAlignment="1">
      <alignment horizontal="center" vertical="center"/>
    </xf>
    <xf numFmtId="0" fontId="3" fillId="0" borderId="0" xfId="0" quotePrefix="1" applyFont="1" applyAlignment="1">
      <alignment horizontal="center"/>
    </xf>
    <xf numFmtId="0" fontId="0" fillId="0" borderId="0" xfId="0" quotePrefix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vertical="center"/>
    </xf>
    <xf numFmtId="0" fontId="2" fillId="3" borderId="0" xfId="0" applyFont="1" applyFill="1"/>
    <xf numFmtId="0" fontId="14" fillId="3" borderId="0" xfId="0" applyFont="1" applyFill="1" applyAlignment="1">
      <alignment horizontal="center"/>
    </xf>
    <xf numFmtId="0" fontId="14" fillId="3" borderId="0" xfId="0" applyFont="1" applyFill="1" applyAlignment="1">
      <alignment horizontal="center" vertical="center"/>
    </xf>
    <xf numFmtId="0" fontId="3" fillId="4" borderId="3" xfId="0" applyFont="1" applyFill="1" applyBorder="1"/>
    <xf numFmtId="0" fontId="3" fillId="4" borderId="3" xfId="0" applyFont="1" applyFill="1" applyBorder="1" applyAlignment="1">
      <alignment horizontal="center"/>
    </xf>
    <xf numFmtId="0" fontId="7" fillId="0" borderId="0" xfId="0" applyFont="1" applyAlignment="1">
      <alignment horizontal="left"/>
    </xf>
    <xf numFmtId="44" fontId="0" fillId="0" borderId="0" xfId="0" quotePrefix="1" applyNumberFormat="1" applyAlignment="1">
      <alignment horizontal="center"/>
    </xf>
    <xf numFmtId="10" fontId="3" fillId="6" borderId="5" xfId="3" quotePrefix="1" applyNumberFormat="1" applyFont="1" applyFill="1" applyBorder="1" applyAlignment="1">
      <alignment horizontal="center" vertical="center"/>
    </xf>
    <xf numFmtId="44" fontId="3" fillId="6" borderId="5" xfId="0" quotePrefix="1" applyNumberFormat="1" applyFont="1" applyFill="1" applyBorder="1"/>
    <xf numFmtId="0" fontId="0" fillId="9" borderId="0" xfId="0" applyFill="1"/>
    <xf numFmtId="0" fontId="0" fillId="9" borderId="0" xfId="0" applyFill="1" applyAlignment="1">
      <alignment horizontal="center"/>
    </xf>
    <xf numFmtId="0" fontId="3" fillId="4" borderId="13" xfId="0" applyFont="1" applyFill="1" applyBorder="1" applyAlignment="1">
      <alignment horizontal="center" wrapText="1"/>
    </xf>
    <xf numFmtId="175" fontId="0" fillId="0" borderId="0" xfId="3" quotePrefix="1" applyNumberFormat="1" applyFont="1"/>
    <xf numFmtId="175" fontId="0" fillId="0" borderId="0" xfId="3" quotePrefix="1" applyNumberFormat="1" applyFont="1" applyAlignment="1">
      <alignment horizontal="center"/>
    </xf>
    <xf numFmtId="166" fontId="0" fillId="0" borderId="0" xfId="2" quotePrefix="1" applyNumberFormat="1" applyFont="1"/>
    <xf numFmtId="164" fontId="0" fillId="0" borderId="0" xfId="1" applyNumberFormat="1" applyFont="1" applyBorder="1"/>
    <xf numFmtId="0" fontId="0" fillId="0" borderId="0" xfId="0" quotePrefix="1" applyAlignment="1">
      <alignment horizontal="left"/>
    </xf>
    <xf numFmtId="0" fontId="2" fillId="3" borderId="0" xfId="0" applyFont="1" applyFill="1" applyAlignment="1">
      <alignment horizontal="center"/>
    </xf>
    <xf numFmtId="175" fontId="0" fillId="0" borderId="0" xfId="0" quotePrefix="1" applyNumberFormat="1"/>
    <xf numFmtId="176" fontId="0" fillId="0" borderId="13" xfId="3" quotePrefix="1" applyNumberFormat="1" applyFont="1" applyBorder="1"/>
    <xf numFmtId="166" fontId="0" fillId="6" borderId="5" xfId="2" quotePrefix="1" applyNumberFormat="1" applyFont="1" applyFill="1" applyBorder="1"/>
    <xf numFmtId="0" fontId="0" fillId="0" borderId="0" xfId="0" quotePrefix="1" applyAlignment="1">
      <alignment horizontal="left" vertical="top"/>
    </xf>
    <xf numFmtId="0" fontId="0" fillId="0" borderId="0" xfId="0" applyAlignment="1">
      <alignment horizontal="left" vertical="top"/>
    </xf>
    <xf numFmtId="175" fontId="0" fillId="0" borderId="0" xfId="0" quotePrefix="1" applyNumberFormat="1" applyAlignment="1">
      <alignment horizontal="left" vertical="top"/>
    </xf>
    <xf numFmtId="176" fontId="0" fillId="0" borderId="0" xfId="3" quotePrefix="1" applyNumberFormat="1" applyFont="1" applyBorder="1" applyAlignment="1">
      <alignment horizontal="left" vertical="top"/>
    </xf>
    <xf numFmtId="166" fontId="0" fillId="0" borderId="0" xfId="2" quotePrefix="1" applyNumberFormat="1" applyFont="1" applyAlignment="1">
      <alignment horizontal="left" vertical="top"/>
    </xf>
    <xf numFmtId="164" fontId="26" fillId="0" borderId="0" xfId="1" applyNumberFormat="1" applyFont="1"/>
    <xf numFmtId="0" fontId="0" fillId="0" borderId="0" xfId="0" applyAlignment="1">
      <alignment vertical="center"/>
    </xf>
    <xf numFmtId="0" fontId="3" fillId="4" borderId="0" xfId="0" applyFont="1" applyFill="1" applyAlignment="1">
      <alignment horizontal="center" vertical="center" wrapText="1"/>
    </xf>
    <xf numFmtId="10" fontId="0" fillId="0" borderId="0" xfId="0" applyNumberFormat="1" applyAlignment="1">
      <alignment horizontal="center" vertical="center"/>
    </xf>
    <xf numFmtId="0" fontId="27" fillId="0" borderId="0" xfId="0" applyFont="1"/>
    <xf numFmtId="164" fontId="0" fillId="0" borderId="0" xfId="1" applyNumberFormat="1" applyFont="1" applyAlignment="1">
      <alignment horizontal="right" vertical="center"/>
    </xf>
    <xf numFmtId="164" fontId="0" fillId="0" borderId="0" xfId="1" applyNumberFormat="1" applyFont="1" applyAlignment="1">
      <alignment horizontal="center" vertical="center"/>
    </xf>
    <xf numFmtId="164" fontId="0" fillId="0" borderId="1" xfId="0" applyNumberFormat="1" applyBorder="1" applyAlignment="1">
      <alignment vertical="center"/>
    </xf>
    <xf numFmtId="0" fontId="6" fillId="11" borderId="4" xfId="0" applyFont="1" applyFill="1" applyBorder="1"/>
    <xf numFmtId="164" fontId="6" fillId="11" borderId="4" xfId="1" applyNumberFormat="1" applyFont="1" applyFill="1" applyBorder="1" applyAlignment="1">
      <alignment horizontal="right"/>
    </xf>
    <xf numFmtId="0" fontId="6" fillId="11" borderId="4" xfId="0" applyFont="1" applyFill="1" applyBorder="1" applyAlignment="1">
      <alignment horizontal="center" vertical="top"/>
    </xf>
    <xf numFmtId="43" fontId="6" fillId="11" borderId="4" xfId="1" applyFont="1" applyFill="1" applyBorder="1" applyAlignment="1">
      <alignment horizontal="right" vertical="top"/>
    </xf>
    <xf numFmtId="10" fontId="6" fillId="11" borderId="4" xfId="0" applyNumberFormat="1" applyFont="1" applyFill="1" applyBorder="1" applyAlignment="1">
      <alignment horizontal="right" vertical="top"/>
    </xf>
    <xf numFmtId="0" fontId="10" fillId="11" borderId="0" xfId="0" applyFont="1" applyFill="1"/>
    <xf numFmtId="167" fontId="6" fillId="11" borderId="4" xfId="0" quotePrefix="1" applyNumberFormat="1" applyFont="1" applyFill="1" applyBorder="1" applyAlignment="1">
      <alignment horizontal="center" vertical="center"/>
    </xf>
    <xf numFmtId="165" fontId="0" fillId="5" borderId="2" xfId="0" applyNumberFormat="1" applyFill="1" applyBorder="1" applyAlignment="1">
      <alignment horizontal="center" vertical="center" wrapText="1"/>
    </xf>
    <xf numFmtId="165" fontId="6" fillId="0" borderId="3" xfId="2" applyNumberFormat="1" applyFont="1" applyBorder="1" applyAlignment="1">
      <alignment horizontal="center" vertical="center"/>
    </xf>
    <xf numFmtId="165" fontId="6" fillId="0" borderId="2" xfId="2" applyNumberFormat="1" applyFont="1" applyBorder="1" applyAlignment="1">
      <alignment horizontal="center" vertical="center"/>
    </xf>
    <xf numFmtId="0" fontId="28" fillId="3" borderId="0" xfId="0" quotePrefix="1" applyFont="1" applyFill="1"/>
    <xf numFmtId="0" fontId="14" fillId="3" borderId="0" xfId="0" applyFont="1" applyFill="1" applyAlignment="1">
      <alignment horizontal="right"/>
    </xf>
    <xf numFmtId="0" fontId="3" fillId="0" borderId="2" xfId="0" applyFont="1" applyBorder="1"/>
    <xf numFmtId="168" fontId="0" fillId="0" borderId="4" xfId="3" applyNumberFormat="1" applyFont="1" applyBorder="1" applyAlignment="1">
      <alignment horizontal="center"/>
    </xf>
    <xf numFmtId="10" fontId="0" fillId="0" borderId="0" xfId="0" applyNumberFormat="1" applyAlignment="1">
      <alignment horizontal="right"/>
    </xf>
    <xf numFmtId="177" fontId="0" fillId="0" borderId="0" xfId="0" applyNumberFormat="1" applyAlignment="1">
      <alignment horizontal="right"/>
    </xf>
    <xf numFmtId="0" fontId="3" fillId="0" borderId="14" xfId="0" applyFont="1" applyBorder="1" applyAlignment="1">
      <alignment horizontal="center"/>
    </xf>
    <xf numFmtId="0" fontId="3" fillId="0" borderId="18" xfId="0" applyFont="1" applyBorder="1"/>
    <xf numFmtId="0" fontId="3" fillId="0" borderId="20" xfId="0" applyFont="1" applyBorder="1"/>
    <xf numFmtId="0" fontId="3" fillId="0" borderId="21" xfId="0" applyFont="1" applyBorder="1" applyAlignment="1">
      <alignment horizontal="center"/>
    </xf>
    <xf numFmtId="0" fontId="0" fillId="0" borderId="22" xfId="0" applyBorder="1"/>
    <xf numFmtId="168" fontId="0" fillId="0" borderId="0" xfId="3" applyNumberFormat="1" applyFont="1" applyBorder="1" applyAlignment="1">
      <alignment horizontal="center"/>
    </xf>
    <xf numFmtId="168" fontId="0" fillId="0" borderId="23" xfId="3" applyNumberFormat="1" applyFont="1" applyBorder="1" applyAlignment="1">
      <alignment horizontal="center"/>
    </xf>
    <xf numFmtId="0" fontId="0" fillId="0" borderId="20" xfId="0" applyBorder="1"/>
    <xf numFmtId="0" fontId="0" fillId="0" borderId="24" xfId="0" applyBorder="1" applyAlignment="1">
      <alignment horizontal="center"/>
    </xf>
    <xf numFmtId="10" fontId="0" fillId="0" borderId="0" xfId="3" applyNumberFormat="1" applyFont="1" applyBorder="1" applyAlignment="1">
      <alignment horizontal="center"/>
    </xf>
    <xf numFmtId="10" fontId="0" fillId="0" borderId="24" xfId="3" applyNumberFormat="1" applyFont="1" applyBorder="1" applyAlignment="1">
      <alignment horizontal="center"/>
    </xf>
    <xf numFmtId="177" fontId="0" fillId="0" borderId="0" xfId="0" applyNumberFormat="1" applyAlignment="1">
      <alignment horizontal="center"/>
    </xf>
    <xf numFmtId="0" fontId="0" fillId="0" borderId="25" xfId="0" applyBorder="1"/>
    <xf numFmtId="0" fontId="0" fillId="0" borderId="26" xfId="0" applyBorder="1"/>
    <xf numFmtId="179" fontId="3" fillId="0" borderId="0" xfId="0" applyNumberFormat="1" applyFont="1" applyAlignment="1">
      <alignment horizontal="right"/>
    </xf>
    <xf numFmtId="171" fontId="0" fillId="0" borderId="0" xfId="2" applyNumberFormat="1" applyFont="1"/>
    <xf numFmtId="0" fontId="3" fillId="4" borderId="5" xfId="0" applyFont="1" applyFill="1" applyBorder="1" applyAlignment="1">
      <alignment horizontal="center" vertical="center"/>
    </xf>
    <xf numFmtId="0" fontId="3" fillId="0" borderId="0" xfId="0" applyFont="1" applyAlignment="1">
      <alignment horizontal="right" wrapText="1"/>
    </xf>
    <xf numFmtId="0" fontId="7" fillId="0" borderId="15" xfId="0" applyFont="1" applyBorder="1" applyAlignment="1">
      <alignment vertical="center"/>
    </xf>
    <xf numFmtId="0" fontId="0" fillId="0" borderId="16" xfId="0" applyBorder="1"/>
    <xf numFmtId="0" fontId="0" fillId="0" borderId="17" xfId="0" applyBorder="1"/>
    <xf numFmtId="0" fontId="0" fillId="0" borderId="20" xfId="0" applyBorder="1" applyAlignment="1">
      <alignment horizontal="left"/>
    </xf>
    <xf numFmtId="10" fontId="0" fillId="0" borderId="0" xfId="3" applyNumberFormat="1" applyFont="1" applyBorder="1"/>
    <xf numFmtId="44" fontId="0" fillId="0" borderId="0" xfId="2" applyFont="1" applyBorder="1"/>
    <xf numFmtId="0" fontId="0" fillId="0" borderId="24" xfId="0" applyBorder="1"/>
    <xf numFmtId="43" fontId="30" fillId="0" borderId="0" xfId="1" applyFont="1" applyBorder="1" applyAlignment="1">
      <alignment horizontal="center" vertical="center"/>
    </xf>
    <xf numFmtId="0" fontId="0" fillId="0" borderId="20" xfId="0" applyBorder="1" applyAlignment="1">
      <alignment horizontal="left" vertical="center"/>
    </xf>
    <xf numFmtId="0" fontId="30" fillId="0" borderId="24" xfId="0" applyFont="1" applyBorder="1" applyAlignment="1">
      <alignment horizontal="center" vertical="center"/>
    </xf>
    <xf numFmtId="44" fontId="0" fillId="0" borderId="1" xfId="2" applyFont="1" applyBorder="1"/>
    <xf numFmtId="0" fontId="0" fillId="13" borderId="20" xfId="0" applyFill="1" applyBorder="1"/>
    <xf numFmtId="0" fontId="0" fillId="13" borderId="24" xfId="0" applyFill="1" applyBorder="1"/>
    <xf numFmtId="0" fontId="33" fillId="14" borderId="5" xfId="0" applyFont="1" applyFill="1" applyBorder="1" applyAlignment="1">
      <alignment shrinkToFit="1"/>
    </xf>
    <xf numFmtId="0" fontId="0" fillId="14" borderId="5" xfId="0" applyFill="1" applyBorder="1" applyAlignment="1">
      <alignment shrinkToFit="1"/>
    </xf>
    <xf numFmtId="0" fontId="0" fillId="0" borderId="3" xfId="0" applyBorder="1" applyAlignment="1">
      <alignment wrapText="1"/>
    </xf>
    <xf numFmtId="0" fontId="0" fillId="0" borderId="26" xfId="0" applyBorder="1" applyAlignment="1">
      <alignment wrapText="1"/>
    </xf>
    <xf numFmtId="0" fontId="3" fillId="13" borderId="24" xfId="0" applyFont="1" applyFill="1" applyBorder="1" applyAlignment="1">
      <alignment horizontal="right"/>
    </xf>
    <xf numFmtId="0" fontId="0" fillId="13" borderId="25" xfId="0" applyFill="1" applyBorder="1"/>
    <xf numFmtId="0" fontId="0" fillId="13" borderId="3" xfId="0" applyFill="1" applyBorder="1"/>
    <xf numFmtId="0" fontId="0" fillId="13" borderId="26" xfId="0" applyFill="1" applyBorder="1"/>
    <xf numFmtId="0" fontId="33" fillId="0" borderId="0" xfId="0" applyFont="1"/>
    <xf numFmtId="0" fontId="12" fillId="15" borderId="15" xfId="0" applyFont="1" applyFill="1" applyBorder="1"/>
    <xf numFmtId="0" fontId="13" fillId="15" borderId="16" xfId="0" applyFont="1" applyFill="1" applyBorder="1"/>
    <xf numFmtId="0" fontId="13" fillId="15" borderId="17" xfId="0" applyFont="1" applyFill="1" applyBorder="1"/>
    <xf numFmtId="0" fontId="9" fillId="0" borderId="15" xfId="0" applyFont="1" applyBorder="1"/>
    <xf numFmtId="0" fontId="0" fillId="13" borderId="0" xfId="0" applyFill="1"/>
    <xf numFmtId="0" fontId="0" fillId="13" borderId="0" xfId="0" applyFill="1" applyAlignment="1">
      <alignment shrinkToFit="1"/>
    </xf>
    <xf numFmtId="0" fontId="0" fillId="0" borderId="20" xfId="0" applyBorder="1" applyAlignment="1">
      <alignment wrapText="1"/>
    </xf>
    <xf numFmtId="0" fontId="35" fillId="16" borderId="0" xfId="0" applyFont="1" applyFill="1" applyAlignment="1">
      <alignment horizontal="center" vertical="center" wrapText="1"/>
    </xf>
    <xf numFmtId="0" fontId="35" fillId="16" borderId="2" xfId="0" applyFont="1" applyFill="1" applyBorder="1" applyAlignment="1">
      <alignment horizontal="center" vertical="center" wrapText="1"/>
    </xf>
    <xf numFmtId="0" fontId="36" fillId="16" borderId="20" xfId="0" applyFont="1" applyFill="1" applyBorder="1" applyAlignment="1">
      <alignment wrapText="1"/>
    </xf>
    <xf numFmtId="180" fontId="36" fillId="16" borderId="0" xfId="1" applyNumberFormat="1" applyFont="1" applyFill="1" applyBorder="1" applyAlignment="1">
      <alignment horizontal="center" wrapText="1"/>
    </xf>
    <xf numFmtId="168" fontId="36" fillId="16" borderId="0" xfId="3" applyNumberFormat="1" applyFont="1" applyFill="1" applyBorder="1" applyAlignment="1">
      <alignment horizontal="center" wrapText="1"/>
    </xf>
    <xf numFmtId="168" fontId="36" fillId="16" borderId="14" xfId="3" applyNumberFormat="1" applyFont="1" applyFill="1" applyBorder="1" applyAlignment="1">
      <alignment horizontal="center" vertical="center" wrapText="1"/>
    </xf>
    <xf numFmtId="0" fontId="36" fillId="16" borderId="0" xfId="0" applyFont="1" applyFill="1" applyAlignment="1">
      <alignment horizontal="center" wrapText="1"/>
    </xf>
    <xf numFmtId="10" fontId="36" fillId="16" borderId="0" xfId="0" applyNumberFormat="1" applyFont="1" applyFill="1" applyAlignment="1">
      <alignment horizontal="center" vertical="top" wrapText="1"/>
    </xf>
    <xf numFmtId="10" fontId="36" fillId="16" borderId="24" xfId="3" applyNumberFormat="1" applyFont="1" applyFill="1" applyBorder="1" applyAlignment="1">
      <alignment horizontal="right" vertical="top" wrapText="1"/>
    </xf>
    <xf numFmtId="168" fontId="36" fillId="16" borderId="0" xfId="3" applyNumberFormat="1" applyFont="1" applyFill="1" applyBorder="1" applyAlignment="1">
      <alignment horizontal="center" vertical="center" wrapText="1"/>
    </xf>
    <xf numFmtId="180" fontId="36" fillId="16" borderId="2" xfId="1" applyNumberFormat="1" applyFont="1" applyFill="1" applyBorder="1" applyAlignment="1">
      <alignment horizontal="center" wrapText="1"/>
    </xf>
    <xf numFmtId="168" fontId="36" fillId="16" borderId="2" xfId="3" applyNumberFormat="1" applyFont="1" applyFill="1" applyBorder="1" applyAlignment="1">
      <alignment horizontal="center" wrapText="1"/>
    </xf>
    <xf numFmtId="168" fontId="36" fillId="16" borderId="2" xfId="3" applyNumberFormat="1" applyFont="1" applyFill="1" applyBorder="1" applyAlignment="1">
      <alignment horizontal="center" vertical="center" wrapText="1"/>
    </xf>
    <xf numFmtId="0" fontId="36" fillId="16" borderId="2" xfId="0" applyFont="1" applyFill="1" applyBorder="1" applyAlignment="1">
      <alignment horizontal="center" wrapText="1"/>
    </xf>
    <xf numFmtId="180" fontId="35" fillId="16" borderId="0" xfId="1" applyNumberFormat="1" applyFont="1" applyFill="1" applyBorder="1" applyAlignment="1">
      <alignment horizontal="center" wrapText="1"/>
    </xf>
    <xf numFmtId="168" fontId="35" fillId="16" borderId="0" xfId="3" applyNumberFormat="1" applyFont="1" applyFill="1" applyBorder="1" applyAlignment="1">
      <alignment horizontal="center" wrapText="1"/>
    </xf>
    <xf numFmtId="0" fontId="36" fillId="16" borderId="0" xfId="0" applyFont="1" applyFill="1" applyAlignment="1">
      <alignment horizontal="center" vertical="top" wrapText="1"/>
    </xf>
    <xf numFmtId="0" fontId="36" fillId="16" borderId="24" xfId="0" applyFont="1" applyFill="1" applyBorder="1" applyAlignment="1">
      <alignment horizontal="center" wrapText="1"/>
    </xf>
    <xf numFmtId="0" fontId="6" fillId="16" borderId="25" xfId="0" applyFont="1" applyFill="1" applyBorder="1"/>
    <xf numFmtId="180" fontId="35" fillId="16" borderId="13" xfId="1" applyNumberFormat="1" applyFont="1" applyFill="1" applyBorder="1" applyAlignment="1">
      <alignment horizontal="center" wrapText="1"/>
    </xf>
    <xf numFmtId="168" fontId="35" fillId="16" borderId="13" xfId="3" applyNumberFormat="1" applyFont="1" applyFill="1" applyBorder="1" applyAlignment="1">
      <alignment horizontal="center" wrapText="1"/>
    </xf>
    <xf numFmtId="168" fontId="36" fillId="16" borderId="3" xfId="3" applyNumberFormat="1" applyFont="1" applyFill="1" applyBorder="1" applyAlignment="1">
      <alignment horizontal="center" vertical="center" wrapText="1"/>
    </xf>
    <xf numFmtId="0" fontId="6" fillId="16" borderId="3" xfId="0" applyFont="1" applyFill="1" applyBorder="1"/>
    <xf numFmtId="175" fontId="35" fillId="16" borderId="28" xfId="3" applyNumberFormat="1" applyFont="1" applyFill="1" applyBorder="1" applyAlignment="1">
      <alignment horizontal="right" wrapText="1"/>
    </xf>
    <xf numFmtId="181" fontId="0" fillId="0" borderId="0" xfId="0" applyNumberFormat="1"/>
    <xf numFmtId="0" fontId="3" fillId="18" borderId="0" xfId="0" applyFont="1" applyFill="1"/>
    <xf numFmtId="0" fontId="0" fillId="18" borderId="0" xfId="0" applyFill="1"/>
    <xf numFmtId="0" fontId="0" fillId="0" borderId="18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34" xfId="0" applyBorder="1"/>
    <xf numFmtId="0" fontId="0" fillId="0" borderId="35" xfId="0" applyBorder="1"/>
    <xf numFmtId="0" fontId="37" fillId="0" borderId="0" xfId="0" applyFont="1" applyAlignment="1">
      <alignment horizontal="left" vertical="top" readingOrder="1"/>
    </xf>
    <xf numFmtId="0" fontId="3" fillId="0" borderId="1" xfId="0" applyFont="1" applyBorder="1"/>
    <xf numFmtId="0" fontId="2" fillId="0" borderId="1" xfId="0" applyFont="1" applyBorder="1"/>
    <xf numFmtId="0" fontId="26" fillId="0" borderId="0" xfId="0" applyFont="1"/>
    <xf numFmtId="10" fontId="26" fillId="0" borderId="0" xfId="0" applyNumberFormat="1" applyFont="1"/>
    <xf numFmtId="10" fontId="26" fillId="0" borderId="1" xfId="0" applyNumberFormat="1" applyFont="1" applyBorder="1"/>
    <xf numFmtId="164" fontId="26" fillId="0" borderId="0" xfId="0" applyNumberFormat="1" applyFont="1"/>
    <xf numFmtId="0" fontId="0" fillId="0" borderId="36" xfId="0" applyBorder="1"/>
    <xf numFmtId="0" fontId="0" fillId="0" borderId="37" xfId="0" applyBorder="1"/>
    <xf numFmtId="0" fontId="0" fillId="0" borderId="14" xfId="0" applyBorder="1"/>
    <xf numFmtId="0" fontId="3" fillId="0" borderId="0" xfId="0" applyFont="1" applyAlignment="1">
      <alignment horizontal="right"/>
    </xf>
    <xf numFmtId="0" fontId="3" fillId="0" borderId="2" xfId="0" applyFont="1" applyBorder="1" applyAlignment="1">
      <alignment horizontal="right"/>
    </xf>
    <xf numFmtId="170" fontId="6" fillId="0" borderId="4" xfId="1" applyNumberFormat="1" applyFont="1" applyBorder="1" applyAlignment="1">
      <alignment horizontal="right" vertical="top"/>
    </xf>
    <xf numFmtId="169" fontId="6" fillId="6" borderId="4" xfId="1" applyNumberFormat="1" applyFont="1" applyFill="1" applyBorder="1" applyAlignment="1">
      <alignment horizontal="right" vertical="top"/>
    </xf>
    <xf numFmtId="170" fontId="6" fillId="6" borderId="4" xfId="1" applyNumberFormat="1" applyFont="1" applyFill="1" applyBorder="1" applyAlignment="1">
      <alignment horizontal="right" vertical="top"/>
    </xf>
    <xf numFmtId="44" fontId="10" fillId="0" borderId="0" xfId="2" applyFont="1"/>
    <xf numFmtId="0" fontId="32" fillId="0" borderId="0" xfId="0" applyFont="1"/>
    <xf numFmtId="17" fontId="0" fillId="0" borderId="0" xfId="0" applyNumberFormat="1"/>
    <xf numFmtId="15" fontId="0" fillId="0" borderId="0" xfId="0" applyNumberFormat="1"/>
    <xf numFmtId="0" fontId="0" fillId="4" borderId="1" xfId="0" applyFill="1" applyBorder="1"/>
    <xf numFmtId="0" fontId="6" fillId="0" borderId="0" xfId="0" applyFont="1" applyAlignment="1">
      <alignment horizontal="center" vertical="center"/>
    </xf>
    <xf numFmtId="164" fontId="6" fillId="0" borderId="0" xfId="1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164" fontId="6" fillId="0" borderId="0" xfId="1" quotePrefix="1" applyNumberFormat="1" applyFont="1" applyFill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10" fontId="0" fillId="0" borderId="0" xfId="3" applyNumberFormat="1" applyFont="1" applyAlignment="1">
      <alignment horizontal="center" vertical="center"/>
    </xf>
    <xf numFmtId="0" fontId="3" fillId="4" borderId="7" xfId="0" applyFont="1" applyFill="1" applyBorder="1"/>
    <xf numFmtId="10" fontId="3" fillId="4" borderId="9" xfId="3" applyNumberFormat="1" applyFont="1" applyFill="1" applyBorder="1" applyAlignment="1">
      <alignment horizontal="center"/>
    </xf>
    <xf numFmtId="0" fontId="3" fillId="4" borderId="8" xfId="0" applyFont="1" applyFill="1" applyBorder="1"/>
    <xf numFmtId="0" fontId="18" fillId="0" borderId="0" xfId="0" applyFont="1" applyAlignment="1">
      <alignment horizontal="left" vertical="center"/>
    </xf>
    <xf numFmtId="164" fontId="18" fillId="0" borderId="0" xfId="1" quotePrefix="1" applyNumberFormat="1" applyFont="1" applyFill="1" applyBorder="1" applyAlignment="1">
      <alignment horizontal="center" vertical="center"/>
    </xf>
    <xf numFmtId="0" fontId="3" fillId="0" borderId="1" xfId="0" quotePrefix="1" applyFont="1" applyBorder="1"/>
    <xf numFmtId="0" fontId="3" fillId="0" borderId="0" xfId="0" quotePrefix="1" applyFont="1"/>
    <xf numFmtId="10" fontId="3" fillId="0" borderId="1" xfId="0" quotePrefix="1" applyNumberFormat="1" applyFont="1" applyBorder="1"/>
    <xf numFmtId="0" fontId="3" fillId="0" borderId="38" xfId="0" quotePrefix="1" applyFont="1" applyBorder="1"/>
    <xf numFmtId="10" fontId="3" fillId="0" borderId="38" xfId="0" quotePrefix="1" applyNumberFormat="1" applyFont="1" applyBorder="1"/>
    <xf numFmtId="10" fontId="3" fillId="0" borderId="0" xfId="0" applyNumberFormat="1" applyFont="1"/>
    <xf numFmtId="0" fontId="38" fillId="0" borderId="0" xfId="0" quotePrefix="1" applyFont="1"/>
    <xf numFmtId="0" fontId="7" fillId="0" borderId="0" xfId="0" applyFont="1" applyAlignment="1">
      <alignment horizontal="center"/>
    </xf>
    <xf numFmtId="0" fontId="0" fillId="0" borderId="0" xfId="0" applyAlignment="1">
      <alignment horizontal="left" wrapText="1"/>
    </xf>
    <xf numFmtId="164" fontId="6" fillId="0" borderId="0" xfId="1" quotePrefix="1" applyNumberFormat="1" applyFont="1" applyFill="1" applyBorder="1" applyAlignment="1">
      <alignment horizontal="right" vertical="center"/>
    </xf>
    <xf numFmtId="164" fontId="6" fillId="0" borderId="24" xfId="1" applyNumberFormat="1" applyFont="1" applyFill="1" applyBorder="1" applyAlignment="1">
      <alignment horizontal="center" vertical="center"/>
    </xf>
    <xf numFmtId="0" fontId="6" fillId="0" borderId="20" xfId="0" applyFont="1" applyBorder="1" applyAlignment="1">
      <alignment horizontal="left" vertical="center"/>
    </xf>
    <xf numFmtId="164" fontId="6" fillId="0" borderId="24" xfId="1" quotePrefix="1" applyNumberFormat="1" applyFont="1" applyFill="1" applyBorder="1" applyAlignment="1">
      <alignment horizontal="right" vertical="center"/>
    </xf>
    <xf numFmtId="164" fontId="6" fillId="0" borderId="24" xfId="1" quotePrefix="1" applyNumberFormat="1" applyFont="1" applyFill="1" applyBorder="1" applyAlignment="1">
      <alignment horizontal="center" vertical="center"/>
    </xf>
    <xf numFmtId="0" fontId="18" fillId="0" borderId="20" xfId="0" applyFont="1" applyBorder="1" applyAlignment="1">
      <alignment horizontal="left" vertical="center"/>
    </xf>
    <xf numFmtId="164" fontId="18" fillId="0" borderId="24" xfId="1" quotePrefix="1" applyNumberFormat="1" applyFont="1" applyFill="1" applyBorder="1" applyAlignment="1">
      <alignment horizontal="center" vertical="center"/>
    </xf>
    <xf numFmtId="10" fontId="0" fillId="0" borderId="24" xfId="3" applyNumberFormat="1" applyFont="1" applyBorder="1"/>
    <xf numFmtId="0" fontId="0" fillId="0" borderId="24" xfId="0" applyBorder="1" applyAlignment="1">
      <alignment horizontal="right"/>
    </xf>
    <xf numFmtId="0" fontId="18" fillId="0" borderId="24" xfId="0" applyFont="1" applyBorder="1" applyAlignment="1">
      <alignment horizontal="center" vertical="center"/>
    </xf>
    <xf numFmtId="10" fontId="0" fillId="0" borderId="24" xfId="0" applyNumberFormat="1" applyBorder="1"/>
    <xf numFmtId="0" fontId="0" fillId="0" borderId="24" xfId="0" quotePrefix="1" applyBorder="1" applyAlignment="1">
      <alignment horizontal="right"/>
    </xf>
    <xf numFmtId="10" fontId="3" fillId="0" borderId="26" xfId="0" applyNumberFormat="1" applyFont="1" applyBorder="1"/>
    <xf numFmtId="0" fontId="3" fillId="0" borderId="25" xfId="0" applyFont="1" applyBorder="1"/>
    <xf numFmtId="164" fontId="3" fillId="0" borderId="24" xfId="0" applyNumberFormat="1" applyFont="1" applyBorder="1" applyAlignment="1">
      <alignment horizontal="center" vertical="center" wrapText="1"/>
    </xf>
    <xf numFmtId="10" fontId="5" fillId="0" borderId="24" xfId="0" applyNumberFormat="1" applyFont="1" applyBorder="1" applyAlignment="1">
      <alignment horizontal="center"/>
    </xf>
    <xf numFmtId="10" fontId="0" fillId="0" borderId="25" xfId="3" applyNumberFormat="1" applyFont="1" applyBorder="1"/>
    <xf numFmtId="10" fontId="0" fillId="0" borderId="3" xfId="3" applyNumberFormat="1" applyFont="1" applyBorder="1"/>
    <xf numFmtId="10" fontId="0" fillId="0" borderId="27" xfId="0" applyNumberFormat="1" applyBorder="1" applyAlignment="1">
      <alignment horizontal="center"/>
    </xf>
    <xf numFmtId="0" fontId="0" fillId="0" borderId="6" xfId="0" applyBorder="1"/>
    <xf numFmtId="168" fontId="0" fillId="0" borderId="27" xfId="0" quotePrefix="1" applyNumberFormat="1" applyBorder="1" applyAlignment="1">
      <alignment horizontal="center"/>
    </xf>
    <xf numFmtId="0" fontId="0" fillId="0" borderId="6" xfId="0" applyBorder="1" applyAlignment="1">
      <alignment horizontal="right"/>
    </xf>
    <xf numFmtId="0" fontId="3" fillId="0" borderId="24" xfId="0" applyFont="1" applyBorder="1" applyAlignment="1">
      <alignment horizontal="center"/>
    </xf>
    <xf numFmtId="0" fontId="3" fillId="0" borderId="3" xfId="0" applyFont="1" applyBorder="1"/>
    <xf numFmtId="0" fontId="3" fillId="0" borderId="26" xfId="0" applyFont="1" applyBorder="1"/>
    <xf numFmtId="10" fontId="5" fillId="0" borderId="24" xfId="0" applyNumberFormat="1" applyFont="1" applyBorder="1" applyAlignment="1">
      <alignment horizontal="right"/>
    </xf>
    <xf numFmtId="10" fontId="3" fillId="0" borderId="3" xfId="0" applyNumberFormat="1" applyFont="1" applyBorder="1"/>
    <xf numFmtId="0" fontId="3" fillId="0" borderId="24" xfId="0" quotePrefix="1" applyFont="1" applyBorder="1"/>
    <xf numFmtId="164" fontId="6" fillId="0" borderId="0" xfId="1" applyNumberFormat="1" applyFont="1" applyFill="1" applyBorder="1" applyAlignment="1">
      <alignment horizontal="right" vertical="center"/>
    </xf>
    <xf numFmtId="0" fontId="0" fillId="0" borderId="20" xfId="0" applyBorder="1" applyAlignment="1">
      <alignment horizontal="center"/>
    </xf>
    <xf numFmtId="0" fontId="7" fillId="0" borderId="20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4" borderId="40" xfId="0" applyFont="1" applyFill="1" applyBorder="1" applyAlignment="1">
      <alignment horizontal="center" vertical="center" wrapText="1"/>
    </xf>
    <xf numFmtId="0" fontId="39" fillId="0" borderId="0" xfId="0" applyFont="1"/>
    <xf numFmtId="0" fontId="39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164" fontId="0" fillId="0" borderId="0" xfId="0" applyNumberFormat="1" applyAlignment="1">
      <alignment horizontal="center"/>
    </xf>
    <xf numFmtId="0" fontId="5" fillId="21" borderId="4" xfId="0" applyFont="1" applyFill="1" applyBorder="1"/>
    <xf numFmtId="0" fontId="5" fillId="21" borderId="4" xfId="0" applyFont="1" applyFill="1" applyBorder="1" applyAlignment="1">
      <alignment horizontal="center" vertical="top"/>
    </xf>
    <xf numFmtId="10" fontId="5" fillId="21" borderId="4" xfId="0" applyNumberFormat="1" applyFont="1" applyFill="1" applyBorder="1" applyAlignment="1">
      <alignment horizontal="right" vertical="top"/>
    </xf>
    <xf numFmtId="167" fontId="5" fillId="21" borderId="4" xfId="0" quotePrefix="1" applyNumberFormat="1" applyFont="1" applyFill="1" applyBorder="1" applyAlignment="1">
      <alignment horizontal="center" vertical="center"/>
    </xf>
    <xf numFmtId="164" fontId="5" fillId="21" borderId="4" xfId="1" applyNumberFormat="1" applyFont="1" applyFill="1" applyBorder="1" applyAlignment="1">
      <alignment horizontal="right"/>
    </xf>
    <xf numFmtId="43" fontId="5" fillId="21" borderId="4" xfId="1" applyFont="1" applyFill="1" applyBorder="1" applyAlignment="1">
      <alignment horizontal="right" vertical="top"/>
    </xf>
    <xf numFmtId="0" fontId="6" fillId="0" borderId="0" xfId="0" applyFont="1" applyAlignment="1">
      <alignment horizontal="left" vertical="top"/>
    </xf>
    <xf numFmtId="43" fontId="0" fillId="4" borderId="5" xfId="0" applyNumberFormat="1" applyFill="1" applyBorder="1"/>
    <xf numFmtId="0" fontId="2" fillId="3" borderId="0" xfId="0" applyFont="1" applyFill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0" fillId="0" borderId="0" xfId="0" applyAlignment="1">
      <alignment vertical="center" wrapText="1"/>
    </xf>
    <xf numFmtId="0" fontId="5" fillId="4" borderId="2" xfId="0" applyFont="1" applyFill="1" applyBorder="1" applyAlignment="1">
      <alignment horizontal="center" wrapText="1"/>
    </xf>
    <xf numFmtId="0" fontId="3" fillId="4" borderId="2" xfId="0" applyFont="1" applyFill="1" applyBorder="1" applyAlignment="1">
      <alignment horizontal="center" wrapText="1"/>
    </xf>
    <xf numFmtId="0" fontId="3" fillId="4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3" fillId="4" borderId="39" xfId="0" applyFont="1" applyFill="1" applyBorder="1" applyAlignment="1">
      <alignment horizontal="center" vertical="center" wrapText="1"/>
    </xf>
    <xf numFmtId="0" fontId="3" fillId="4" borderId="41" xfId="0" applyFont="1" applyFill="1" applyBorder="1" applyAlignment="1">
      <alignment horizontal="center" vertical="center" wrapText="1"/>
    </xf>
    <xf numFmtId="0" fontId="0" fillId="0" borderId="40" xfId="0" applyBorder="1" applyAlignment="1">
      <alignment vertical="center"/>
    </xf>
    <xf numFmtId="0" fontId="3" fillId="4" borderId="41" xfId="0" applyFont="1" applyFill="1" applyBorder="1" applyAlignment="1">
      <alignment vertical="center" wrapText="1"/>
    </xf>
    <xf numFmtId="0" fontId="3" fillId="4" borderId="40" xfId="0" applyFont="1" applyFill="1" applyBorder="1" applyAlignment="1">
      <alignment vertical="center" wrapText="1"/>
    </xf>
    <xf numFmtId="0" fontId="0" fillId="0" borderId="0" xfId="0" applyAlignment="1">
      <alignment wrapText="1"/>
    </xf>
    <xf numFmtId="0" fontId="0" fillId="12" borderId="15" xfId="0" applyFill="1" applyBorder="1" applyAlignment="1">
      <alignment horizontal="left" vertical="top" wrapText="1"/>
    </xf>
    <xf numFmtId="0" fontId="0" fillId="12" borderId="16" xfId="0" applyFill="1" applyBorder="1" applyAlignment="1">
      <alignment horizontal="left" vertical="top" wrapText="1"/>
    </xf>
    <xf numFmtId="0" fontId="0" fillId="12" borderId="17" xfId="0" applyFill="1" applyBorder="1" applyAlignment="1">
      <alignment horizontal="left" vertical="top" wrapText="1"/>
    </xf>
    <xf numFmtId="0" fontId="0" fillId="12" borderId="20" xfId="0" applyFill="1" applyBorder="1" applyAlignment="1">
      <alignment horizontal="left" vertical="top" wrapText="1"/>
    </xf>
    <xf numFmtId="0" fontId="0" fillId="12" borderId="0" xfId="0" applyFill="1" applyAlignment="1">
      <alignment horizontal="left" vertical="top" wrapText="1"/>
    </xf>
    <xf numFmtId="0" fontId="0" fillId="12" borderId="24" xfId="0" applyFill="1" applyBorder="1" applyAlignment="1">
      <alignment horizontal="left" vertical="top" wrapText="1"/>
    </xf>
    <xf numFmtId="0" fontId="0" fillId="12" borderId="20" xfId="0" applyFill="1" applyBorder="1" applyAlignment="1">
      <alignment wrapText="1"/>
    </xf>
    <xf numFmtId="0" fontId="0" fillId="12" borderId="0" xfId="0" applyFill="1" applyAlignment="1">
      <alignment wrapText="1"/>
    </xf>
    <xf numFmtId="0" fontId="0" fillId="12" borderId="24" xfId="0" applyFill="1" applyBorder="1" applyAlignment="1">
      <alignment wrapText="1"/>
    </xf>
    <xf numFmtId="0" fontId="0" fillId="0" borderId="25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26" xfId="0" applyBorder="1" applyAlignment="1">
      <alignment wrapText="1"/>
    </xf>
    <xf numFmtId="0" fontId="7" fillId="13" borderId="15" xfId="0" applyFont="1" applyFill="1" applyBorder="1" applyAlignment="1">
      <alignment horizontal="center" vertical="top" wrapText="1"/>
    </xf>
    <xf numFmtId="0" fontId="0" fillId="13" borderId="16" xfId="0" applyFill="1" applyBorder="1" applyAlignment="1">
      <alignment horizontal="center" vertical="top" wrapText="1"/>
    </xf>
    <xf numFmtId="0" fontId="0" fillId="13" borderId="16" xfId="0" applyFill="1" applyBorder="1" applyAlignment="1">
      <alignment wrapText="1"/>
    </xf>
    <xf numFmtId="0" fontId="0" fillId="13" borderId="17" xfId="0" applyFill="1" applyBorder="1" applyAlignment="1">
      <alignment wrapText="1"/>
    </xf>
    <xf numFmtId="0" fontId="0" fillId="13" borderId="20" xfId="0" applyFill="1" applyBorder="1" applyAlignment="1">
      <alignment horizontal="center" vertical="top" wrapText="1"/>
    </xf>
    <xf numFmtId="0" fontId="0" fillId="13" borderId="0" xfId="0" applyFill="1" applyAlignment="1">
      <alignment horizontal="center" vertical="top" wrapText="1"/>
    </xf>
    <xf numFmtId="0" fontId="0" fillId="13" borderId="0" xfId="0" applyFill="1" applyAlignment="1">
      <alignment wrapText="1"/>
    </xf>
    <xf numFmtId="0" fontId="0" fillId="13" borderId="24" xfId="0" applyFill="1" applyBorder="1" applyAlignment="1">
      <alignment wrapText="1"/>
    </xf>
    <xf numFmtId="0" fontId="34" fillId="0" borderId="27" xfId="0" applyFont="1" applyBorder="1" applyAlignment="1">
      <alignment horizontal="center" vertical="top" wrapText="1"/>
    </xf>
    <xf numFmtId="0" fontId="3" fillId="0" borderId="27" xfId="0" applyFont="1" applyBorder="1" applyAlignment="1">
      <alignment wrapText="1"/>
    </xf>
    <xf numFmtId="0" fontId="0" fillId="0" borderId="27" xfId="0" applyBorder="1" applyAlignment="1">
      <alignment wrapText="1"/>
    </xf>
    <xf numFmtId="0" fontId="3" fillId="4" borderId="15" xfId="0" applyFont="1" applyFill="1" applyBorder="1" applyAlignment="1">
      <alignment horizontal="center" vertical="center" wrapText="1"/>
    </xf>
    <xf numFmtId="0" fontId="0" fillId="0" borderId="16" xfId="0" applyBorder="1" applyAlignment="1">
      <alignment wrapText="1"/>
    </xf>
    <xf numFmtId="0" fontId="0" fillId="0" borderId="17" xfId="0" applyBorder="1" applyAlignment="1">
      <alignment wrapText="1"/>
    </xf>
    <xf numFmtId="0" fontId="0" fillId="0" borderId="20" xfId="0" applyBorder="1" applyAlignment="1">
      <alignment wrapText="1"/>
    </xf>
    <xf numFmtId="0" fontId="0" fillId="0" borderId="24" xfId="0" applyBorder="1" applyAlignment="1">
      <alignment wrapText="1"/>
    </xf>
    <xf numFmtId="0" fontId="34" fillId="0" borderId="0" xfId="0" applyFont="1" applyAlignment="1">
      <alignment horizontal="center" vertical="center" wrapText="1"/>
    </xf>
    <xf numFmtId="0" fontId="2" fillId="17" borderId="15" xfId="0" applyFont="1" applyFill="1" applyBorder="1" applyAlignment="1">
      <alignment horizontal="center" vertical="center"/>
    </xf>
    <xf numFmtId="0" fontId="2" fillId="17" borderId="16" xfId="0" applyFont="1" applyFill="1" applyBorder="1" applyAlignment="1">
      <alignment horizontal="center" vertical="center"/>
    </xf>
    <xf numFmtId="0" fontId="2" fillId="17" borderId="17" xfId="0" applyFont="1" applyFill="1" applyBorder="1" applyAlignment="1">
      <alignment horizontal="center" vertical="center"/>
    </xf>
    <xf numFmtId="0" fontId="2" fillId="17" borderId="20" xfId="0" applyFont="1" applyFill="1" applyBorder="1" applyAlignment="1">
      <alignment horizontal="center" vertical="center"/>
    </xf>
    <xf numFmtId="0" fontId="2" fillId="17" borderId="0" xfId="0" applyFont="1" applyFill="1" applyAlignment="1">
      <alignment horizontal="center" vertical="center"/>
    </xf>
    <xf numFmtId="0" fontId="2" fillId="17" borderId="24" xfId="0" applyFont="1" applyFill="1" applyBorder="1" applyAlignment="1">
      <alignment horizontal="center" vertical="center"/>
    </xf>
    <xf numFmtId="0" fontId="2" fillId="17" borderId="25" xfId="0" applyFont="1" applyFill="1" applyBorder="1" applyAlignment="1">
      <alignment horizontal="center" vertical="center"/>
    </xf>
    <xf numFmtId="0" fontId="2" fillId="17" borderId="3" xfId="0" applyFont="1" applyFill="1" applyBorder="1" applyAlignment="1">
      <alignment horizontal="center" vertical="center"/>
    </xf>
    <xf numFmtId="0" fontId="2" fillId="17" borderId="26" xfId="0" applyFont="1" applyFill="1" applyBorder="1" applyAlignment="1">
      <alignment horizontal="center" vertical="center"/>
    </xf>
    <xf numFmtId="0" fontId="3" fillId="4" borderId="15" xfId="0" applyFont="1" applyFill="1" applyBorder="1" applyAlignment="1">
      <alignment horizontal="center" vertical="center"/>
    </xf>
    <xf numFmtId="0" fontId="3" fillId="4" borderId="16" xfId="0" applyFont="1" applyFill="1" applyBorder="1" applyAlignment="1">
      <alignment horizontal="center" vertical="center"/>
    </xf>
    <xf numFmtId="0" fontId="3" fillId="4" borderId="17" xfId="0" applyFont="1" applyFill="1" applyBorder="1" applyAlignment="1">
      <alignment horizontal="center" vertical="center"/>
    </xf>
    <xf numFmtId="0" fontId="3" fillId="4" borderId="20" xfId="0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0" fontId="3" fillId="4" borderId="24" xfId="0" applyFont="1" applyFill="1" applyBorder="1" applyAlignment="1">
      <alignment horizontal="center" vertical="center"/>
    </xf>
    <xf numFmtId="0" fontId="0" fillId="0" borderId="25" xfId="0" applyBorder="1"/>
    <xf numFmtId="0" fontId="0" fillId="0" borderId="3" xfId="0" applyBorder="1"/>
    <xf numFmtId="0" fontId="0" fillId="0" borderId="26" xfId="0" applyBorder="1"/>
    <xf numFmtId="0" fontId="35" fillId="16" borderId="20" xfId="0" applyFont="1" applyFill="1" applyBorder="1" applyAlignment="1">
      <alignment horizontal="left" vertical="center" wrapText="1"/>
    </xf>
    <xf numFmtId="0" fontId="35" fillId="16" borderId="18" xfId="0" applyFont="1" applyFill="1" applyBorder="1" applyAlignment="1">
      <alignment horizontal="left" vertical="center" wrapText="1"/>
    </xf>
    <xf numFmtId="0" fontId="35" fillId="16" borderId="0" xfId="0" applyFont="1" applyFill="1" applyAlignment="1">
      <alignment horizontal="center" vertical="center" wrapText="1"/>
    </xf>
    <xf numFmtId="0" fontId="35" fillId="16" borderId="2" xfId="0" applyFont="1" applyFill="1" applyBorder="1" applyAlignment="1">
      <alignment horizontal="center" vertical="center" wrapText="1"/>
    </xf>
    <xf numFmtId="0" fontId="35" fillId="16" borderId="24" xfId="0" applyFont="1" applyFill="1" applyBorder="1" applyAlignment="1">
      <alignment horizontal="center" vertical="center" wrapText="1"/>
    </xf>
    <xf numFmtId="0" fontId="35" fillId="16" borderId="19" xfId="0" applyFont="1" applyFill="1" applyBorder="1" applyAlignment="1">
      <alignment horizontal="center" vertical="center" wrapText="1"/>
    </xf>
    <xf numFmtId="0" fontId="36" fillId="16" borderId="0" xfId="0" applyFont="1" applyFill="1" applyAlignment="1">
      <alignment horizontal="center" vertical="top" wrapText="1"/>
    </xf>
    <xf numFmtId="0" fontId="36" fillId="16" borderId="24" xfId="0" applyFont="1" applyFill="1" applyBorder="1" applyAlignment="1">
      <alignment horizontal="center" vertical="top" wrapText="1"/>
    </xf>
    <xf numFmtId="0" fontId="5" fillId="4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4" borderId="15" xfId="0" applyFont="1" applyFill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3" fillId="18" borderId="15" xfId="0" applyFont="1" applyFill="1" applyBorder="1" applyAlignment="1">
      <alignment horizontal="center" vertical="center" wrapText="1"/>
    </xf>
    <xf numFmtId="0" fontId="3" fillId="18" borderId="17" xfId="0" applyFont="1" applyFill="1" applyBorder="1" applyAlignment="1">
      <alignment horizontal="center" vertical="center"/>
    </xf>
    <xf numFmtId="0" fontId="3" fillId="18" borderId="20" xfId="0" applyFont="1" applyFill="1" applyBorder="1" applyAlignment="1">
      <alignment horizontal="center" vertical="center"/>
    </xf>
    <xf numFmtId="0" fontId="3" fillId="18" borderId="24" xfId="0" applyFont="1" applyFill="1" applyBorder="1" applyAlignment="1">
      <alignment horizontal="center" vertical="center"/>
    </xf>
    <xf numFmtId="0" fontId="3" fillId="18" borderId="25" xfId="0" applyFont="1" applyFill="1" applyBorder="1" applyAlignment="1">
      <alignment horizontal="center" vertical="center"/>
    </xf>
    <xf numFmtId="0" fontId="3" fillId="18" borderId="26" xfId="0" applyFont="1" applyFill="1" applyBorder="1" applyAlignment="1">
      <alignment horizontal="center" vertical="center"/>
    </xf>
    <xf numFmtId="0" fontId="3" fillId="19" borderId="15" xfId="0" applyFont="1" applyFill="1" applyBorder="1" applyAlignment="1">
      <alignment horizontal="center" vertical="center" wrapText="1"/>
    </xf>
    <xf numFmtId="0" fontId="3" fillId="19" borderId="17" xfId="0" applyFont="1" applyFill="1" applyBorder="1" applyAlignment="1">
      <alignment horizontal="center" vertical="center"/>
    </xf>
    <xf numFmtId="0" fontId="3" fillId="19" borderId="20" xfId="0" applyFont="1" applyFill="1" applyBorder="1" applyAlignment="1">
      <alignment horizontal="center" vertical="center"/>
    </xf>
    <xf numFmtId="0" fontId="3" fillId="19" borderId="24" xfId="0" applyFont="1" applyFill="1" applyBorder="1" applyAlignment="1">
      <alignment horizontal="center" vertical="center"/>
    </xf>
    <xf numFmtId="0" fontId="3" fillId="19" borderId="25" xfId="0" applyFont="1" applyFill="1" applyBorder="1" applyAlignment="1">
      <alignment horizontal="center" vertical="center"/>
    </xf>
    <xf numFmtId="0" fontId="3" fillId="19" borderId="26" xfId="0" applyFont="1" applyFill="1" applyBorder="1" applyAlignment="1">
      <alignment horizontal="center" vertical="center"/>
    </xf>
    <xf numFmtId="0" fontId="3" fillId="20" borderId="15" xfId="0" applyFont="1" applyFill="1" applyBorder="1" applyAlignment="1">
      <alignment horizontal="center" vertical="center" wrapText="1"/>
    </xf>
    <xf numFmtId="0" fontId="3" fillId="20" borderId="17" xfId="0" applyFont="1" applyFill="1" applyBorder="1" applyAlignment="1">
      <alignment horizontal="center" vertical="center"/>
    </xf>
    <xf numFmtId="0" fontId="3" fillId="20" borderId="20" xfId="0" applyFont="1" applyFill="1" applyBorder="1" applyAlignment="1">
      <alignment horizontal="center" vertical="center"/>
    </xf>
    <xf numFmtId="0" fontId="3" fillId="20" borderId="24" xfId="0" applyFont="1" applyFill="1" applyBorder="1" applyAlignment="1">
      <alignment horizontal="center" vertical="center"/>
    </xf>
    <xf numFmtId="0" fontId="3" fillId="20" borderId="25" xfId="0" applyFont="1" applyFill="1" applyBorder="1" applyAlignment="1">
      <alignment horizontal="center" vertical="center"/>
    </xf>
    <xf numFmtId="0" fontId="3" fillId="20" borderId="26" xfId="0" applyFont="1" applyFill="1" applyBorder="1" applyAlignment="1">
      <alignment horizontal="center" vertic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371472</xdr:colOff>
      <xdr:row>36</xdr:row>
      <xdr:rowOff>93136</xdr:rowOff>
    </xdr:from>
    <xdr:to>
      <xdr:col>4</xdr:col>
      <xdr:colOff>581024</xdr:colOff>
      <xdr:row>37</xdr:row>
      <xdr:rowOff>38100</xdr:rowOff>
    </xdr:to>
    <xdr:sp macro="" textlink="">
      <xdr:nvSpPr>
        <xdr:cNvPr id="2" name="Right Brace 1">
          <a:extLst>
            <a:ext uri="{FF2B5EF4-FFF2-40B4-BE49-F238E27FC236}">
              <a16:creationId xmlns:a16="http://schemas.microsoft.com/office/drawing/2014/main" id="{36DB4DEE-707F-4D16-922A-53613F38AFB1}"/>
            </a:ext>
          </a:extLst>
        </xdr:cNvPr>
        <xdr:cNvSpPr/>
      </xdr:nvSpPr>
      <xdr:spPr>
        <a:xfrm rot="5400000">
          <a:off x="3923241" y="5761567"/>
          <a:ext cx="135464" cy="1885952"/>
        </a:xfrm>
        <a:prstGeom prst="rightBrace">
          <a:avLst/>
        </a:prstGeom>
        <a:ln w="254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371475</xdr:colOff>
      <xdr:row>36</xdr:row>
      <xdr:rowOff>66676</xdr:rowOff>
    </xdr:from>
    <xdr:to>
      <xdr:col>9</xdr:col>
      <xdr:colOff>619126</xdr:colOff>
      <xdr:row>37</xdr:row>
      <xdr:rowOff>11640</xdr:rowOff>
    </xdr:to>
    <xdr:sp macro="" textlink="">
      <xdr:nvSpPr>
        <xdr:cNvPr id="3" name="Right Brace 2">
          <a:extLst>
            <a:ext uri="{FF2B5EF4-FFF2-40B4-BE49-F238E27FC236}">
              <a16:creationId xmlns:a16="http://schemas.microsoft.com/office/drawing/2014/main" id="{1C3B4442-50FD-4615-B2DF-7CC1394E63BC}"/>
            </a:ext>
          </a:extLst>
        </xdr:cNvPr>
        <xdr:cNvSpPr/>
      </xdr:nvSpPr>
      <xdr:spPr>
        <a:xfrm rot="5400000">
          <a:off x="9104844" y="5735107"/>
          <a:ext cx="135464" cy="1885951"/>
        </a:xfrm>
        <a:prstGeom prst="rightBrace">
          <a:avLst/>
        </a:prstGeom>
        <a:ln w="254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21167</xdr:colOff>
      <xdr:row>4</xdr:row>
      <xdr:rowOff>55033</xdr:rowOff>
    </xdr:from>
    <xdr:to>
      <xdr:col>10</xdr:col>
      <xdr:colOff>342900</xdr:colOff>
      <xdr:row>6</xdr:row>
      <xdr:rowOff>342900</xdr:rowOff>
    </xdr:to>
    <xdr:sp macro="" textlink="">
      <xdr:nvSpPr>
        <xdr:cNvPr id="2" name="Line 2">
          <a:extLst>
            <a:ext uri="{FF2B5EF4-FFF2-40B4-BE49-F238E27FC236}">
              <a16:creationId xmlns:a16="http://schemas.microsoft.com/office/drawing/2014/main" id="{E05ABDCA-FE5E-4A61-9125-3207BC0625CD}"/>
            </a:ext>
          </a:extLst>
        </xdr:cNvPr>
        <xdr:cNvSpPr>
          <a:spLocks noChangeShapeType="1"/>
        </xdr:cNvSpPr>
      </xdr:nvSpPr>
      <xdr:spPr bwMode="auto">
        <a:xfrm flipH="1">
          <a:off x="8048625" y="876300"/>
          <a:ext cx="323850" cy="6572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4233</xdr:colOff>
      <xdr:row>5</xdr:row>
      <xdr:rowOff>4233</xdr:rowOff>
    </xdr:from>
    <xdr:to>
      <xdr:col>13</xdr:col>
      <xdr:colOff>4233</xdr:colOff>
      <xdr:row>6</xdr:row>
      <xdr:rowOff>342900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57DAE10B-B7CC-431D-8262-C19E94B28A2C}"/>
            </a:ext>
          </a:extLst>
        </xdr:cNvPr>
        <xdr:cNvSpPr>
          <a:spLocks noChangeShapeType="1"/>
        </xdr:cNvSpPr>
      </xdr:nvSpPr>
      <xdr:spPr bwMode="auto">
        <a:xfrm>
          <a:off x="9620250" y="1009650"/>
          <a:ext cx="771525" cy="5238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56</xdr:row>
      <xdr:rowOff>67733</xdr:rowOff>
    </xdr:from>
    <xdr:to>
      <xdr:col>8</xdr:col>
      <xdr:colOff>275167</xdr:colOff>
      <xdr:row>58</xdr:row>
      <xdr:rowOff>33867</xdr:rowOff>
    </xdr:to>
    <xdr:sp macro="" textlink="">
      <xdr:nvSpPr>
        <xdr:cNvPr id="4" name="Line 5">
          <a:extLst>
            <a:ext uri="{FF2B5EF4-FFF2-40B4-BE49-F238E27FC236}">
              <a16:creationId xmlns:a16="http://schemas.microsoft.com/office/drawing/2014/main" id="{E8AA6035-E265-4B7D-8FC1-506D5052B438}"/>
            </a:ext>
          </a:extLst>
        </xdr:cNvPr>
        <xdr:cNvSpPr>
          <a:spLocks noChangeShapeType="1"/>
        </xdr:cNvSpPr>
      </xdr:nvSpPr>
      <xdr:spPr bwMode="auto">
        <a:xfrm>
          <a:off x="5972175" y="12458700"/>
          <a:ext cx="923925" cy="3524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46567</xdr:colOff>
      <xdr:row>57</xdr:row>
      <xdr:rowOff>0</xdr:rowOff>
    </xdr:from>
    <xdr:to>
      <xdr:col>13</xdr:col>
      <xdr:colOff>12700</xdr:colOff>
      <xdr:row>58</xdr:row>
      <xdr:rowOff>59267</xdr:rowOff>
    </xdr:to>
    <xdr:sp macro="" textlink="">
      <xdr:nvSpPr>
        <xdr:cNvPr id="5" name="Line 6">
          <a:extLst>
            <a:ext uri="{FF2B5EF4-FFF2-40B4-BE49-F238E27FC236}">
              <a16:creationId xmlns:a16="http://schemas.microsoft.com/office/drawing/2014/main" id="{3A4B1D29-A4DC-4271-908A-C0D73230719B}"/>
            </a:ext>
          </a:extLst>
        </xdr:cNvPr>
        <xdr:cNvSpPr>
          <a:spLocks noChangeShapeType="1"/>
        </xdr:cNvSpPr>
      </xdr:nvSpPr>
      <xdr:spPr bwMode="auto">
        <a:xfrm flipH="1">
          <a:off x="8858250" y="12582525"/>
          <a:ext cx="1543050" cy="2476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194733</xdr:colOff>
      <xdr:row>121</xdr:row>
      <xdr:rowOff>4233</xdr:rowOff>
    </xdr:from>
    <xdr:to>
      <xdr:col>6</xdr:col>
      <xdr:colOff>376767</xdr:colOff>
      <xdr:row>122</xdr:row>
      <xdr:rowOff>8467</xdr:rowOff>
    </xdr:to>
    <xdr:sp macro="" textlink="">
      <xdr:nvSpPr>
        <xdr:cNvPr id="6" name="Line 7">
          <a:extLst>
            <a:ext uri="{FF2B5EF4-FFF2-40B4-BE49-F238E27FC236}">
              <a16:creationId xmlns:a16="http://schemas.microsoft.com/office/drawing/2014/main" id="{FA2EEBE7-1F7A-4F83-A268-AA806868D734}"/>
            </a:ext>
          </a:extLst>
        </xdr:cNvPr>
        <xdr:cNvSpPr>
          <a:spLocks noChangeShapeType="1"/>
        </xdr:cNvSpPr>
      </xdr:nvSpPr>
      <xdr:spPr bwMode="auto">
        <a:xfrm flipV="1">
          <a:off x="5286375" y="26631900"/>
          <a:ext cx="190500" cy="1905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194733</xdr:colOff>
      <xdr:row>121</xdr:row>
      <xdr:rowOff>8467</xdr:rowOff>
    </xdr:from>
    <xdr:to>
      <xdr:col>5</xdr:col>
      <xdr:colOff>16933</xdr:colOff>
      <xdr:row>121</xdr:row>
      <xdr:rowOff>67733</xdr:rowOff>
    </xdr:to>
    <xdr:sp macro="" textlink="">
      <xdr:nvSpPr>
        <xdr:cNvPr id="7" name="Line 8">
          <a:extLst>
            <a:ext uri="{FF2B5EF4-FFF2-40B4-BE49-F238E27FC236}">
              <a16:creationId xmlns:a16="http://schemas.microsoft.com/office/drawing/2014/main" id="{AFDE041C-5260-40F7-9F5C-597D5AE618DE}"/>
            </a:ext>
          </a:extLst>
        </xdr:cNvPr>
        <xdr:cNvSpPr>
          <a:spLocks noChangeShapeType="1"/>
        </xdr:cNvSpPr>
      </xdr:nvSpPr>
      <xdr:spPr bwMode="auto">
        <a:xfrm flipH="1" flipV="1">
          <a:off x="3790950" y="26641425"/>
          <a:ext cx="600075" cy="571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101600</xdr:colOff>
      <xdr:row>121</xdr:row>
      <xdr:rowOff>21167</xdr:rowOff>
    </xdr:from>
    <xdr:to>
      <xdr:col>12</xdr:col>
      <xdr:colOff>186267</xdr:colOff>
      <xdr:row>121</xdr:row>
      <xdr:rowOff>55033</xdr:rowOff>
    </xdr:to>
    <xdr:sp macro="" textlink="">
      <xdr:nvSpPr>
        <xdr:cNvPr id="8" name="Line 9">
          <a:extLst>
            <a:ext uri="{FF2B5EF4-FFF2-40B4-BE49-F238E27FC236}">
              <a16:creationId xmlns:a16="http://schemas.microsoft.com/office/drawing/2014/main" id="{3E54A80D-819B-46A6-8585-98E526C5DEAE}"/>
            </a:ext>
          </a:extLst>
        </xdr:cNvPr>
        <xdr:cNvSpPr>
          <a:spLocks noChangeShapeType="1"/>
        </xdr:cNvSpPr>
      </xdr:nvSpPr>
      <xdr:spPr bwMode="auto">
        <a:xfrm flipV="1">
          <a:off x="9725025" y="26650950"/>
          <a:ext cx="85725" cy="381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198967</xdr:colOff>
      <xdr:row>122</xdr:row>
      <xdr:rowOff>59267</xdr:rowOff>
    </xdr:from>
    <xdr:to>
      <xdr:col>5</xdr:col>
      <xdr:colOff>198967</xdr:colOff>
      <xdr:row>123</xdr:row>
      <xdr:rowOff>50800</xdr:rowOff>
    </xdr:to>
    <xdr:sp macro="" textlink="">
      <xdr:nvSpPr>
        <xdr:cNvPr id="9" name="Line 10">
          <a:extLst>
            <a:ext uri="{FF2B5EF4-FFF2-40B4-BE49-F238E27FC236}">
              <a16:creationId xmlns:a16="http://schemas.microsoft.com/office/drawing/2014/main" id="{3D055405-7223-4229-BD44-39BE5C0C6CEF}"/>
            </a:ext>
          </a:extLst>
        </xdr:cNvPr>
        <xdr:cNvSpPr>
          <a:spLocks noChangeShapeType="1"/>
        </xdr:cNvSpPr>
      </xdr:nvSpPr>
      <xdr:spPr bwMode="auto">
        <a:xfrm>
          <a:off x="4572000" y="26870025"/>
          <a:ext cx="0" cy="1714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16933</xdr:colOff>
      <xdr:row>128</xdr:row>
      <xdr:rowOff>42333</xdr:rowOff>
    </xdr:from>
    <xdr:to>
      <xdr:col>5</xdr:col>
      <xdr:colOff>292100</xdr:colOff>
      <xdr:row>128</xdr:row>
      <xdr:rowOff>42333</xdr:rowOff>
    </xdr:to>
    <xdr:sp macro="" textlink="">
      <xdr:nvSpPr>
        <xdr:cNvPr id="10" name="Line 11">
          <a:extLst>
            <a:ext uri="{FF2B5EF4-FFF2-40B4-BE49-F238E27FC236}">
              <a16:creationId xmlns:a16="http://schemas.microsoft.com/office/drawing/2014/main" id="{EB5B14A1-2424-4F7C-A9DD-02D71CB74736}"/>
            </a:ext>
          </a:extLst>
        </xdr:cNvPr>
        <xdr:cNvSpPr>
          <a:spLocks noChangeShapeType="1"/>
        </xdr:cNvSpPr>
      </xdr:nvSpPr>
      <xdr:spPr bwMode="auto">
        <a:xfrm>
          <a:off x="4391025" y="27965400"/>
          <a:ext cx="2762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249767</xdr:colOff>
      <xdr:row>129</xdr:row>
      <xdr:rowOff>29633</xdr:rowOff>
    </xdr:from>
    <xdr:to>
      <xdr:col>6</xdr:col>
      <xdr:colOff>347133</xdr:colOff>
      <xdr:row>130</xdr:row>
      <xdr:rowOff>38100</xdr:rowOff>
    </xdr:to>
    <xdr:sp macro="" textlink="">
      <xdr:nvSpPr>
        <xdr:cNvPr id="11" name="Line 12">
          <a:extLst>
            <a:ext uri="{FF2B5EF4-FFF2-40B4-BE49-F238E27FC236}">
              <a16:creationId xmlns:a16="http://schemas.microsoft.com/office/drawing/2014/main" id="{717F6868-E069-4FA1-9BEA-C34DF64BF882}"/>
            </a:ext>
          </a:extLst>
        </xdr:cNvPr>
        <xdr:cNvSpPr>
          <a:spLocks noChangeShapeType="1"/>
        </xdr:cNvSpPr>
      </xdr:nvSpPr>
      <xdr:spPr bwMode="auto">
        <a:xfrm flipV="1">
          <a:off x="5343525" y="28146375"/>
          <a:ext cx="95250" cy="1905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371472</xdr:colOff>
      <xdr:row>21</xdr:row>
      <xdr:rowOff>93136</xdr:rowOff>
    </xdr:from>
    <xdr:to>
      <xdr:col>6</xdr:col>
      <xdr:colOff>581024</xdr:colOff>
      <xdr:row>22</xdr:row>
      <xdr:rowOff>38100</xdr:rowOff>
    </xdr:to>
    <xdr:sp macro="" textlink="">
      <xdr:nvSpPr>
        <xdr:cNvPr id="3" name="Right Brace 2">
          <a:extLst>
            <a:ext uri="{FF2B5EF4-FFF2-40B4-BE49-F238E27FC236}">
              <a16:creationId xmlns:a16="http://schemas.microsoft.com/office/drawing/2014/main" id="{8EF25A53-C30F-43EE-A96B-A5852BDB1BAC}"/>
            </a:ext>
          </a:extLst>
        </xdr:cNvPr>
        <xdr:cNvSpPr/>
      </xdr:nvSpPr>
      <xdr:spPr>
        <a:xfrm rot="5400000">
          <a:off x="3924299" y="5866343"/>
          <a:ext cx="133347" cy="1888068"/>
        </a:xfrm>
        <a:prstGeom prst="rightBrace">
          <a:avLst/>
        </a:prstGeom>
        <a:ln w="254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279400</xdr:colOff>
      <xdr:row>20</xdr:row>
      <xdr:rowOff>6350</xdr:rowOff>
    </xdr:from>
    <xdr:to>
      <xdr:col>5</xdr:col>
      <xdr:colOff>666750</xdr:colOff>
      <xdr:row>20</xdr:row>
      <xdr:rowOff>158750</xdr:rowOff>
    </xdr:to>
    <xdr:sp macro="" textlink="">
      <xdr:nvSpPr>
        <xdr:cNvPr id="3" name="Arrow: Right 2">
          <a:extLst>
            <a:ext uri="{FF2B5EF4-FFF2-40B4-BE49-F238E27FC236}">
              <a16:creationId xmlns:a16="http://schemas.microsoft.com/office/drawing/2014/main" id="{01CFF2B2-C74F-4F93-9345-8AC1D3177290}"/>
            </a:ext>
          </a:extLst>
        </xdr:cNvPr>
        <xdr:cNvSpPr/>
      </xdr:nvSpPr>
      <xdr:spPr>
        <a:xfrm>
          <a:off x="2165350" y="4292600"/>
          <a:ext cx="387350" cy="152400"/>
        </a:xfrm>
        <a:prstGeom prst="rightArrow">
          <a:avLst/>
        </a:prstGeom>
        <a:solidFill>
          <a:schemeClr val="tx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9</xdr:col>
      <xdr:colOff>285750</xdr:colOff>
      <xdr:row>20</xdr:row>
      <xdr:rowOff>6350</xdr:rowOff>
    </xdr:from>
    <xdr:to>
      <xdr:col>9</xdr:col>
      <xdr:colOff>622300</xdr:colOff>
      <xdr:row>20</xdr:row>
      <xdr:rowOff>158750</xdr:rowOff>
    </xdr:to>
    <xdr:sp macro="" textlink="">
      <xdr:nvSpPr>
        <xdr:cNvPr id="4" name="Arrow: Right 3">
          <a:extLst>
            <a:ext uri="{FF2B5EF4-FFF2-40B4-BE49-F238E27FC236}">
              <a16:creationId xmlns:a16="http://schemas.microsoft.com/office/drawing/2014/main" id="{63C173A1-41F5-4726-B2CC-0E39F9F9A722}"/>
            </a:ext>
          </a:extLst>
        </xdr:cNvPr>
        <xdr:cNvSpPr/>
      </xdr:nvSpPr>
      <xdr:spPr>
        <a:xfrm>
          <a:off x="5200650" y="4292600"/>
          <a:ext cx="336550" cy="152400"/>
        </a:xfrm>
        <a:prstGeom prst="rightArrow">
          <a:avLst/>
        </a:prstGeom>
        <a:solidFill>
          <a:schemeClr val="tx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304800</xdr:colOff>
      <xdr:row>16</xdr:row>
      <xdr:rowOff>25400</xdr:rowOff>
    </xdr:from>
    <xdr:to>
      <xdr:col>5</xdr:col>
      <xdr:colOff>692150</xdr:colOff>
      <xdr:row>16</xdr:row>
      <xdr:rowOff>177800</xdr:rowOff>
    </xdr:to>
    <xdr:sp macro="" textlink="">
      <xdr:nvSpPr>
        <xdr:cNvPr id="5" name="Arrow: Right 4">
          <a:extLst>
            <a:ext uri="{FF2B5EF4-FFF2-40B4-BE49-F238E27FC236}">
              <a16:creationId xmlns:a16="http://schemas.microsoft.com/office/drawing/2014/main" id="{6D7EC471-3380-4F2D-926C-F4B8756B2DE4}"/>
            </a:ext>
          </a:extLst>
        </xdr:cNvPr>
        <xdr:cNvSpPr/>
      </xdr:nvSpPr>
      <xdr:spPr>
        <a:xfrm>
          <a:off x="2190750" y="3556000"/>
          <a:ext cx="387350" cy="152400"/>
        </a:xfrm>
        <a:prstGeom prst="rightArrow">
          <a:avLst/>
        </a:prstGeom>
        <a:solidFill>
          <a:schemeClr val="tx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234950</xdr:colOff>
      <xdr:row>21</xdr:row>
      <xdr:rowOff>12700</xdr:rowOff>
    </xdr:from>
    <xdr:to>
      <xdr:col>5</xdr:col>
      <xdr:colOff>622300</xdr:colOff>
      <xdr:row>21</xdr:row>
      <xdr:rowOff>165100</xdr:rowOff>
    </xdr:to>
    <xdr:sp macro="" textlink="">
      <xdr:nvSpPr>
        <xdr:cNvPr id="6" name="Arrow: Right 5">
          <a:extLst>
            <a:ext uri="{FF2B5EF4-FFF2-40B4-BE49-F238E27FC236}">
              <a16:creationId xmlns:a16="http://schemas.microsoft.com/office/drawing/2014/main" id="{C49CFF14-EA1B-4CF7-9518-1C263E513FB1}"/>
            </a:ext>
          </a:extLst>
        </xdr:cNvPr>
        <xdr:cNvSpPr/>
      </xdr:nvSpPr>
      <xdr:spPr>
        <a:xfrm rot="10800000">
          <a:off x="2120900" y="4483100"/>
          <a:ext cx="387350" cy="152400"/>
        </a:xfrm>
        <a:prstGeom prst="rightArrow">
          <a:avLst/>
        </a:prstGeom>
        <a:solidFill>
          <a:schemeClr val="tx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9</xdr:col>
      <xdr:colOff>209550</xdr:colOff>
      <xdr:row>21</xdr:row>
      <xdr:rowOff>12700</xdr:rowOff>
    </xdr:from>
    <xdr:to>
      <xdr:col>9</xdr:col>
      <xdr:colOff>577850</xdr:colOff>
      <xdr:row>21</xdr:row>
      <xdr:rowOff>165100</xdr:rowOff>
    </xdr:to>
    <xdr:sp macro="" textlink="">
      <xdr:nvSpPr>
        <xdr:cNvPr id="7" name="Arrow: Right 6">
          <a:extLst>
            <a:ext uri="{FF2B5EF4-FFF2-40B4-BE49-F238E27FC236}">
              <a16:creationId xmlns:a16="http://schemas.microsoft.com/office/drawing/2014/main" id="{829A38BF-0958-4CCE-B92A-01960CC01219}"/>
            </a:ext>
          </a:extLst>
        </xdr:cNvPr>
        <xdr:cNvSpPr/>
      </xdr:nvSpPr>
      <xdr:spPr>
        <a:xfrm rot="10800000">
          <a:off x="5124450" y="4483100"/>
          <a:ext cx="368300" cy="152400"/>
        </a:xfrm>
        <a:prstGeom prst="rightArrow">
          <a:avLst/>
        </a:prstGeom>
        <a:solidFill>
          <a:schemeClr val="tx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9</xdr:col>
      <xdr:colOff>247650</xdr:colOff>
      <xdr:row>16</xdr:row>
      <xdr:rowOff>31750</xdr:rowOff>
    </xdr:from>
    <xdr:to>
      <xdr:col>9</xdr:col>
      <xdr:colOff>628650</xdr:colOff>
      <xdr:row>17</xdr:row>
      <xdr:rowOff>0</xdr:rowOff>
    </xdr:to>
    <xdr:sp macro="" textlink="">
      <xdr:nvSpPr>
        <xdr:cNvPr id="9" name="Arrow: Right 8">
          <a:extLst>
            <a:ext uri="{FF2B5EF4-FFF2-40B4-BE49-F238E27FC236}">
              <a16:creationId xmlns:a16="http://schemas.microsoft.com/office/drawing/2014/main" id="{00F06528-B97D-4691-BEBF-A8507E0C30D5}"/>
            </a:ext>
          </a:extLst>
        </xdr:cNvPr>
        <xdr:cNvSpPr/>
      </xdr:nvSpPr>
      <xdr:spPr>
        <a:xfrm rot="10800000">
          <a:off x="5162550" y="3562350"/>
          <a:ext cx="381000" cy="152400"/>
        </a:xfrm>
        <a:prstGeom prst="rightArrow">
          <a:avLst/>
        </a:prstGeom>
        <a:solidFill>
          <a:schemeClr val="tx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48684</xdr:colOff>
      <xdr:row>19</xdr:row>
      <xdr:rowOff>103717</xdr:rowOff>
    </xdr:from>
    <xdr:to>
      <xdr:col>10</xdr:col>
      <xdr:colOff>114300</xdr:colOff>
      <xdr:row>20</xdr:row>
      <xdr:rowOff>295275</xdr:rowOff>
    </xdr:to>
    <xdr:sp macro="" textlink="">
      <xdr:nvSpPr>
        <xdr:cNvPr id="4" name="Line 5">
          <a:extLst>
            <a:ext uri="{FF2B5EF4-FFF2-40B4-BE49-F238E27FC236}">
              <a16:creationId xmlns:a16="http://schemas.microsoft.com/office/drawing/2014/main" id="{0F1392E9-2258-4865-9DC1-CBBE5F02955D}"/>
            </a:ext>
          </a:extLst>
        </xdr:cNvPr>
        <xdr:cNvSpPr>
          <a:spLocks noChangeShapeType="1"/>
        </xdr:cNvSpPr>
      </xdr:nvSpPr>
      <xdr:spPr bwMode="auto">
        <a:xfrm>
          <a:off x="5363634" y="4342342"/>
          <a:ext cx="941916" cy="382058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28573</xdr:colOff>
      <xdr:row>22</xdr:row>
      <xdr:rowOff>57150</xdr:rowOff>
    </xdr:from>
    <xdr:to>
      <xdr:col>10</xdr:col>
      <xdr:colOff>123825</xdr:colOff>
      <xdr:row>26</xdr:row>
      <xdr:rowOff>141817</xdr:rowOff>
    </xdr:to>
    <xdr:sp macro="" textlink="">
      <xdr:nvSpPr>
        <xdr:cNvPr id="5" name="Line 6">
          <a:extLst>
            <a:ext uri="{FF2B5EF4-FFF2-40B4-BE49-F238E27FC236}">
              <a16:creationId xmlns:a16="http://schemas.microsoft.com/office/drawing/2014/main" id="{09F13D06-61F0-48BE-A262-6C5331537229}"/>
            </a:ext>
          </a:extLst>
        </xdr:cNvPr>
        <xdr:cNvSpPr>
          <a:spLocks noChangeShapeType="1"/>
        </xdr:cNvSpPr>
      </xdr:nvSpPr>
      <xdr:spPr bwMode="auto">
        <a:xfrm flipV="1">
          <a:off x="6000748" y="3771900"/>
          <a:ext cx="1028702" cy="1446742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101600</xdr:colOff>
      <xdr:row>25</xdr:row>
      <xdr:rowOff>21167</xdr:rowOff>
    </xdr:from>
    <xdr:to>
      <xdr:col>14</xdr:col>
      <xdr:colOff>186267</xdr:colOff>
      <xdr:row>25</xdr:row>
      <xdr:rowOff>55033</xdr:rowOff>
    </xdr:to>
    <xdr:sp macro="" textlink="">
      <xdr:nvSpPr>
        <xdr:cNvPr id="8" name="Line 9">
          <a:extLst>
            <a:ext uri="{FF2B5EF4-FFF2-40B4-BE49-F238E27FC236}">
              <a16:creationId xmlns:a16="http://schemas.microsoft.com/office/drawing/2014/main" id="{D7F884E2-9EAD-420A-AA64-39DA50C812A2}"/>
            </a:ext>
          </a:extLst>
        </xdr:cNvPr>
        <xdr:cNvSpPr>
          <a:spLocks noChangeShapeType="1"/>
        </xdr:cNvSpPr>
      </xdr:nvSpPr>
      <xdr:spPr bwMode="auto">
        <a:xfrm flipV="1">
          <a:off x="9963150" y="26650950"/>
          <a:ext cx="85725" cy="381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968</xdr:colOff>
      <xdr:row>11</xdr:row>
      <xdr:rowOff>20142</xdr:rowOff>
    </xdr:from>
    <xdr:to>
      <xdr:col>11</xdr:col>
      <xdr:colOff>598664</xdr:colOff>
      <xdr:row>12</xdr:row>
      <xdr:rowOff>112704</xdr:rowOff>
    </xdr:to>
    <xdr:sp macro="" textlink="">
      <xdr:nvSpPr>
        <xdr:cNvPr id="2" name="Right Brace 1">
          <a:extLst>
            <a:ext uri="{FF2B5EF4-FFF2-40B4-BE49-F238E27FC236}">
              <a16:creationId xmlns:a16="http://schemas.microsoft.com/office/drawing/2014/main" id="{111D565B-67BB-43E4-B7AE-777E53F71312}"/>
            </a:ext>
          </a:extLst>
        </xdr:cNvPr>
        <xdr:cNvSpPr/>
      </xdr:nvSpPr>
      <xdr:spPr>
        <a:xfrm rot="5400000">
          <a:off x="10499260" y="1390000"/>
          <a:ext cx="276712" cy="1816896"/>
        </a:xfrm>
        <a:prstGeom prst="rightBrace">
          <a:avLst/>
        </a:prstGeom>
        <a:ln w="3492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57150</xdr:colOff>
      <xdr:row>11</xdr:row>
      <xdr:rowOff>31750</xdr:rowOff>
    </xdr:from>
    <xdr:to>
      <xdr:col>8</xdr:col>
      <xdr:colOff>495300</xdr:colOff>
      <xdr:row>12</xdr:row>
      <xdr:rowOff>162412</xdr:rowOff>
    </xdr:to>
    <xdr:sp macro="" textlink="">
      <xdr:nvSpPr>
        <xdr:cNvPr id="3" name="Right Brace 2">
          <a:extLst>
            <a:ext uri="{FF2B5EF4-FFF2-40B4-BE49-F238E27FC236}">
              <a16:creationId xmlns:a16="http://schemas.microsoft.com/office/drawing/2014/main" id="{F49E0119-C353-4295-A466-E8D380468717}"/>
            </a:ext>
          </a:extLst>
        </xdr:cNvPr>
        <xdr:cNvSpPr/>
      </xdr:nvSpPr>
      <xdr:spPr>
        <a:xfrm rot="5400000">
          <a:off x="9237419" y="2110031"/>
          <a:ext cx="314812" cy="438150"/>
        </a:xfrm>
        <a:prstGeom prst="rightBrace">
          <a:avLst/>
        </a:prstGeom>
        <a:ln w="3492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9</xdr:col>
      <xdr:colOff>968</xdr:colOff>
      <xdr:row>19</xdr:row>
      <xdr:rowOff>20142</xdr:rowOff>
    </xdr:from>
    <xdr:to>
      <xdr:col>11</xdr:col>
      <xdr:colOff>598664</xdr:colOff>
      <xdr:row>20</xdr:row>
      <xdr:rowOff>112704</xdr:rowOff>
    </xdr:to>
    <xdr:sp macro="" textlink="">
      <xdr:nvSpPr>
        <xdr:cNvPr id="4" name="Right Brace 3">
          <a:extLst>
            <a:ext uri="{FF2B5EF4-FFF2-40B4-BE49-F238E27FC236}">
              <a16:creationId xmlns:a16="http://schemas.microsoft.com/office/drawing/2014/main" id="{53ADDACF-BBBF-48E1-A6DE-4AFCF752BACB}"/>
            </a:ext>
          </a:extLst>
        </xdr:cNvPr>
        <xdr:cNvSpPr/>
      </xdr:nvSpPr>
      <xdr:spPr>
        <a:xfrm rot="5400000">
          <a:off x="10099210" y="1390000"/>
          <a:ext cx="276712" cy="1816896"/>
        </a:xfrm>
        <a:prstGeom prst="rightBrace">
          <a:avLst/>
        </a:prstGeom>
        <a:ln w="3492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57150</xdr:colOff>
      <xdr:row>19</xdr:row>
      <xdr:rowOff>31750</xdr:rowOff>
    </xdr:from>
    <xdr:to>
      <xdr:col>8</xdr:col>
      <xdr:colOff>495300</xdr:colOff>
      <xdr:row>20</xdr:row>
      <xdr:rowOff>162412</xdr:rowOff>
    </xdr:to>
    <xdr:sp macro="" textlink="">
      <xdr:nvSpPr>
        <xdr:cNvPr id="5" name="Right Brace 4">
          <a:extLst>
            <a:ext uri="{FF2B5EF4-FFF2-40B4-BE49-F238E27FC236}">
              <a16:creationId xmlns:a16="http://schemas.microsoft.com/office/drawing/2014/main" id="{9CE53294-28CC-4C6F-8956-F89AEA9603BE}"/>
            </a:ext>
          </a:extLst>
        </xdr:cNvPr>
        <xdr:cNvSpPr/>
      </xdr:nvSpPr>
      <xdr:spPr>
        <a:xfrm rot="5400000">
          <a:off x="8837369" y="2110031"/>
          <a:ext cx="314812" cy="438150"/>
        </a:xfrm>
        <a:prstGeom prst="rightBrace">
          <a:avLst/>
        </a:prstGeom>
        <a:ln w="3492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6350</xdr:colOff>
      <xdr:row>27</xdr:row>
      <xdr:rowOff>25400</xdr:rowOff>
    </xdr:from>
    <xdr:to>
      <xdr:col>10</xdr:col>
      <xdr:colOff>596900</xdr:colOff>
      <xdr:row>28</xdr:row>
      <xdr:rowOff>112704</xdr:rowOff>
    </xdr:to>
    <xdr:sp macro="" textlink="">
      <xdr:nvSpPr>
        <xdr:cNvPr id="6" name="Right Brace 5">
          <a:extLst>
            <a:ext uri="{FF2B5EF4-FFF2-40B4-BE49-F238E27FC236}">
              <a16:creationId xmlns:a16="http://schemas.microsoft.com/office/drawing/2014/main" id="{BEC5D654-F08F-4BE6-9D6C-874307342858}"/>
            </a:ext>
          </a:extLst>
        </xdr:cNvPr>
        <xdr:cNvSpPr/>
      </xdr:nvSpPr>
      <xdr:spPr>
        <a:xfrm rot="5400000">
          <a:off x="10103648" y="4971252"/>
          <a:ext cx="271454" cy="590550"/>
        </a:xfrm>
        <a:prstGeom prst="rightBrace">
          <a:avLst/>
        </a:prstGeom>
        <a:ln w="3492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57150</xdr:colOff>
      <xdr:row>27</xdr:row>
      <xdr:rowOff>6350</xdr:rowOff>
    </xdr:from>
    <xdr:to>
      <xdr:col>9</xdr:col>
      <xdr:colOff>495300</xdr:colOff>
      <xdr:row>28</xdr:row>
      <xdr:rowOff>162412</xdr:rowOff>
    </xdr:to>
    <xdr:sp macro="" textlink="">
      <xdr:nvSpPr>
        <xdr:cNvPr id="7" name="Right Brace 6">
          <a:extLst>
            <a:ext uri="{FF2B5EF4-FFF2-40B4-BE49-F238E27FC236}">
              <a16:creationId xmlns:a16="http://schemas.microsoft.com/office/drawing/2014/main" id="{3E98B583-47C0-4524-8A70-32BC13655CB3}"/>
            </a:ext>
          </a:extLst>
        </xdr:cNvPr>
        <xdr:cNvSpPr/>
      </xdr:nvSpPr>
      <xdr:spPr>
        <a:xfrm rot="5400000">
          <a:off x="9129469" y="4757981"/>
          <a:ext cx="340212" cy="1047750"/>
        </a:xfrm>
        <a:prstGeom prst="rightBrace">
          <a:avLst/>
        </a:prstGeom>
        <a:ln w="3492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19050</xdr:colOff>
      <xdr:row>5</xdr:row>
      <xdr:rowOff>85725</xdr:rowOff>
    </xdr:from>
    <xdr:to>
      <xdr:col>4</xdr:col>
      <xdr:colOff>9525</xdr:colOff>
      <xdr:row>5</xdr:row>
      <xdr:rowOff>85725</xdr:rowOff>
    </xdr:to>
    <xdr:cxnSp macro="">
      <xdr:nvCxnSpPr>
        <xdr:cNvPr id="3" name="Straight Arrow Connector 2">
          <a:extLst>
            <a:ext uri="{FF2B5EF4-FFF2-40B4-BE49-F238E27FC236}">
              <a16:creationId xmlns:a16="http://schemas.microsoft.com/office/drawing/2014/main" id="{F718B8C9-0AC3-49DC-B1B5-4B6AA040D595}"/>
            </a:ext>
          </a:extLst>
        </xdr:cNvPr>
        <xdr:cNvCxnSpPr/>
      </xdr:nvCxnSpPr>
      <xdr:spPr>
        <a:xfrm>
          <a:off x="1962150" y="1000125"/>
          <a:ext cx="110490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609600</xdr:colOff>
      <xdr:row>5</xdr:row>
      <xdr:rowOff>238125</xdr:rowOff>
    </xdr:from>
    <xdr:to>
      <xdr:col>3</xdr:col>
      <xdr:colOff>1238250</xdr:colOff>
      <xdr:row>5</xdr:row>
      <xdr:rowOff>246592</xdr:rowOff>
    </xdr:to>
    <xdr:cxnSp macro="">
      <xdr:nvCxnSpPr>
        <xdr:cNvPr id="5" name="Straight Arrow Connector 4">
          <a:extLst>
            <a:ext uri="{FF2B5EF4-FFF2-40B4-BE49-F238E27FC236}">
              <a16:creationId xmlns:a16="http://schemas.microsoft.com/office/drawing/2014/main" id="{DA034B30-0956-4F3A-A774-E98305E44B33}"/>
            </a:ext>
          </a:extLst>
        </xdr:cNvPr>
        <xdr:cNvCxnSpPr/>
      </xdr:nvCxnSpPr>
      <xdr:spPr>
        <a:xfrm flipH="1" flipV="1">
          <a:off x="1905000" y="1152525"/>
          <a:ext cx="1276350" cy="8467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171450</xdr:colOff>
      <xdr:row>6</xdr:row>
      <xdr:rowOff>9525</xdr:rowOff>
    </xdr:from>
    <xdr:to>
      <xdr:col>2</xdr:col>
      <xdr:colOff>171450</xdr:colOff>
      <xdr:row>9</xdr:row>
      <xdr:rowOff>19050</xdr:rowOff>
    </xdr:to>
    <xdr:cxnSp macro="">
      <xdr:nvCxnSpPr>
        <xdr:cNvPr id="8" name="Straight Arrow Connector 7">
          <a:extLst>
            <a:ext uri="{FF2B5EF4-FFF2-40B4-BE49-F238E27FC236}">
              <a16:creationId xmlns:a16="http://schemas.microsoft.com/office/drawing/2014/main" id="{BFDA854B-787F-46AA-808C-0B7B77837948}"/>
            </a:ext>
          </a:extLst>
        </xdr:cNvPr>
        <xdr:cNvCxnSpPr/>
      </xdr:nvCxnSpPr>
      <xdr:spPr>
        <a:xfrm>
          <a:off x="1466850" y="1257300"/>
          <a:ext cx="0" cy="56197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552450</xdr:colOff>
      <xdr:row>6</xdr:row>
      <xdr:rowOff>0</xdr:rowOff>
    </xdr:from>
    <xdr:to>
      <xdr:col>2</xdr:col>
      <xdr:colOff>552450</xdr:colOff>
      <xdr:row>8</xdr:row>
      <xdr:rowOff>161925</xdr:rowOff>
    </xdr:to>
    <xdr:cxnSp macro="">
      <xdr:nvCxnSpPr>
        <xdr:cNvPr id="10" name="Straight Arrow Connector 9">
          <a:extLst>
            <a:ext uri="{FF2B5EF4-FFF2-40B4-BE49-F238E27FC236}">
              <a16:creationId xmlns:a16="http://schemas.microsoft.com/office/drawing/2014/main" id="{64300D4E-8D1B-47E7-A8FC-06EB06341B13}"/>
            </a:ext>
          </a:extLst>
        </xdr:cNvPr>
        <xdr:cNvCxnSpPr/>
      </xdr:nvCxnSpPr>
      <xdr:spPr>
        <a:xfrm flipV="1">
          <a:off x="1847850" y="1247775"/>
          <a:ext cx="0" cy="52387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237067</xdr:colOff>
      <xdr:row>5</xdr:row>
      <xdr:rowOff>115358</xdr:rowOff>
    </xdr:from>
    <xdr:to>
      <xdr:col>13</xdr:col>
      <xdr:colOff>67732</xdr:colOff>
      <xdr:row>7</xdr:row>
      <xdr:rowOff>95250</xdr:rowOff>
    </xdr:to>
    <xdr:sp macro="" textlink="">
      <xdr:nvSpPr>
        <xdr:cNvPr id="2" name="Arrow: Down 1">
          <a:extLst>
            <a:ext uri="{FF2B5EF4-FFF2-40B4-BE49-F238E27FC236}">
              <a16:creationId xmlns:a16="http://schemas.microsoft.com/office/drawing/2014/main" id="{330DE883-E5F9-4BCB-80DC-6C3077220C9E}"/>
            </a:ext>
          </a:extLst>
        </xdr:cNvPr>
        <xdr:cNvSpPr/>
      </xdr:nvSpPr>
      <xdr:spPr>
        <a:xfrm>
          <a:off x="5734050" y="1496483"/>
          <a:ext cx="419099" cy="339725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9</xdr:col>
      <xdr:colOff>30690</xdr:colOff>
      <xdr:row>8</xdr:row>
      <xdr:rowOff>28575</xdr:rowOff>
    </xdr:from>
    <xdr:to>
      <xdr:col>9</xdr:col>
      <xdr:colOff>640291</xdr:colOff>
      <xdr:row>9</xdr:row>
      <xdr:rowOff>180975</xdr:rowOff>
    </xdr:to>
    <xdr:sp macro="" textlink="">
      <xdr:nvSpPr>
        <xdr:cNvPr id="3" name="Arrow: Right 2">
          <a:extLst>
            <a:ext uri="{FF2B5EF4-FFF2-40B4-BE49-F238E27FC236}">
              <a16:creationId xmlns:a16="http://schemas.microsoft.com/office/drawing/2014/main" id="{2D8A06C0-6E2B-4155-BFF7-E1F6409C32F4}"/>
            </a:ext>
          </a:extLst>
        </xdr:cNvPr>
        <xdr:cNvSpPr/>
      </xdr:nvSpPr>
      <xdr:spPr>
        <a:xfrm>
          <a:off x="4668307" y="1961092"/>
          <a:ext cx="609601" cy="342900"/>
        </a:xfrm>
        <a:prstGeom prst="rightArrow">
          <a:avLst/>
        </a:prstGeom>
        <a:solidFill>
          <a:schemeClr val="tx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95253</xdr:colOff>
      <xdr:row>15</xdr:row>
      <xdr:rowOff>190499</xdr:rowOff>
    </xdr:from>
    <xdr:to>
      <xdr:col>9</xdr:col>
      <xdr:colOff>620186</xdr:colOff>
      <xdr:row>20</xdr:row>
      <xdr:rowOff>19050</xdr:rowOff>
    </xdr:to>
    <xdr:sp macro="" textlink="">
      <xdr:nvSpPr>
        <xdr:cNvPr id="4" name="Arrow: Bent 3">
          <a:extLst>
            <a:ext uri="{FF2B5EF4-FFF2-40B4-BE49-F238E27FC236}">
              <a16:creationId xmlns:a16="http://schemas.microsoft.com/office/drawing/2014/main" id="{D5B8F769-481E-40B6-9642-703D45BED3D5}"/>
            </a:ext>
          </a:extLst>
        </xdr:cNvPr>
        <xdr:cNvSpPr/>
      </xdr:nvSpPr>
      <xdr:spPr>
        <a:xfrm rot="16200000">
          <a:off x="4028019" y="3027891"/>
          <a:ext cx="797984" cy="1657350"/>
        </a:xfrm>
        <a:prstGeom prst="bentArrow">
          <a:avLst>
            <a:gd name="adj1" fmla="val 25878"/>
            <a:gd name="adj2" fmla="val 25000"/>
            <a:gd name="adj3" fmla="val 25000"/>
            <a:gd name="adj4" fmla="val 43750"/>
          </a:avLst>
        </a:prstGeom>
        <a:solidFill>
          <a:schemeClr val="tx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2</xdr:col>
      <xdr:colOff>27519</xdr:colOff>
      <xdr:row>16</xdr:row>
      <xdr:rowOff>10581</xdr:rowOff>
    </xdr:from>
    <xdr:to>
      <xdr:col>9</xdr:col>
      <xdr:colOff>628650</xdr:colOff>
      <xdr:row>22</xdr:row>
      <xdr:rowOff>180978</xdr:rowOff>
    </xdr:to>
    <xdr:sp macro="" textlink="">
      <xdr:nvSpPr>
        <xdr:cNvPr id="5" name="Arrow: Bent 4">
          <a:extLst>
            <a:ext uri="{FF2B5EF4-FFF2-40B4-BE49-F238E27FC236}">
              <a16:creationId xmlns:a16="http://schemas.microsoft.com/office/drawing/2014/main" id="{9D849B00-BED1-4012-822B-2EACEB8B1D97}"/>
            </a:ext>
          </a:extLst>
        </xdr:cNvPr>
        <xdr:cNvSpPr/>
      </xdr:nvSpPr>
      <xdr:spPr>
        <a:xfrm rot="16200000">
          <a:off x="2523594" y="2181756"/>
          <a:ext cx="1454156" cy="4029072"/>
        </a:xfrm>
        <a:prstGeom prst="bentArrow">
          <a:avLst>
            <a:gd name="adj1" fmla="val 12455"/>
            <a:gd name="adj2" fmla="val 17392"/>
            <a:gd name="adj3" fmla="val 21843"/>
            <a:gd name="adj4" fmla="val 43750"/>
          </a:avLst>
        </a:prstGeom>
        <a:solidFill>
          <a:schemeClr val="tx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400051</xdr:colOff>
      <xdr:row>9</xdr:row>
      <xdr:rowOff>105832</xdr:rowOff>
    </xdr:from>
    <xdr:to>
      <xdr:col>7</xdr:col>
      <xdr:colOff>552451</xdr:colOff>
      <xdr:row>13</xdr:row>
      <xdr:rowOff>165099</xdr:rowOff>
    </xdr:to>
    <xdr:sp macro="" textlink="">
      <xdr:nvSpPr>
        <xdr:cNvPr id="6" name="Right Brace 5">
          <a:extLst>
            <a:ext uri="{FF2B5EF4-FFF2-40B4-BE49-F238E27FC236}">
              <a16:creationId xmlns:a16="http://schemas.microsoft.com/office/drawing/2014/main" id="{D7DEE4B3-5736-4807-B6C9-988D6855CBDB}"/>
            </a:ext>
          </a:extLst>
        </xdr:cNvPr>
        <xdr:cNvSpPr/>
      </xdr:nvSpPr>
      <xdr:spPr>
        <a:xfrm>
          <a:off x="4451351" y="1909232"/>
          <a:ext cx="152400" cy="821267"/>
        </a:xfrm>
        <a:prstGeom prst="rightBrace">
          <a:avLst/>
        </a:prstGeom>
        <a:ln w="158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18</xdr:col>
      <xdr:colOff>48683</xdr:colOff>
      <xdr:row>8</xdr:row>
      <xdr:rowOff>1058</xdr:rowOff>
    </xdr:from>
    <xdr:to>
      <xdr:col>18</xdr:col>
      <xdr:colOff>446617</xdr:colOff>
      <xdr:row>25</xdr:row>
      <xdr:rowOff>17992</xdr:rowOff>
    </xdr:to>
    <xdr:sp macro="" textlink="">
      <xdr:nvSpPr>
        <xdr:cNvPr id="7" name="Right Brace 6">
          <a:extLst>
            <a:ext uri="{FF2B5EF4-FFF2-40B4-BE49-F238E27FC236}">
              <a16:creationId xmlns:a16="http://schemas.microsoft.com/office/drawing/2014/main" id="{29B1C92C-075A-4784-9E9D-15269E5605DA}"/>
            </a:ext>
          </a:extLst>
        </xdr:cNvPr>
        <xdr:cNvSpPr/>
      </xdr:nvSpPr>
      <xdr:spPr>
        <a:xfrm>
          <a:off x="7698316" y="1934633"/>
          <a:ext cx="395818" cy="3400426"/>
        </a:xfrm>
        <a:prstGeom prst="rightBrace">
          <a:avLst/>
        </a:prstGeom>
        <a:ln w="127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94191</xdr:colOff>
      <xdr:row>30</xdr:row>
      <xdr:rowOff>20110</xdr:rowOff>
    </xdr:from>
    <xdr:to>
      <xdr:col>10</xdr:col>
      <xdr:colOff>113242</xdr:colOff>
      <xdr:row>33</xdr:row>
      <xdr:rowOff>170392</xdr:rowOff>
    </xdr:to>
    <xdr:cxnSp macro="">
      <xdr:nvCxnSpPr>
        <xdr:cNvPr id="10" name="Straight Arrow Connector 9">
          <a:extLst>
            <a:ext uri="{FF2B5EF4-FFF2-40B4-BE49-F238E27FC236}">
              <a16:creationId xmlns:a16="http://schemas.microsoft.com/office/drawing/2014/main" id="{8E605995-BC2F-48BC-82C1-5EEA9BD6A109}"/>
            </a:ext>
          </a:extLst>
        </xdr:cNvPr>
        <xdr:cNvCxnSpPr/>
      </xdr:nvCxnSpPr>
      <xdr:spPr>
        <a:xfrm flipH="1" flipV="1">
          <a:off x="6085416" y="6001810"/>
          <a:ext cx="19051" cy="693207"/>
        </a:xfrm>
        <a:prstGeom prst="straightConnector1">
          <a:avLst/>
        </a:prstGeom>
        <a:ln w="762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27517</xdr:colOff>
      <xdr:row>27</xdr:row>
      <xdr:rowOff>0</xdr:rowOff>
    </xdr:from>
    <xdr:to>
      <xdr:col>8</xdr:col>
      <xdr:colOff>266700</xdr:colOff>
      <xdr:row>37</xdr:row>
      <xdr:rowOff>171450</xdr:rowOff>
    </xdr:to>
    <xdr:sp macro="" textlink="">
      <xdr:nvSpPr>
        <xdr:cNvPr id="15" name="Right Brace 14">
          <a:extLst>
            <a:ext uri="{FF2B5EF4-FFF2-40B4-BE49-F238E27FC236}">
              <a16:creationId xmlns:a16="http://schemas.microsoft.com/office/drawing/2014/main" id="{E1107026-8FE2-45E8-806A-711B77393864}"/>
            </a:ext>
          </a:extLst>
        </xdr:cNvPr>
        <xdr:cNvSpPr/>
      </xdr:nvSpPr>
      <xdr:spPr>
        <a:xfrm>
          <a:off x="4885267" y="5295900"/>
          <a:ext cx="239183" cy="2133600"/>
        </a:xfrm>
        <a:prstGeom prst="rightBrace">
          <a:avLst>
            <a:gd name="adj1" fmla="val 8333"/>
            <a:gd name="adj2" fmla="val 49554"/>
          </a:avLst>
        </a:prstGeom>
        <a:ln w="412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371472</xdr:colOff>
      <xdr:row>25</xdr:row>
      <xdr:rowOff>93136</xdr:rowOff>
    </xdr:from>
    <xdr:to>
      <xdr:col>3</xdr:col>
      <xdr:colOff>581024</xdr:colOff>
      <xdr:row>26</xdr:row>
      <xdr:rowOff>38100</xdr:rowOff>
    </xdr:to>
    <xdr:sp macro="" textlink="">
      <xdr:nvSpPr>
        <xdr:cNvPr id="2" name="Right Brace 1">
          <a:extLst>
            <a:ext uri="{FF2B5EF4-FFF2-40B4-BE49-F238E27FC236}">
              <a16:creationId xmlns:a16="http://schemas.microsoft.com/office/drawing/2014/main" id="{F8AC1718-7D21-453B-B2CB-3945A297B2E0}"/>
            </a:ext>
          </a:extLst>
        </xdr:cNvPr>
        <xdr:cNvSpPr/>
      </xdr:nvSpPr>
      <xdr:spPr>
        <a:xfrm rot="5400000">
          <a:off x="3928532" y="5887509"/>
          <a:ext cx="131231" cy="1877486"/>
        </a:xfrm>
        <a:prstGeom prst="rightBrace">
          <a:avLst/>
        </a:prstGeom>
        <a:ln w="254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90F59B-AC76-4511-920C-B922C69DECFB}">
  <dimension ref="B1:M41"/>
  <sheetViews>
    <sheetView showGridLines="0" workbookViewId="0">
      <selection activeCell="K12" sqref="K12"/>
    </sheetView>
  </sheetViews>
  <sheetFormatPr defaultRowHeight="14.5" x14ac:dyDescent="0.35"/>
  <cols>
    <col min="1" max="1" width="3.26953125" customWidth="1"/>
    <col min="2" max="2" width="34.08984375" customWidth="1"/>
    <col min="3" max="5" width="11.54296875" customWidth="1"/>
    <col min="6" max="6" width="4.26953125" customWidth="1"/>
    <col min="7" max="7" width="33.54296875" customWidth="1"/>
    <col min="8" max="10" width="11.36328125" customWidth="1"/>
    <col min="11" max="11" width="2.26953125" customWidth="1"/>
  </cols>
  <sheetData>
    <row r="1" spans="2:13" ht="20" x14ac:dyDescent="0.4">
      <c r="B1" s="1" t="s">
        <v>12</v>
      </c>
    </row>
    <row r="2" spans="2:13" x14ac:dyDescent="0.35">
      <c r="B2" t="s">
        <v>43</v>
      </c>
    </row>
    <row r="3" spans="2:13" ht="17.5" customHeight="1" x14ac:dyDescent="0.35">
      <c r="B3" s="435" t="s">
        <v>50</v>
      </c>
      <c r="C3" s="436"/>
      <c r="D3" s="436"/>
      <c r="E3" s="436"/>
      <c r="F3" s="436"/>
      <c r="G3" s="436"/>
      <c r="H3" s="437"/>
      <c r="I3" s="437"/>
      <c r="J3" s="437"/>
    </row>
    <row r="4" spans="2:13" x14ac:dyDescent="0.35">
      <c r="B4" t="s">
        <v>13</v>
      </c>
      <c r="C4" t="s">
        <v>25</v>
      </c>
    </row>
    <row r="5" spans="2:13" x14ac:dyDescent="0.35">
      <c r="B5" t="s">
        <v>14</v>
      </c>
      <c r="C5" t="s">
        <v>26</v>
      </c>
      <c r="G5" s="12" t="s">
        <v>632</v>
      </c>
    </row>
    <row r="6" spans="2:13" x14ac:dyDescent="0.35">
      <c r="B6" t="s">
        <v>15</v>
      </c>
      <c r="C6" s="9">
        <v>1000000</v>
      </c>
      <c r="D6" t="s">
        <v>10</v>
      </c>
      <c r="G6" t="s">
        <v>633</v>
      </c>
      <c r="H6" t="s">
        <v>634</v>
      </c>
    </row>
    <row r="7" spans="2:13" x14ac:dyDescent="0.35">
      <c r="B7" t="s">
        <v>16</v>
      </c>
      <c r="C7" s="13">
        <v>9.19</v>
      </c>
      <c r="D7" t="s">
        <v>27</v>
      </c>
      <c r="G7" t="s">
        <v>635</v>
      </c>
      <c r="H7" s="14">
        <f>C6</f>
        <v>1000000</v>
      </c>
      <c r="I7" t="s">
        <v>10</v>
      </c>
    </row>
    <row r="8" spans="2:13" x14ac:dyDescent="0.35">
      <c r="B8" t="s">
        <v>28</v>
      </c>
      <c r="C8" s="15">
        <f>+C7*C6</f>
        <v>9190000</v>
      </c>
      <c r="G8" t="s">
        <v>636</v>
      </c>
      <c r="H8" s="10" t="s">
        <v>637</v>
      </c>
    </row>
    <row r="9" spans="2:13" x14ac:dyDescent="0.35">
      <c r="B9" t="s">
        <v>17</v>
      </c>
      <c r="C9" s="10" t="s">
        <v>40</v>
      </c>
      <c r="D9" t="s">
        <v>29</v>
      </c>
    </row>
    <row r="10" spans="2:13" x14ac:dyDescent="0.35">
      <c r="B10" t="s">
        <v>21</v>
      </c>
      <c r="C10" t="s">
        <v>22</v>
      </c>
      <c r="G10" s="365" t="s">
        <v>638</v>
      </c>
    </row>
    <row r="11" spans="2:13" x14ac:dyDescent="0.35">
      <c r="G11" t="s">
        <v>52</v>
      </c>
      <c r="H11" s="16">
        <f>C7</f>
        <v>9.19</v>
      </c>
      <c r="I11" t="str">
        <f>D7</f>
        <v>per bushel</v>
      </c>
    </row>
    <row r="13" spans="2:13" ht="18.5" x14ac:dyDescent="0.45">
      <c r="B13" s="20" t="str">
        <f>+C4</f>
        <v>Bread Company</v>
      </c>
      <c r="G13" s="20" t="str">
        <f>+C5</f>
        <v>Wheat Farms Inc.</v>
      </c>
    </row>
    <row r="14" spans="2:13" ht="18" customHeight="1" x14ac:dyDescent="0.35">
      <c r="B14" s="18" t="s">
        <v>44</v>
      </c>
      <c r="C14" s="21" t="str">
        <f>+C9</f>
        <v>3/15/20XX</v>
      </c>
      <c r="G14" s="18" t="str">
        <f>+B14</f>
        <v>Income Statement</v>
      </c>
      <c r="H14" s="21" t="str">
        <f>+C14</f>
        <v>3/15/20XX</v>
      </c>
    </row>
    <row r="15" spans="2:13" x14ac:dyDescent="0.35">
      <c r="B15" t="s">
        <v>38</v>
      </c>
      <c r="C15" s="9"/>
      <c r="G15" t="str">
        <f>+B15</f>
        <v>Revenues</v>
      </c>
      <c r="H15" s="9">
        <f>+C8</f>
        <v>9190000</v>
      </c>
      <c r="M15" s="9"/>
    </row>
    <row r="16" spans="2:13" x14ac:dyDescent="0.35">
      <c r="B16" s="10" t="s">
        <v>39</v>
      </c>
      <c r="C16" s="9">
        <f>-C8</f>
        <v>-9190000</v>
      </c>
      <c r="G16" s="10" t="str">
        <f>+B16</f>
        <v>Cost of Goods Sold - Wheat Expenses</v>
      </c>
      <c r="H16" s="9"/>
      <c r="M16" s="9"/>
    </row>
    <row r="17" spans="2:10" x14ac:dyDescent="0.35">
      <c r="G17" s="9"/>
    </row>
    <row r="18" spans="2:10" ht="19.75" customHeight="1" x14ac:dyDescent="0.35">
      <c r="B18" s="435" t="s">
        <v>41</v>
      </c>
      <c r="C18" s="436"/>
      <c r="D18" s="436"/>
      <c r="E18" s="436"/>
      <c r="F18" s="436"/>
      <c r="G18" s="436"/>
      <c r="H18" s="437"/>
      <c r="I18" s="437"/>
      <c r="J18" s="437"/>
    </row>
    <row r="20" spans="2:10" ht="4.75" customHeight="1" x14ac:dyDescent="0.35">
      <c r="B20" s="12"/>
    </row>
    <row r="21" spans="2:10" x14ac:dyDescent="0.35">
      <c r="B21" s="18" t="s">
        <v>32</v>
      </c>
      <c r="C21" s="17"/>
      <c r="D21" s="17"/>
      <c r="E21" s="17"/>
      <c r="G21" s="18" t="s">
        <v>33</v>
      </c>
      <c r="H21" s="18"/>
      <c r="I21" s="18"/>
    </row>
    <row r="22" spans="2:10" x14ac:dyDescent="0.35">
      <c r="B22" t="s">
        <v>18</v>
      </c>
      <c r="C22" t="str">
        <f>+C4</f>
        <v>Bread Company</v>
      </c>
      <c r="G22" t="s">
        <v>19</v>
      </c>
      <c r="H22" t="str">
        <f>+C5</f>
        <v>Wheat Farms Inc.</v>
      </c>
    </row>
    <row r="23" spans="2:10" x14ac:dyDescent="0.35">
      <c r="B23" t="s">
        <v>30</v>
      </c>
      <c r="C23" s="14">
        <v>5000</v>
      </c>
      <c r="D23" t="s">
        <v>10</v>
      </c>
      <c r="G23" t="s">
        <v>30</v>
      </c>
      <c r="H23" s="14">
        <v>5000</v>
      </c>
      <c r="I23" t="s">
        <v>10</v>
      </c>
    </row>
    <row r="24" spans="2:10" x14ac:dyDescent="0.35">
      <c r="B24" t="s">
        <v>15</v>
      </c>
      <c r="C24" s="14">
        <f>+C6</f>
        <v>1000000</v>
      </c>
      <c r="D24" t="s">
        <v>10</v>
      </c>
      <c r="G24" t="s">
        <v>15</v>
      </c>
      <c r="H24" s="14">
        <f>+C6</f>
        <v>1000000</v>
      </c>
      <c r="I24" t="s">
        <v>10</v>
      </c>
    </row>
    <row r="25" spans="2:10" x14ac:dyDescent="0.35">
      <c r="B25" t="s">
        <v>31</v>
      </c>
      <c r="C25" s="6">
        <f>ROUND(+C24/C23,0)</f>
        <v>200</v>
      </c>
      <c r="D25" s="10" t="s">
        <v>412</v>
      </c>
      <c r="G25" t="s">
        <v>31</v>
      </c>
      <c r="H25" s="6">
        <f>ROUND(+H24/H23,0)</f>
        <v>200</v>
      </c>
      <c r="I25" s="10" t="s">
        <v>412</v>
      </c>
    </row>
    <row r="26" spans="2:10" x14ac:dyDescent="0.35">
      <c r="B26" t="s">
        <v>16</v>
      </c>
      <c r="C26" s="16">
        <f>+C7</f>
        <v>9.19</v>
      </c>
      <c r="G26" t="s">
        <v>16</v>
      </c>
      <c r="H26" s="16">
        <f>+C7</f>
        <v>9.19</v>
      </c>
    </row>
    <row r="27" spans="2:10" x14ac:dyDescent="0.35">
      <c r="B27" t="s">
        <v>20</v>
      </c>
      <c r="C27" s="7" t="str">
        <f>+C9</f>
        <v>3/15/20XX</v>
      </c>
      <c r="D27" t="str">
        <f>+D9</f>
        <v>(6 months)</v>
      </c>
      <c r="G27" t="s">
        <v>20</v>
      </c>
      <c r="H27" s="7" t="str">
        <f>+C9</f>
        <v>3/15/20XX</v>
      </c>
      <c r="I27" t="str">
        <f>+D9</f>
        <v>(6 months)</v>
      </c>
    </row>
    <row r="28" spans="2:10" x14ac:dyDescent="0.35">
      <c r="B28" t="s">
        <v>23</v>
      </c>
      <c r="C28" s="7" t="s">
        <v>24</v>
      </c>
      <c r="G28" t="s">
        <v>23</v>
      </c>
      <c r="H28" s="7" t="s">
        <v>24</v>
      </c>
    </row>
    <row r="30" spans="2:10" ht="18.5" x14ac:dyDescent="0.45">
      <c r="B30" s="20" t="str">
        <f>+C22</f>
        <v>Bread Company</v>
      </c>
      <c r="G30" s="20" t="str">
        <f>+H22</f>
        <v>Wheat Farms Inc.</v>
      </c>
    </row>
    <row r="31" spans="2:10" ht="18" customHeight="1" x14ac:dyDescent="0.35">
      <c r="B31" s="18" t="s">
        <v>45</v>
      </c>
      <c r="C31" s="438" t="s">
        <v>34</v>
      </c>
      <c r="D31" s="439"/>
      <c r="E31" s="439"/>
      <c r="G31" s="18" t="s">
        <v>45</v>
      </c>
      <c r="H31" s="438" t="s">
        <v>34</v>
      </c>
      <c r="I31" s="439"/>
      <c r="J31" s="439"/>
    </row>
    <row r="32" spans="2:10" ht="18" customHeight="1" x14ac:dyDescent="0.35">
      <c r="B32" t="s">
        <v>37</v>
      </c>
      <c r="C32" s="22">
        <v>-0.5</v>
      </c>
      <c r="D32" s="22">
        <v>0</v>
      </c>
      <c r="E32" s="23">
        <f>-C32</f>
        <v>0.5</v>
      </c>
      <c r="G32" t="s">
        <v>37</v>
      </c>
      <c r="H32" s="22">
        <v>-0.5</v>
      </c>
      <c r="I32" s="22">
        <v>0</v>
      </c>
      <c r="J32" s="23">
        <f>-H32</f>
        <v>0.5</v>
      </c>
    </row>
    <row r="33" spans="2:13" ht="15" thickBot="1" x14ac:dyDescent="0.4">
      <c r="B33" t="s">
        <v>49</v>
      </c>
      <c r="C33" s="19">
        <f>+D33+C32</f>
        <v>8.69</v>
      </c>
      <c r="D33" s="19">
        <f>+C26</f>
        <v>9.19</v>
      </c>
      <c r="E33" s="25">
        <f>+D33+E32</f>
        <v>9.69</v>
      </c>
      <c r="G33" t="s">
        <v>49</v>
      </c>
      <c r="H33" s="19">
        <f>+I33+H32</f>
        <v>8.69</v>
      </c>
      <c r="I33" s="19">
        <f>+H26</f>
        <v>9.19</v>
      </c>
      <c r="J33" s="25">
        <f>+I33+J32</f>
        <v>9.69</v>
      </c>
    </row>
    <row r="34" spans="2:13" x14ac:dyDescent="0.35">
      <c r="B34" t="s">
        <v>47</v>
      </c>
      <c r="C34" s="243">
        <f>-C33*$C$24</f>
        <v>-8690000</v>
      </c>
      <c r="D34" s="9">
        <f>-D33*$C$24</f>
        <v>-9190000</v>
      </c>
      <c r="E34" s="9">
        <f>-E33*$C$24</f>
        <v>-9690000</v>
      </c>
      <c r="G34" t="s">
        <v>48</v>
      </c>
      <c r="H34" s="9">
        <f>+H33*$H$24</f>
        <v>8690000</v>
      </c>
      <c r="I34" s="9">
        <f>+I33*$H$24</f>
        <v>9190000</v>
      </c>
      <c r="J34" s="9">
        <f>+J33*$H$24</f>
        <v>9690000</v>
      </c>
      <c r="M34" s="9"/>
    </row>
    <row r="35" spans="2:13" x14ac:dyDescent="0.35">
      <c r="B35" s="10" t="s">
        <v>35</v>
      </c>
      <c r="C35" s="9">
        <f>C32*$C$24</f>
        <v>-500000</v>
      </c>
      <c r="D35" s="9">
        <f>D32*$C$24</f>
        <v>0</v>
      </c>
      <c r="E35" s="9">
        <f>E32*$C$24</f>
        <v>500000</v>
      </c>
      <c r="G35" s="10" t="s">
        <v>35</v>
      </c>
      <c r="H35" s="9">
        <f>-$H$24*H32</f>
        <v>500000</v>
      </c>
      <c r="I35" s="9">
        <f>-$H$24*I32</f>
        <v>0</v>
      </c>
      <c r="J35" s="9">
        <f>-$H$24*J32</f>
        <v>-500000</v>
      </c>
      <c r="M35" s="9"/>
    </row>
    <row r="36" spans="2:13" ht="15" thickBot="1" x14ac:dyDescent="0.4">
      <c r="B36" t="s">
        <v>36</v>
      </c>
      <c r="C36" s="11">
        <f>+C35+C34</f>
        <v>-9190000</v>
      </c>
      <c r="D36" s="11">
        <f t="shared" ref="D36:E36" si="0">+D35+D34</f>
        <v>-9190000</v>
      </c>
      <c r="E36" s="11">
        <f t="shared" si="0"/>
        <v>-9190000</v>
      </c>
      <c r="G36" t="s">
        <v>11</v>
      </c>
      <c r="H36" s="11">
        <f>SUM(H34:H35)</f>
        <v>9190000</v>
      </c>
      <c r="I36" s="11">
        <f t="shared" ref="I36:J36" si="1">SUM(I34:I35)</f>
        <v>9190000</v>
      </c>
      <c r="J36" s="11">
        <f t="shared" si="1"/>
        <v>9190000</v>
      </c>
    </row>
    <row r="37" spans="2:13" ht="15" thickTop="1" x14ac:dyDescent="0.35">
      <c r="G37" s="9"/>
    </row>
    <row r="38" spans="2:13" x14ac:dyDescent="0.35">
      <c r="G38" s="9"/>
    </row>
    <row r="39" spans="2:13" x14ac:dyDescent="0.35">
      <c r="D39" s="24" t="s">
        <v>46</v>
      </c>
      <c r="G39" s="9"/>
      <c r="I39" s="24" t="s">
        <v>46</v>
      </c>
    </row>
    <row r="40" spans="2:13" x14ac:dyDescent="0.35">
      <c r="D40" s="24"/>
      <c r="G40" s="9"/>
      <c r="I40" s="24"/>
    </row>
    <row r="41" spans="2:13" x14ac:dyDescent="0.35">
      <c r="J41" s="7" t="s">
        <v>42</v>
      </c>
    </row>
  </sheetData>
  <mergeCells count="4">
    <mergeCell ref="B18:J18"/>
    <mergeCell ref="C31:E31"/>
    <mergeCell ref="H31:J31"/>
    <mergeCell ref="B3:J3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DE8B6E-72DD-4279-8DC5-53E3F28BA9AD}">
  <dimension ref="A1:G24"/>
  <sheetViews>
    <sheetView workbookViewId="0">
      <selection activeCell="B11" sqref="B11"/>
    </sheetView>
  </sheetViews>
  <sheetFormatPr defaultRowHeight="14.5" x14ac:dyDescent="0.35"/>
  <cols>
    <col min="1" max="1" width="4.36328125" customWidth="1"/>
    <col min="2" max="2" width="21.36328125" customWidth="1"/>
    <col min="3" max="3" width="11" customWidth="1"/>
    <col min="4" max="4" width="11.90625" customWidth="1"/>
    <col min="5" max="5" width="22.90625" customWidth="1"/>
    <col min="6" max="6" width="12.08984375" customWidth="1"/>
    <col min="7" max="7" width="34.26953125" customWidth="1"/>
  </cols>
  <sheetData>
    <row r="1" spans="1:7" x14ac:dyDescent="0.35">
      <c r="A1" s="226"/>
      <c r="B1" s="227" t="s">
        <v>284</v>
      </c>
      <c r="C1" s="227" t="s">
        <v>285</v>
      </c>
      <c r="D1" s="227" t="s">
        <v>286</v>
      </c>
      <c r="E1" s="227" t="s">
        <v>287</v>
      </c>
      <c r="F1" s="227" t="s">
        <v>288</v>
      </c>
      <c r="G1" s="227" t="s">
        <v>289</v>
      </c>
    </row>
    <row r="2" spans="1:7" ht="18.5" x14ac:dyDescent="0.45">
      <c r="A2" s="227">
        <f>ROW()</f>
        <v>2</v>
      </c>
      <c r="B2" s="20" t="s">
        <v>353</v>
      </c>
      <c r="E2" s="27"/>
    </row>
    <row r="3" spans="1:7" x14ac:dyDescent="0.35">
      <c r="A3" s="227">
        <f>ROW()</f>
        <v>3</v>
      </c>
      <c r="E3" s="27"/>
    </row>
    <row r="4" spans="1:7" x14ac:dyDescent="0.35">
      <c r="A4" s="227">
        <f>ROW()</f>
        <v>4</v>
      </c>
      <c r="B4" s="217" t="s">
        <v>297</v>
      </c>
      <c r="C4" s="217"/>
      <c r="D4" s="217"/>
      <c r="E4" s="234"/>
      <c r="F4" s="217"/>
      <c r="G4" s="217"/>
    </row>
    <row r="5" spans="1:7" x14ac:dyDescent="0.35">
      <c r="A5" s="227">
        <f>ROW()</f>
        <v>5</v>
      </c>
      <c r="B5" s="26" t="s">
        <v>394</v>
      </c>
      <c r="C5" s="232">
        <v>10000000</v>
      </c>
      <c r="E5" s="27"/>
    </row>
    <row r="6" spans="1:7" x14ac:dyDescent="0.35">
      <c r="A6" s="227">
        <f>ROW()</f>
        <v>6</v>
      </c>
      <c r="B6" s="26" t="s">
        <v>356</v>
      </c>
      <c r="C6" s="108">
        <v>0.115</v>
      </c>
      <c r="D6" t="s">
        <v>357</v>
      </c>
      <c r="E6" s="27"/>
    </row>
    <row r="7" spans="1:7" x14ac:dyDescent="0.35">
      <c r="A7" s="227">
        <f>ROW()</f>
        <v>7</v>
      </c>
      <c r="B7" s="26" t="s">
        <v>395</v>
      </c>
      <c r="C7" s="108">
        <v>0.12</v>
      </c>
      <c r="E7" s="27"/>
    </row>
    <row r="8" spans="1:7" x14ac:dyDescent="0.35">
      <c r="A8" s="227">
        <f>ROW()</f>
        <v>8</v>
      </c>
      <c r="B8" s="233" t="s">
        <v>396</v>
      </c>
      <c r="C8" s="108">
        <v>0.1328</v>
      </c>
      <c r="E8" s="27"/>
    </row>
    <row r="9" spans="1:7" x14ac:dyDescent="0.35">
      <c r="A9" s="227">
        <f>ROW()</f>
        <v>9</v>
      </c>
      <c r="B9" s="233" t="s">
        <v>397</v>
      </c>
      <c r="C9" s="108">
        <v>0.14510000000000001</v>
      </c>
      <c r="E9" s="27"/>
    </row>
    <row r="10" spans="1:7" x14ac:dyDescent="0.35">
      <c r="A10" s="227">
        <f>ROW()</f>
        <v>10</v>
      </c>
      <c r="E10" s="27"/>
    </row>
    <row r="11" spans="1:7" x14ac:dyDescent="0.35">
      <c r="A11" s="227">
        <f>ROW()</f>
        <v>11</v>
      </c>
      <c r="B11" s="217" t="s">
        <v>337</v>
      </c>
      <c r="C11" s="169"/>
      <c r="D11" s="169"/>
      <c r="E11" s="218"/>
      <c r="F11" s="169"/>
      <c r="G11" s="169"/>
    </row>
    <row r="12" spans="1:7" s="103" customFormat="1" ht="29.5" thickBot="1" x14ac:dyDescent="0.4">
      <c r="A12" s="227">
        <f>ROW()</f>
        <v>12</v>
      </c>
      <c r="B12" s="228" t="s">
        <v>393</v>
      </c>
      <c r="C12" s="228" t="s">
        <v>392</v>
      </c>
      <c r="D12" s="228" t="s">
        <v>354</v>
      </c>
      <c r="F12" s="228" t="s">
        <v>355</v>
      </c>
    </row>
    <row r="13" spans="1:7" x14ac:dyDescent="0.35">
      <c r="A13" s="227">
        <f>ROW()</f>
        <v>13</v>
      </c>
      <c r="B13" s="27">
        <v>360</v>
      </c>
      <c r="C13" s="108">
        <f>+C7</f>
        <v>0.12</v>
      </c>
      <c r="D13" s="10">
        <f>1/(1+(C13*(B13/360)))</f>
        <v>0.89285714285714279</v>
      </c>
      <c r="E13" s="238" t="s">
        <v>400</v>
      </c>
      <c r="F13" s="229">
        <f>+((1-D13)/SUM($D$13:D13))*360/360</f>
        <v>0.12000000000000009</v>
      </c>
      <c r="G13" s="230" t="s">
        <v>403</v>
      </c>
    </row>
    <row r="14" spans="1:7" x14ac:dyDescent="0.35">
      <c r="A14" s="227">
        <f>ROW()</f>
        <v>14</v>
      </c>
      <c r="B14" s="27">
        <f>+B13+360</f>
        <v>720</v>
      </c>
      <c r="C14" s="108">
        <f t="shared" ref="C14:C15" si="0">+C8</f>
        <v>0.1328</v>
      </c>
      <c r="D14" s="10">
        <f>1/(1+(C14*(B14/360)))</f>
        <v>0.79013906447534765</v>
      </c>
      <c r="E14" s="238" t="s">
        <v>401</v>
      </c>
      <c r="F14" s="229">
        <f>+((1-D14)/SUM($D$13:D14))*360/360</f>
        <v>0.12469483568075118</v>
      </c>
      <c r="G14" s="230" t="s">
        <v>404</v>
      </c>
    </row>
    <row r="15" spans="1:7" x14ac:dyDescent="0.35">
      <c r="A15" s="227">
        <f>ROW()</f>
        <v>15</v>
      </c>
      <c r="B15" s="27">
        <f>+B14+360</f>
        <v>1080</v>
      </c>
      <c r="C15" s="108">
        <f t="shared" si="0"/>
        <v>0.14510000000000001</v>
      </c>
      <c r="D15" s="10">
        <f>1/(1+(C15*(B15/360)))</f>
        <v>0.6967184560719013</v>
      </c>
      <c r="E15" s="238" t="s">
        <v>402</v>
      </c>
      <c r="F15" s="229">
        <f>+((1-D15)/SUM($D$13:D15))*360/360</f>
        <v>0.12744449937297428</v>
      </c>
      <c r="G15" s="230" t="s">
        <v>405</v>
      </c>
    </row>
    <row r="16" spans="1:7" x14ac:dyDescent="0.35">
      <c r="A16" s="227">
        <f>ROW()</f>
        <v>16</v>
      </c>
      <c r="E16" s="239"/>
      <c r="G16" s="27"/>
    </row>
    <row r="17" spans="1:7" x14ac:dyDescent="0.35">
      <c r="A17" s="227">
        <f>ROW()</f>
        <v>17</v>
      </c>
      <c r="B17" t="s">
        <v>398</v>
      </c>
      <c r="D17" s="235">
        <f>+F15</f>
        <v>0.12744449937297428</v>
      </c>
      <c r="E17" s="240" t="s">
        <v>406</v>
      </c>
      <c r="F17" t="s">
        <v>358</v>
      </c>
    </row>
    <row r="18" spans="1:7" x14ac:dyDescent="0.35">
      <c r="A18" s="227">
        <f>ROW()</f>
        <v>18</v>
      </c>
      <c r="B18" t="s">
        <v>399</v>
      </c>
      <c r="D18" s="235">
        <f>-C6</f>
        <v>-0.115</v>
      </c>
      <c r="E18" s="240" t="s">
        <v>407</v>
      </c>
    </row>
    <row r="19" spans="1:7" ht="15" thickBot="1" x14ac:dyDescent="0.4">
      <c r="A19" s="227">
        <f>ROW()</f>
        <v>19</v>
      </c>
      <c r="B19" t="s">
        <v>359</v>
      </c>
      <c r="D19" s="236">
        <f>+D17+D18</f>
        <v>1.2444499372974274E-2</v>
      </c>
      <c r="E19" s="241" t="s">
        <v>408</v>
      </c>
    </row>
    <row r="20" spans="1:7" x14ac:dyDescent="0.35">
      <c r="A20" s="227">
        <f>ROW()</f>
        <v>20</v>
      </c>
      <c r="E20" s="239"/>
    </row>
    <row r="21" spans="1:7" ht="15" thickBot="1" x14ac:dyDescent="0.4">
      <c r="A21" s="227">
        <f>ROW()</f>
        <v>21</v>
      </c>
      <c r="B21" t="s">
        <v>360</v>
      </c>
      <c r="D21" s="231">
        <f>+C5*D19</f>
        <v>124444.99372974274</v>
      </c>
      <c r="E21" s="242" t="s">
        <v>409</v>
      </c>
      <c r="F21" t="s">
        <v>361</v>
      </c>
    </row>
    <row r="22" spans="1:7" ht="15" thickBot="1" x14ac:dyDescent="0.4">
      <c r="A22" s="227">
        <f>ROW()</f>
        <v>22</v>
      </c>
      <c r="B22" t="s">
        <v>362</v>
      </c>
      <c r="D22" s="237">
        <f>+D21*(D13+D14+D15)</f>
        <v>296143.57636593637</v>
      </c>
      <c r="E22" s="242" t="s">
        <v>410</v>
      </c>
      <c r="F22" t="s">
        <v>363</v>
      </c>
    </row>
    <row r="23" spans="1:7" x14ac:dyDescent="0.35">
      <c r="A23" s="227">
        <f>ROW()</f>
        <v>23</v>
      </c>
    </row>
    <row r="24" spans="1:7" x14ac:dyDescent="0.35">
      <c r="F24" s="7"/>
      <c r="G24" s="7" t="s">
        <v>416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26D402-5A32-4829-BA64-E031B862311E}">
  <dimension ref="B2:H27"/>
  <sheetViews>
    <sheetView showGridLines="0" workbookViewId="0">
      <selection activeCell="B8" sqref="B8:H27"/>
    </sheetView>
  </sheetViews>
  <sheetFormatPr defaultRowHeight="14.5" x14ac:dyDescent="0.35"/>
  <cols>
    <col min="2" max="2" width="11.36328125" customWidth="1"/>
    <col min="3" max="3" width="12.36328125" customWidth="1"/>
    <col min="4" max="4" width="12.7265625" customWidth="1"/>
    <col min="5" max="5" width="14.90625" customWidth="1"/>
    <col min="6" max="6" width="13.26953125" customWidth="1"/>
    <col min="7" max="7" width="12.26953125" customWidth="1"/>
    <col min="8" max="8" width="13" customWidth="1"/>
    <col min="9" max="9" width="3.08984375" customWidth="1"/>
  </cols>
  <sheetData>
    <row r="2" spans="2:8" ht="18.5" x14ac:dyDescent="0.45">
      <c r="B2" s="191" t="s">
        <v>345</v>
      </c>
    </row>
    <row r="3" spans="2:8" ht="18.5" x14ac:dyDescent="0.45">
      <c r="B3" s="191"/>
    </row>
    <row r="4" spans="2:8" x14ac:dyDescent="0.35">
      <c r="B4" s="197" t="s">
        <v>346</v>
      </c>
      <c r="C4" s="202"/>
      <c r="D4" s="198">
        <v>10000000</v>
      </c>
    </row>
    <row r="5" spans="2:8" x14ac:dyDescent="0.35">
      <c r="B5" s="197" t="s">
        <v>347</v>
      </c>
      <c r="C5" s="204"/>
      <c r="D5" s="199">
        <v>0.03</v>
      </c>
    </row>
    <row r="6" spans="2:8" x14ac:dyDescent="0.35">
      <c r="B6" s="201" t="s">
        <v>365</v>
      </c>
      <c r="C6" s="200"/>
      <c r="D6" s="203">
        <v>0.03</v>
      </c>
    </row>
    <row r="8" spans="2:8" s="171" customFormat="1" ht="72.5" x14ac:dyDescent="0.35">
      <c r="B8" s="192" t="s">
        <v>695</v>
      </c>
      <c r="C8" s="192" t="s">
        <v>348</v>
      </c>
      <c r="D8" s="192" t="s">
        <v>364</v>
      </c>
      <c r="E8" s="192" t="s">
        <v>349</v>
      </c>
      <c r="F8" s="192" t="s">
        <v>350</v>
      </c>
      <c r="G8" s="192" t="s">
        <v>351</v>
      </c>
      <c r="H8" s="192" t="s">
        <v>352</v>
      </c>
    </row>
    <row r="9" spans="2:8" x14ac:dyDescent="0.35">
      <c r="B9" s="193">
        <v>0.01</v>
      </c>
      <c r="C9" s="206">
        <f t="shared" ref="C9:C25" si="0">+$D$4*(((B9-$D$6)*(90/360)/(1+(B9*(90/360)))))</f>
        <v>-49875.31172069825</v>
      </c>
      <c r="D9" s="206">
        <f t="shared" ref="D9:D25" si="1">+C9*(1+(B9*(90/360)))</f>
        <v>-49999.999999999993</v>
      </c>
      <c r="E9" s="194">
        <f t="shared" ref="E9:E25" si="2">+$D$4*((1+(B9+$D$5)*(90/360)))</f>
        <v>10100000</v>
      </c>
      <c r="F9" s="195">
        <f t="shared" ref="F9:F25" si="3">+E9-D9</f>
        <v>10150000</v>
      </c>
      <c r="G9" s="205">
        <f t="shared" ref="G9:G25" si="4">+((F9/$D$4)^(365/90))-1</f>
        <v>6.2241815502312781E-2</v>
      </c>
      <c r="H9" s="205">
        <f t="shared" ref="H9:H25" si="5">+((E9/$D$4)^(365/90))-1</f>
        <v>4.1179410924314874E-2</v>
      </c>
    </row>
    <row r="10" spans="2:8" x14ac:dyDescent="0.35">
      <c r="B10" s="196">
        <f>+B9+0.005</f>
        <v>1.4999999999999999E-2</v>
      </c>
      <c r="C10" s="206">
        <f t="shared" si="0"/>
        <v>-37359.900373599005</v>
      </c>
      <c r="D10" s="206">
        <f t="shared" si="1"/>
        <v>-37500</v>
      </c>
      <c r="E10" s="194">
        <f t="shared" si="2"/>
        <v>10112500</v>
      </c>
      <c r="F10" s="195">
        <f t="shared" si="3"/>
        <v>10150000</v>
      </c>
      <c r="G10" s="205">
        <f t="shared" si="4"/>
        <v>6.2241815502312781E-2</v>
      </c>
      <c r="H10" s="205">
        <f t="shared" si="5"/>
        <v>4.6415242353421426E-2</v>
      </c>
    </row>
    <row r="11" spans="2:8" x14ac:dyDescent="0.35">
      <c r="B11" s="196">
        <f t="shared" ref="B11:B25" si="6">+B10+0.005</f>
        <v>0.02</v>
      </c>
      <c r="C11" s="206">
        <f t="shared" si="0"/>
        <v>-24875.621890547263</v>
      </c>
      <c r="D11" s="206">
        <f t="shared" si="1"/>
        <v>-24999.999999999996</v>
      </c>
      <c r="E11" s="194">
        <f t="shared" si="2"/>
        <v>10125000</v>
      </c>
      <c r="F11" s="195">
        <f t="shared" si="3"/>
        <v>10150000</v>
      </c>
      <c r="G11" s="205">
        <f t="shared" si="4"/>
        <v>6.2241815502312781E-2</v>
      </c>
      <c r="H11" s="205">
        <f t="shared" si="5"/>
        <v>5.1670886665450722E-2</v>
      </c>
    </row>
    <row r="12" spans="2:8" x14ac:dyDescent="0.35">
      <c r="B12" s="196">
        <f t="shared" si="6"/>
        <v>2.5000000000000001E-2</v>
      </c>
      <c r="C12" s="206">
        <f t="shared" si="0"/>
        <v>-12422.360248447198</v>
      </c>
      <c r="D12" s="206">
        <f t="shared" si="1"/>
        <v>-12499.999999999995</v>
      </c>
      <c r="E12" s="194">
        <f t="shared" si="2"/>
        <v>10137500</v>
      </c>
      <c r="F12" s="195">
        <f t="shared" si="3"/>
        <v>10150000</v>
      </c>
      <c r="G12" s="205">
        <f t="shared" si="4"/>
        <v>6.2241815502312781E-2</v>
      </c>
      <c r="H12" s="205">
        <f t="shared" si="5"/>
        <v>5.6946394234989484E-2</v>
      </c>
    </row>
    <row r="13" spans="2:8" x14ac:dyDescent="0.35">
      <c r="B13" s="196">
        <f t="shared" si="6"/>
        <v>3.0000000000000002E-2</v>
      </c>
      <c r="C13" s="206">
        <f t="shared" si="0"/>
        <v>8.6090495085697613E-12</v>
      </c>
      <c r="D13" s="206">
        <f t="shared" si="1"/>
        <v>8.6736173798840355E-12</v>
      </c>
      <c r="E13" s="194">
        <f t="shared" si="2"/>
        <v>10149999.999999998</v>
      </c>
      <c r="F13" s="195">
        <f t="shared" si="3"/>
        <v>10149999.999999998</v>
      </c>
      <c r="G13" s="205">
        <f t="shared" si="4"/>
        <v>6.2241815502312781E-2</v>
      </c>
      <c r="H13" s="205">
        <f t="shared" si="5"/>
        <v>6.2241815502312781E-2</v>
      </c>
    </row>
    <row r="14" spans="2:8" x14ac:dyDescent="0.35">
      <c r="B14" s="196">
        <f t="shared" si="6"/>
        <v>3.5000000000000003E-2</v>
      </c>
      <c r="C14" s="206">
        <f t="shared" si="0"/>
        <v>12391.573729863703</v>
      </c>
      <c r="D14" s="206">
        <f t="shared" si="1"/>
        <v>12500.000000000011</v>
      </c>
      <c r="E14" s="194">
        <f t="shared" si="2"/>
        <v>10162500.000000002</v>
      </c>
      <c r="F14" s="195">
        <f t="shared" si="3"/>
        <v>10150000.000000002</v>
      </c>
      <c r="G14" s="205">
        <f t="shared" si="4"/>
        <v>6.2241815502313669E-2</v>
      </c>
      <c r="H14" s="205">
        <f t="shared" si="5"/>
        <v>6.7557200973390019E-2</v>
      </c>
    </row>
    <row r="15" spans="2:8" x14ac:dyDescent="0.35">
      <c r="B15" s="196">
        <f t="shared" si="6"/>
        <v>0.04</v>
      </c>
      <c r="C15" s="206">
        <f t="shared" si="0"/>
        <v>24752.475247524759</v>
      </c>
      <c r="D15" s="206">
        <f t="shared" si="1"/>
        <v>25000.000000000007</v>
      </c>
      <c r="E15" s="194">
        <f t="shared" si="2"/>
        <v>10175000</v>
      </c>
      <c r="F15" s="195">
        <f t="shared" si="3"/>
        <v>10150000</v>
      </c>
      <c r="G15" s="205">
        <f t="shared" si="4"/>
        <v>6.2241815502312781E-2</v>
      </c>
      <c r="H15" s="205">
        <f t="shared" si="5"/>
        <v>7.2892601219885167E-2</v>
      </c>
    </row>
    <row r="16" spans="2:8" x14ac:dyDescent="0.35">
      <c r="B16" s="196">
        <f t="shared" si="6"/>
        <v>4.4999999999999998E-2</v>
      </c>
      <c r="C16" s="206">
        <f t="shared" si="0"/>
        <v>37082.818294190358</v>
      </c>
      <c r="D16" s="206">
        <f t="shared" si="1"/>
        <v>37500</v>
      </c>
      <c r="E16" s="194">
        <f t="shared" si="2"/>
        <v>10187500</v>
      </c>
      <c r="F16" s="195">
        <f t="shared" si="3"/>
        <v>10150000</v>
      </c>
      <c r="G16" s="205">
        <f t="shared" si="4"/>
        <v>6.2241815502312781E-2</v>
      </c>
      <c r="H16" s="205">
        <f t="shared" si="5"/>
        <v>7.8248066879167855E-2</v>
      </c>
    </row>
    <row r="17" spans="2:8" x14ac:dyDescent="0.35">
      <c r="B17" s="196">
        <f t="shared" si="6"/>
        <v>4.9999999999999996E-2</v>
      </c>
      <c r="C17" s="206">
        <f t="shared" si="0"/>
        <v>49382.716049382703</v>
      </c>
      <c r="D17" s="206">
        <f t="shared" si="1"/>
        <v>49999.999999999985</v>
      </c>
      <c r="E17" s="194">
        <f t="shared" si="2"/>
        <v>10200000</v>
      </c>
      <c r="F17" s="195">
        <f t="shared" si="3"/>
        <v>10150000</v>
      </c>
      <c r="G17" s="205">
        <f t="shared" si="4"/>
        <v>6.2241815502312781E-2</v>
      </c>
      <c r="H17" s="205">
        <f t="shared" si="5"/>
        <v>8.362364865431271E-2</v>
      </c>
    </row>
    <row r="18" spans="2:8" x14ac:dyDescent="0.35">
      <c r="B18" s="196">
        <f t="shared" si="6"/>
        <v>5.4999999999999993E-2</v>
      </c>
      <c r="C18" s="206">
        <f t="shared" si="0"/>
        <v>61652.281134401965</v>
      </c>
      <c r="D18" s="206">
        <f t="shared" si="1"/>
        <v>62499.999999999985</v>
      </c>
      <c r="E18" s="194">
        <f t="shared" si="2"/>
        <v>10212500</v>
      </c>
      <c r="F18" s="195">
        <f t="shared" si="3"/>
        <v>10150000</v>
      </c>
      <c r="G18" s="205">
        <f t="shared" si="4"/>
        <v>6.2241815502312781E-2</v>
      </c>
      <c r="H18" s="205">
        <f t="shared" si="5"/>
        <v>8.9019397314106019E-2</v>
      </c>
    </row>
    <row r="19" spans="2:8" x14ac:dyDescent="0.35">
      <c r="B19" s="196">
        <f t="shared" si="6"/>
        <v>5.9999999999999991E-2</v>
      </c>
      <c r="C19" s="206">
        <f t="shared" si="0"/>
        <v>73891.625615763536</v>
      </c>
      <c r="D19" s="206">
        <f t="shared" si="1"/>
        <v>74999.999999999985</v>
      </c>
      <c r="E19" s="194">
        <f t="shared" si="2"/>
        <v>10225000</v>
      </c>
      <c r="F19" s="195">
        <f t="shared" si="3"/>
        <v>10150000</v>
      </c>
      <c r="G19" s="205">
        <f t="shared" si="4"/>
        <v>6.2241815502312781E-2</v>
      </c>
      <c r="H19" s="205">
        <f t="shared" si="5"/>
        <v>9.4435363693049279E-2</v>
      </c>
    </row>
    <row r="20" spans="2:8" x14ac:dyDescent="0.35">
      <c r="B20" s="196">
        <f t="shared" si="6"/>
        <v>6.4999999999999988E-2</v>
      </c>
      <c r="C20" s="206">
        <f t="shared" si="0"/>
        <v>86100.861008610053</v>
      </c>
      <c r="D20" s="206">
        <f t="shared" si="1"/>
        <v>87499.999999999971</v>
      </c>
      <c r="E20" s="194">
        <f t="shared" si="2"/>
        <v>10237500</v>
      </c>
      <c r="F20" s="195">
        <f t="shared" si="3"/>
        <v>10150000</v>
      </c>
      <c r="G20" s="205">
        <f t="shared" si="4"/>
        <v>6.2241815502312781E-2</v>
      </c>
      <c r="H20" s="205">
        <f t="shared" si="5"/>
        <v>9.9871598691364527E-2</v>
      </c>
    </row>
    <row r="21" spans="2:8" x14ac:dyDescent="0.35">
      <c r="B21" s="196">
        <f t="shared" si="6"/>
        <v>6.9999999999999993E-2</v>
      </c>
      <c r="C21" s="206">
        <f t="shared" si="0"/>
        <v>98280.09828009826</v>
      </c>
      <c r="D21" s="206">
        <f t="shared" si="1"/>
        <v>99999.999999999985</v>
      </c>
      <c r="E21" s="194">
        <f t="shared" si="2"/>
        <v>10250000</v>
      </c>
      <c r="F21" s="195">
        <f t="shared" si="3"/>
        <v>10150000</v>
      </c>
      <c r="G21" s="205">
        <f t="shared" si="4"/>
        <v>6.2241815502312781E-2</v>
      </c>
      <c r="H21" s="205">
        <f t="shared" si="5"/>
        <v>0.10532815327499789</v>
      </c>
    </row>
    <row r="22" spans="2:8" x14ac:dyDescent="0.35">
      <c r="B22" s="196">
        <f t="shared" si="6"/>
        <v>7.4999999999999997E-2</v>
      </c>
      <c r="C22" s="206">
        <f t="shared" si="0"/>
        <v>110429.44785276073</v>
      </c>
      <c r="D22" s="206">
        <f t="shared" si="1"/>
        <v>112500</v>
      </c>
      <c r="E22" s="194">
        <f t="shared" si="2"/>
        <v>10262500.000000002</v>
      </c>
      <c r="F22" s="195">
        <f t="shared" si="3"/>
        <v>10150000.000000002</v>
      </c>
      <c r="G22" s="205">
        <f t="shared" si="4"/>
        <v>6.2241815502313669E-2</v>
      </c>
      <c r="H22" s="205">
        <f t="shared" si="5"/>
        <v>0.11080507847562626</v>
      </c>
    </row>
    <row r="23" spans="2:8" x14ac:dyDescent="0.35">
      <c r="B23" s="196">
        <f t="shared" si="6"/>
        <v>0.08</v>
      </c>
      <c r="C23" s="206">
        <f t="shared" si="0"/>
        <v>122549.01960784313</v>
      </c>
      <c r="D23" s="206">
        <f t="shared" si="1"/>
        <v>125000</v>
      </c>
      <c r="E23" s="194">
        <f t="shared" si="2"/>
        <v>10275000</v>
      </c>
      <c r="F23" s="195">
        <f t="shared" si="3"/>
        <v>10150000</v>
      </c>
      <c r="G23" s="205">
        <f t="shared" si="4"/>
        <v>6.2241815502312781E-2</v>
      </c>
      <c r="H23" s="205">
        <f t="shared" si="5"/>
        <v>0.11630242539065616</v>
      </c>
    </row>
    <row r="24" spans="2:8" x14ac:dyDescent="0.35">
      <c r="B24" s="196">
        <f t="shared" si="6"/>
        <v>8.5000000000000006E-2</v>
      </c>
      <c r="C24" s="206">
        <f t="shared" si="0"/>
        <v>134638.92288861691</v>
      </c>
      <c r="D24" s="206">
        <f t="shared" si="1"/>
        <v>137500.00000000003</v>
      </c>
      <c r="E24" s="194">
        <f t="shared" si="2"/>
        <v>10287500</v>
      </c>
      <c r="F24" s="195">
        <f t="shared" si="3"/>
        <v>10150000</v>
      </c>
      <c r="G24" s="205">
        <f t="shared" si="4"/>
        <v>6.2241815502312781E-2</v>
      </c>
      <c r="H24" s="205">
        <f t="shared" si="5"/>
        <v>0.12182024518323553</v>
      </c>
    </row>
    <row r="25" spans="2:8" x14ac:dyDescent="0.35">
      <c r="B25" s="196">
        <f t="shared" si="6"/>
        <v>9.0000000000000011E-2</v>
      </c>
      <c r="C25" s="206">
        <f t="shared" si="0"/>
        <v>146699.26650366752</v>
      </c>
      <c r="D25" s="206">
        <f t="shared" si="1"/>
        <v>150000.00000000003</v>
      </c>
      <c r="E25" s="194">
        <f t="shared" si="2"/>
        <v>10300000</v>
      </c>
      <c r="F25" s="195">
        <f t="shared" si="3"/>
        <v>10150000</v>
      </c>
      <c r="G25" s="205">
        <f t="shared" si="4"/>
        <v>6.2241815502312781E-2</v>
      </c>
      <c r="H25" s="205">
        <f t="shared" si="5"/>
        <v>0.12735858908225395</v>
      </c>
    </row>
    <row r="27" spans="2:8" x14ac:dyDescent="0.35">
      <c r="H27" s="7" t="s">
        <v>367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E80BE5-21CE-450D-BEAA-496C96B59951}">
  <dimension ref="A1:N37"/>
  <sheetViews>
    <sheetView showGridLines="0" tabSelected="1" workbookViewId="0">
      <selection activeCell="B2" sqref="B2:E18"/>
    </sheetView>
  </sheetViews>
  <sheetFormatPr defaultRowHeight="14.5" x14ac:dyDescent="0.35"/>
  <cols>
    <col min="1" max="1" width="5.08984375" customWidth="1"/>
    <col min="2" max="2" width="31.453125" customWidth="1"/>
    <col min="3" max="3" width="20.90625" style="27" customWidth="1"/>
    <col min="4" max="4" width="12.90625" style="182" customWidth="1"/>
    <col min="5" max="5" width="26" customWidth="1"/>
    <col min="6" max="6" width="15.08984375" customWidth="1"/>
    <col min="7" max="7" width="10.36328125" customWidth="1"/>
    <col min="8" max="8" width="3" customWidth="1"/>
  </cols>
  <sheetData>
    <row r="1" spans="1:13" x14ac:dyDescent="0.35">
      <c r="A1" s="207"/>
      <c r="B1" s="207" t="s">
        <v>284</v>
      </c>
      <c r="C1" s="207" t="s">
        <v>285</v>
      </c>
      <c r="D1" s="168" t="s">
        <v>286</v>
      </c>
      <c r="E1" s="207" t="s">
        <v>287</v>
      </c>
    </row>
    <row r="2" spans="1:13" ht="23.5" x14ac:dyDescent="0.55000000000000004">
      <c r="A2" s="208">
        <f>ROW()</f>
        <v>2</v>
      </c>
      <c r="B2" s="30" t="s">
        <v>319</v>
      </c>
    </row>
    <row r="3" spans="1:13" x14ac:dyDescent="0.35">
      <c r="A3" s="208">
        <f>ROW()</f>
        <v>3</v>
      </c>
    </row>
    <row r="4" spans="1:13" x14ac:dyDescent="0.35">
      <c r="A4" s="208">
        <f>ROW()</f>
        <v>4</v>
      </c>
      <c r="B4" s="217" t="s">
        <v>320</v>
      </c>
      <c r="C4" s="218"/>
      <c r="D4" s="219"/>
      <c r="E4" s="169"/>
    </row>
    <row r="5" spans="1:13" x14ac:dyDescent="0.35">
      <c r="A5" s="208">
        <f>ROW()</f>
        <v>5</v>
      </c>
      <c r="B5" s="183" t="s">
        <v>321</v>
      </c>
      <c r="C5" s="184" t="s">
        <v>322</v>
      </c>
      <c r="D5" s="185"/>
      <c r="E5" s="183"/>
    </row>
    <row r="6" spans="1:13" x14ac:dyDescent="0.35">
      <c r="A6" s="208">
        <f>ROW()</f>
        <v>6</v>
      </c>
      <c r="B6" t="s">
        <v>267</v>
      </c>
      <c r="C6"/>
      <c r="D6" s="15">
        <v>10000000</v>
      </c>
    </row>
    <row r="7" spans="1:13" x14ac:dyDescent="0.35">
      <c r="A7" s="208">
        <f>ROW()</f>
        <v>7</v>
      </c>
      <c r="B7" s="186" t="s">
        <v>696</v>
      </c>
      <c r="C7" s="187" t="s">
        <v>323</v>
      </c>
      <c r="D7" s="188">
        <v>2.5000000000000001E-2</v>
      </c>
      <c r="E7" s="186"/>
    </row>
    <row r="8" spans="1:13" x14ac:dyDescent="0.35">
      <c r="A8" s="208">
        <f>ROW()</f>
        <v>8</v>
      </c>
      <c r="B8" t="s">
        <v>697</v>
      </c>
      <c r="C8" s="27" t="s">
        <v>324</v>
      </c>
      <c r="D8" s="182">
        <v>90</v>
      </c>
      <c r="E8" t="s">
        <v>325</v>
      </c>
    </row>
    <row r="9" spans="1:13" x14ac:dyDescent="0.35">
      <c r="A9" s="208">
        <f>ROW()</f>
        <v>9</v>
      </c>
      <c r="B9" t="s">
        <v>698</v>
      </c>
      <c r="C9" s="27" t="s">
        <v>326</v>
      </c>
      <c r="D9" s="182">
        <v>30</v>
      </c>
      <c r="E9" t="s">
        <v>325</v>
      </c>
      <c r="G9" s="7"/>
      <c r="H9" s="7" t="s">
        <v>609</v>
      </c>
      <c r="I9" s="114"/>
      <c r="J9" s="114" t="s">
        <v>610</v>
      </c>
      <c r="K9" s="114"/>
      <c r="L9" s="114"/>
      <c r="M9" t="s">
        <v>612</v>
      </c>
    </row>
    <row r="10" spans="1:13" x14ac:dyDescent="0.35">
      <c r="A10" s="208">
        <f>ROW()</f>
        <v>10</v>
      </c>
      <c r="B10" s="186" t="s">
        <v>699</v>
      </c>
      <c r="C10" s="187" t="s">
        <v>327</v>
      </c>
      <c r="D10" s="188">
        <v>2.75E-2</v>
      </c>
      <c r="E10" s="186"/>
      <c r="G10" s="7"/>
      <c r="H10" s="342"/>
      <c r="I10" s="356"/>
      <c r="J10" s="10" t="s">
        <v>611</v>
      </c>
      <c r="L10" s="357"/>
    </row>
    <row r="11" spans="1:13" x14ac:dyDescent="0.35">
      <c r="A11" s="208">
        <f>ROW()</f>
        <v>11</v>
      </c>
      <c r="B11" t="s">
        <v>700</v>
      </c>
      <c r="C11" s="189" t="s">
        <v>328</v>
      </c>
      <c r="D11" s="182">
        <f>+D9+D8</f>
        <v>120</v>
      </c>
      <c r="E11" t="s">
        <v>325</v>
      </c>
      <c r="G11" s="7" t="s">
        <v>606</v>
      </c>
      <c r="H11">
        <v>0</v>
      </c>
      <c r="I11">
        <v>1</v>
      </c>
      <c r="L11">
        <v>4</v>
      </c>
    </row>
    <row r="12" spans="1:13" x14ac:dyDescent="0.35">
      <c r="A12" s="208">
        <f>ROW()</f>
        <v>12</v>
      </c>
      <c r="B12" t="s">
        <v>329</v>
      </c>
      <c r="D12" s="182">
        <v>360</v>
      </c>
      <c r="E12" t="s">
        <v>325</v>
      </c>
      <c r="G12" s="7"/>
    </row>
    <row r="13" spans="1:13" x14ac:dyDescent="0.35">
      <c r="A13" s="208">
        <f>ROW()</f>
        <v>13</v>
      </c>
      <c r="G13" s="7"/>
    </row>
    <row r="14" spans="1:13" x14ac:dyDescent="0.35">
      <c r="A14" s="208">
        <f>ROW()</f>
        <v>14</v>
      </c>
      <c r="B14" t="s">
        <v>330</v>
      </c>
      <c r="C14" s="27" t="s">
        <v>331</v>
      </c>
      <c r="D14" s="182">
        <v>20</v>
      </c>
      <c r="E14" t="s">
        <v>325</v>
      </c>
      <c r="G14" s="7" t="s">
        <v>590</v>
      </c>
      <c r="I14" t="s">
        <v>604</v>
      </c>
      <c r="K14" t="s">
        <v>605</v>
      </c>
    </row>
    <row r="15" spans="1:13" x14ac:dyDescent="0.35">
      <c r="A15" s="208">
        <f>ROW()</f>
        <v>15</v>
      </c>
      <c r="B15" t="s">
        <v>332</v>
      </c>
      <c r="C15" s="189" t="s">
        <v>333</v>
      </c>
      <c r="D15" s="182">
        <f>+D9-D14</f>
        <v>10</v>
      </c>
      <c r="E15" t="s">
        <v>325</v>
      </c>
      <c r="G15" s="7"/>
    </row>
    <row r="16" spans="1:13" x14ac:dyDescent="0.35">
      <c r="A16" s="208">
        <f>ROW()</f>
        <v>16</v>
      </c>
      <c r="B16" t="s">
        <v>334</v>
      </c>
      <c r="C16" s="189" t="s">
        <v>391</v>
      </c>
      <c r="D16" s="182">
        <f>+D8+D15</f>
        <v>100</v>
      </c>
      <c r="E16" t="s">
        <v>325</v>
      </c>
      <c r="G16" s="7"/>
    </row>
    <row r="17" spans="1:14" x14ac:dyDescent="0.35">
      <c r="A17" s="208">
        <f>ROW()</f>
        <v>17</v>
      </c>
      <c r="B17" s="186" t="s">
        <v>701</v>
      </c>
      <c r="C17" s="187" t="s">
        <v>335</v>
      </c>
      <c r="D17" s="188">
        <v>2.2499999999999999E-2</v>
      </c>
      <c r="E17" s="186"/>
      <c r="G17" s="7"/>
      <c r="I17" s="114"/>
      <c r="J17" s="114"/>
      <c r="K17" s="114"/>
      <c r="L17" s="114"/>
    </row>
    <row r="18" spans="1:14" x14ac:dyDescent="0.35">
      <c r="A18" s="208">
        <f>ROW()</f>
        <v>18</v>
      </c>
      <c r="B18" s="186" t="s">
        <v>702</v>
      </c>
      <c r="C18" s="187" t="s">
        <v>336</v>
      </c>
      <c r="D18" s="188">
        <v>2.4500000000000001E-2</v>
      </c>
      <c r="E18" s="186"/>
      <c r="G18" s="7"/>
      <c r="H18" s="342"/>
      <c r="I18" s="356"/>
      <c r="L18" s="357"/>
    </row>
    <row r="19" spans="1:14" x14ac:dyDescent="0.35">
      <c r="A19" s="208">
        <f>ROW()</f>
        <v>19</v>
      </c>
      <c r="G19" s="7" t="s">
        <v>606</v>
      </c>
      <c r="H19">
        <v>0</v>
      </c>
      <c r="I19">
        <v>3</v>
      </c>
      <c r="L19">
        <v>9</v>
      </c>
    </row>
    <row r="20" spans="1:14" x14ac:dyDescent="0.35">
      <c r="A20" s="208">
        <f>ROW()</f>
        <v>20</v>
      </c>
      <c r="B20" s="217" t="s">
        <v>378</v>
      </c>
      <c r="C20" s="218"/>
      <c r="D20" s="219"/>
      <c r="E20" s="169"/>
      <c r="G20" s="7"/>
    </row>
    <row r="21" spans="1:14" ht="15" thickBot="1" x14ac:dyDescent="0.4">
      <c r="A21" s="208">
        <f>ROW()</f>
        <v>21</v>
      </c>
      <c r="B21" s="220"/>
      <c r="C21" s="221" t="s">
        <v>338</v>
      </c>
      <c r="D21" s="221" t="s">
        <v>369</v>
      </c>
      <c r="E21" s="221" t="s">
        <v>370</v>
      </c>
      <c r="F21" s="24"/>
      <c r="G21" s="7"/>
    </row>
    <row r="22" spans="1:14" x14ac:dyDescent="0.35">
      <c r="A22" s="208">
        <f>ROW()</f>
        <v>22</v>
      </c>
      <c r="B22" s="12" t="s">
        <v>377</v>
      </c>
      <c r="C22" s="24"/>
      <c r="D22" s="24"/>
      <c r="E22" s="24"/>
      <c r="F22" s="24"/>
      <c r="G22" s="7" t="s">
        <v>590</v>
      </c>
      <c r="I22" t="s">
        <v>605</v>
      </c>
      <c r="K22" t="s">
        <v>607</v>
      </c>
    </row>
    <row r="23" spans="1:14" x14ac:dyDescent="0.35">
      <c r="A23" s="208">
        <f>ROW()</f>
        <v>23</v>
      </c>
      <c r="B23" t="s">
        <v>381</v>
      </c>
      <c r="C23" s="211" t="s">
        <v>339</v>
      </c>
      <c r="D23" s="213">
        <f>1+(D10*(D11/D12))</f>
        <v>1.0091666666666668</v>
      </c>
      <c r="E23" s="213" t="s">
        <v>372</v>
      </c>
      <c r="I23" s="190"/>
    </row>
    <row r="24" spans="1:14" ht="15" thickBot="1" x14ac:dyDescent="0.4">
      <c r="A24" s="208">
        <f>ROW()</f>
        <v>24</v>
      </c>
      <c r="B24" t="s">
        <v>382</v>
      </c>
      <c r="C24" s="212" t="s">
        <v>340</v>
      </c>
      <c r="D24" s="213">
        <f>1+(D7*(D9/D12))</f>
        <v>1.0020833333333334</v>
      </c>
      <c r="E24" s="213" t="s">
        <v>373</v>
      </c>
      <c r="F24" s="209"/>
      <c r="I24" s="190"/>
    </row>
    <row r="25" spans="1:14" ht="15" thickBot="1" x14ac:dyDescent="0.4">
      <c r="A25" s="208">
        <f>ROW()</f>
        <v>25</v>
      </c>
      <c r="B25" s="210" t="s">
        <v>371</v>
      </c>
      <c r="C25" s="24" t="s">
        <v>341</v>
      </c>
      <c r="D25" s="224">
        <f>+((D23/D24)-1)*(D12/D8)</f>
        <v>2.8274428274428054E-2</v>
      </c>
      <c r="E25" s="213" t="s">
        <v>374</v>
      </c>
      <c r="F25" s="209"/>
      <c r="G25" s="359"/>
      <c r="H25" s="359" t="s">
        <v>609</v>
      </c>
      <c r="I25" s="263"/>
      <c r="J25" s="360" t="s">
        <v>610</v>
      </c>
      <c r="K25" s="263"/>
      <c r="L25" s="210" t="s">
        <v>612</v>
      </c>
      <c r="M25" s="210"/>
      <c r="N25" s="210"/>
    </row>
    <row r="26" spans="1:14" x14ac:dyDescent="0.35">
      <c r="A26" s="208">
        <f>ROW()</f>
        <v>26</v>
      </c>
      <c r="E26" s="182"/>
      <c r="F26" s="209"/>
      <c r="G26" s="7"/>
      <c r="H26" s="342"/>
      <c r="I26" s="358"/>
      <c r="J26" s="357"/>
      <c r="K26" s="356"/>
    </row>
    <row r="27" spans="1:14" x14ac:dyDescent="0.35">
      <c r="A27" s="208">
        <f>ROW()</f>
        <v>27</v>
      </c>
      <c r="B27" s="222" t="s">
        <v>376</v>
      </c>
      <c r="C27" s="24"/>
      <c r="D27" s="214"/>
      <c r="E27" s="24"/>
      <c r="G27" s="7" t="s">
        <v>606</v>
      </c>
      <c r="H27">
        <v>0</v>
      </c>
      <c r="J27">
        <v>2</v>
      </c>
      <c r="K27">
        <v>3</v>
      </c>
    </row>
    <row r="28" spans="1:14" x14ac:dyDescent="0.35">
      <c r="A28" s="208">
        <f>ROW()</f>
        <v>28</v>
      </c>
      <c r="B28" s="216" t="s">
        <v>342</v>
      </c>
      <c r="C28" s="211" t="s">
        <v>344</v>
      </c>
      <c r="D28" s="213">
        <f>1/(1+(D17*(D15/D12)))</f>
        <v>0.99937539038101175</v>
      </c>
      <c r="E28" s="213" t="s">
        <v>386</v>
      </c>
      <c r="F28" s="24"/>
      <c r="G28" s="7"/>
    </row>
    <row r="29" spans="1:14" x14ac:dyDescent="0.35">
      <c r="A29" s="208">
        <f>ROW()</f>
        <v>29</v>
      </c>
      <c r="B29" s="216"/>
      <c r="C29" s="211"/>
      <c r="E29" s="182"/>
      <c r="F29" s="24"/>
      <c r="G29" s="7"/>
    </row>
    <row r="30" spans="1:14" x14ac:dyDescent="0.35">
      <c r="A30" s="208">
        <f>ROW()</f>
        <v>30</v>
      </c>
      <c r="B30" s="222" t="s">
        <v>375</v>
      </c>
      <c r="E30" s="182"/>
      <c r="F30" s="24"/>
      <c r="G30" s="7" t="s">
        <v>590</v>
      </c>
      <c r="I30" s="7" t="s">
        <v>608</v>
      </c>
      <c r="K30" t="s">
        <v>604</v>
      </c>
    </row>
    <row r="31" spans="1:14" x14ac:dyDescent="0.35">
      <c r="A31" s="208">
        <f>ROW()</f>
        <v>31</v>
      </c>
      <c r="B31" s="26" t="s">
        <v>381</v>
      </c>
      <c r="C31" s="212" t="s">
        <v>379</v>
      </c>
      <c r="D31" s="213">
        <f>1+(D25*(D8/D12))</f>
        <v>1.007068607068607</v>
      </c>
      <c r="E31" s="213" t="s">
        <v>387</v>
      </c>
      <c r="F31" s="24"/>
    </row>
    <row r="32" spans="1:14" x14ac:dyDescent="0.35">
      <c r="A32" s="208">
        <f>ROW()</f>
        <v>32</v>
      </c>
      <c r="B32" t="s">
        <v>383</v>
      </c>
      <c r="C32" s="212" t="s">
        <v>380</v>
      </c>
      <c r="D32" s="213">
        <f>1+(D18*(D16/360))</f>
        <v>1.0068055555555555</v>
      </c>
      <c r="E32" s="213" t="s">
        <v>388</v>
      </c>
      <c r="F32" s="24"/>
    </row>
    <row r="33" spans="1:6" x14ac:dyDescent="0.35">
      <c r="A33" s="208">
        <f>ROW()</f>
        <v>33</v>
      </c>
      <c r="B33" t="s">
        <v>343</v>
      </c>
      <c r="C33" s="212" t="s">
        <v>384</v>
      </c>
      <c r="D33" s="213">
        <f>+D31/D32</f>
        <v>1.0002612734023963</v>
      </c>
      <c r="E33" s="213" t="s">
        <v>389</v>
      </c>
      <c r="F33" s="24"/>
    </row>
    <row r="34" spans="1:6" ht="15" thickBot="1" x14ac:dyDescent="0.4">
      <c r="A34" s="208">
        <f>ROW()</f>
        <v>34</v>
      </c>
      <c r="C34" s="212"/>
      <c r="E34" s="182"/>
      <c r="F34" s="24"/>
    </row>
    <row r="35" spans="1:6" ht="15" thickBot="1" x14ac:dyDescent="0.4">
      <c r="A35" s="208">
        <f>ROW()</f>
        <v>35</v>
      </c>
      <c r="B35" s="215" t="s">
        <v>385</v>
      </c>
      <c r="C35" s="24"/>
      <c r="D35" s="225">
        <f>+(D28-D33)*D6</f>
        <v>-8858.8302138459258</v>
      </c>
      <c r="E35" s="223" t="s">
        <v>390</v>
      </c>
      <c r="F35" s="24"/>
    </row>
    <row r="36" spans="1:6" x14ac:dyDescent="0.35">
      <c r="A36" s="208">
        <f>ROW()</f>
        <v>36</v>
      </c>
      <c r="B36" s="210"/>
      <c r="C36" s="24"/>
      <c r="D36" s="211"/>
      <c r="E36" s="212"/>
      <c r="F36" s="24"/>
    </row>
    <row r="37" spans="1:6" x14ac:dyDescent="0.35">
      <c r="E37" s="7" t="s">
        <v>368</v>
      </c>
    </row>
  </sheetData>
  <phoneticPr fontId="29" type="noConversion"/>
  <pageMargins left="0.7" right="0.7" top="0.75" bottom="0.7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6462E8-09E2-40F4-BC98-AE303B0F1041}">
  <dimension ref="A4:G16"/>
  <sheetViews>
    <sheetView showGridLines="0" topLeftCell="A3" workbookViewId="0">
      <selection activeCell="H17" sqref="H17"/>
    </sheetView>
  </sheetViews>
  <sheetFormatPr defaultRowHeight="14.5" x14ac:dyDescent="0.35"/>
  <cols>
    <col min="1" max="2" width="11.1796875" customWidth="1"/>
    <col min="3" max="4" width="15.453125" customWidth="1"/>
    <col min="5" max="5" width="10.08984375" bestFit="1" customWidth="1"/>
  </cols>
  <sheetData>
    <row r="4" spans="1:7" x14ac:dyDescent="0.35">
      <c r="A4" s="217" t="s">
        <v>639</v>
      </c>
      <c r="B4" s="169"/>
      <c r="C4" s="169"/>
      <c r="D4" s="169"/>
      <c r="E4" s="169"/>
      <c r="F4" s="169"/>
      <c r="G4" s="169"/>
    </row>
    <row r="5" spans="1:7" ht="15" thickBot="1" x14ac:dyDescent="0.4">
      <c r="A5" s="368"/>
      <c r="B5" s="368" t="s">
        <v>644</v>
      </c>
      <c r="C5" s="368" t="s">
        <v>648</v>
      </c>
      <c r="D5" s="368"/>
      <c r="E5" s="368"/>
      <c r="F5" s="368"/>
      <c r="G5" s="368"/>
    </row>
    <row r="6" spans="1:7" ht="15" thickTop="1" x14ac:dyDescent="0.35">
      <c r="A6" s="367">
        <v>44868</v>
      </c>
      <c r="B6" s="367" t="s">
        <v>645</v>
      </c>
      <c r="E6" s="4">
        <v>1649.7</v>
      </c>
      <c r="F6" s="366">
        <v>44896</v>
      </c>
    </row>
    <row r="7" spans="1:7" x14ac:dyDescent="0.35">
      <c r="A7" s="367">
        <v>44868</v>
      </c>
      <c r="B7" s="367" t="s">
        <v>646</v>
      </c>
      <c r="D7" s="10" t="s">
        <v>642</v>
      </c>
      <c r="E7" s="4">
        <v>1639</v>
      </c>
    </row>
    <row r="8" spans="1:7" x14ac:dyDescent="0.35">
      <c r="C8" t="s">
        <v>329</v>
      </c>
      <c r="E8" s="4">
        <f>+E6-E7</f>
        <v>10.700000000000045</v>
      </c>
    </row>
    <row r="9" spans="1:7" x14ac:dyDescent="0.35">
      <c r="E9" s="4"/>
    </row>
    <row r="10" spans="1:7" x14ac:dyDescent="0.35">
      <c r="A10" s="367">
        <v>44869</v>
      </c>
      <c r="B10" s="367" t="s">
        <v>645</v>
      </c>
      <c r="C10" t="s">
        <v>640</v>
      </c>
      <c r="E10" s="4">
        <v>1654.7</v>
      </c>
      <c r="F10" s="366">
        <v>44896</v>
      </c>
    </row>
    <row r="11" spans="1:7" x14ac:dyDescent="0.35">
      <c r="A11" s="367">
        <v>44869</v>
      </c>
      <c r="B11" s="367" t="s">
        <v>646</v>
      </c>
      <c r="C11" t="s">
        <v>641</v>
      </c>
      <c r="D11" s="10" t="s">
        <v>642</v>
      </c>
      <c r="E11" s="4">
        <v>1649</v>
      </c>
    </row>
    <row r="12" spans="1:7" x14ac:dyDescent="0.35">
      <c r="C12" t="s">
        <v>329</v>
      </c>
      <c r="E12" s="4">
        <f>+E10-E11</f>
        <v>5.7000000000000455</v>
      </c>
    </row>
    <row r="14" spans="1:7" x14ac:dyDescent="0.35">
      <c r="C14" t="s">
        <v>640</v>
      </c>
      <c r="D14" t="s">
        <v>643</v>
      </c>
      <c r="E14" s="110">
        <f>+E11-E7</f>
        <v>10</v>
      </c>
    </row>
    <row r="15" spans="1:7" x14ac:dyDescent="0.35">
      <c r="C15" t="s">
        <v>641</v>
      </c>
      <c r="D15" t="s">
        <v>647</v>
      </c>
      <c r="E15" s="110">
        <f>+E6-E10</f>
        <v>-5</v>
      </c>
    </row>
    <row r="16" spans="1:7" x14ac:dyDescent="0.35">
      <c r="D16" t="s">
        <v>99</v>
      </c>
      <c r="E16" s="110">
        <f>+E15+E14</f>
        <v>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52E41D-12F3-48EC-A5B4-60BE4CC8E153}">
  <dimension ref="B4:J34"/>
  <sheetViews>
    <sheetView showGridLines="0" topLeftCell="A3" workbookViewId="0">
      <selection activeCell="B9" sqref="B9:G35"/>
    </sheetView>
  </sheetViews>
  <sheetFormatPr defaultRowHeight="14.5" x14ac:dyDescent="0.35"/>
  <cols>
    <col min="2" max="2" width="16.453125" customWidth="1"/>
    <col min="3" max="3" width="13.36328125" bestFit="1" customWidth="1"/>
    <col min="6" max="6" width="15.453125" customWidth="1"/>
    <col min="7" max="7" width="10.81640625" customWidth="1"/>
  </cols>
  <sheetData>
    <row r="4" spans="2:10" s="239" customFormat="1" ht="62" customHeight="1" x14ac:dyDescent="0.35">
      <c r="B4" s="349" t="s">
        <v>587</v>
      </c>
    </row>
    <row r="9" spans="2:10" x14ac:dyDescent="0.35">
      <c r="B9" s="339" t="s">
        <v>692</v>
      </c>
      <c r="C9" s="339"/>
      <c r="D9" s="339"/>
      <c r="E9" s="339"/>
      <c r="F9" s="339"/>
      <c r="G9" s="339"/>
    </row>
    <row r="11" spans="2:10" ht="15" thickBot="1" x14ac:dyDescent="0.4">
      <c r="B11" s="350" t="s">
        <v>593</v>
      </c>
      <c r="C11" s="350"/>
      <c r="D11" s="350"/>
      <c r="E11" s="350"/>
      <c r="F11" s="350"/>
      <c r="G11" s="350"/>
    </row>
    <row r="12" spans="2:10" ht="15" thickTop="1" x14ac:dyDescent="0.35">
      <c r="B12" t="s">
        <v>595</v>
      </c>
      <c r="C12" s="5"/>
    </row>
    <row r="13" spans="2:10" x14ac:dyDescent="0.35">
      <c r="B13" t="s">
        <v>661</v>
      </c>
      <c r="C13" s="112">
        <v>0.01</v>
      </c>
      <c r="E13" t="s">
        <v>591</v>
      </c>
      <c r="F13">
        <v>90</v>
      </c>
      <c r="G13" t="s">
        <v>590</v>
      </c>
      <c r="J13" t="s">
        <v>600</v>
      </c>
    </row>
    <row r="14" spans="2:10" x14ac:dyDescent="0.35">
      <c r="B14" t="s">
        <v>588</v>
      </c>
      <c r="C14" s="112">
        <v>0.02</v>
      </c>
      <c r="E14" t="s">
        <v>592</v>
      </c>
      <c r="F14">
        <v>360</v>
      </c>
      <c r="G14" t="s">
        <v>589</v>
      </c>
    </row>
    <row r="15" spans="2:10" ht="15" thickBot="1" x14ac:dyDescent="0.4">
      <c r="B15" t="s">
        <v>260</v>
      </c>
      <c r="C15" s="118">
        <f>+C14+C13</f>
        <v>0.03</v>
      </c>
    </row>
    <row r="16" spans="2:10" ht="15" thickTop="1" x14ac:dyDescent="0.35">
      <c r="D16" t="s">
        <v>597</v>
      </c>
    </row>
    <row r="17" spans="2:8" x14ac:dyDescent="0.35">
      <c r="B17" t="s">
        <v>471</v>
      </c>
      <c r="C17" s="9">
        <v>10000000</v>
      </c>
      <c r="D17" s="9"/>
      <c r="E17" s="9"/>
    </row>
    <row r="18" spans="2:8" x14ac:dyDescent="0.35">
      <c r="B18" t="s">
        <v>596</v>
      </c>
      <c r="C18" s="9">
        <f>-C17*C15</f>
        <v>-300000</v>
      </c>
      <c r="D18" s="9">
        <f>+C18*F13/F14</f>
        <v>-75000</v>
      </c>
      <c r="E18" s="9">
        <f t="shared" ref="E18" si="0">-E17*E15</f>
        <v>0</v>
      </c>
    </row>
    <row r="20" spans="2:8" ht="15" thickBot="1" x14ac:dyDescent="0.4">
      <c r="B20" s="351" t="s">
        <v>594</v>
      </c>
      <c r="C20" s="351"/>
      <c r="D20" s="351"/>
      <c r="E20" s="351"/>
      <c r="F20" s="351"/>
      <c r="G20" s="351"/>
    </row>
    <row r="21" spans="2:8" ht="15" thickTop="1" x14ac:dyDescent="0.35">
      <c r="B21" s="352" t="s">
        <v>693</v>
      </c>
      <c r="C21" s="353">
        <f>+C13</f>
        <v>0.01</v>
      </c>
      <c r="D21" s="352"/>
      <c r="E21" s="352"/>
      <c r="F21" s="352" t="s">
        <v>693</v>
      </c>
      <c r="G21" s="353">
        <f>+C13</f>
        <v>0.01</v>
      </c>
      <c r="H21" s="352"/>
    </row>
    <row r="22" spans="2:8" x14ac:dyDescent="0.35">
      <c r="B22" s="352"/>
      <c r="C22" s="352"/>
      <c r="D22" s="352"/>
      <c r="E22" s="352"/>
      <c r="F22" s="352"/>
      <c r="G22" s="352"/>
      <c r="H22" s="352"/>
    </row>
    <row r="23" spans="2:8" x14ac:dyDescent="0.35">
      <c r="B23" s="352" t="s">
        <v>694</v>
      </c>
      <c r="C23" s="353">
        <v>0.03</v>
      </c>
      <c r="D23" s="352"/>
      <c r="E23" s="352"/>
      <c r="F23" s="352" t="s">
        <v>694</v>
      </c>
      <c r="G23" s="353">
        <v>2.5000000000000001E-3</v>
      </c>
      <c r="H23" s="352"/>
    </row>
    <row r="24" spans="2:8" x14ac:dyDescent="0.35">
      <c r="B24" s="352" t="s">
        <v>588</v>
      </c>
      <c r="C24" s="353">
        <v>0.02</v>
      </c>
      <c r="D24" s="352"/>
      <c r="E24" s="352"/>
      <c r="F24" s="352" t="s">
        <v>588</v>
      </c>
      <c r="G24" s="353">
        <v>0.02</v>
      </c>
      <c r="H24" s="352"/>
    </row>
    <row r="25" spans="2:8" ht="15" thickBot="1" x14ac:dyDescent="0.4">
      <c r="B25" s="352" t="s">
        <v>260</v>
      </c>
      <c r="C25" s="354">
        <f>+C24+C23</f>
        <v>0.05</v>
      </c>
      <c r="D25" s="352"/>
      <c r="E25" s="352"/>
      <c r="F25" s="352" t="s">
        <v>260</v>
      </c>
      <c r="G25" s="354">
        <f>+G24+G23</f>
        <v>2.2499999999999999E-2</v>
      </c>
      <c r="H25" s="352"/>
    </row>
    <row r="26" spans="2:8" ht="15" thickTop="1" x14ac:dyDescent="0.35">
      <c r="B26" s="352"/>
      <c r="C26" s="353"/>
      <c r="D26" s="352"/>
      <c r="E26" s="352"/>
      <c r="F26" s="352"/>
      <c r="G26" s="353"/>
      <c r="H26" s="352"/>
    </row>
    <row r="27" spans="2:8" x14ac:dyDescent="0.35">
      <c r="B27" s="352" t="s">
        <v>593</v>
      </c>
      <c r="C27" s="353"/>
      <c r="D27" s="352"/>
      <c r="E27" s="352"/>
      <c r="F27" s="352" t="s">
        <v>593</v>
      </c>
      <c r="G27" s="353"/>
      <c r="H27" s="352"/>
    </row>
    <row r="28" spans="2:8" x14ac:dyDescent="0.35">
      <c r="B28" s="352" t="s">
        <v>598</v>
      </c>
      <c r="C28" s="355"/>
      <c r="D28" s="352"/>
      <c r="E28" s="352"/>
      <c r="F28" s="352" t="s">
        <v>598</v>
      </c>
      <c r="G28" s="355"/>
      <c r="H28" s="352"/>
    </row>
    <row r="29" spans="2:8" x14ac:dyDescent="0.35">
      <c r="B29" s="352" t="s">
        <v>599</v>
      </c>
      <c r="C29" s="355">
        <f>-C25*$C$17*$F$13/$F$14</f>
        <v>-125000</v>
      </c>
      <c r="D29" s="352"/>
      <c r="E29" s="352"/>
      <c r="F29" s="352" t="s">
        <v>599</v>
      </c>
      <c r="G29" s="355">
        <f>-G25*$C$17*$F$13/$F$14</f>
        <v>-56250</v>
      </c>
      <c r="H29" s="352"/>
    </row>
    <row r="30" spans="2:8" x14ac:dyDescent="0.35">
      <c r="B30" s="352"/>
      <c r="C30" s="355"/>
      <c r="D30" s="352"/>
      <c r="E30" s="352"/>
      <c r="F30" s="352"/>
      <c r="G30" s="355"/>
      <c r="H30" s="352"/>
    </row>
    <row r="31" spans="2:8" x14ac:dyDescent="0.35">
      <c r="B31" s="352" t="s">
        <v>594</v>
      </c>
      <c r="C31" s="14"/>
      <c r="G31" s="14"/>
    </row>
    <row r="32" spans="2:8" x14ac:dyDescent="0.35">
      <c r="B32" s="352" t="s">
        <v>601</v>
      </c>
      <c r="C32" s="14">
        <f>$C$17*((C23-C21)*($F$13/$F$14))/(1+(C23)*($F$13/$F$14))</f>
        <v>49627.791563275423</v>
      </c>
      <c r="G32" s="14">
        <f>$C$17*((G23-G21)*($F$13/$F$14))/(1+(G23)*($F$13/$F$14))</f>
        <v>-18738.28856964397</v>
      </c>
    </row>
    <row r="34" spans="2:7" x14ac:dyDescent="0.35">
      <c r="B34" s="352" t="s">
        <v>602</v>
      </c>
      <c r="C34" s="14">
        <f>+C29+C32</f>
        <v>-75372.208436724584</v>
      </c>
      <c r="G34" s="14">
        <f>+G29+G32</f>
        <v>-74988.288569643977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5BF4F9-FCF2-47DF-8613-16C94DF37C16}">
  <dimension ref="B5:E10"/>
  <sheetViews>
    <sheetView showGridLines="0" workbookViewId="0">
      <selection activeCell="E27" sqref="E27"/>
    </sheetView>
  </sheetViews>
  <sheetFormatPr defaultRowHeight="14.5" x14ac:dyDescent="0.35"/>
  <cols>
    <col min="2" max="2" width="5.453125" customWidth="1"/>
    <col min="4" max="4" width="17.453125" customWidth="1"/>
    <col min="5" max="5" width="12.453125" customWidth="1"/>
    <col min="6" max="6" width="7.90625" customWidth="1"/>
  </cols>
  <sheetData>
    <row r="5" spans="2:5" ht="15" thickBot="1" x14ac:dyDescent="0.4">
      <c r="D5" s="24" t="s">
        <v>471</v>
      </c>
    </row>
    <row r="6" spans="2:5" ht="26.5" customHeight="1" thickBot="1" x14ac:dyDescent="0.4">
      <c r="C6" s="283" t="s">
        <v>469</v>
      </c>
      <c r="D6" s="182"/>
      <c r="E6" s="283" t="s">
        <v>468</v>
      </c>
    </row>
    <row r="7" spans="2:5" x14ac:dyDescent="0.35">
      <c r="C7" s="182"/>
      <c r="D7" s="214" t="s">
        <v>472</v>
      </c>
      <c r="E7" s="182"/>
    </row>
    <row r="8" spans="2:5" ht="40.75" customHeight="1" x14ac:dyDescent="0.35">
      <c r="B8" s="284" t="s">
        <v>475</v>
      </c>
      <c r="C8" s="214" t="s">
        <v>473</v>
      </c>
      <c r="D8" s="182"/>
      <c r="E8" s="182"/>
    </row>
    <row r="9" spans="2:5" ht="15" thickBot="1" x14ac:dyDescent="0.4">
      <c r="C9" s="182"/>
      <c r="D9" s="216" t="s">
        <v>474</v>
      </c>
      <c r="E9" s="182"/>
    </row>
    <row r="10" spans="2:5" ht="26.5" customHeight="1" thickBot="1" x14ac:dyDescent="0.4">
      <c r="C10" s="283" t="s">
        <v>470</v>
      </c>
      <c r="D10" s="182"/>
      <c r="E10" s="182"/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5CA6EE-80FD-4FF3-875C-5B7947B3313F}">
  <dimension ref="B1:AD38"/>
  <sheetViews>
    <sheetView showGridLines="0" topLeftCell="A5" workbookViewId="0">
      <selection activeCell="W12" sqref="W12"/>
    </sheetView>
  </sheetViews>
  <sheetFormatPr defaultRowHeight="14.5" x14ac:dyDescent="0.35"/>
  <cols>
    <col min="1" max="1" width="4.81640625" customWidth="1"/>
    <col min="2" max="2" width="12" customWidth="1"/>
    <col min="3" max="3" width="8.36328125" customWidth="1"/>
    <col min="4" max="4" width="8.26953125" customWidth="1"/>
    <col min="5" max="6" width="7.90625" customWidth="1"/>
    <col min="9" max="9" width="6.7265625" customWidth="1"/>
    <col min="11" max="11" width="2.90625" customWidth="1"/>
    <col min="12" max="12" width="5.26953125" customWidth="1"/>
    <col min="13" max="13" width="2.90625" customWidth="1"/>
    <col min="14" max="14" width="5.26953125" customWidth="1"/>
    <col min="15" max="15" width="2.90625" customWidth="1"/>
    <col min="16" max="16" width="5.26953125" customWidth="1"/>
    <col min="17" max="17" width="2.90625" customWidth="1"/>
    <col min="18" max="18" width="5.26953125" customWidth="1"/>
    <col min="19" max="19" width="17.36328125" customWidth="1"/>
    <col min="20" max="20" width="2.453125" customWidth="1"/>
    <col min="23" max="23" width="15.1796875" bestFit="1" customWidth="1"/>
    <col min="24" max="24" width="10.26953125" customWidth="1"/>
    <col min="25" max="25" width="7.26953125" bestFit="1" customWidth="1"/>
    <col min="26" max="26" width="8.08984375" bestFit="1" customWidth="1"/>
    <col min="27" max="27" width="8.81640625" bestFit="1" customWidth="1"/>
    <col min="28" max="28" width="8.26953125" bestFit="1" customWidth="1"/>
    <col min="29" max="29" width="7.453125" bestFit="1" customWidth="1"/>
  </cols>
  <sheetData>
    <row r="1" spans="2:30" ht="15" thickBot="1" x14ac:dyDescent="0.4"/>
    <row r="2" spans="2:30" ht="23.5" x14ac:dyDescent="0.55000000000000004">
      <c r="B2" s="310" t="s">
        <v>546</v>
      </c>
      <c r="C2" s="286"/>
      <c r="D2" s="286"/>
      <c r="E2" s="286"/>
      <c r="F2" s="286"/>
      <c r="G2" s="286"/>
      <c r="H2" s="286"/>
      <c r="I2" s="286"/>
      <c r="J2" s="286"/>
      <c r="K2" s="286"/>
      <c r="L2" s="286"/>
      <c r="M2" s="286"/>
      <c r="N2" s="286"/>
      <c r="O2" s="286"/>
      <c r="P2" s="286"/>
      <c r="Q2" s="286"/>
      <c r="R2" s="286"/>
      <c r="S2" s="287"/>
    </row>
    <row r="3" spans="2:30" ht="15" thickBot="1" x14ac:dyDescent="0.4">
      <c r="B3" s="274"/>
      <c r="S3" s="291"/>
      <c r="W3" s="306"/>
      <c r="X3" s="306"/>
      <c r="Y3" s="306"/>
      <c r="Z3" s="306"/>
      <c r="AA3" s="306"/>
      <c r="AB3" s="306"/>
      <c r="AC3" s="306"/>
      <c r="AD3" s="306"/>
    </row>
    <row r="4" spans="2:30" ht="15" thickBot="1" x14ac:dyDescent="0.4">
      <c r="B4" s="285" t="s">
        <v>521</v>
      </c>
      <c r="C4" s="286"/>
      <c r="D4" s="286"/>
      <c r="E4" s="287"/>
      <c r="S4" s="291"/>
      <c r="W4" s="306"/>
      <c r="X4" s="306"/>
      <c r="Y4" s="306"/>
      <c r="Z4" s="306"/>
      <c r="AA4" s="306"/>
      <c r="AB4" s="306"/>
      <c r="AC4" s="306"/>
      <c r="AD4" s="306"/>
    </row>
    <row r="5" spans="2:30" ht="14.4" customHeight="1" x14ac:dyDescent="0.35">
      <c r="B5" s="288" t="s">
        <v>38</v>
      </c>
      <c r="C5" s="289">
        <v>0.06</v>
      </c>
      <c r="D5" s="290">
        <f>+C5*500</f>
        <v>30</v>
      </c>
      <c r="E5" s="291" t="s">
        <v>476</v>
      </c>
      <c r="G5" s="448" t="s">
        <v>603</v>
      </c>
      <c r="H5" s="449"/>
      <c r="I5" s="450"/>
      <c r="K5" s="460" t="s">
        <v>477</v>
      </c>
      <c r="L5" s="461"/>
      <c r="M5" s="462"/>
      <c r="N5" s="462"/>
      <c r="O5" s="462"/>
      <c r="P5" s="462"/>
      <c r="Q5" s="462"/>
      <c r="R5" s="462"/>
      <c r="S5" s="463"/>
      <c r="AD5" s="306"/>
    </row>
    <row r="6" spans="2:30" x14ac:dyDescent="0.35">
      <c r="B6" s="288" t="s">
        <v>478</v>
      </c>
      <c r="C6" s="112">
        <f>+H38</f>
        <v>2.5157777777777779E-2</v>
      </c>
      <c r="D6" s="292">
        <f>-C6*450</f>
        <v>-11.321</v>
      </c>
      <c r="E6" s="291"/>
      <c r="G6" s="451"/>
      <c r="H6" s="452"/>
      <c r="I6" s="453"/>
      <c r="K6" s="464"/>
      <c r="L6" s="465"/>
      <c r="M6" s="466"/>
      <c r="N6" s="466"/>
      <c r="O6" s="466"/>
      <c r="P6" s="466"/>
      <c r="Q6" s="466"/>
      <c r="R6" s="466"/>
      <c r="S6" s="467"/>
      <c r="AD6" s="306"/>
    </row>
    <row r="7" spans="2:30" x14ac:dyDescent="0.35">
      <c r="B7" s="293" t="s">
        <v>479</v>
      </c>
      <c r="C7" s="289">
        <v>5.0000000000000001E-3</v>
      </c>
      <c r="D7" s="292">
        <f>-C7*500</f>
        <v>-2.5</v>
      </c>
      <c r="E7" s="294"/>
      <c r="G7" s="451"/>
      <c r="H7" s="452"/>
      <c r="I7" s="453"/>
      <c r="K7" s="464"/>
      <c r="L7" s="465"/>
      <c r="M7" s="466"/>
      <c r="N7" s="466"/>
      <c r="O7" s="466"/>
      <c r="P7" s="466"/>
      <c r="Q7" s="466"/>
      <c r="R7" s="466"/>
      <c r="S7" s="467"/>
      <c r="AD7" s="306"/>
    </row>
    <row r="8" spans="2:30" ht="15" thickBot="1" x14ac:dyDescent="0.4">
      <c r="B8" s="288" t="s">
        <v>480</v>
      </c>
      <c r="C8" s="112"/>
      <c r="D8" s="295">
        <f>SUM(D5:D7)</f>
        <v>16.179000000000002</v>
      </c>
      <c r="E8" s="291" t="s">
        <v>476</v>
      </c>
      <c r="G8" s="451"/>
      <c r="H8" s="452"/>
      <c r="I8" s="453"/>
      <c r="K8" s="296"/>
      <c r="L8" s="311"/>
      <c r="M8" s="311"/>
      <c r="N8" s="311"/>
      <c r="O8" s="311"/>
      <c r="P8" s="311"/>
      <c r="Q8" s="311"/>
      <c r="R8" s="311"/>
      <c r="S8" s="297"/>
      <c r="AD8" s="306"/>
    </row>
    <row r="9" spans="2:30" ht="15.5" thickTop="1" thickBot="1" x14ac:dyDescent="0.4">
      <c r="B9" s="288" t="s">
        <v>481</v>
      </c>
      <c r="D9" s="289">
        <f>+D8/50</f>
        <v>0.32358000000000003</v>
      </c>
      <c r="E9" s="291"/>
      <c r="G9" s="451"/>
      <c r="H9" s="452"/>
      <c r="I9" s="453"/>
      <c r="K9" s="296"/>
      <c r="L9" s="298" t="s">
        <v>482</v>
      </c>
      <c r="M9" s="312"/>
      <c r="N9" s="299" t="s">
        <v>483</v>
      </c>
      <c r="O9" s="312"/>
      <c r="P9" s="299" t="s">
        <v>484</v>
      </c>
      <c r="Q9" s="312"/>
      <c r="R9" s="299" t="s">
        <v>485</v>
      </c>
      <c r="S9" s="297"/>
      <c r="AD9" s="306"/>
    </row>
    <row r="10" spans="2:30" ht="15" thickBot="1" x14ac:dyDescent="0.4">
      <c r="B10" s="274"/>
      <c r="E10" s="291"/>
      <c r="G10" s="451"/>
      <c r="H10" s="452"/>
      <c r="I10" s="453"/>
      <c r="K10" s="296"/>
      <c r="L10" s="312"/>
      <c r="M10" s="312"/>
      <c r="N10" s="312"/>
      <c r="O10" s="312"/>
      <c r="P10" s="312"/>
      <c r="Q10" s="312"/>
      <c r="R10" s="312"/>
      <c r="S10" s="297"/>
      <c r="AD10" s="306"/>
    </row>
    <row r="11" spans="2:30" ht="15" thickBot="1" x14ac:dyDescent="0.4">
      <c r="B11" s="279"/>
      <c r="C11" s="300"/>
      <c r="D11" s="300"/>
      <c r="E11" s="301"/>
      <c r="G11" s="451"/>
      <c r="H11" s="452"/>
      <c r="I11" s="453"/>
      <c r="J11" s="468" t="s">
        <v>544</v>
      </c>
      <c r="K11" s="296"/>
      <c r="L11" s="299" t="s">
        <v>486</v>
      </c>
      <c r="M11" s="312"/>
      <c r="N11" s="299" t="s">
        <v>487</v>
      </c>
      <c r="O11" s="312"/>
      <c r="P11" s="299" t="s">
        <v>488</v>
      </c>
      <c r="Q11" s="312"/>
      <c r="R11" s="299" t="s">
        <v>489</v>
      </c>
      <c r="S11" s="297"/>
      <c r="AD11" s="306"/>
    </row>
    <row r="12" spans="2:30" ht="15" thickBot="1" x14ac:dyDescent="0.4">
      <c r="B12" s="274"/>
      <c r="E12" s="3"/>
      <c r="G12" s="454"/>
      <c r="H12" s="455"/>
      <c r="I12" s="456"/>
      <c r="J12" s="468"/>
      <c r="K12" s="296"/>
      <c r="L12" s="312"/>
      <c r="M12" s="312"/>
      <c r="N12" s="312"/>
      <c r="O12" s="312"/>
      <c r="P12" s="312"/>
      <c r="Q12" s="312"/>
      <c r="R12" s="312"/>
      <c r="S12" s="297"/>
      <c r="AD12" s="306"/>
    </row>
    <row r="13" spans="2:30" ht="15" thickBot="1" x14ac:dyDescent="0.4">
      <c r="B13" s="471" t="s">
        <v>490</v>
      </c>
      <c r="C13" s="472"/>
      <c r="D13" s="473"/>
      <c r="E13" s="3"/>
      <c r="G13" s="454"/>
      <c r="H13" s="455"/>
      <c r="I13" s="456"/>
      <c r="J13" s="468"/>
      <c r="K13" s="296"/>
      <c r="L13" s="299" t="s">
        <v>491</v>
      </c>
      <c r="M13" s="312"/>
      <c r="N13" s="299" t="s">
        <v>492</v>
      </c>
      <c r="O13" s="312"/>
      <c r="P13" s="299" t="s">
        <v>493</v>
      </c>
      <c r="Q13" s="312"/>
      <c r="R13" s="299" t="s">
        <v>494</v>
      </c>
      <c r="S13" s="297"/>
      <c r="AD13" s="306"/>
    </row>
    <row r="14" spans="2:30" ht="15" thickBot="1" x14ac:dyDescent="0.4">
      <c r="B14" s="474"/>
      <c r="C14" s="447"/>
      <c r="D14" s="475"/>
      <c r="E14" s="3"/>
      <c r="G14" s="454"/>
      <c r="H14" s="455"/>
      <c r="I14" s="456"/>
      <c r="J14" s="469"/>
      <c r="K14" s="296"/>
      <c r="L14" s="312"/>
      <c r="M14" s="312"/>
      <c r="N14" s="312"/>
      <c r="O14" s="312"/>
      <c r="P14" s="312"/>
      <c r="Q14" s="312"/>
      <c r="R14" s="312"/>
      <c r="S14" s="297"/>
      <c r="AD14" s="306"/>
    </row>
    <row r="15" spans="2:30" ht="15" thickBot="1" x14ac:dyDescent="0.4">
      <c r="B15" s="474"/>
      <c r="C15" s="447"/>
      <c r="D15" s="475"/>
      <c r="E15" s="3"/>
      <c r="G15" s="454"/>
      <c r="H15" s="455"/>
      <c r="I15" s="456"/>
      <c r="J15" s="470"/>
      <c r="K15" s="296"/>
      <c r="L15" s="299" t="s">
        <v>495</v>
      </c>
      <c r="M15" s="312"/>
      <c r="N15" s="299" t="s">
        <v>496</v>
      </c>
      <c r="O15" s="312"/>
      <c r="P15" s="299" t="s">
        <v>497</v>
      </c>
      <c r="Q15" s="312"/>
      <c r="R15" s="299" t="s">
        <v>498</v>
      </c>
      <c r="S15" s="297"/>
      <c r="AD15" s="306"/>
    </row>
    <row r="16" spans="2:30" ht="15" thickBot="1" x14ac:dyDescent="0.4">
      <c r="B16" s="457"/>
      <c r="C16" s="458"/>
      <c r="D16" s="459"/>
      <c r="E16" s="3"/>
      <c r="G16" s="457"/>
      <c r="H16" s="458"/>
      <c r="I16" s="459"/>
      <c r="J16" s="470"/>
      <c r="K16" s="296"/>
      <c r="L16" s="312"/>
      <c r="M16" s="312"/>
      <c r="N16" s="312"/>
      <c r="O16" s="312"/>
      <c r="P16" s="312"/>
      <c r="Q16" s="312"/>
      <c r="R16" s="312"/>
      <c r="S16" s="297"/>
      <c r="W16" s="306"/>
      <c r="X16" s="306"/>
      <c r="Y16" s="306"/>
      <c r="Z16" s="306"/>
      <c r="AA16" s="306"/>
      <c r="AB16" s="306"/>
      <c r="AC16" s="306"/>
      <c r="AD16" s="306"/>
    </row>
    <row r="17" spans="2:19" ht="15" thickBot="1" x14ac:dyDescent="0.4">
      <c r="B17" s="313"/>
      <c r="C17" s="3"/>
      <c r="D17" s="3"/>
      <c r="I17" s="476" t="s">
        <v>522</v>
      </c>
      <c r="J17" s="475"/>
      <c r="K17" s="296"/>
      <c r="L17" s="299" t="s">
        <v>499</v>
      </c>
      <c r="M17" s="312"/>
      <c r="N17" s="299" t="s">
        <v>500</v>
      </c>
      <c r="O17" s="312"/>
      <c r="P17" s="299" t="s">
        <v>501</v>
      </c>
      <c r="Q17" s="312"/>
      <c r="R17" s="299" t="s">
        <v>502</v>
      </c>
      <c r="S17" s="302" t="s">
        <v>503</v>
      </c>
    </row>
    <row r="18" spans="2:19" ht="15" thickBot="1" x14ac:dyDescent="0.4">
      <c r="B18" s="274"/>
      <c r="I18" s="447"/>
      <c r="J18" s="475"/>
      <c r="K18" s="296"/>
      <c r="L18" s="312"/>
      <c r="M18" s="312"/>
      <c r="N18" s="312"/>
      <c r="O18" s="312"/>
      <c r="P18" s="312"/>
      <c r="Q18" s="312"/>
      <c r="R18" s="312"/>
      <c r="S18" s="297"/>
    </row>
    <row r="19" spans="2:19" ht="15" thickBot="1" x14ac:dyDescent="0.4">
      <c r="B19" s="274"/>
      <c r="F19" s="476" t="s">
        <v>508</v>
      </c>
      <c r="G19" s="476"/>
      <c r="I19" s="447"/>
      <c r="J19" s="475"/>
      <c r="K19" s="296"/>
      <c r="L19" s="299" t="s">
        <v>504</v>
      </c>
      <c r="M19" s="312"/>
      <c r="N19" s="299" t="s">
        <v>505</v>
      </c>
      <c r="O19" s="312"/>
      <c r="P19" s="299" t="s">
        <v>506</v>
      </c>
      <c r="Q19" s="312"/>
      <c r="R19" s="299" t="s">
        <v>507</v>
      </c>
      <c r="S19" s="297"/>
    </row>
    <row r="20" spans="2:19" ht="21.5" customHeight="1" thickBot="1" x14ac:dyDescent="0.4">
      <c r="B20" s="274"/>
      <c r="F20" s="476"/>
      <c r="G20" s="476"/>
      <c r="K20" s="296"/>
      <c r="L20" s="312"/>
      <c r="M20" s="312"/>
      <c r="N20" s="312"/>
      <c r="O20" s="312"/>
      <c r="P20" s="312"/>
      <c r="Q20" s="312"/>
      <c r="R20" s="312"/>
      <c r="S20" s="297"/>
    </row>
    <row r="21" spans="2:19" ht="15" thickBot="1" x14ac:dyDescent="0.4">
      <c r="B21" s="274"/>
      <c r="K21" s="296"/>
      <c r="L21" s="299" t="s">
        <v>509</v>
      </c>
      <c r="M21" s="312"/>
      <c r="N21" s="299" t="s">
        <v>510</v>
      </c>
      <c r="O21" s="312"/>
      <c r="P21" s="299" t="s">
        <v>511</v>
      </c>
      <c r="Q21" s="312"/>
      <c r="R21" s="299" t="s">
        <v>512</v>
      </c>
      <c r="S21" s="297"/>
    </row>
    <row r="22" spans="2:19" ht="15" thickBot="1" x14ac:dyDescent="0.4">
      <c r="B22" s="274"/>
      <c r="K22" s="296"/>
      <c r="L22" s="312"/>
      <c r="M22" s="312"/>
      <c r="N22" s="312"/>
      <c r="O22" s="312"/>
      <c r="P22" s="312"/>
      <c r="Q22" s="312"/>
      <c r="R22" s="312"/>
      <c r="S22" s="297"/>
    </row>
    <row r="23" spans="2:19" ht="15" thickBot="1" x14ac:dyDescent="0.4">
      <c r="B23" s="274"/>
      <c r="K23" s="296"/>
      <c r="L23" s="299" t="s">
        <v>513</v>
      </c>
      <c r="M23" s="312"/>
      <c r="N23" s="299" t="s">
        <v>514</v>
      </c>
      <c r="O23" s="312"/>
      <c r="P23" s="299" t="s">
        <v>515</v>
      </c>
      <c r="Q23" s="312"/>
      <c r="R23" s="299" t="s">
        <v>516</v>
      </c>
      <c r="S23" s="297"/>
    </row>
    <row r="24" spans="2:19" ht="15" thickBot="1" x14ac:dyDescent="0.4">
      <c r="B24" s="274"/>
      <c r="K24" s="296"/>
      <c r="L24" s="312"/>
      <c r="M24" s="312"/>
      <c r="N24" s="312"/>
      <c r="O24" s="312"/>
      <c r="P24" s="312"/>
      <c r="Q24" s="312"/>
      <c r="R24" s="312"/>
      <c r="S24" s="297"/>
    </row>
    <row r="25" spans="2:19" ht="15" thickBot="1" x14ac:dyDescent="0.4">
      <c r="B25" s="274"/>
      <c r="K25" s="296"/>
      <c r="L25" s="299" t="s">
        <v>517</v>
      </c>
      <c r="M25" s="312"/>
      <c r="N25" s="299" t="s">
        <v>518</v>
      </c>
      <c r="O25" s="312"/>
      <c r="P25" s="299" t="s">
        <v>519</v>
      </c>
      <c r="Q25" s="312"/>
      <c r="R25" s="299" t="s">
        <v>520</v>
      </c>
      <c r="S25" s="297"/>
    </row>
    <row r="26" spans="2:19" ht="15" thickBot="1" x14ac:dyDescent="0.4">
      <c r="B26" s="279"/>
      <c r="C26" s="155"/>
      <c r="D26" s="155"/>
      <c r="E26" s="155"/>
      <c r="F26" s="155"/>
      <c r="G26" s="155"/>
      <c r="H26" s="155"/>
      <c r="I26" s="155"/>
      <c r="J26" s="155"/>
      <c r="K26" s="303"/>
      <c r="L26" s="304"/>
      <c r="M26" s="304"/>
      <c r="N26" s="304"/>
      <c r="O26" s="304"/>
      <c r="P26" s="304"/>
      <c r="Q26" s="304"/>
      <c r="R26" s="304"/>
      <c r="S26" s="305"/>
    </row>
    <row r="27" spans="2:19" ht="15" thickBot="1" x14ac:dyDescent="0.4"/>
    <row r="28" spans="2:19" x14ac:dyDescent="0.35">
      <c r="B28" s="307" t="s">
        <v>541</v>
      </c>
      <c r="C28" s="308"/>
      <c r="D28" s="308"/>
      <c r="E28" s="308"/>
      <c r="F28" s="308"/>
      <c r="G28" s="308"/>
      <c r="H28" s="309"/>
      <c r="J28" s="477" t="s">
        <v>548</v>
      </c>
      <c r="K28" s="478"/>
      <c r="L28" s="478"/>
      <c r="M28" s="479"/>
      <c r="S28" s="7"/>
    </row>
    <row r="29" spans="2:19" x14ac:dyDescent="0.35">
      <c r="B29" s="495" t="s">
        <v>523</v>
      </c>
      <c r="C29" s="497" t="s">
        <v>545</v>
      </c>
      <c r="D29" s="314"/>
      <c r="E29" s="314"/>
      <c r="F29" s="497" t="s">
        <v>524</v>
      </c>
      <c r="G29" s="497" t="s">
        <v>543</v>
      </c>
      <c r="H29" s="499" t="s">
        <v>542</v>
      </c>
      <c r="J29" s="480"/>
      <c r="K29" s="481"/>
      <c r="L29" s="481"/>
      <c r="M29" s="482"/>
    </row>
    <row r="30" spans="2:19" ht="26.5" thickBot="1" x14ac:dyDescent="0.4">
      <c r="B30" s="496"/>
      <c r="C30" s="498"/>
      <c r="D30" s="315" t="s">
        <v>525</v>
      </c>
      <c r="E30" s="315" t="s">
        <v>526</v>
      </c>
      <c r="F30" s="498"/>
      <c r="G30" s="498"/>
      <c r="H30" s="500"/>
      <c r="J30" s="483"/>
      <c r="K30" s="484"/>
      <c r="L30" s="484"/>
      <c r="M30" s="485"/>
    </row>
    <row r="31" spans="2:19" ht="26" x14ac:dyDescent="0.35">
      <c r="B31" s="316" t="s">
        <v>527</v>
      </c>
      <c r="C31" s="317">
        <v>335</v>
      </c>
      <c r="D31" s="318">
        <f t="shared" ref="D31:D38" si="0">+C31/$C$38</f>
        <v>0.67</v>
      </c>
      <c r="E31" s="319">
        <f t="shared" ref="E31:E36" si="1">+C31/$C$36</f>
        <v>0.74444444444444446</v>
      </c>
      <c r="F31" s="320" t="s">
        <v>528</v>
      </c>
      <c r="G31" s="321">
        <v>1.7999999999999999E-2</v>
      </c>
      <c r="H31" s="322">
        <f>+G31*E31</f>
        <v>1.3399999999999999E-2</v>
      </c>
    </row>
    <row r="32" spans="2:19" x14ac:dyDescent="0.35">
      <c r="B32" s="316" t="s">
        <v>529</v>
      </c>
      <c r="C32" s="317">
        <v>41</v>
      </c>
      <c r="D32" s="318">
        <f t="shared" si="0"/>
        <v>8.2000000000000003E-2</v>
      </c>
      <c r="E32" s="323">
        <f t="shared" si="1"/>
        <v>9.1111111111111115E-2</v>
      </c>
      <c r="F32" s="320" t="s">
        <v>530</v>
      </c>
      <c r="G32" s="321">
        <v>0.03</v>
      </c>
      <c r="H32" s="322">
        <f t="shared" ref="H32:H35" si="2">+G32*E32</f>
        <v>2.7333333333333333E-3</v>
      </c>
      <c r="J32" s="210" t="s">
        <v>549</v>
      </c>
      <c r="L32" s="210" t="s">
        <v>551</v>
      </c>
    </row>
    <row r="33" spans="2:13" x14ac:dyDescent="0.35">
      <c r="B33" s="316" t="s">
        <v>531</v>
      </c>
      <c r="C33" s="317">
        <v>30</v>
      </c>
      <c r="D33" s="318">
        <f t="shared" si="0"/>
        <v>0.06</v>
      </c>
      <c r="E33" s="323">
        <f t="shared" si="1"/>
        <v>6.6666666666666666E-2</v>
      </c>
      <c r="F33" s="320" t="s">
        <v>532</v>
      </c>
      <c r="G33" s="321">
        <v>0.04</v>
      </c>
      <c r="H33" s="322">
        <f t="shared" si="2"/>
        <v>2.6666666666666666E-3</v>
      </c>
      <c r="J33" s="210" t="s">
        <v>550</v>
      </c>
      <c r="L33" s="210" t="s">
        <v>552</v>
      </c>
    </row>
    <row r="34" spans="2:13" ht="15.4" customHeight="1" thickBot="1" x14ac:dyDescent="0.4">
      <c r="B34" s="316" t="s">
        <v>533</v>
      </c>
      <c r="C34" s="317">
        <v>27</v>
      </c>
      <c r="D34" s="318">
        <f t="shared" si="0"/>
        <v>5.3999999999999999E-2</v>
      </c>
      <c r="E34" s="323">
        <f t="shared" si="1"/>
        <v>0.06</v>
      </c>
      <c r="F34" s="320" t="s">
        <v>534</v>
      </c>
      <c r="G34" s="321">
        <v>0.06</v>
      </c>
      <c r="H34" s="322">
        <f t="shared" si="2"/>
        <v>3.5999999999999999E-3</v>
      </c>
    </row>
    <row r="35" spans="2:13" x14ac:dyDescent="0.35">
      <c r="B35" s="316" t="s">
        <v>535</v>
      </c>
      <c r="C35" s="324">
        <v>17</v>
      </c>
      <c r="D35" s="325">
        <f t="shared" si="0"/>
        <v>3.4000000000000002E-2</v>
      </c>
      <c r="E35" s="326">
        <f t="shared" si="1"/>
        <v>3.7777777777777778E-2</v>
      </c>
      <c r="F35" s="327" t="s">
        <v>536</v>
      </c>
      <c r="G35" s="321">
        <v>7.2999999999999995E-2</v>
      </c>
      <c r="H35" s="322">
        <f t="shared" si="2"/>
        <v>2.7577777777777778E-3</v>
      </c>
      <c r="J35" s="486" t="s">
        <v>547</v>
      </c>
      <c r="K35" s="487"/>
      <c r="L35" s="487"/>
      <c r="M35" s="488"/>
    </row>
    <row r="36" spans="2:13" x14ac:dyDescent="0.35">
      <c r="B36" s="316" t="s">
        <v>537</v>
      </c>
      <c r="C36" s="328">
        <f>SUM(C31:C35)</f>
        <v>450</v>
      </c>
      <c r="D36" s="329">
        <f t="shared" si="0"/>
        <v>0.9</v>
      </c>
      <c r="E36" s="323">
        <f t="shared" si="1"/>
        <v>1</v>
      </c>
      <c r="F36" s="320"/>
      <c r="G36" s="330"/>
      <c r="H36" s="331"/>
      <c r="J36" s="489"/>
      <c r="K36" s="490"/>
      <c r="L36" s="490"/>
      <c r="M36" s="491"/>
    </row>
    <row r="37" spans="2:13" x14ac:dyDescent="0.35">
      <c r="B37" s="316" t="s">
        <v>538</v>
      </c>
      <c r="C37" s="317">
        <v>50</v>
      </c>
      <c r="D37" s="318">
        <f t="shared" si="0"/>
        <v>0.1</v>
      </c>
      <c r="E37" s="323"/>
      <c r="F37" s="320" t="s">
        <v>539</v>
      </c>
      <c r="G37" s="501" t="s">
        <v>540</v>
      </c>
      <c r="H37" s="502"/>
      <c r="J37" s="489"/>
      <c r="K37" s="490"/>
      <c r="L37" s="490"/>
      <c r="M37" s="491"/>
    </row>
    <row r="38" spans="2:13" ht="15" thickBot="1" x14ac:dyDescent="0.4">
      <c r="B38" s="332"/>
      <c r="C38" s="333">
        <f>+C37+C36</f>
        <v>500</v>
      </c>
      <c r="D38" s="334">
        <f t="shared" si="0"/>
        <v>1</v>
      </c>
      <c r="E38" s="335"/>
      <c r="F38" s="336"/>
      <c r="G38" s="336"/>
      <c r="H38" s="337">
        <f>SUM(H31:H36)</f>
        <v>2.5157777777777779E-2</v>
      </c>
      <c r="J38" s="492"/>
      <c r="K38" s="493"/>
      <c r="L38" s="493"/>
      <c r="M38" s="494"/>
    </row>
  </sheetData>
  <mergeCells count="14">
    <mergeCell ref="J28:M30"/>
    <mergeCell ref="J35:M38"/>
    <mergeCell ref="B29:B30"/>
    <mergeCell ref="C29:C30"/>
    <mergeCell ref="F29:F30"/>
    <mergeCell ref="G29:G30"/>
    <mergeCell ref="H29:H30"/>
    <mergeCell ref="G37:H37"/>
    <mergeCell ref="G5:I16"/>
    <mergeCell ref="K5:S7"/>
    <mergeCell ref="J11:J16"/>
    <mergeCell ref="B13:D16"/>
    <mergeCell ref="I17:J19"/>
    <mergeCell ref="F19:G20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4EEBEF-4B63-4BE6-A65D-9A717F84BD71}">
  <dimension ref="A1:J42"/>
  <sheetViews>
    <sheetView showGridLines="0" workbookViewId="0">
      <selection activeCell="C44" sqref="C44"/>
    </sheetView>
  </sheetViews>
  <sheetFormatPr defaultRowHeight="14.5" x14ac:dyDescent="0.35"/>
  <cols>
    <col min="1" max="1" width="35.6328125" customWidth="1"/>
    <col min="2" max="2" width="12" style="7" customWidth="1"/>
    <col min="3" max="3" width="13.08984375" style="27" customWidth="1"/>
    <col min="4" max="4" width="10.36328125" customWidth="1"/>
    <col min="5" max="5" width="8.36328125" customWidth="1"/>
    <col min="6" max="6" width="10" customWidth="1"/>
    <col min="7" max="7" width="1.54296875" customWidth="1"/>
    <col min="8" max="8" width="9.26953125" customWidth="1"/>
    <col min="9" max="9" width="1.36328125" customWidth="1"/>
    <col min="10" max="10" width="9.1796875" customWidth="1"/>
    <col min="11" max="11" width="2.36328125" customWidth="1"/>
    <col min="12" max="12" width="10.36328125" customWidth="1"/>
    <col min="13" max="13" width="7.54296875" customWidth="1"/>
    <col min="14" max="14" width="7.36328125" customWidth="1"/>
    <col min="15" max="15" width="1.54296875" customWidth="1"/>
  </cols>
  <sheetData>
    <row r="1" spans="1:10" ht="23.5" x14ac:dyDescent="0.55000000000000004">
      <c r="A1" s="30" t="s">
        <v>465</v>
      </c>
      <c r="B1" s="74"/>
    </row>
    <row r="2" spans="1:10" x14ac:dyDescent="0.35">
      <c r="A2" s="40"/>
      <c r="B2" s="78"/>
      <c r="C2" s="35"/>
      <c r="D2" s="35"/>
      <c r="E2" s="36"/>
      <c r="F2" s="37"/>
      <c r="G2" s="40"/>
      <c r="H2" s="38"/>
    </row>
    <row r="3" spans="1:10" x14ac:dyDescent="0.35">
      <c r="A3" s="45" t="s">
        <v>87</v>
      </c>
      <c r="B3" s="79"/>
      <c r="C3" s="46"/>
      <c r="D3" s="47"/>
      <c r="E3" s="47"/>
      <c r="F3" s="47"/>
      <c r="G3" s="40"/>
      <c r="H3" s="48"/>
    </row>
    <row r="4" spans="1:10" ht="33.75" customHeight="1" x14ac:dyDescent="0.35">
      <c r="A4" s="49"/>
      <c r="B4" s="80" t="s">
        <v>94</v>
      </c>
      <c r="C4" s="50" t="s">
        <v>51</v>
      </c>
      <c r="D4" s="50" t="s">
        <v>52</v>
      </c>
      <c r="E4" s="50" t="s">
        <v>85</v>
      </c>
      <c r="F4" s="50" t="s">
        <v>80</v>
      </c>
      <c r="G4" s="39"/>
      <c r="H4" s="53" t="s">
        <v>86</v>
      </c>
    </row>
    <row r="5" spans="1:10" x14ac:dyDescent="0.35">
      <c r="A5" s="41" t="s">
        <v>74</v>
      </c>
      <c r="B5" s="77">
        <v>1000</v>
      </c>
      <c r="C5" s="31" t="s">
        <v>73</v>
      </c>
      <c r="D5" s="43">
        <v>74.2</v>
      </c>
      <c r="E5" s="43">
        <v>2.23</v>
      </c>
      <c r="F5" s="44">
        <v>3.1E-2</v>
      </c>
      <c r="G5" s="40"/>
      <c r="H5" s="42" t="s">
        <v>432</v>
      </c>
    </row>
    <row r="6" spans="1:10" x14ac:dyDescent="0.35">
      <c r="A6" s="251" t="s">
        <v>77</v>
      </c>
      <c r="B6" s="252">
        <v>42000</v>
      </c>
      <c r="C6" s="253" t="s">
        <v>414</v>
      </c>
      <c r="D6" s="254">
        <v>211.35</v>
      </c>
      <c r="E6" s="254">
        <v>4.26</v>
      </c>
      <c r="F6" s="255">
        <v>2.06E-2</v>
      </c>
      <c r="G6" s="256"/>
      <c r="H6" s="257" t="s">
        <v>432</v>
      </c>
    </row>
    <row r="7" spans="1:10" x14ac:dyDescent="0.35">
      <c r="A7" s="41" t="s">
        <v>75</v>
      </c>
      <c r="B7" s="77">
        <v>10000</v>
      </c>
      <c r="C7" s="31" t="s">
        <v>76</v>
      </c>
      <c r="D7" s="43">
        <v>2.52</v>
      </c>
      <c r="E7" s="43">
        <v>0.03</v>
      </c>
      <c r="F7" s="44">
        <v>1.24E-2</v>
      </c>
      <c r="G7" s="40"/>
      <c r="H7" s="42" t="s">
        <v>432</v>
      </c>
    </row>
    <row r="8" spans="1:10" x14ac:dyDescent="0.35">
      <c r="A8" s="41" t="s">
        <v>72</v>
      </c>
      <c r="B8" s="77">
        <v>1000</v>
      </c>
      <c r="C8" s="31" t="s">
        <v>73</v>
      </c>
      <c r="D8" s="43">
        <v>65.75</v>
      </c>
      <c r="E8" s="43">
        <v>1.75</v>
      </c>
      <c r="F8" s="44">
        <v>2.7300000000000001E-2</v>
      </c>
      <c r="G8" s="40"/>
      <c r="H8" s="42" t="s">
        <v>432</v>
      </c>
    </row>
    <row r="9" spans="1:10" ht="15" thickBot="1" x14ac:dyDescent="0.4"/>
    <row r="10" spans="1:10" x14ac:dyDescent="0.35">
      <c r="A10" s="18" t="s">
        <v>433</v>
      </c>
      <c r="B10" s="17"/>
      <c r="C10" s="17"/>
      <c r="D10" s="17"/>
      <c r="F10" s="506" t="s">
        <v>445</v>
      </c>
      <c r="G10" s="507"/>
      <c r="H10" s="507"/>
      <c r="I10" s="507"/>
      <c r="J10" s="508"/>
    </row>
    <row r="11" spans="1:10" x14ac:dyDescent="0.35">
      <c r="A11" t="s">
        <v>18</v>
      </c>
      <c r="B11" t="s">
        <v>435</v>
      </c>
      <c r="C11"/>
      <c r="F11" s="268" t="s">
        <v>457</v>
      </c>
      <c r="G11" s="263"/>
      <c r="H11" s="504" t="s">
        <v>460</v>
      </c>
      <c r="I11" s="504"/>
      <c r="J11" s="505"/>
    </row>
    <row r="12" spans="1:10" x14ac:dyDescent="0.35">
      <c r="A12" t="s">
        <v>30</v>
      </c>
      <c r="B12" s="14">
        <v>42000</v>
      </c>
      <c r="C12" t="s">
        <v>462</v>
      </c>
      <c r="F12" s="269"/>
      <c r="G12" s="210"/>
      <c r="H12" s="267" t="s">
        <v>458</v>
      </c>
      <c r="I12" s="24"/>
      <c r="J12" s="270" t="s">
        <v>459</v>
      </c>
    </row>
    <row r="13" spans="1:10" x14ac:dyDescent="0.35">
      <c r="A13" t="s">
        <v>15</v>
      </c>
      <c r="B13" s="14">
        <v>420000</v>
      </c>
      <c r="C13" t="s">
        <v>462</v>
      </c>
      <c r="F13" s="271" t="s">
        <v>432</v>
      </c>
      <c r="H13" s="264">
        <v>0.01</v>
      </c>
      <c r="I13" s="272"/>
      <c r="J13" s="273">
        <v>0.02</v>
      </c>
    </row>
    <row r="14" spans="1:10" x14ac:dyDescent="0.35">
      <c r="A14" t="s">
        <v>31</v>
      </c>
      <c r="B14" s="14">
        <f>B13/B6</f>
        <v>10</v>
      </c>
      <c r="C14" s="10" t="s">
        <v>434</v>
      </c>
      <c r="F14" s="271" t="s">
        <v>446</v>
      </c>
      <c r="H14" s="264">
        <v>5.0000000000000001E-3</v>
      </c>
      <c r="I14" s="272"/>
      <c r="J14" s="273">
        <v>1.2999999999999999E-2</v>
      </c>
    </row>
    <row r="15" spans="1:10" x14ac:dyDescent="0.35">
      <c r="A15" t="s">
        <v>16</v>
      </c>
      <c r="B15" s="16">
        <f>+E6</f>
        <v>4.26</v>
      </c>
      <c r="C15"/>
      <c r="F15" s="271" t="s">
        <v>447</v>
      </c>
      <c r="H15" s="264">
        <v>-0.01</v>
      </c>
      <c r="I15" s="272"/>
      <c r="J15" s="273">
        <v>-0.01</v>
      </c>
    </row>
    <row r="16" spans="1:10" x14ac:dyDescent="0.35">
      <c r="A16" t="s">
        <v>20</v>
      </c>
      <c r="B16" s="7" t="s">
        <v>436</v>
      </c>
      <c r="C16"/>
      <c r="F16" s="271" t="s">
        <v>448</v>
      </c>
      <c r="H16" s="264">
        <v>3.5000000000000001E-3</v>
      </c>
      <c r="I16" s="272"/>
      <c r="J16" s="273">
        <v>0.01</v>
      </c>
    </row>
    <row r="17" spans="1:10" x14ac:dyDescent="0.35">
      <c r="A17" t="s">
        <v>23</v>
      </c>
      <c r="B17" s="7" t="s">
        <v>24</v>
      </c>
      <c r="C17"/>
      <c r="F17" s="271" t="s">
        <v>449</v>
      </c>
      <c r="H17" s="264">
        <v>1.7999999999999999E-2</v>
      </c>
      <c r="I17" s="272"/>
      <c r="J17" s="273">
        <v>2.4E-2</v>
      </c>
    </row>
    <row r="18" spans="1:10" x14ac:dyDescent="0.35">
      <c r="B18"/>
      <c r="C18"/>
      <c r="F18" s="271" t="s">
        <v>450</v>
      </c>
      <c r="H18" s="264">
        <v>-1.2E-2</v>
      </c>
      <c r="I18" s="272"/>
      <c r="J18" s="273">
        <v>-2.3E-2</v>
      </c>
    </row>
    <row r="19" spans="1:10" ht="15.5" x14ac:dyDescent="0.35">
      <c r="A19" s="261" t="s">
        <v>438</v>
      </c>
      <c r="B19" s="169"/>
      <c r="C19" s="169"/>
      <c r="D19" s="169"/>
      <c r="F19" s="271" t="s">
        <v>451</v>
      </c>
      <c r="H19" s="264">
        <v>0.03</v>
      </c>
      <c r="I19" s="272"/>
      <c r="J19" s="273">
        <v>3.2000000000000001E-2</v>
      </c>
    </row>
    <row r="20" spans="1:10" x14ac:dyDescent="0.35">
      <c r="A20" s="18" t="s">
        <v>45</v>
      </c>
      <c r="B20" s="503" t="s">
        <v>437</v>
      </c>
      <c r="C20" s="440"/>
      <c r="D20" s="440"/>
      <c r="F20" s="271" t="s">
        <v>452</v>
      </c>
      <c r="H20" s="264">
        <v>0.01</v>
      </c>
      <c r="I20" s="272"/>
      <c r="J20" s="273">
        <v>-0.02</v>
      </c>
    </row>
    <row r="21" spans="1:10" x14ac:dyDescent="0.35">
      <c r="A21" t="s">
        <v>37</v>
      </c>
      <c r="B21" s="260">
        <v>-0.5</v>
      </c>
      <c r="C21" s="260">
        <v>0</v>
      </c>
      <c r="D21" s="258">
        <f>-B21</f>
        <v>0.5</v>
      </c>
      <c r="F21" s="271" t="s">
        <v>453</v>
      </c>
      <c r="H21" s="264">
        <v>-0.01</v>
      </c>
      <c r="I21" s="272"/>
      <c r="J21" s="273">
        <v>0.02</v>
      </c>
    </row>
    <row r="22" spans="1:10" ht="15" thickBot="1" x14ac:dyDescent="0.4">
      <c r="A22" t="s">
        <v>49</v>
      </c>
      <c r="B22" s="259">
        <f>+C22+B21</f>
        <v>3.76</v>
      </c>
      <c r="C22" s="259">
        <f>+B15</f>
        <v>4.26</v>
      </c>
      <c r="D22" s="259">
        <f>+C22+D21</f>
        <v>4.76</v>
      </c>
      <c r="F22" s="271" t="s">
        <v>454</v>
      </c>
      <c r="H22" s="264">
        <v>0.02</v>
      </c>
      <c r="I22" s="272"/>
      <c r="J22" s="273">
        <v>0.04</v>
      </c>
    </row>
    <row r="23" spans="1:10" x14ac:dyDescent="0.35">
      <c r="A23" t="s">
        <v>439</v>
      </c>
      <c r="B23" s="243">
        <f>-$B$13*B22</f>
        <v>-1579200</v>
      </c>
      <c r="C23" s="243">
        <f t="shared" ref="C23:D23" si="0">-$B$13*C22</f>
        <v>-1789200</v>
      </c>
      <c r="D23" s="243">
        <f t="shared" si="0"/>
        <v>-1999200</v>
      </c>
      <c r="F23" s="271" t="s">
        <v>455</v>
      </c>
      <c r="H23" s="264">
        <v>5.0000000000000001E-3</v>
      </c>
      <c r="I23" s="272"/>
      <c r="J23" s="273">
        <v>0.02</v>
      </c>
    </row>
    <row r="24" spans="1:10" x14ac:dyDescent="0.35">
      <c r="A24" s="10" t="s">
        <v>35</v>
      </c>
      <c r="B24" s="9">
        <f>B21*$B$12*$B$14</f>
        <v>-210000</v>
      </c>
      <c r="C24" s="9">
        <f t="shared" ref="C24:D24" si="1">C21*$B$12*$B$14</f>
        <v>0</v>
      </c>
      <c r="D24" s="9">
        <f t="shared" si="1"/>
        <v>210000</v>
      </c>
      <c r="F24" s="271" t="s">
        <v>456</v>
      </c>
      <c r="H24" s="264">
        <v>-5.0000000000000001E-3</v>
      </c>
      <c r="I24" s="272"/>
      <c r="J24" s="273">
        <v>3.5000000000000003E-2</v>
      </c>
    </row>
    <row r="25" spans="1:10" ht="15" thickBot="1" x14ac:dyDescent="0.4">
      <c r="A25" t="s">
        <v>36</v>
      </c>
      <c r="B25" s="11">
        <f>+B24+B23</f>
        <v>-1789200</v>
      </c>
      <c r="C25" s="11">
        <f t="shared" ref="C25:D25" si="2">+C24+C23</f>
        <v>-1789200</v>
      </c>
      <c r="D25" s="11">
        <f t="shared" si="2"/>
        <v>-1789200</v>
      </c>
      <c r="F25" s="271" t="s">
        <v>432</v>
      </c>
      <c r="H25" s="264">
        <v>-0.03</v>
      </c>
      <c r="I25" s="272"/>
      <c r="J25" s="273">
        <v>-0.06</v>
      </c>
    </row>
    <row r="26" spans="1:10" ht="15" thickTop="1" x14ac:dyDescent="0.35">
      <c r="B26"/>
      <c r="C26"/>
      <c r="F26" s="271" t="s">
        <v>446</v>
      </c>
      <c r="H26" s="264">
        <v>-5.0000000000000001E-3</v>
      </c>
      <c r="I26" s="272"/>
      <c r="J26" s="273">
        <v>0.01</v>
      </c>
    </row>
    <row r="27" spans="1:10" x14ac:dyDescent="0.35">
      <c r="B27"/>
      <c r="C27"/>
      <c r="F27" s="271" t="s">
        <v>447</v>
      </c>
      <c r="H27" s="264">
        <v>8.0000000000000002E-3</v>
      </c>
      <c r="I27" s="272"/>
      <c r="J27" s="273">
        <v>1.2E-2</v>
      </c>
    </row>
    <row r="28" spans="1:10" x14ac:dyDescent="0.35">
      <c r="B28"/>
      <c r="C28" s="24" t="s">
        <v>46</v>
      </c>
      <c r="F28" s="271" t="s">
        <v>448</v>
      </c>
      <c r="H28" s="264">
        <v>0.02</v>
      </c>
      <c r="I28" s="272"/>
      <c r="J28" s="273">
        <v>0.03</v>
      </c>
    </row>
    <row r="29" spans="1:10" x14ac:dyDescent="0.35">
      <c r="B29"/>
      <c r="C29" s="24"/>
      <c r="F29" s="271" t="s">
        <v>449</v>
      </c>
      <c r="H29" s="264">
        <v>-1.0999999999999999E-2</v>
      </c>
      <c r="I29" s="272"/>
      <c r="J29" s="273">
        <v>-0.01</v>
      </c>
    </row>
    <row r="30" spans="1:10" ht="15.5" x14ac:dyDescent="0.35">
      <c r="A30" s="261" t="s">
        <v>440</v>
      </c>
      <c r="B30" s="262"/>
      <c r="C30" s="218"/>
      <c r="D30" s="169"/>
      <c r="F30" s="271" t="s">
        <v>450</v>
      </c>
      <c r="H30" s="264">
        <v>-2.5999999999999999E-2</v>
      </c>
      <c r="I30" s="272"/>
      <c r="J30" s="273">
        <v>-2.4E-2</v>
      </c>
    </row>
    <row r="31" spans="1:10" x14ac:dyDescent="0.35">
      <c r="A31" t="s">
        <v>18</v>
      </c>
      <c r="B31" t="s">
        <v>435</v>
      </c>
      <c r="C31"/>
      <c r="F31" s="271" t="s">
        <v>451</v>
      </c>
      <c r="H31" s="264">
        <v>1.2E-2</v>
      </c>
      <c r="I31" s="272"/>
      <c r="J31" s="273">
        <v>2.1999999999999999E-2</v>
      </c>
    </row>
    <row r="32" spans="1:10" x14ac:dyDescent="0.35">
      <c r="A32" t="s">
        <v>30</v>
      </c>
      <c r="B32" s="14">
        <v>42000</v>
      </c>
      <c r="C32" t="s">
        <v>462</v>
      </c>
      <c r="F32" s="271" t="s">
        <v>452</v>
      </c>
      <c r="H32" s="264">
        <v>1.4E-2</v>
      </c>
      <c r="I32" s="272"/>
      <c r="J32" s="273">
        <v>2.1000000000000001E-2</v>
      </c>
    </row>
    <row r="33" spans="1:10" x14ac:dyDescent="0.35">
      <c r="A33" t="s">
        <v>15</v>
      </c>
      <c r="B33" s="14">
        <f>+B13</f>
        <v>420000</v>
      </c>
      <c r="C33" t="s">
        <v>462</v>
      </c>
      <c r="F33" s="271" t="s">
        <v>453</v>
      </c>
      <c r="H33" s="264">
        <v>-2.5000000000000001E-2</v>
      </c>
      <c r="I33" s="272"/>
      <c r="J33" s="273">
        <v>-0.04</v>
      </c>
    </row>
    <row r="34" spans="1:10" x14ac:dyDescent="0.35">
      <c r="A34" t="s">
        <v>31</v>
      </c>
      <c r="B34" s="14">
        <f>ROUND(+B42*B33/B32,0)</f>
        <v>5</v>
      </c>
      <c r="C34" s="10" t="s">
        <v>441</v>
      </c>
      <c r="F34" s="271" t="s">
        <v>454</v>
      </c>
      <c r="H34" s="264">
        <v>-8.0000000000000002E-3</v>
      </c>
      <c r="I34" s="272"/>
      <c r="J34" s="273">
        <v>-0.02</v>
      </c>
    </row>
    <row r="35" spans="1:10" x14ac:dyDescent="0.35">
      <c r="A35" t="s">
        <v>16</v>
      </c>
      <c r="B35" s="16">
        <f>+E6</f>
        <v>4.26</v>
      </c>
      <c r="C35"/>
      <c r="F35" s="271" t="s">
        <v>455</v>
      </c>
      <c r="H35" s="264">
        <v>-1.0999999999999999E-2</v>
      </c>
      <c r="I35" s="272"/>
      <c r="J35" s="273">
        <v>-0.01</v>
      </c>
    </row>
    <row r="36" spans="1:10" x14ac:dyDescent="0.35">
      <c r="A36" t="s">
        <v>20</v>
      </c>
      <c r="B36" s="7" t="s">
        <v>436</v>
      </c>
      <c r="C36"/>
      <c r="F36" s="271" t="s">
        <v>456</v>
      </c>
      <c r="H36" s="264">
        <v>0.03</v>
      </c>
      <c r="I36" s="272"/>
      <c r="J36" s="273">
        <v>0.03</v>
      </c>
    </row>
    <row r="37" spans="1:10" x14ac:dyDescent="0.35">
      <c r="A37" t="s">
        <v>23</v>
      </c>
      <c r="B37" s="7" t="s">
        <v>24</v>
      </c>
      <c r="C37"/>
      <c r="F37" s="274"/>
      <c r="H37" s="27"/>
      <c r="I37" s="27"/>
      <c r="J37" s="275"/>
    </row>
    <row r="38" spans="1:10" x14ac:dyDescent="0.35">
      <c r="F38" s="274" t="s">
        <v>461</v>
      </c>
      <c r="H38" s="276">
        <f>STDEV(H13:H37)</f>
        <v>1.6742603277052036E-2</v>
      </c>
      <c r="I38" s="27"/>
      <c r="J38" s="277">
        <f>STDEV(J13:J36)</f>
        <v>2.6083339121173599E-2</v>
      </c>
    </row>
    <row r="39" spans="1:10" x14ac:dyDescent="0.35">
      <c r="A39" t="s">
        <v>442</v>
      </c>
      <c r="B39" s="265">
        <f>+H38</f>
        <v>1.6742603277052036E-2</v>
      </c>
      <c r="F39" s="274" t="s">
        <v>463</v>
      </c>
      <c r="H39" s="278">
        <f>CORREL(H13:H36,J13:J36)</f>
        <v>0.8100014729370002</v>
      </c>
      <c r="I39" s="27"/>
      <c r="J39" s="275"/>
    </row>
    <row r="40" spans="1:10" ht="15" thickBot="1" x14ac:dyDescent="0.4">
      <c r="A40" t="s">
        <v>443</v>
      </c>
      <c r="B40" s="265">
        <f>+J38</f>
        <v>2.6083339121173599E-2</v>
      </c>
      <c r="F40" s="279"/>
      <c r="G40" s="155"/>
      <c r="H40" s="155"/>
      <c r="I40" s="155"/>
      <c r="J40" s="280"/>
    </row>
    <row r="41" spans="1:10" x14ac:dyDescent="0.35">
      <c r="A41" t="s">
        <v>444</v>
      </c>
      <c r="B41" s="266">
        <f>+H39</f>
        <v>0.8100014729370002</v>
      </c>
    </row>
    <row r="42" spans="1:10" x14ac:dyDescent="0.35">
      <c r="A42" s="210" t="s">
        <v>464</v>
      </c>
      <c r="B42" s="281">
        <f>+B39/B40*B41</f>
        <v>0.51993087434895124</v>
      </c>
    </row>
  </sheetData>
  <mergeCells count="3">
    <mergeCell ref="B20:D20"/>
    <mergeCell ref="H11:J11"/>
    <mergeCell ref="F10:J10"/>
  </mergeCells>
  <phoneticPr fontId="29" type="noConversion"/>
  <pageMargins left="0.7" right="0.7" top="0.75" bottom="0.75" header="0.3" footer="0.3"/>
  <pageSetup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B98306-C698-49B1-B7FB-3BDBD2DC22D9}">
  <dimension ref="B1:Q131"/>
  <sheetViews>
    <sheetView topLeftCell="A85" workbookViewId="0">
      <selection activeCell="N113" sqref="N113"/>
    </sheetView>
  </sheetViews>
  <sheetFormatPr defaultRowHeight="14.5" x14ac:dyDescent="0.35"/>
  <cols>
    <col min="2" max="2" width="17.26953125" customWidth="1"/>
    <col min="3" max="3" width="15.26953125" customWidth="1"/>
    <col min="4" max="4" width="11.54296875" customWidth="1"/>
    <col min="5" max="5" width="10.7265625" customWidth="1"/>
    <col min="6" max="6" width="10.08984375" customWidth="1"/>
    <col min="7" max="7" width="12.08984375" customWidth="1"/>
    <col min="10" max="10" width="10.54296875" customWidth="1"/>
    <col min="11" max="11" width="10.90625" customWidth="1"/>
    <col min="12" max="12" width="11.26953125" customWidth="1"/>
    <col min="13" max="13" width="10.7265625" customWidth="1"/>
    <col min="14" max="14" width="10.90625" customWidth="1"/>
    <col min="258" max="258" width="17.26953125" customWidth="1"/>
    <col min="259" max="259" width="12" customWidth="1"/>
    <col min="260" max="260" width="11.54296875" customWidth="1"/>
    <col min="261" max="261" width="10.7265625" customWidth="1"/>
    <col min="262" max="262" width="10.08984375" customWidth="1"/>
    <col min="263" max="263" width="12.08984375" customWidth="1"/>
    <col min="266" max="266" width="10.54296875" customWidth="1"/>
    <col min="267" max="267" width="10.90625" customWidth="1"/>
    <col min="268" max="268" width="11.26953125" customWidth="1"/>
    <col min="269" max="269" width="10.7265625" customWidth="1"/>
    <col min="270" max="270" width="10.90625" customWidth="1"/>
    <col min="514" max="514" width="17.26953125" customWidth="1"/>
    <col min="515" max="515" width="12" customWidth="1"/>
    <col min="516" max="516" width="11.54296875" customWidth="1"/>
    <col min="517" max="517" width="10.7265625" customWidth="1"/>
    <col min="518" max="518" width="10.08984375" customWidth="1"/>
    <col min="519" max="519" width="12.08984375" customWidth="1"/>
    <col min="522" max="522" width="10.54296875" customWidth="1"/>
    <col min="523" max="523" width="10.90625" customWidth="1"/>
    <col min="524" max="524" width="11.26953125" customWidth="1"/>
    <col min="525" max="525" width="10.7265625" customWidth="1"/>
    <col min="526" max="526" width="10.90625" customWidth="1"/>
    <col min="770" max="770" width="17.26953125" customWidth="1"/>
    <col min="771" max="771" width="12" customWidth="1"/>
    <col min="772" max="772" width="11.54296875" customWidth="1"/>
    <col min="773" max="773" width="10.7265625" customWidth="1"/>
    <col min="774" max="774" width="10.08984375" customWidth="1"/>
    <col min="775" max="775" width="12.08984375" customWidth="1"/>
    <col min="778" max="778" width="10.54296875" customWidth="1"/>
    <col min="779" max="779" width="10.90625" customWidth="1"/>
    <col min="780" max="780" width="11.26953125" customWidth="1"/>
    <col min="781" max="781" width="10.7265625" customWidth="1"/>
    <col min="782" max="782" width="10.90625" customWidth="1"/>
    <col min="1026" max="1026" width="17.26953125" customWidth="1"/>
    <col min="1027" max="1027" width="12" customWidth="1"/>
    <col min="1028" max="1028" width="11.54296875" customWidth="1"/>
    <col min="1029" max="1029" width="10.7265625" customWidth="1"/>
    <col min="1030" max="1030" width="10.08984375" customWidth="1"/>
    <col min="1031" max="1031" width="12.08984375" customWidth="1"/>
    <col min="1034" max="1034" width="10.54296875" customWidth="1"/>
    <col min="1035" max="1035" width="10.90625" customWidth="1"/>
    <col min="1036" max="1036" width="11.26953125" customWidth="1"/>
    <col min="1037" max="1037" width="10.7265625" customWidth="1"/>
    <col min="1038" max="1038" width="10.90625" customWidth="1"/>
    <col min="1282" max="1282" width="17.26953125" customWidth="1"/>
    <col min="1283" max="1283" width="12" customWidth="1"/>
    <col min="1284" max="1284" width="11.54296875" customWidth="1"/>
    <col min="1285" max="1285" width="10.7265625" customWidth="1"/>
    <col min="1286" max="1286" width="10.08984375" customWidth="1"/>
    <col min="1287" max="1287" width="12.08984375" customWidth="1"/>
    <col min="1290" max="1290" width="10.54296875" customWidth="1"/>
    <col min="1291" max="1291" width="10.90625" customWidth="1"/>
    <col min="1292" max="1292" width="11.26953125" customWidth="1"/>
    <col min="1293" max="1293" width="10.7265625" customWidth="1"/>
    <col min="1294" max="1294" width="10.90625" customWidth="1"/>
    <col min="1538" max="1538" width="17.26953125" customWidth="1"/>
    <col min="1539" max="1539" width="12" customWidth="1"/>
    <col min="1540" max="1540" width="11.54296875" customWidth="1"/>
    <col min="1541" max="1541" width="10.7265625" customWidth="1"/>
    <col min="1542" max="1542" width="10.08984375" customWidth="1"/>
    <col min="1543" max="1543" width="12.08984375" customWidth="1"/>
    <col min="1546" max="1546" width="10.54296875" customWidth="1"/>
    <col min="1547" max="1547" width="10.90625" customWidth="1"/>
    <col min="1548" max="1548" width="11.26953125" customWidth="1"/>
    <col min="1549" max="1549" width="10.7265625" customWidth="1"/>
    <col min="1550" max="1550" width="10.90625" customWidth="1"/>
    <col min="1794" max="1794" width="17.26953125" customWidth="1"/>
    <col min="1795" max="1795" width="12" customWidth="1"/>
    <col min="1796" max="1796" width="11.54296875" customWidth="1"/>
    <col min="1797" max="1797" width="10.7265625" customWidth="1"/>
    <col min="1798" max="1798" width="10.08984375" customWidth="1"/>
    <col min="1799" max="1799" width="12.08984375" customWidth="1"/>
    <col min="1802" max="1802" width="10.54296875" customWidth="1"/>
    <col min="1803" max="1803" width="10.90625" customWidth="1"/>
    <col min="1804" max="1804" width="11.26953125" customWidth="1"/>
    <col min="1805" max="1805" width="10.7265625" customWidth="1"/>
    <col min="1806" max="1806" width="10.90625" customWidth="1"/>
    <col min="2050" max="2050" width="17.26953125" customWidth="1"/>
    <col min="2051" max="2051" width="12" customWidth="1"/>
    <col min="2052" max="2052" width="11.54296875" customWidth="1"/>
    <col min="2053" max="2053" width="10.7265625" customWidth="1"/>
    <col min="2054" max="2054" width="10.08984375" customWidth="1"/>
    <col min="2055" max="2055" width="12.08984375" customWidth="1"/>
    <col min="2058" max="2058" width="10.54296875" customWidth="1"/>
    <col min="2059" max="2059" width="10.90625" customWidth="1"/>
    <col min="2060" max="2060" width="11.26953125" customWidth="1"/>
    <col min="2061" max="2061" width="10.7265625" customWidth="1"/>
    <col min="2062" max="2062" width="10.90625" customWidth="1"/>
    <col min="2306" max="2306" width="17.26953125" customWidth="1"/>
    <col min="2307" max="2307" width="12" customWidth="1"/>
    <col min="2308" max="2308" width="11.54296875" customWidth="1"/>
    <col min="2309" max="2309" width="10.7265625" customWidth="1"/>
    <col min="2310" max="2310" width="10.08984375" customWidth="1"/>
    <col min="2311" max="2311" width="12.08984375" customWidth="1"/>
    <col min="2314" max="2314" width="10.54296875" customWidth="1"/>
    <col min="2315" max="2315" width="10.90625" customWidth="1"/>
    <col min="2316" max="2316" width="11.26953125" customWidth="1"/>
    <col min="2317" max="2317" width="10.7265625" customWidth="1"/>
    <col min="2318" max="2318" width="10.90625" customWidth="1"/>
    <col min="2562" max="2562" width="17.26953125" customWidth="1"/>
    <col min="2563" max="2563" width="12" customWidth="1"/>
    <col min="2564" max="2564" width="11.54296875" customWidth="1"/>
    <col min="2565" max="2565" width="10.7265625" customWidth="1"/>
    <col min="2566" max="2566" width="10.08984375" customWidth="1"/>
    <col min="2567" max="2567" width="12.08984375" customWidth="1"/>
    <col min="2570" max="2570" width="10.54296875" customWidth="1"/>
    <col min="2571" max="2571" width="10.90625" customWidth="1"/>
    <col min="2572" max="2572" width="11.26953125" customWidth="1"/>
    <col min="2573" max="2573" width="10.7265625" customWidth="1"/>
    <col min="2574" max="2574" width="10.90625" customWidth="1"/>
    <col min="2818" max="2818" width="17.26953125" customWidth="1"/>
    <col min="2819" max="2819" width="12" customWidth="1"/>
    <col min="2820" max="2820" width="11.54296875" customWidth="1"/>
    <col min="2821" max="2821" width="10.7265625" customWidth="1"/>
    <col min="2822" max="2822" width="10.08984375" customWidth="1"/>
    <col min="2823" max="2823" width="12.08984375" customWidth="1"/>
    <col min="2826" max="2826" width="10.54296875" customWidth="1"/>
    <col min="2827" max="2827" width="10.90625" customWidth="1"/>
    <col min="2828" max="2828" width="11.26953125" customWidth="1"/>
    <col min="2829" max="2829" width="10.7265625" customWidth="1"/>
    <col min="2830" max="2830" width="10.90625" customWidth="1"/>
    <col min="3074" max="3074" width="17.26953125" customWidth="1"/>
    <col min="3075" max="3075" width="12" customWidth="1"/>
    <col min="3076" max="3076" width="11.54296875" customWidth="1"/>
    <col min="3077" max="3077" width="10.7265625" customWidth="1"/>
    <col min="3078" max="3078" width="10.08984375" customWidth="1"/>
    <col min="3079" max="3079" width="12.08984375" customWidth="1"/>
    <col min="3082" max="3082" width="10.54296875" customWidth="1"/>
    <col min="3083" max="3083" width="10.90625" customWidth="1"/>
    <col min="3084" max="3084" width="11.26953125" customWidth="1"/>
    <col min="3085" max="3085" width="10.7265625" customWidth="1"/>
    <col min="3086" max="3086" width="10.90625" customWidth="1"/>
    <col min="3330" max="3330" width="17.26953125" customWidth="1"/>
    <col min="3331" max="3331" width="12" customWidth="1"/>
    <col min="3332" max="3332" width="11.54296875" customWidth="1"/>
    <col min="3333" max="3333" width="10.7265625" customWidth="1"/>
    <col min="3334" max="3334" width="10.08984375" customWidth="1"/>
    <col min="3335" max="3335" width="12.08984375" customWidth="1"/>
    <col min="3338" max="3338" width="10.54296875" customWidth="1"/>
    <col min="3339" max="3339" width="10.90625" customWidth="1"/>
    <col min="3340" max="3340" width="11.26953125" customWidth="1"/>
    <col min="3341" max="3341" width="10.7265625" customWidth="1"/>
    <col min="3342" max="3342" width="10.90625" customWidth="1"/>
    <col min="3586" max="3586" width="17.26953125" customWidth="1"/>
    <col min="3587" max="3587" width="12" customWidth="1"/>
    <col min="3588" max="3588" width="11.54296875" customWidth="1"/>
    <col min="3589" max="3589" width="10.7265625" customWidth="1"/>
    <col min="3590" max="3590" width="10.08984375" customWidth="1"/>
    <col min="3591" max="3591" width="12.08984375" customWidth="1"/>
    <col min="3594" max="3594" width="10.54296875" customWidth="1"/>
    <col min="3595" max="3595" width="10.90625" customWidth="1"/>
    <col min="3596" max="3596" width="11.26953125" customWidth="1"/>
    <col min="3597" max="3597" width="10.7265625" customWidth="1"/>
    <col min="3598" max="3598" width="10.90625" customWidth="1"/>
    <col min="3842" max="3842" width="17.26953125" customWidth="1"/>
    <col min="3843" max="3843" width="12" customWidth="1"/>
    <col min="3844" max="3844" width="11.54296875" customWidth="1"/>
    <col min="3845" max="3845" width="10.7265625" customWidth="1"/>
    <col min="3846" max="3846" width="10.08984375" customWidth="1"/>
    <col min="3847" max="3847" width="12.08984375" customWidth="1"/>
    <col min="3850" max="3850" width="10.54296875" customWidth="1"/>
    <col min="3851" max="3851" width="10.90625" customWidth="1"/>
    <col min="3852" max="3852" width="11.26953125" customWidth="1"/>
    <col min="3853" max="3853" width="10.7265625" customWidth="1"/>
    <col min="3854" max="3854" width="10.90625" customWidth="1"/>
    <col min="4098" max="4098" width="17.26953125" customWidth="1"/>
    <col min="4099" max="4099" width="12" customWidth="1"/>
    <col min="4100" max="4100" width="11.54296875" customWidth="1"/>
    <col min="4101" max="4101" width="10.7265625" customWidth="1"/>
    <col min="4102" max="4102" width="10.08984375" customWidth="1"/>
    <col min="4103" max="4103" width="12.08984375" customWidth="1"/>
    <col min="4106" max="4106" width="10.54296875" customWidth="1"/>
    <col min="4107" max="4107" width="10.90625" customWidth="1"/>
    <col min="4108" max="4108" width="11.26953125" customWidth="1"/>
    <col min="4109" max="4109" width="10.7265625" customWidth="1"/>
    <col min="4110" max="4110" width="10.90625" customWidth="1"/>
    <col min="4354" max="4354" width="17.26953125" customWidth="1"/>
    <col min="4355" max="4355" width="12" customWidth="1"/>
    <col min="4356" max="4356" width="11.54296875" customWidth="1"/>
    <col min="4357" max="4357" width="10.7265625" customWidth="1"/>
    <col min="4358" max="4358" width="10.08984375" customWidth="1"/>
    <col min="4359" max="4359" width="12.08984375" customWidth="1"/>
    <col min="4362" max="4362" width="10.54296875" customWidth="1"/>
    <col min="4363" max="4363" width="10.90625" customWidth="1"/>
    <col min="4364" max="4364" width="11.26953125" customWidth="1"/>
    <col min="4365" max="4365" width="10.7265625" customWidth="1"/>
    <col min="4366" max="4366" width="10.90625" customWidth="1"/>
    <col min="4610" max="4610" width="17.26953125" customWidth="1"/>
    <col min="4611" max="4611" width="12" customWidth="1"/>
    <col min="4612" max="4612" width="11.54296875" customWidth="1"/>
    <col min="4613" max="4613" width="10.7265625" customWidth="1"/>
    <col min="4614" max="4614" width="10.08984375" customWidth="1"/>
    <col min="4615" max="4615" width="12.08984375" customWidth="1"/>
    <col min="4618" max="4618" width="10.54296875" customWidth="1"/>
    <col min="4619" max="4619" width="10.90625" customWidth="1"/>
    <col min="4620" max="4620" width="11.26953125" customWidth="1"/>
    <col min="4621" max="4621" width="10.7265625" customWidth="1"/>
    <col min="4622" max="4622" width="10.90625" customWidth="1"/>
    <col min="4866" max="4866" width="17.26953125" customWidth="1"/>
    <col min="4867" max="4867" width="12" customWidth="1"/>
    <col min="4868" max="4868" width="11.54296875" customWidth="1"/>
    <col min="4869" max="4869" width="10.7265625" customWidth="1"/>
    <col min="4870" max="4870" width="10.08984375" customWidth="1"/>
    <col min="4871" max="4871" width="12.08984375" customWidth="1"/>
    <col min="4874" max="4874" width="10.54296875" customWidth="1"/>
    <col min="4875" max="4875" width="10.90625" customWidth="1"/>
    <col min="4876" max="4876" width="11.26953125" customWidth="1"/>
    <col min="4877" max="4877" width="10.7265625" customWidth="1"/>
    <col min="4878" max="4878" width="10.90625" customWidth="1"/>
    <col min="5122" max="5122" width="17.26953125" customWidth="1"/>
    <col min="5123" max="5123" width="12" customWidth="1"/>
    <col min="5124" max="5124" width="11.54296875" customWidth="1"/>
    <col min="5125" max="5125" width="10.7265625" customWidth="1"/>
    <col min="5126" max="5126" width="10.08984375" customWidth="1"/>
    <col min="5127" max="5127" width="12.08984375" customWidth="1"/>
    <col min="5130" max="5130" width="10.54296875" customWidth="1"/>
    <col min="5131" max="5131" width="10.90625" customWidth="1"/>
    <col min="5132" max="5132" width="11.26953125" customWidth="1"/>
    <col min="5133" max="5133" width="10.7265625" customWidth="1"/>
    <col min="5134" max="5134" width="10.90625" customWidth="1"/>
    <col min="5378" max="5378" width="17.26953125" customWidth="1"/>
    <col min="5379" max="5379" width="12" customWidth="1"/>
    <col min="5380" max="5380" width="11.54296875" customWidth="1"/>
    <col min="5381" max="5381" width="10.7265625" customWidth="1"/>
    <col min="5382" max="5382" width="10.08984375" customWidth="1"/>
    <col min="5383" max="5383" width="12.08984375" customWidth="1"/>
    <col min="5386" max="5386" width="10.54296875" customWidth="1"/>
    <col min="5387" max="5387" width="10.90625" customWidth="1"/>
    <col min="5388" max="5388" width="11.26953125" customWidth="1"/>
    <col min="5389" max="5389" width="10.7265625" customWidth="1"/>
    <col min="5390" max="5390" width="10.90625" customWidth="1"/>
    <col min="5634" max="5634" width="17.26953125" customWidth="1"/>
    <col min="5635" max="5635" width="12" customWidth="1"/>
    <col min="5636" max="5636" width="11.54296875" customWidth="1"/>
    <col min="5637" max="5637" width="10.7265625" customWidth="1"/>
    <col min="5638" max="5638" width="10.08984375" customWidth="1"/>
    <col min="5639" max="5639" width="12.08984375" customWidth="1"/>
    <col min="5642" max="5642" width="10.54296875" customWidth="1"/>
    <col min="5643" max="5643" width="10.90625" customWidth="1"/>
    <col min="5644" max="5644" width="11.26953125" customWidth="1"/>
    <col min="5645" max="5645" width="10.7265625" customWidth="1"/>
    <col min="5646" max="5646" width="10.90625" customWidth="1"/>
    <col min="5890" max="5890" width="17.26953125" customWidth="1"/>
    <col min="5891" max="5891" width="12" customWidth="1"/>
    <col min="5892" max="5892" width="11.54296875" customWidth="1"/>
    <col min="5893" max="5893" width="10.7265625" customWidth="1"/>
    <col min="5894" max="5894" width="10.08984375" customWidth="1"/>
    <col min="5895" max="5895" width="12.08984375" customWidth="1"/>
    <col min="5898" max="5898" width="10.54296875" customWidth="1"/>
    <col min="5899" max="5899" width="10.90625" customWidth="1"/>
    <col min="5900" max="5900" width="11.26953125" customWidth="1"/>
    <col min="5901" max="5901" width="10.7265625" customWidth="1"/>
    <col min="5902" max="5902" width="10.90625" customWidth="1"/>
    <col min="6146" max="6146" width="17.26953125" customWidth="1"/>
    <col min="6147" max="6147" width="12" customWidth="1"/>
    <col min="6148" max="6148" width="11.54296875" customWidth="1"/>
    <col min="6149" max="6149" width="10.7265625" customWidth="1"/>
    <col min="6150" max="6150" width="10.08984375" customWidth="1"/>
    <col min="6151" max="6151" width="12.08984375" customWidth="1"/>
    <col min="6154" max="6154" width="10.54296875" customWidth="1"/>
    <col min="6155" max="6155" width="10.90625" customWidth="1"/>
    <col min="6156" max="6156" width="11.26953125" customWidth="1"/>
    <col min="6157" max="6157" width="10.7265625" customWidth="1"/>
    <col min="6158" max="6158" width="10.90625" customWidth="1"/>
    <col min="6402" max="6402" width="17.26953125" customWidth="1"/>
    <col min="6403" max="6403" width="12" customWidth="1"/>
    <col min="6404" max="6404" width="11.54296875" customWidth="1"/>
    <col min="6405" max="6405" width="10.7265625" customWidth="1"/>
    <col min="6406" max="6406" width="10.08984375" customWidth="1"/>
    <col min="6407" max="6407" width="12.08984375" customWidth="1"/>
    <col min="6410" max="6410" width="10.54296875" customWidth="1"/>
    <col min="6411" max="6411" width="10.90625" customWidth="1"/>
    <col min="6412" max="6412" width="11.26953125" customWidth="1"/>
    <col min="6413" max="6413" width="10.7265625" customWidth="1"/>
    <col min="6414" max="6414" width="10.90625" customWidth="1"/>
    <col min="6658" max="6658" width="17.26953125" customWidth="1"/>
    <col min="6659" max="6659" width="12" customWidth="1"/>
    <col min="6660" max="6660" width="11.54296875" customWidth="1"/>
    <col min="6661" max="6661" width="10.7265625" customWidth="1"/>
    <col min="6662" max="6662" width="10.08984375" customWidth="1"/>
    <col min="6663" max="6663" width="12.08984375" customWidth="1"/>
    <col min="6666" max="6666" width="10.54296875" customWidth="1"/>
    <col min="6667" max="6667" width="10.90625" customWidth="1"/>
    <col min="6668" max="6668" width="11.26953125" customWidth="1"/>
    <col min="6669" max="6669" width="10.7265625" customWidth="1"/>
    <col min="6670" max="6670" width="10.90625" customWidth="1"/>
    <col min="6914" max="6914" width="17.26953125" customWidth="1"/>
    <col min="6915" max="6915" width="12" customWidth="1"/>
    <col min="6916" max="6916" width="11.54296875" customWidth="1"/>
    <col min="6917" max="6917" width="10.7265625" customWidth="1"/>
    <col min="6918" max="6918" width="10.08984375" customWidth="1"/>
    <col min="6919" max="6919" width="12.08984375" customWidth="1"/>
    <col min="6922" max="6922" width="10.54296875" customWidth="1"/>
    <col min="6923" max="6923" width="10.90625" customWidth="1"/>
    <col min="6924" max="6924" width="11.26953125" customWidth="1"/>
    <col min="6925" max="6925" width="10.7265625" customWidth="1"/>
    <col min="6926" max="6926" width="10.90625" customWidth="1"/>
    <col min="7170" max="7170" width="17.26953125" customWidth="1"/>
    <col min="7171" max="7171" width="12" customWidth="1"/>
    <col min="7172" max="7172" width="11.54296875" customWidth="1"/>
    <col min="7173" max="7173" width="10.7265625" customWidth="1"/>
    <col min="7174" max="7174" width="10.08984375" customWidth="1"/>
    <col min="7175" max="7175" width="12.08984375" customWidth="1"/>
    <col min="7178" max="7178" width="10.54296875" customWidth="1"/>
    <col min="7179" max="7179" width="10.90625" customWidth="1"/>
    <col min="7180" max="7180" width="11.26953125" customWidth="1"/>
    <col min="7181" max="7181" width="10.7265625" customWidth="1"/>
    <col min="7182" max="7182" width="10.90625" customWidth="1"/>
    <col min="7426" max="7426" width="17.26953125" customWidth="1"/>
    <col min="7427" max="7427" width="12" customWidth="1"/>
    <col min="7428" max="7428" width="11.54296875" customWidth="1"/>
    <col min="7429" max="7429" width="10.7265625" customWidth="1"/>
    <col min="7430" max="7430" width="10.08984375" customWidth="1"/>
    <col min="7431" max="7431" width="12.08984375" customWidth="1"/>
    <col min="7434" max="7434" width="10.54296875" customWidth="1"/>
    <col min="7435" max="7435" width="10.90625" customWidth="1"/>
    <col min="7436" max="7436" width="11.26953125" customWidth="1"/>
    <col min="7437" max="7437" width="10.7265625" customWidth="1"/>
    <col min="7438" max="7438" width="10.90625" customWidth="1"/>
    <col min="7682" max="7682" width="17.26953125" customWidth="1"/>
    <col min="7683" max="7683" width="12" customWidth="1"/>
    <col min="7684" max="7684" width="11.54296875" customWidth="1"/>
    <col min="7685" max="7685" width="10.7265625" customWidth="1"/>
    <col min="7686" max="7686" width="10.08984375" customWidth="1"/>
    <col min="7687" max="7687" width="12.08984375" customWidth="1"/>
    <col min="7690" max="7690" width="10.54296875" customWidth="1"/>
    <col min="7691" max="7691" width="10.90625" customWidth="1"/>
    <col min="7692" max="7692" width="11.26953125" customWidth="1"/>
    <col min="7693" max="7693" width="10.7265625" customWidth="1"/>
    <col min="7694" max="7694" width="10.90625" customWidth="1"/>
    <col min="7938" max="7938" width="17.26953125" customWidth="1"/>
    <col min="7939" max="7939" width="12" customWidth="1"/>
    <col min="7940" max="7940" width="11.54296875" customWidth="1"/>
    <col min="7941" max="7941" width="10.7265625" customWidth="1"/>
    <col min="7942" max="7942" width="10.08984375" customWidth="1"/>
    <col min="7943" max="7943" width="12.08984375" customWidth="1"/>
    <col min="7946" max="7946" width="10.54296875" customWidth="1"/>
    <col min="7947" max="7947" width="10.90625" customWidth="1"/>
    <col min="7948" max="7948" width="11.26953125" customWidth="1"/>
    <col min="7949" max="7949" width="10.7265625" customWidth="1"/>
    <col min="7950" max="7950" width="10.90625" customWidth="1"/>
    <col min="8194" max="8194" width="17.26953125" customWidth="1"/>
    <col min="8195" max="8195" width="12" customWidth="1"/>
    <col min="8196" max="8196" width="11.54296875" customWidth="1"/>
    <col min="8197" max="8197" width="10.7265625" customWidth="1"/>
    <col min="8198" max="8198" width="10.08984375" customWidth="1"/>
    <col min="8199" max="8199" width="12.08984375" customWidth="1"/>
    <col min="8202" max="8202" width="10.54296875" customWidth="1"/>
    <col min="8203" max="8203" width="10.90625" customWidth="1"/>
    <col min="8204" max="8204" width="11.26953125" customWidth="1"/>
    <col min="8205" max="8205" width="10.7265625" customWidth="1"/>
    <col min="8206" max="8206" width="10.90625" customWidth="1"/>
    <col min="8450" max="8450" width="17.26953125" customWidth="1"/>
    <col min="8451" max="8451" width="12" customWidth="1"/>
    <col min="8452" max="8452" width="11.54296875" customWidth="1"/>
    <col min="8453" max="8453" width="10.7265625" customWidth="1"/>
    <col min="8454" max="8454" width="10.08984375" customWidth="1"/>
    <col min="8455" max="8455" width="12.08984375" customWidth="1"/>
    <col min="8458" max="8458" width="10.54296875" customWidth="1"/>
    <col min="8459" max="8459" width="10.90625" customWidth="1"/>
    <col min="8460" max="8460" width="11.26953125" customWidth="1"/>
    <col min="8461" max="8461" width="10.7265625" customWidth="1"/>
    <col min="8462" max="8462" width="10.90625" customWidth="1"/>
    <col min="8706" max="8706" width="17.26953125" customWidth="1"/>
    <col min="8707" max="8707" width="12" customWidth="1"/>
    <col min="8708" max="8708" width="11.54296875" customWidth="1"/>
    <col min="8709" max="8709" width="10.7265625" customWidth="1"/>
    <col min="8710" max="8710" width="10.08984375" customWidth="1"/>
    <col min="8711" max="8711" width="12.08984375" customWidth="1"/>
    <col min="8714" max="8714" width="10.54296875" customWidth="1"/>
    <col min="8715" max="8715" width="10.90625" customWidth="1"/>
    <col min="8716" max="8716" width="11.26953125" customWidth="1"/>
    <col min="8717" max="8717" width="10.7265625" customWidth="1"/>
    <col min="8718" max="8718" width="10.90625" customWidth="1"/>
    <col min="8962" max="8962" width="17.26953125" customWidth="1"/>
    <col min="8963" max="8963" width="12" customWidth="1"/>
    <col min="8964" max="8964" width="11.54296875" customWidth="1"/>
    <col min="8965" max="8965" width="10.7265625" customWidth="1"/>
    <col min="8966" max="8966" width="10.08984375" customWidth="1"/>
    <col min="8967" max="8967" width="12.08984375" customWidth="1"/>
    <col min="8970" max="8970" width="10.54296875" customWidth="1"/>
    <col min="8971" max="8971" width="10.90625" customWidth="1"/>
    <col min="8972" max="8972" width="11.26953125" customWidth="1"/>
    <col min="8973" max="8973" width="10.7265625" customWidth="1"/>
    <col min="8974" max="8974" width="10.90625" customWidth="1"/>
    <col min="9218" max="9218" width="17.26953125" customWidth="1"/>
    <col min="9219" max="9219" width="12" customWidth="1"/>
    <col min="9220" max="9220" width="11.54296875" customWidth="1"/>
    <col min="9221" max="9221" width="10.7265625" customWidth="1"/>
    <col min="9222" max="9222" width="10.08984375" customWidth="1"/>
    <col min="9223" max="9223" width="12.08984375" customWidth="1"/>
    <col min="9226" max="9226" width="10.54296875" customWidth="1"/>
    <col min="9227" max="9227" width="10.90625" customWidth="1"/>
    <col min="9228" max="9228" width="11.26953125" customWidth="1"/>
    <col min="9229" max="9229" width="10.7265625" customWidth="1"/>
    <col min="9230" max="9230" width="10.90625" customWidth="1"/>
    <col min="9474" max="9474" width="17.26953125" customWidth="1"/>
    <col min="9475" max="9475" width="12" customWidth="1"/>
    <col min="9476" max="9476" width="11.54296875" customWidth="1"/>
    <col min="9477" max="9477" width="10.7265625" customWidth="1"/>
    <col min="9478" max="9478" width="10.08984375" customWidth="1"/>
    <col min="9479" max="9479" width="12.08984375" customWidth="1"/>
    <col min="9482" max="9482" width="10.54296875" customWidth="1"/>
    <col min="9483" max="9483" width="10.90625" customWidth="1"/>
    <col min="9484" max="9484" width="11.26953125" customWidth="1"/>
    <col min="9485" max="9485" width="10.7265625" customWidth="1"/>
    <col min="9486" max="9486" width="10.90625" customWidth="1"/>
    <col min="9730" max="9730" width="17.26953125" customWidth="1"/>
    <col min="9731" max="9731" width="12" customWidth="1"/>
    <col min="9732" max="9732" width="11.54296875" customWidth="1"/>
    <col min="9733" max="9733" width="10.7265625" customWidth="1"/>
    <col min="9734" max="9734" width="10.08984375" customWidth="1"/>
    <col min="9735" max="9735" width="12.08984375" customWidth="1"/>
    <col min="9738" max="9738" width="10.54296875" customWidth="1"/>
    <col min="9739" max="9739" width="10.90625" customWidth="1"/>
    <col min="9740" max="9740" width="11.26953125" customWidth="1"/>
    <col min="9741" max="9741" width="10.7265625" customWidth="1"/>
    <col min="9742" max="9742" width="10.90625" customWidth="1"/>
    <col min="9986" max="9986" width="17.26953125" customWidth="1"/>
    <col min="9987" max="9987" width="12" customWidth="1"/>
    <col min="9988" max="9988" width="11.54296875" customWidth="1"/>
    <col min="9989" max="9989" width="10.7265625" customWidth="1"/>
    <col min="9990" max="9990" width="10.08984375" customWidth="1"/>
    <col min="9991" max="9991" width="12.08984375" customWidth="1"/>
    <col min="9994" max="9994" width="10.54296875" customWidth="1"/>
    <col min="9995" max="9995" width="10.90625" customWidth="1"/>
    <col min="9996" max="9996" width="11.26953125" customWidth="1"/>
    <col min="9997" max="9997" width="10.7265625" customWidth="1"/>
    <col min="9998" max="9998" width="10.90625" customWidth="1"/>
    <col min="10242" max="10242" width="17.26953125" customWidth="1"/>
    <col min="10243" max="10243" width="12" customWidth="1"/>
    <col min="10244" max="10244" width="11.54296875" customWidth="1"/>
    <col min="10245" max="10245" width="10.7265625" customWidth="1"/>
    <col min="10246" max="10246" width="10.08984375" customWidth="1"/>
    <col min="10247" max="10247" width="12.08984375" customWidth="1"/>
    <col min="10250" max="10250" width="10.54296875" customWidth="1"/>
    <col min="10251" max="10251" width="10.90625" customWidth="1"/>
    <col min="10252" max="10252" width="11.26953125" customWidth="1"/>
    <col min="10253" max="10253" width="10.7265625" customWidth="1"/>
    <col min="10254" max="10254" width="10.90625" customWidth="1"/>
    <col min="10498" max="10498" width="17.26953125" customWidth="1"/>
    <col min="10499" max="10499" width="12" customWidth="1"/>
    <col min="10500" max="10500" width="11.54296875" customWidth="1"/>
    <col min="10501" max="10501" width="10.7265625" customWidth="1"/>
    <col min="10502" max="10502" width="10.08984375" customWidth="1"/>
    <col min="10503" max="10503" width="12.08984375" customWidth="1"/>
    <col min="10506" max="10506" width="10.54296875" customWidth="1"/>
    <col min="10507" max="10507" width="10.90625" customWidth="1"/>
    <col min="10508" max="10508" width="11.26953125" customWidth="1"/>
    <col min="10509" max="10509" width="10.7265625" customWidth="1"/>
    <col min="10510" max="10510" width="10.90625" customWidth="1"/>
    <col min="10754" max="10754" width="17.26953125" customWidth="1"/>
    <col min="10755" max="10755" width="12" customWidth="1"/>
    <col min="10756" max="10756" width="11.54296875" customWidth="1"/>
    <col min="10757" max="10757" width="10.7265625" customWidth="1"/>
    <col min="10758" max="10758" width="10.08984375" customWidth="1"/>
    <col min="10759" max="10759" width="12.08984375" customWidth="1"/>
    <col min="10762" max="10762" width="10.54296875" customWidth="1"/>
    <col min="10763" max="10763" width="10.90625" customWidth="1"/>
    <col min="10764" max="10764" width="11.26953125" customWidth="1"/>
    <col min="10765" max="10765" width="10.7265625" customWidth="1"/>
    <col min="10766" max="10766" width="10.90625" customWidth="1"/>
    <col min="11010" max="11010" width="17.26953125" customWidth="1"/>
    <col min="11011" max="11011" width="12" customWidth="1"/>
    <col min="11012" max="11012" width="11.54296875" customWidth="1"/>
    <col min="11013" max="11013" width="10.7265625" customWidth="1"/>
    <col min="11014" max="11014" width="10.08984375" customWidth="1"/>
    <col min="11015" max="11015" width="12.08984375" customWidth="1"/>
    <col min="11018" max="11018" width="10.54296875" customWidth="1"/>
    <col min="11019" max="11019" width="10.90625" customWidth="1"/>
    <col min="11020" max="11020" width="11.26953125" customWidth="1"/>
    <col min="11021" max="11021" width="10.7265625" customWidth="1"/>
    <col min="11022" max="11022" width="10.90625" customWidth="1"/>
    <col min="11266" max="11266" width="17.26953125" customWidth="1"/>
    <col min="11267" max="11267" width="12" customWidth="1"/>
    <col min="11268" max="11268" width="11.54296875" customWidth="1"/>
    <col min="11269" max="11269" width="10.7265625" customWidth="1"/>
    <col min="11270" max="11270" width="10.08984375" customWidth="1"/>
    <col min="11271" max="11271" width="12.08984375" customWidth="1"/>
    <col min="11274" max="11274" width="10.54296875" customWidth="1"/>
    <col min="11275" max="11275" width="10.90625" customWidth="1"/>
    <col min="11276" max="11276" width="11.26953125" customWidth="1"/>
    <col min="11277" max="11277" width="10.7265625" customWidth="1"/>
    <col min="11278" max="11278" width="10.90625" customWidth="1"/>
    <col min="11522" max="11522" width="17.26953125" customWidth="1"/>
    <col min="11523" max="11523" width="12" customWidth="1"/>
    <col min="11524" max="11524" width="11.54296875" customWidth="1"/>
    <col min="11525" max="11525" width="10.7265625" customWidth="1"/>
    <col min="11526" max="11526" width="10.08984375" customWidth="1"/>
    <col min="11527" max="11527" width="12.08984375" customWidth="1"/>
    <col min="11530" max="11530" width="10.54296875" customWidth="1"/>
    <col min="11531" max="11531" width="10.90625" customWidth="1"/>
    <col min="11532" max="11532" width="11.26953125" customWidth="1"/>
    <col min="11533" max="11533" width="10.7265625" customWidth="1"/>
    <col min="11534" max="11534" width="10.90625" customWidth="1"/>
    <col min="11778" max="11778" width="17.26953125" customWidth="1"/>
    <col min="11779" max="11779" width="12" customWidth="1"/>
    <col min="11780" max="11780" width="11.54296875" customWidth="1"/>
    <col min="11781" max="11781" width="10.7265625" customWidth="1"/>
    <col min="11782" max="11782" width="10.08984375" customWidth="1"/>
    <col min="11783" max="11783" width="12.08984375" customWidth="1"/>
    <col min="11786" max="11786" width="10.54296875" customWidth="1"/>
    <col min="11787" max="11787" width="10.90625" customWidth="1"/>
    <col min="11788" max="11788" width="11.26953125" customWidth="1"/>
    <col min="11789" max="11789" width="10.7265625" customWidth="1"/>
    <col min="11790" max="11790" width="10.90625" customWidth="1"/>
    <col min="12034" max="12034" width="17.26953125" customWidth="1"/>
    <col min="12035" max="12035" width="12" customWidth="1"/>
    <col min="12036" max="12036" width="11.54296875" customWidth="1"/>
    <col min="12037" max="12037" width="10.7265625" customWidth="1"/>
    <col min="12038" max="12038" width="10.08984375" customWidth="1"/>
    <col min="12039" max="12039" width="12.08984375" customWidth="1"/>
    <col min="12042" max="12042" width="10.54296875" customWidth="1"/>
    <col min="12043" max="12043" width="10.90625" customWidth="1"/>
    <col min="12044" max="12044" width="11.26953125" customWidth="1"/>
    <col min="12045" max="12045" width="10.7265625" customWidth="1"/>
    <col min="12046" max="12046" width="10.90625" customWidth="1"/>
    <col min="12290" max="12290" width="17.26953125" customWidth="1"/>
    <col min="12291" max="12291" width="12" customWidth="1"/>
    <col min="12292" max="12292" width="11.54296875" customWidth="1"/>
    <col min="12293" max="12293" width="10.7265625" customWidth="1"/>
    <col min="12294" max="12294" width="10.08984375" customWidth="1"/>
    <col min="12295" max="12295" width="12.08984375" customWidth="1"/>
    <col min="12298" max="12298" width="10.54296875" customWidth="1"/>
    <col min="12299" max="12299" width="10.90625" customWidth="1"/>
    <col min="12300" max="12300" width="11.26953125" customWidth="1"/>
    <col min="12301" max="12301" width="10.7265625" customWidth="1"/>
    <col min="12302" max="12302" width="10.90625" customWidth="1"/>
    <col min="12546" max="12546" width="17.26953125" customWidth="1"/>
    <col min="12547" max="12547" width="12" customWidth="1"/>
    <col min="12548" max="12548" width="11.54296875" customWidth="1"/>
    <col min="12549" max="12549" width="10.7265625" customWidth="1"/>
    <col min="12550" max="12550" width="10.08984375" customWidth="1"/>
    <col min="12551" max="12551" width="12.08984375" customWidth="1"/>
    <col min="12554" max="12554" width="10.54296875" customWidth="1"/>
    <col min="12555" max="12555" width="10.90625" customWidth="1"/>
    <col min="12556" max="12556" width="11.26953125" customWidth="1"/>
    <col min="12557" max="12557" width="10.7265625" customWidth="1"/>
    <col min="12558" max="12558" width="10.90625" customWidth="1"/>
    <col min="12802" max="12802" width="17.26953125" customWidth="1"/>
    <col min="12803" max="12803" width="12" customWidth="1"/>
    <col min="12804" max="12804" width="11.54296875" customWidth="1"/>
    <col min="12805" max="12805" width="10.7265625" customWidth="1"/>
    <col min="12806" max="12806" width="10.08984375" customWidth="1"/>
    <col min="12807" max="12807" width="12.08984375" customWidth="1"/>
    <col min="12810" max="12810" width="10.54296875" customWidth="1"/>
    <col min="12811" max="12811" width="10.90625" customWidth="1"/>
    <col min="12812" max="12812" width="11.26953125" customWidth="1"/>
    <col min="12813" max="12813" width="10.7265625" customWidth="1"/>
    <col min="12814" max="12814" width="10.90625" customWidth="1"/>
    <col min="13058" max="13058" width="17.26953125" customWidth="1"/>
    <col min="13059" max="13059" width="12" customWidth="1"/>
    <col min="13060" max="13060" width="11.54296875" customWidth="1"/>
    <col min="13061" max="13061" width="10.7265625" customWidth="1"/>
    <col min="13062" max="13062" width="10.08984375" customWidth="1"/>
    <col min="13063" max="13063" width="12.08984375" customWidth="1"/>
    <col min="13066" max="13066" width="10.54296875" customWidth="1"/>
    <col min="13067" max="13067" width="10.90625" customWidth="1"/>
    <col min="13068" max="13068" width="11.26953125" customWidth="1"/>
    <col min="13069" max="13069" width="10.7265625" customWidth="1"/>
    <col min="13070" max="13070" width="10.90625" customWidth="1"/>
    <col min="13314" max="13314" width="17.26953125" customWidth="1"/>
    <col min="13315" max="13315" width="12" customWidth="1"/>
    <col min="13316" max="13316" width="11.54296875" customWidth="1"/>
    <col min="13317" max="13317" width="10.7265625" customWidth="1"/>
    <col min="13318" max="13318" width="10.08984375" customWidth="1"/>
    <col min="13319" max="13319" width="12.08984375" customWidth="1"/>
    <col min="13322" max="13322" width="10.54296875" customWidth="1"/>
    <col min="13323" max="13323" width="10.90625" customWidth="1"/>
    <col min="13324" max="13324" width="11.26953125" customWidth="1"/>
    <col min="13325" max="13325" width="10.7265625" customWidth="1"/>
    <col min="13326" max="13326" width="10.90625" customWidth="1"/>
    <col min="13570" max="13570" width="17.26953125" customWidth="1"/>
    <col min="13571" max="13571" width="12" customWidth="1"/>
    <col min="13572" max="13572" width="11.54296875" customWidth="1"/>
    <col min="13573" max="13573" width="10.7265625" customWidth="1"/>
    <col min="13574" max="13574" width="10.08984375" customWidth="1"/>
    <col min="13575" max="13575" width="12.08984375" customWidth="1"/>
    <col min="13578" max="13578" width="10.54296875" customWidth="1"/>
    <col min="13579" max="13579" width="10.90625" customWidth="1"/>
    <col min="13580" max="13580" width="11.26953125" customWidth="1"/>
    <col min="13581" max="13581" width="10.7265625" customWidth="1"/>
    <col min="13582" max="13582" width="10.90625" customWidth="1"/>
    <col min="13826" max="13826" width="17.26953125" customWidth="1"/>
    <col min="13827" max="13827" width="12" customWidth="1"/>
    <col min="13828" max="13828" width="11.54296875" customWidth="1"/>
    <col min="13829" max="13829" width="10.7265625" customWidth="1"/>
    <col min="13830" max="13830" width="10.08984375" customWidth="1"/>
    <col min="13831" max="13831" width="12.08984375" customWidth="1"/>
    <col min="13834" max="13834" width="10.54296875" customWidth="1"/>
    <col min="13835" max="13835" width="10.90625" customWidth="1"/>
    <col min="13836" max="13836" width="11.26953125" customWidth="1"/>
    <col min="13837" max="13837" width="10.7265625" customWidth="1"/>
    <col min="13838" max="13838" width="10.90625" customWidth="1"/>
    <col min="14082" max="14082" width="17.26953125" customWidth="1"/>
    <col min="14083" max="14083" width="12" customWidth="1"/>
    <col min="14084" max="14084" width="11.54296875" customWidth="1"/>
    <col min="14085" max="14085" width="10.7265625" customWidth="1"/>
    <col min="14086" max="14086" width="10.08984375" customWidth="1"/>
    <col min="14087" max="14087" width="12.08984375" customWidth="1"/>
    <col min="14090" max="14090" width="10.54296875" customWidth="1"/>
    <col min="14091" max="14091" width="10.90625" customWidth="1"/>
    <col min="14092" max="14092" width="11.26953125" customWidth="1"/>
    <col min="14093" max="14093" width="10.7265625" customWidth="1"/>
    <col min="14094" max="14094" width="10.90625" customWidth="1"/>
    <col min="14338" max="14338" width="17.26953125" customWidth="1"/>
    <col min="14339" max="14339" width="12" customWidth="1"/>
    <col min="14340" max="14340" width="11.54296875" customWidth="1"/>
    <col min="14341" max="14341" width="10.7265625" customWidth="1"/>
    <col min="14342" max="14342" width="10.08984375" customWidth="1"/>
    <col min="14343" max="14343" width="12.08984375" customWidth="1"/>
    <col min="14346" max="14346" width="10.54296875" customWidth="1"/>
    <col min="14347" max="14347" width="10.90625" customWidth="1"/>
    <col min="14348" max="14348" width="11.26953125" customWidth="1"/>
    <col min="14349" max="14349" width="10.7265625" customWidth="1"/>
    <col min="14350" max="14350" width="10.90625" customWidth="1"/>
    <col min="14594" max="14594" width="17.26953125" customWidth="1"/>
    <col min="14595" max="14595" width="12" customWidth="1"/>
    <col min="14596" max="14596" width="11.54296875" customWidth="1"/>
    <col min="14597" max="14597" width="10.7265625" customWidth="1"/>
    <col min="14598" max="14598" width="10.08984375" customWidth="1"/>
    <col min="14599" max="14599" width="12.08984375" customWidth="1"/>
    <col min="14602" max="14602" width="10.54296875" customWidth="1"/>
    <col min="14603" max="14603" width="10.90625" customWidth="1"/>
    <col min="14604" max="14604" width="11.26953125" customWidth="1"/>
    <col min="14605" max="14605" width="10.7265625" customWidth="1"/>
    <col min="14606" max="14606" width="10.90625" customWidth="1"/>
    <col min="14850" max="14850" width="17.26953125" customWidth="1"/>
    <col min="14851" max="14851" width="12" customWidth="1"/>
    <col min="14852" max="14852" width="11.54296875" customWidth="1"/>
    <col min="14853" max="14853" width="10.7265625" customWidth="1"/>
    <col min="14854" max="14854" width="10.08984375" customWidth="1"/>
    <col min="14855" max="14855" width="12.08984375" customWidth="1"/>
    <col min="14858" max="14858" width="10.54296875" customWidth="1"/>
    <col min="14859" max="14859" width="10.90625" customWidth="1"/>
    <col min="14860" max="14860" width="11.26953125" customWidth="1"/>
    <col min="14861" max="14861" width="10.7265625" customWidth="1"/>
    <col min="14862" max="14862" width="10.90625" customWidth="1"/>
    <col min="15106" max="15106" width="17.26953125" customWidth="1"/>
    <col min="15107" max="15107" width="12" customWidth="1"/>
    <col min="15108" max="15108" width="11.54296875" customWidth="1"/>
    <col min="15109" max="15109" width="10.7265625" customWidth="1"/>
    <col min="15110" max="15110" width="10.08984375" customWidth="1"/>
    <col min="15111" max="15111" width="12.08984375" customWidth="1"/>
    <col min="15114" max="15114" width="10.54296875" customWidth="1"/>
    <col min="15115" max="15115" width="10.90625" customWidth="1"/>
    <col min="15116" max="15116" width="11.26953125" customWidth="1"/>
    <col min="15117" max="15117" width="10.7265625" customWidth="1"/>
    <col min="15118" max="15118" width="10.90625" customWidth="1"/>
    <col min="15362" max="15362" width="17.26953125" customWidth="1"/>
    <col min="15363" max="15363" width="12" customWidth="1"/>
    <col min="15364" max="15364" width="11.54296875" customWidth="1"/>
    <col min="15365" max="15365" width="10.7265625" customWidth="1"/>
    <col min="15366" max="15366" width="10.08984375" customWidth="1"/>
    <col min="15367" max="15367" width="12.08984375" customWidth="1"/>
    <col min="15370" max="15370" width="10.54296875" customWidth="1"/>
    <col min="15371" max="15371" width="10.90625" customWidth="1"/>
    <col min="15372" max="15372" width="11.26953125" customWidth="1"/>
    <col min="15373" max="15373" width="10.7265625" customWidth="1"/>
    <col min="15374" max="15374" width="10.90625" customWidth="1"/>
    <col min="15618" max="15618" width="17.26953125" customWidth="1"/>
    <col min="15619" max="15619" width="12" customWidth="1"/>
    <col min="15620" max="15620" width="11.54296875" customWidth="1"/>
    <col min="15621" max="15621" width="10.7265625" customWidth="1"/>
    <col min="15622" max="15622" width="10.08984375" customWidth="1"/>
    <col min="15623" max="15623" width="12.08984375" customWidth="1"/>
    <col min="15626" max="15626" width="10.54296875" customWidth="1"/>
    <col min="15627" max="15627" width="10.90625" customWidth="1"/>
    <col min="15628" max="15628" width="11.26953125" customWidth="1"/>
    <col min="15629" max="15629" width="10.7265625" customWidth="1"/>
    <col min="15630" max="15630" width="10.90625" customWidth="1"/>
    <col min="15874" max="15874" width="17.26953125" customWidth="1"/>
    <col min="15875" max="15875" width="12" customWidth="1"/>
    <col min="15876" max="15876" width="11.54296875" customWidth="1"/>
    <col min="15877" max="15877" width="10.7265625" customWidth="1"/>
    <col min="15878" max="15878" width="10.08984375" customWidth="1"/>
    <col min="15879" max="15879" width="12.08984375" customWidth="1"/>
    <col min="15882" max="15882" width="10.54296875" customWidth="1"/>
    <col min="15883" max="15883" width="10.90625" customWidth="1"/>
    <col min="15884" max="15884" width="11.26953125" customWidth="1"/>
    <col min="15885" max="15885" width="10.7265625" customWidth="1"/>
    <col min="15886" max="15886" width="10.90625" customWidth="1"/>
    <col min="16130" max="16130" width="17.26953125" customWidth="1"/>
    <col min="16131" max="16131" width="12" customWidth="1"/>
    <col min="16132" max="16132" width="11.54296875" customWidth="1"/>
    <col min="16133" max="16133" width="10.7265625" customWidth="1"/>
    <col min="16134" max="16134" width="10.08984375" customWidth="1"/>
    <col min="16135" max="16135" width="12.08984375" customWidth="1"/>
    <col min="16138" max="16138" width="10.54296875" customWidth="1"/>
    <col min="16139" max="16139" width="10.90625" customWidth="1"/>
    <col min="16140" max="16140" width="11.26953125" customWidth="1"/>
    <col min="16141" max="16141" width="10.7265625" customWidth="1"/>
    <col min="16142" max="16142" width="10.90625" customWidth="1"/>
  </cols>
  <sheetData>
    <row r="1" spans="2:14" ht="20" x14ac:dyDescent="0.4">
      <c r="B1" s="1" t="s">
        <v>138</v>
      </c>
      <c r="J1" s="1" t="s">
        <v>139</v>
      </c>
    </row>
    <row r="3" spans="2:14" ht="15" thickBot="1" x14ac:dyDescent="0.4">
      <c r="B3" s="2" t="s">
        <v>140</v>
      </c>
      <c r="C3" s="2"/>
      <c r="D3" s="2"/>
      <c r="E3" s="100">
        <v>100</v>
      </c>
      <c r="F3" s="101" t="s">
        <v>141</v>
      </c>
    </row>
    <row r="4" spans="2:14" ht="15" thickBot="1" x14ac:dyDescent="0.4">
      <c r="B4" s="2" t="s">
        <v>142</v>
      </c>
      <c r="C4" s="2"/>
      <c r="D4" s="2"/>
      <c r="E4" s="102">
        <v>0.05</v>
      </c>
      <c r="F4" s="101"/>
      <c r="G4" s="103"/>
      <c r="H4" s="103"/>
      <c r="I4" s="103"/>
      <c r="L4" s="104" t="s">
        <v>143</v>
      </c>
    </row>
    <row r="5" spans="2:14" ht="15" thickBot="1" x14ac:dyDescent="0.4">
      <c r="G5" s="103"/>
      <c r="H5" s="103"/>
      <c r="I5" s="103"/>
      <c r="L5" s="105">
        <v>9.9500000000000005E-2</v>
      </c>
    </row>
    <row r="6" spans="2:14" x14ac:dyDescent="0.35">
      <c r="E6" s="103"/>
      <c r="F6" s="103"/>
      <c r="G6" s="103"/>
      <c r="H6" s="103"/>
      <c r="I6" s="103"/>
    </row>
    <row r="7" spans="2:14" ht="81" customHeight="1" thickBot="1" x14ac:dyDescent="0.4">
      <c r="B7" s="106" t="s">
        <v>144</v>
      </c>
      <c r="C7" s="107" t="s">
        <v>145</v>
      </c>
      <c r="D7" s="107" t="s">
        <v>146</v>
      </c>
      <c r="E7" s="106" t="s">
        <v>147</v>
      </c>
      <c r="F7" s="106" t="s">
        <v>148</v>
      </c>
      <c r="G7" s="106" t="s">
        <v>149</v>
      </c>
      <c r="H7" s="106" t="s">
        <v>150</v>
      </c>
      <c r="I7" s="103"/>
      <c r="J7" s="509" t="s">
        <v>151</v>
      </c>
      <c r="K7" s="509"/>
      <c r="L7" s="2"/>
      <c r="M7" s="509" t="s">
        <v>152</v>
      </c>
      <c r="N7" s="509"/>
    </row>
    <row r="8" spans="2:14" x14ac:dyDescent="0.35">
      <c r="B8" s="27">
        <v>0</v>
      </c>
      <c r="C8" s="108">
        <v>0.01</v>
      </c>
      <c r="D8" s="108"/>
      <c r="J8" s="109" t="s">
        <v>153</v>
      </c>
      <c r="K8" s="109">
        <v>0.1</v>
      </c>
      <c r="L8" s="109"/>
      <c r="M8" s="109" t="s">
        <v>153</v>
      </c>
      <c r="N8" s="109">
        <v>0.112</v>
      </c>
    </row>
    <row r="9" spans="2:14" x14ac:dyDescent="0.35">
      <c r="B9" s="27">
        <v>1</v>
      </c>
      <c r="C9" s="108">
        <f>+C8+0.0025</f>
        <v>1.2500000000000001E-2</v>
      </c>
      <c r="D9" s="108">
        <v>0.03</v>
      </c>
      <c r="E9" s="5">
        <f t="shared" ref="E9:E14" si="0">(C8+D9)*$E$3/2</f>
        <v>2</v>
      </c>
      <c r="F9" s="110">
        <f t="shared" ref="F9:F14" si="1">$E$4*$E$3/2</f>
        <v>2.5</v>
      </c>
      <c r="G9" s="110">
        <f t="shared" ref="G9:G14" si="2">-F9</f>
        <v>-2.5</v>
      </c>
      <c r="H9" s="110">
        <f t="shared" ref="H9:H14" si="3">+F9-E9</f>
        <v>0.5</v>
      </c>
      <c r="J9" s="109" t="s">
        <v>154</v>
      </c>
      <c r="K9" s="109">
        <v>3.0000000000000001E-3</v>
      </c>
      <c r="L9" s="109"/>
      <c r="M9" s="109" t="s">
        <v>154</v>
      </c>
      <c r="N9" s="109">
        <v>0.01</v>
      </c>
    </row>
    <row r="10" spans="2:14" x14ac:dyDescent="0.35">
      <c r="B10" s="27">
        <v>2</v>
      </c>
      <c r="C10" s="108">
        <f>+C9+0.0025</f>
        <v>1.5000000000000001E-2</v>
      </c>
      <c r="D10" s="108">
        <v>0.03</v>
      </c>
      <c r="E10" s="5">
        <f t="shared" si="0"/>
        <v>2.125</v>
      </c>
      <c r="F10" s="110">
        <f t="shared" si="1"/>
        <v>2.5</v>
      </c>
      <c r="G10" s="110">
        <f t="shared" si="2"/>
        <v>-2.5</v>
      </c>
      <c r="H10" s="110">
        <f t="shared" si="3"/>
        <v>0.375</v>
      </c>
      <c r="J10" t="s">
        <v>155</v>
      </c>
      <c r="K10" s="7" t="s">
        <v>156</v>
      </c>
      <c r="M10" t="s">
        <v>157</v>
      </c>
      <c r="N10" s="7" t="s">
        <v>158</v>
      </c>
    </row>
    <row r="11" spans="2:14" x14ac:dyDescent="0.35">
      <c r="B11" s="27">
        <v>3</v>
      </c>
      <c r="C11" s="108">
        <f>+C10+0.0025</f>
        <v>1.7500000000000002E-2</v>
      </c>
      <c r="D11" s="108">
        <v>0.03</v>
      </c>
      <c r="E11" s="5">
        <f t="shared" si="0"/>
        <v>2.25</v>
      </c>
      <c r="F11" s="110">
        <f t="shared" si="1"/>
        <v>2.5</v>
      </c>
      <c r="G11" s="110">
        <f t="shared" si="2"/>
        <v>-2.5</v>
      </c>
      <c r="H11" s="110">
        <f t="shared" si="3"/>
        <v>0.25</v>
      </c>
      <c r="J11" t="s">
        <v>159</v>
      </c>
      <c r="K11" s="7" t="s">
        <v>160</v>
      </c>
      <c r="M11" t="s">
        <v>159</v>
      </c>
      <c r="N11" s="7" t="s">
        <v>161</v>
      </c>
    </row>
    <row r="12" spans="2:14" x14ac:dyDescent="0.35">
      <c r="B12" s="27">
        <v>4</v>
      </c>
      <c r="C12" s="108">
        <f>+C11+0.005</f>
        <v>2.2500000000000003E-2</v>
      </c>
      <c r="D12" s="108">
        <v>0.03</v>
      </c>
      <c r="E12" s="5">
        <f t="shared" si="0"/>
        <v>2.375</v>
      </c>
      <c r="F12" s="110">
        <f t="shared" si="1"/>
        <v>2.5</v>
      </c>
      <c r="G12" s="110">
        <f t="shared" si="2"/>
        <v>-2.5</v>
      </c>
      <c r="H12" s="110">
        <f t="shared" si="3"/>
        <v>0.125</v>
      </c>
    </row>
    <row r="13" spans="2:14" x14ac:dyDescent="0.35">
      <c r="B13" s="27">
        <v>5</v>
      </c>
      <c r="C13" s="108">
        <f>+C12+0.005</f>
        <v>2.7500000000000004E-2</v>
      </c>
      <c r="D13" s="108">
        <v>0.03</v>
      </c>
      <c r="E13" s="5">
        <f t="shared" si="0"/>
        <v>2.6250000000000004</v>
      </c>
      <c r="F13" s="110">
        <f t="shared" si="1"/>
        <v>2.5</v>
      </c>
      <c r="G13" s="110">
        <f t="shared" si="2"/>
        <v>-2.5</v>
      </c>
      <c r="H13" s="110">
        <f t="shared" si="3"/>
        <v>-0.12500000000000044</v>
      </c>
      <c r="J13" s="111" t="s">
        <v>162</v>
      </c>
      <c r="K13" s="111"/>
      <c r="L13" s="111"/>
      <c r="M13" s="111" t="s">
        <v>162</v>
      </c>
    </row>
    <row r="14" spans="2:14" x14ac:dyDescent="0.35">
      <c r="B14" s="27">
        <v>6</v>
      </c>
      <c r="C14" s="108">
        <f>+C13+0.005</f>
        <v>3.2500000000000001E-2</v>
      </c>
      <c r="D14" s="108">
        <v>0.03</v>
      </c>
      <c r="E14" s="5">
        <f t="shared" si="0"/>
        <v>2.875</v>
      </c>
      <c r="F14" s="110">
        <f t="shared" si="1"/>
        <v>2.5</v>
      </c>
      <c r="G14" s="110">
        <f t="shared" si="2"/>
        <v>-2.5</v>
      </c>
      <c r="H14" s="110">
        <f t="shared" si="3"/>
        <v>-0.375</v>
      </c>
      <c r="J14" t="s">
        <v>163</v>
      </c>
      <c r="K14" s="112">
        <f>-K8</f>
        <v>-0.1</v>
      </c>
      <c r="M14" t="s">
        <v>163</v>
      </c>
      <c r="N14" s="113" t="s">
        <v>164</v>
      </c>
    </row>
    <row r="15" spans="2:14" x14ac:dyDescent="0.35">
      <c r="B15" s="89"/>
      <c r="C15" s="114"/>
      <c r="D15" s="114"/>
      <c r="E15" s="114"/>
      <c r="F15" s="114"/>
      <c r="G15" s="114"/>
      <c r="H15" s="114"/>
      <c r="J15" t="s">
        <v>163</v>
      </c>
      <c r="K15" s="115" t="s">
        <v>165</v>
      </c>
      <c r="M15" t="s">
        <v>163</v>
      </c>
      <c r="N15" s="116">
        <f>-L5</f>
        <v>-9.9500000000000005E-2</v>
      </c>
    </row>
    <row r="16" spans="2:14" x14ac:dyDescent="0.35">
      <c r="B16" t="s">
        <v>166</v>
      </c>
      <c r="J16" t="s">
        <v>167</v>
      </c>
      <c r="K16" s="112">
        <f>+L5</f>
        <v>9.9500000000000005E-2</v>
      </c>
      <c r="M16" t="s">
        <v>167</v>
      </c>
      <c r="N16" s="116" t="s">
        <v>168</v>
      </c>
    </row>
    <row r="17" spans="2:14" x14ac:dyDescent="0.35">
      <c r="J17" t="s">
        <v>169</v>
      </c>
      <c r="K17" s="10" t="s">
        <v>170</v>
      </c>
      <c r="M17" t="s">
        <v>169</v>
      </c>
      <c r="N17" s="117">
        <f>-N9+N15</f>
        <v>-0.1095</v>
      </c>
    </row>
    <row r="18" spans="2:14" ht="15" thickBot="1" x14ac:dyDescent="0.4">
      <c r="B18" s="27"/>
      <c r="J18" t="s">
        <v>171</v>
      </c>
      <c r="K18" s="118">
        <f>+K9+K16+K14</f>
        <v>2.5000000000000022E-3</v>
      </c>
      <c r="M18" t="s">
        <v>171</v>
      </c>
      <c r="N18" s="118">
        <f>+N8+N17</f>
        <v>2.5000000000000022E-3</v>
      </c>
    </row>
    <row r="19" spans="2:14" ht="20.5" thickTop="1" x14ac:dyDescent="0.4">
      <c r="B19" s="1" t="s">
        <v>172</v>
      </c>
    </row>
    <row r="20" spans="2:14" ht="8.25" customHeight="1" thickBot="1" x14ac:dyDescent="0.45">
      <c r="B20" s="1"/>
    </row>
    <row r="21" spans="2:14" ht="15" thickBot="1" x14ac:dyDescent="0.4">
      <c r="C21" s="119"/>
      <c r="E21" s="104" t="s">
        <v>173</v>
      </c>
    </row>
    <row r="22" spans="2:14" x14ac:dyDescent="0.35">
      <c r="E22" s="120">
        <v>0</v>
      </c>
      <c r="F22" s="120">
        <v>1</v>
      </c>
      <c r="G22" s="120">
        <v>2</v>
      </c>
      <c r="H22" s="120">
        <v>3</v>
      </c>
      <c r="I22" s="120">
        <v>4</v>
      </c>
      <c r="J22" s="120">
        <v>5</v>
      </c>
      <c r="K22" s="120">
        <v>6</v>
      </c>
    </row>
    <row r="23" spans="2:14" x14ac:dyDescent="0.35">
      <c r="B23" t="s">
        <v>174</v>
      </c>
      <c r="E23" s="5">
        <f>+E3</f>
        <v>100</v>
      </c>
      <c r="F23" s="5">
        <f t="shared" ref="F23:K23" si="4">+E23-F24</f>
        <v>100</v>
      </c>
      <c r="G23" s="5">
        <f t="shared" si="4"/>
        <v>100</v>
      </c>
      <c r="H23" s="5">
        <f t="shared" si="4"/>
        <v>100</v>
      </c>
      <c r="I23" s="5">
        <f t="shared" si="4"/>
        <v>100</v>
      </c>
      <c r="J23" s="5">
        <f t="shared" si="4"/>
        <v>100</v>
      </c>
      <c r="K23" s="5">
        <f t="shared" si="4"/>
        <v>0</v>
      </c>
    </row>
    <row r="24" spans="2:14" x14ac:dyDescent="0.35">
      <c r="B24" t="s">
        <v>175</v>
      </c>
      <c r="E24" s="5"/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f>+J23</f>
        <v>100</v>
      </c>
    </row>
    <row r="25" spans="2:14" x14ac:dyDescent="0.35">
      <c r="B25" t="s">
        <v>176</v>
      </c>
      <c r="E25" s="5"/>
      <c r="F25" s="5">
        <f t="shared" ref="F25:K25" si="5">+E23*F29/2</f>
        <v>2</v>
      </c>
      <c r="G25" s="5">
        <f t="shared" si="5"/>
        <v>2.125</v>
      </c>
      <c r="H25" s="5">
        <f t="shared" si="5"/>
        <v>2.25</v>
      </c>
      <c r="I25" s="5">
        <f t="shared" si="5"/>
        <v>2.375</v>
      </c>
      <c r="J25" s="5">
        <f t="shared" si="5"/>
        <v>2.6250000000000004</v>
      </c>
      <c r="K25" s="5">
        <f t="shared" si="5"/>
        <v>2.875</v>
      </c>
    </row>
    <row r="26" spans="2:14" x14ac:dyDescent="0.35">
      <c r="B26" t="s">
        <v>177</v>
      </c>
      <c r="C26" s="121"/>
      <c r="E26" s="5">
        <f>-E23</f>
        <v>-100</v>
      </c>
      <c r="F26" s="5">
        <f t="shared" ref="F26:K26" si="6">+F25+F24</f>
        <v>2</v>
      </c>
      <c r="G26" s="5">
        <f t="shared" si="6"/>
        <v>2.125</v>
      </c>
      <c r="H26" s="5">
        <f t="shared" si="6"/>
        <v>2.25</v>
      </c>
      <c r="I26" s="5">
        <f t="shared" si="6"/>
        <v>2.375</v>
      </c>
      <c r="J26" s="5">
        <f t="shared" si="6"/>
        <v>2.6250000000000004</v>
      </c>
      <c r="K26" s="5">
        <f t="shared" si="6"/>
        <v>102.875</v>
      </c>
    </row>
    <row r="27" spans="2:14" x14ac:dyDescent="0.35">
      <c r="B27" t="s">
        <v>178</v>
      </c>
      <c r="E27" s="122">
        <v>0.01</v>
      </c>
      <c r="F27" s="122">
        <f>+C9</f>
        <v>1.2500000000000001E-2</v>
      </c>
      <c r="G27" s="122">
        <f>+C10</f>
        <v>1.5000000000000001E-2</v>
      </c>
      <c r="H27" s="122">
        <f>+C11</f>
        <v>1.7500000000000002E-2</v>
      </c>
      <c r="I27" s="122">
        <f>+C12</f>
        <v>2.2500000000000003E-2</v>
      </c>
      <c r="J27" s="122">
        <f>+C13</f>
        <v>2.7500000000000004E-2</v>
      </c>
      <c r="K27" s="122"/>
    </row>
    <row r="28" spans="2:14" x14ac:dyDescent="0.35">
      <c r="B28" t="s">
        <v>179</v>
      </c>
      <c r="E28" s="123"/>
      <c r="F28" s="122">
        <v>0.03</v>
      </c>
      <c r="G28" s="123">
        <f>+F28</f>
        <v>0.03</v>
      </c>
      <c r="H28" s="123">
        <f>+G28</f>
        <v>0.03</v>
      </c>
      <c r="I28" s="123">
        <f>+H28</f>
        <v>0.03</v>
      </c>
      <c r="J28" s="123">
        <f>+I28</f>
        <v>0.03</v>
      </c>
      <c r="K28" s="123">
        <f>+J28</f>
        <v>0.03</v>
      </c>
    </row>
    <row r="29" spans="2:14" x14ac:dyDescent="0.35">
      <c r="B29" t="s">
        <v>180</v>
      </c>
      <c r="E29" s="123"/>
      <c r="F29" s="123">
        <f t="shared" ref="F29:K29" si="7">+F28+E27</f>
        <v>0.04</v>
      </c>
      <c r="G29" s="123">
        <f t="shared" si="7"/>
        <v>4.2499999999999996E-2</v>
      </c>
      <c r="H29" s="123">
        <f t="shared" si="7"/>
        <v>4.4999999999999998E-2</v>
      </c>
      <c r="I29" s="123">
        <f t="shared" si="7"/>
        <v>4.7500000000000001E-2</v>
      </c>
      <c r="J29" s="123">
        <f t="shared" si="7"/>
        <v>5.2500000000000005E-2</v>
      </c>
      <c r="K29" s="123">
        <f t="shared" si="7"/>
        <v>5.7500000000000002E-2</v>
      </c>
    </row>
    <row r="30" spans="2:14" ht="15" thickBot="1" x14ac:dyDescent="0.4">
      <c r="B30" s="27"/>
    </row>
    <row r="31" spans="2:14" ht="15" thickBot="1" x14ac:dyDescent="0.4">
      <c r="B31" s="27"/>
      <c r="E31" s="104" t="s">
        <v>181</v>
      </c>
    </row>
    <row r="32" spans="2:14" x14ac:dyDescent="0.35">
      <c r="B32" s="2" t="s">
        <v>182</v>
      </c>
    </row>
    <row r="33" spans="2:11" x14ac:dyDescent="0.35">
      <c r="B33" t="s">
        <v>174</v>
      </c>
      <c r="E33" s="5">
        <f>+E23</f>
        <v>100</v>
      </c>
      <c r="F33" s="5">
        <f t="shared" ref="F33:K33" si="8">+E33-F34</f>
        <v>100</v>
      </c>
      <c r="G33" s="5">
        <f t="shared" si="8"/>
        <v>100</v>
      </c>
      <c r="H33" s="5">
        <f t="shared" si="8"/>
        <v>100</v>
      </c>
      <c r="I33" s="5">
        <f t="shared" si="8"/>
        <v>100</v>
      </c>
      <c r="J33" s="5">
        <f t="shared" si="8"/>
        <v>100</v>
      </c>
      <c r="K33" s="5">
        <f t="shared" si="8"/>
        <v>0</v>
      </c>
    </row>
    <row r="34" spans="2:11" x14ac:dyDescent="0.35">
      <c r="B34" t="s">
        <v>175</v>
      </c>
      <c r="E34" s="5"/>
      <c r="F34" s="5">
        <v>0</v>
      </c>
      <c r="G34" s="5">
        <v>0</v>
      </c>
      <c r="H34" s="5">
        <v>0</v>
      </c>
      <c r="I34" s="5">
        <v>0</v>
      </c>
      <c r="J34" s="5">
        <v>0</v>
      </c>
      <c r="K34" s="5">
        <f>+J33</f>
        <v>100</v>
      </c>
    </row>
    <row r="35" spans="2:11" x14ac:dyDescent="0.35">
      <c r="B35" t="s">
        <v>176</v>
      </c>
      <c r="E35" s="5"/>
      <c r="F35" s="5">
        <f t="shared" ref="F35:K35" si="9">+E33*F37/2</f>
        <v>2.5</v>
      </c>
      <c r="G35" s="5">
        <f t="shared" si="9"/>
        <v>2.5</v>
      </c>
      <c r="H35" s="5">
        <f t="shared" si="9"/>
        <v>2.5</v>
      </c>
      <c r="I35" s="5">
        <f t="shared" si="9"/>
        <v>2.5</v>
      </c>
      <c r="J35" s="5">
        <f t="shared" si="9"/>
        <v>2.5</v>
      </c>
      <c r="K35" s="5">
        <f t="shared" si="9"/>
        <v>2.5</v>
      </c>
    </row>
    <row r="36" spans="2:11" x14ac:dyDescent="0.35">
      <c r="B36" t="s">
        <v>177</v>
      </c>
      <c r="C36" s="121"/>
      <c r="E36" s="5">
        <f>-E33</f>
        <v>-100</v>
      </c>
      <c r="F36" s="5">
        <f t="shared" ref="F36:K36" si="10">+F35+F34</f>
        <v>2.5</v>
      </c>
      <c r="G36" s="5">
        <f t="shared" si="10"/>
        <v>2.5</v>
      </c>
      <c r="H36" s="5">
        <f t="shared" si="10"/>
        <v>2.5</v>
      </c>
      <c r="I36" s="5">
        <f t="shared" si="10"/>
        <v>2.5</v>
      </c>
      <c r="J36" s="5">
        <f t="shared" si="10"/>
        <v>2.5</v>
      </c>
      <c r="K36" s="5">
        <f t="shared" si="10"/>
        <v>102.5</v>
      </c>
    </row>
    <row r="37" spans="2:11" x14ac:dyDescent="0.35">
      <c r="B37" t="s">
        <v>180</v>
      </c>
      <c r="E37" s="123"/>
      <c r="F37" s="122">
        <f>+E4</f>
        <v>0.05</v>
      </c>
      <c r="G37" s="123">
        <f>+F37</f>
        <v>0.05</v>
      </c>
      <c r="H37" s="123">
        <f>+G37</f>
        <v>0.05</v>
      </c>
      <c r="I37" s="123">
        <f>+H37</f>
        <v>0.05</v>
      </c>
      <c r="J37" s="123">
        <f>+I37</f>
        <v>0.05</v>
      </c>
      <c r="K37" s="123">
        <f>+J37</f>
        <v>0.05</v>
      </c>
    </row>
    <row r="38" spans="2:11" x14ac:dyDescent="0.35">
      <c r="B38" s="27"/>
    </row>
    <row r="39" spans="2:11" ht="39.5" x14ac:dyDescent="0.35">
      <c r="B39" s="27"/>
      <c r="D39" s="124" t="s">
        <v>183</v>
      </c>
      <c r="E39" s="120">
        <v>0</v>
      </c>
      <c r="F39" s="120">
        <v>1</v>
      </c>
      <c r="G39" s="120">
        <v>2</v>
      </c>
      <c r="H39" s="120">
        <v>3</v>
      </c>
    </row>
    <row r="40" spans="2:11" x14ac:dyDescent="0.35">
      <c r="B40" s="26" t="s">
        <v>184</v>
      </c>
      <c r="D40" s="125">
        <f>IRR(E40:H40)</f>
        <v>4.7288748392483315E-2</v>
      </c>
      <c r="E40" s="6">
        <f>-E23</f>
        <v>-100</v>
      </c>
      <c r="F40" s="6">
        <f>+F26+G26</f>
        <v>4.125</v>
      </c>
      <c r="G40" s="6">
        <f>+H26+I26</f>
        <v>4.625</v>
      </c>
      <c r="H40" s="6">
        <f>+J26+K26</f>
        <v>105.5</v>
      </c>
    </row>
    <row r="41" spans="2:11" x14ac:dyDescent="0.35">
      <c r="B41" s="26" t="s">
        <v>185</v>
      </c>
      <c r="D41" s="126">
        <f>IRR(E41:H41)</f>
        <v>5.0000000000000044E-2</v>
      </c>
      <c r="E41" s="127">
        <f>+E40</f>
        <v>-100</v>
      </c>
      <c r="F41" s="127">
        <f>+F36+G36</f>
        <v>5</v>
      </c>
      <c r="G41" s="127">
        <f>+H36+I36</f>
        <v>5</v>
      </c>
      <c r="H41" s="127">
        <f>+J36+K36</f>
        <v>105</v>
      </c>
    </row>
    <row r="42" spans="2:11" x14ac:dyDescent="0.35">
      <c r="B42" s="26" t="s">
        <v>186</v>
      </c>
      <c r="E42" s="6"/>
      <c r="F42" s="6">
        <f>+F40-F41</f>
        <v>-0.875</v>
      </c>
      <c r="G42" s="6">
        <f>+G40-G41</f>
        <v>-0.375</v>
      </c>
      <c r="H42" s="6">
        <f>+H40-H41</f>
        <v>0.5</v>
      </c>
    </row>
    <row r="43" spans="2:11" x14ac:dyDescent="0.35">
      <c r="B43" s="27"/>
    </row>
    <row r="44" spans="2:11" ht="20" x14ac:dyDescent="0.4">
      <c r="B44" s="1" t="s">
        <v>187</v>
      </c>
    </row>
    <row r="46" spans="2:11" ht="15.5" x14ac:dyDescent="0.35">
      <c r="B46" s="128" t="s">
        <v>188</v>
      </c>
    </row>
    <row r="47" spans="2:11" x14ac:dyDescent="0.35">
      <c r="B47" s="2" t="s">
        <v>189</v>
      </c>
      <c r="C47" s="2"/>
      <c r="D47" s="2">
        <v>100</v>
      </c>
      <c r="E47" s="2" t="s">
        <v>190</v>
      </c>
    </row>
    <row r="48" spans="2:11" x14ac:dyDescent="0.35">
      <c r="B48" t="s">
        <v>191</v>
      </c>
      <c r="D48" s="112">
        <v>0.06</v>
      </c>
    </row>
    <row r="49" spans="2:14" x14ac:dyDescent="0.35">
      <c r="B49" t="s">
        <v>192</v>
      </c>
      <c r="D49" s="112">
        <v>7.0000000000000007E-2</v>
      </c>
    </row>
    <row r="50" spans="2:14" x14ac:dyDescent="0.35">
      <c r="B50" t="s">
        <v>193</v>
      </c>
      <c r="D50" s="4">
        <v>1.3</v>
      </c>
      <c r="E50" t="s">
        <v>194</v>
      </c>
    </row>
    <row r="51" spans="2:14" x14ac:dyDescent="0.35">
      <c r="D51" s="4"/>
    </row>
    <row r="52" spans="2:14" x14ac:dyDescent="0.35">
      <c r="B52" s="129" t="s">
        <v>195</v>
      </c>
      <c r="C52" s="114"/>
      <c r="D52" s="114"/>
      <c r="E52" s="114"/>
      <c r="I52" s="129" t="s">
        <v>196</v>
      </c>
      <c r="J52" s="114"/>
      <c r="K52" s="114"/>
      <c r="L52" s="114"/>
    </row>
    <row r="53" spans="2:14" ht="95.25" customHeight="1" thickBot="1" x14ac:dyDescent="0.4">
      <c r="B53" s="106" t="s">
        <v>197</v>
      </c>
      <c r="C53" s="106" t="s">
        <v>198</v>
      </c>
      <c r="D53" s="106" t="s">
        <v>199</v>
      </c>
      <c r="E53" s="106" t="s">
        <v>200</v>
      </c>
      <c r="G53" s="106" t="s">
        <v>201</v>
      </c>
      <c r="I53" s="106" t="s">
        <v>197</v>
      </c>
      <c r="J53" s="106" t="s">
        <v>202</v>
      </c>
      <c r="K53" s="106"/>
      <c r="L53" s="106" t="s">
        <v>200</v>
      </c>
      <c r="N53" s="106" t="s">
        <v>203</v>
      </c>
    </row>
    <row r="54" spans="2:14" x14ac:dyDescent="0.35">
      <c r="B54" s="27">
        <v>1</v>
      </c>
      <c r="C54" s="130">
        <f>-$D$48*$D$47</f>
        <v>-6</v>
      </c>
      <c r="D54" s="131">
        <v>1.32</v>
      </c>
      <c r="E54">
        <f>+D54*C54</f>
        <v>-7.92</v>
      </c>
      <c r="G54" s="132">
        <f>-E54/((1+$D$48)^B54)</f>
        <v>7.4716981132075464</v>
      </c>
      <c r="I54" s="27">
        <v>1</v>
      </c>
      <c r="J54" s="130">
        <f>-$E$61*$D$49</f>
        <v>-9.1000000000000014</v>
      </c>
      <c r="K54" s="131"/>
      <c r="L54" s="130">
        <f>+J54</f>
        <v>-9.1000000000000014</v>
      </c>
      <c r="N54" s="132">
        <f>-L54/((1+$D$48)^I54)</f>
        <v>8.584905660377359</v>
      </c>
    </row>
    <row r="55" spans="2:14" x14ac:dyDescent="0.35">
      <c r="B55" s="27">
        <v>2</v>
      </c>
      <c r="C55" s="130">
        <f>-$D$48*$D$47</f>
        <v>-6</v>
      </c>
      <c r="D55" s="131">
        <v>1.34</v>
      </c>
      <c r="E55">
        <f>+D55*C55</f>
        <v>-8.0400000000000009</v>
      </c>
      <c r="G55" s="132">
        <f>-E55/((1+$D$48)^B55)</f>
        <v>7.1555713777144891</v>
      </c>
      <c r="I55" s="27">
        <v>2</v>
      </c>
      <c r="J55" s="130">
        <f>-$E$61*$D$49</f>
        <v>-9.1000000000000014</v>
      </c>
      <c r="K55" s="131"/>
      <c r="L55" s="130">
        <f>+J55</f>
        <v>-9.1000000000000014</v>
      </c>
      <c r="N55" s="132">
        <f>-L55/((1+$D$48)^I55)</f>
        <v>8.0989676041295837</v>
      </c>
    </row>
    <row r="56" spans="2:14" x14ac:dyDescent="0.35">
      <c r="B56" s="27">
        <v>3</v>
      </c>
      <c r="C56" s="130">
        <f>-$D$48*$D$47-D47</f>
        <v>-106</v>
      </c>
      <c r="D56" s="131">
        <v>1.37</v>
      </c>
      <c r="E56">
        <f>+D56*C56</f>
        <v>-145.22</v>
      </c>
      <c r="G56" s="132">
        <f>-E56/((1+$D$48)^B56)</f>
        <v>121.92951228195084</v>
      </c>
      <c r="I56" s="27">
        <v>3</v>
      </c>
      <c r="J56" s="130">
        <f>-$E$61*$D$49-E61</f>
        <v>-139.1</v>
      </c>
      <c r="K56" s="131"/>
      <c r="L56" s="130">
        <f>+J56</f>
        <v>-139.1</v>
      </c>
      <c r="N56" s="132">
        <f>-L56/((1+$D$48)^I56)</f>
        <v>116.79104226979315</v>
      </c>
    </row>
    <row r="57" spans="2:14" ht="15" thickBot="1" x14ac:dyDescent="0.4">
      <c r="G57" s="133">
        <f>SUM(G54:G56)</f>
        <v>136.55678177287288</v>
      </c>
      <c r="N57" s="133">
        <f>SUM(N54:N56)</f>
        <v>133.4749155343001</v>
      </c>
    </row>
    <row r="58" spans="2:14" ht="15.5" thickTop="1" thickBot="1" x14ac:dyDescent="0.4"/>
    <row r="59" spans="2:14" ht="15" thickBot="1" x14ac:dyDescent="0.4">
      <c r="J59" s="134" t="s">
        <v>204</v>
      </c>
      <c r="K59" s="135">
        <f>+G57-N57</f>
        <v>3.0818662385727862</v>
      </c>
    </row>
    <row r="60" spans="2:14" ht="16" thickBot="1" x14ac:dyDescent="0.4">
      <c r="B60" s="128" t="s">
        <v>205</v>
      </c>
      <c r="M60" s="136" t="s">
        <v>206</v>
      </c>
      <c r="N60" s="137">
        <f>+D48</f>
        <v>0.06</v>
      </c>
    </row>
    <row r="61" spans="2:14" x14ac:dyDescent="0.35">
      <c r="B61" s="2" t="s">
        <v>207</v>
      </c>
      <c r="E61" s="110">
        <f>+D47*D50</f>
        <v>130</v>
      </c>
      <c r="F61" t="s">
        <v>208</v>
      </c>
    </row>
    <row r="62" spans="2:14" x14ac:dyDescent="0.35">
      <c r="B62" s="2" t="s">
        <v>209</v>
      </c>
      <c r="E62" s="112">
        <f>+D49</f>
        <v>7.0000000000000007E-2</v>
      </c>
    </row>
    <row r="63" spans="2:14" x14ac:dyDescent="0.35">
      <c r="B63" s="2" t="s">
        <v>210</v>
      </c>
      <c r="E63">
        <f>+D47</f>
        <v>100</v>
      </c>
      <c r="F63" t="s">
        <v>211</v>
      </c>
    </row>
    <row r="64" spans="2:14" x14ac:dyDescent="0.35">
      <c r="B64" s="2" t="s">
        <v>212</v>
      </c>
      <c r="E64" s="112">
        <f>+D48</f>
        <v>0.06</v>
      </c>
    </row>
    <row r="65" spans="2:9" x14ac:dyDescent="0.35">
      <c r="B65" s="2"/>
    </row>
    <row r="66" spans="2:9" ht="97.5" customHeight="1" thickBot="1" x14ac:dyDescent="0.4">
      <c r="B66" s="106" t="s">
        <v>197</v>
      </c>
      <c r="C66" s="106" t="s">
        <v>213</v>
      </c>
      <c r="D66" s="106" t="s">
        <v>214</v>
      </c>
      <c r="E66" s="106" t="s">
        <v>215</v>
      </c>
      <c r="F66" s="106" t="s">
        <v>216</v>
      </c>
      <c r="G66" s="106" t="s">
        <v>217</v>
      </c>
      <c r="I66" s="106" t="s">
        <v>203</v>
      </c>
    </row>
    <row r="67" spans="2:9" x14ac:dyDescent="0.35">
      <c r="B67" s="27">
        <v>1</v>
      </c>
      <c r="C67" s="131">
        <f>+D54</f>
        <v>1.32</v>
      </c>
      <c r="D67" s="5">
        <f>+$E$61*$E$62</f>
        <v>9.1000000000000014</v>
      </c>
      <c r="E67" s="130">
        <f>+$E$64*$E$63</f>
        <v>6</v>
      </c>
      <c r="F67" s="130">
        <f>+E67*C67</f>
        <v>7.92</v>
      </c>
      <c r="G67" s="6">
        <f>+D67-F67</f>
        <v>1.1800000000000015</v>
      </c>
      <c r="I67" s="132">
        <f>+G67/((1+$E$64)^B67)</f>
        <v>1.1132075471698126</v>
      </c>
    </row>
    <row r="68" spans="2:9" x14ac:dyDescent="0.35">
      <c r="B68" s="27">
        <v>2</v>
      </c>
      <c r="C68" s="131">
        <f>+D55</f>
        <v>1.34</v>
      </c>
      <c r="D68" s="5">
        <f>+$E$61*$E$62</f>
        <v>9.1000000000000014</v>
      </c>
      <c r="E68" s="130">
        <f>+$E$64*$E$63</f>
        <v>6</v>
      </c>
      <c r="F68" s="130">
        <f>+E68*C68</f>
        <v>8.0400000000000009</v>
      </c>
      <c r="G68" s="6">
        <f>+D68-F68</f>
        <v>1.0600000000000005</v>
      </c>
      <c r="I68" s="132">
        <f>+G68/((1+$E$64)^B68)</f>
        <v>0.94339622641509469</v>
      </c>
    </row>
    <row r="69" spans="2:9" x14ac:dyDescent="0.35">
      <c r="B69" s="27">
        <v>3</v>
      </c>
      <c r="C69" s="131">
        <f>+D56</f>
        <v>1.37</v>
      </c>
      <c r="D69" s="5">
        <f>+$E$61*$E$62+E61</f>
        <v>139.1</v>
      </c>
      <c r="E69" s="130">
        <f>+$E$64*$E$63+E63</f>
        <v>106</v>
      </c>
      <c r="F69" s="130">
        <f>+E69*C69</f>
        <v>145.22</v>
      </c>
      <c r="G69" s="6">
        <f>+D69-F69</f>
        <v>-6.1200000000000045</v>
      </c>
      <c r="I69" s="132">
        <f>+G69/((1+$E$64)^B69)</f>
        <v>-5.1384700121576898</v>
      </c>
    </row>
    <row r="70" spans="2:9" ht="15" thickBot="1" x14ac:dyDescent="0.4">
      <c r="I70" s="133">
        <f>SUM(I67:I69)</f>
        <v>-3.0818662385727826</v>
      </c>
    </row>
    <row r="71" spans="2:9" ht="15" thickTop="1" x14ac:dyDescent="0.35"/>
    <row r="73" spans="2:9" ht="20" x14ac:dyDescent="0.4">
      <c r="B73" s="1" t="s">
        <v>218</v>
      </c>
    </row>
    <row r="76" spans="2:9" x14ac:dyDescent="0.35">
      <c r="B76" s="2" t="s">
        <v>140</v>
      </c>
      <c r="C76" s="2"/>
      <c r="D76" s="2"/>
      <c r="E76" s="100">
        <v>100</v>
      </c>
      <c r="F76" s="101" t="s">
        <v>141</v>
      </c>
    </row>
    <row r="77" spans="2:9" x14ac:dyDescent="0.35">
      <c r="B77" s="2"/>
      <c r="C77" s="2"/>
      <c r="D77" s="2"/>
      <c r="E77" s="102"/>
      <c r="F77" s="101"/>
    </row>
    <row r="78" spans="2:9" x14ac:dyDescent="0.35">
      <c r="B78" s="103"/>
      <c r="C78" s="103"/>
      <c r="D78" s="103"/>
    </row>
    <row r="79" spans="2:9" ht="66" thickBot="1" x14ac:dyDescent="0.4">
      <c r="B79" s="106" t="s">
        <v>144</v>
      </c>
      <c r="C79" s="107" t="s">
        <v>219</v>
      </c>
      <c r="D79" s="107" t="s">
        <v>220</v>
      </c>
      <c r="E79" s="106" t="s">
        <v>221</v>
      </c>
      <c r="F79" s="106" t="s">
        <v>222</v>
      </c>
      <c r="G79" s="106" t="s">
        <v>223</v>
      </c>
    </row>
    <row r="80" spans="2:9" x14ac:dyDescent="0.35">
      <c r="B80" s="27">
        <v>0</v>
      </c>
      <c r="C80" s="108"/>
      <c r="D80" s="108"/>
    </row>
    <row r="81" spans="2:9" x14ac:dyDescent="0.35">
      <c r="B81" s="27">
        <v>1</v>
      </c>
      <c r="C81" s="108">
        <v>0.03</v>
      </c>
      <c r="D81" s="108">
        <v>0.02</v>
      </c>
      <c r="E81" s="5">
        <f t="shared" ref="E81:F85" si="11">+C81*$E$76</f>
        <v>3</v>
      </c>
      <c r="F81" s="5">
        <f t="shared" si="11"/>
        <v>2</v>
      </c>
      <c r="G81" s="5">
        <f>+E81-F81</f>
        <v>1</v>
      </c>
    </row>
    <row r="82" spans="2:9" x14ac:dyDescent="0.35">
      <c r="B82" s="27">
        <v>2</v>
      </c>
      <c r="C82" s="108">
        <v>0.03</v>
      </c>
      <c r="D82" s="108">
        <v>2.4E-2</v>
      </c>
      <c r="E82" s="5">
        <f t="shared" si="11"/>
        <v>3</v>
      </c>
      <c r="F82" s="5">
        <f t="shared" si="11"/>
        <v>2.4</v>
      </c>
      <c r="G82" s="5">
        <f>+E82-F82</f>
        <v>0.60000000000000009</v>
      </c>
    </row>
    <row r="83" spans="2:9" x14ac:dyDescent="0.35">
      <c r="B83" s="27">
        <v>3</v>
      </c>
      <c r="C83" s="108">
        <v>0.03</v>
      </c>
      <c r="D83" s="108">
        <v>3.2500000000000001E-2</v>
      </c>
      <c r="E83" s="5">
        <f t="shared" si="11"/>
        <v>3</v>
      </c>
      <c r="F83" s="5">
        <f t="shared" si="11"/>
        <v>3.25</v>
      </c>
      <c r="G83" s="5">
        <f>+E83-F83</f>
        <v>-0.25</v>
      </c>
    </row>
    <row r="84" spans="2:9" x14ac:dyDescent="0.35">
      <c r="B84" s="27">
        <v>4</v>
      </c>
      <c r="C84" s="108">
        <v>0.03</v>
      </c>
      <c r="D84" s="108">
        <v>0.04</v>
      </c>
      <c r="E84" s="5">
        <f t="shared" si="11"/>
        <v>3</v>
      </c>
      <c r="F84" s="5">
        <f t="shared" si="11"/>
        <v>4</v>
      </c>
      <c r="G84" s="5">
        <f>+E84-F84</f>
        <v>-1</v>
      </c>
    </row>
    <row r="85" spans="2:9" x14ac:dyDescent="0.35">
      <c r="B85" s="27">
        <v>5</v>
      </c>
      <c r="C85" s="108">
        <v>0.03</v>
      </c>
      <c r="D85" s="108">
        <v>0.04</v>
      </c>
      <c r="E85" s="5">
        <f t="shared" si="11"/>
        <v>3</v>
      </c>
      <c r="F85" s="5">
        <f t="shared" si="11"/>
        <v>4</v>
      </c>
      <c r="G85" s="5">
        <f>+E85-F85</f>
        <v>-1</v>
      </c>
    </row>
    <row r="89" spans="2:9" x14ac:dyDescent="0.35">
      <c r="B89" t="s">
        <v>224</v>
      </c>
    </row>
    <row r="90" spans="2:9" x14ac:dyDescent="0.35">
      <c r="B90" t="s">
        <v>225</v>
      </c>
    </row>
    <row r="92" spans="2:9" ht="27" thickBot="1" x14ac:dyDescent="0.4">
      <c r="B92" s="106" t="s">
        <v>226</v>
      </c>
      <c r="C92" s="106" t="s">
        <v>227</v>
      </c>
      <c r="D92" s="106" t="s">
        <v>228</v>
      </c>
      <c r="E92" s="106" t="s">
        <v>229</v>
      </c>
      <c r="F92" s="106" t="s">
        <v>230</v>
      </c>
      <c r="G92" s="106" t="s">
        <v>231</v>
      </c>
      <c r="H92" s="106" t="s">
        <v>52</v>
      </c>
      <c r="I92" s="124" t="s">
        <v>232</v>
      </c>
    </row>
    <row r="93" spans="2:9" x14ac:dyDescent="0.35">
      <c r="B93" t="s">
        <v>233</v>
      </c>
      <c r="C93">
        <v>0.24299999999999999</v>
      </c>
      <c r="D93">
        <v>0.27100000000000002</v>
      </c>
      <c r="E93">
        <v>40</v>
      </c>
      <c r="F93">
        <v>100</v>
      </c>
      <c r="G93">
        <f>+F93-(D93*F93)+C93*E93</f>
        <v>82.62</v>
      </c>
    </row>
    <row r="94" spans="2:9" x14ac:dyDescent="0.35">
      <c r="B94" t="s">
        <v>234</v>
      </c>
      <c r="C94">
        <v>0.1</v>
      </c>
      <c r="D94">
        <f>+C94</f>
        <v>0.1</v>
      </c>
      <c r="E94">
        <v>40</v>
      </c>
      <c r="F94">
        <v>100</v>
      </c>
      <c r="G94">
        <f>+F94-(D94*F94)+C94*E94</f>
        <v>94</v>
      </c>
    </row>
    <row r="95" spans="2:9" x14ac:dyDescent="0.35">
      <c r="B95" t="s">
        <v>235</v>
      </c>
      <c r="C95">
        <v>0.1</v>
      </c>
      <c r="D95">
        <f>+C95</f>
        <v>0.1</v>
      </c>
      <c r="E95">
        <v>40</v>
      </c>
      <c r="F95">
        <v>100</v>
      </c>
      <c r="G95">
        <f>+F95-(D95*F95)+C95*E95</f>
        <v>94</v>
      </c>
    </row>
    <row r="98" spans="2:17" ht="20" x14ac:dyDescent="0.4">
      <c r="B98" s="1" t="s">
        <v>236</v>
      </c>
    </row>
    <row r="100" spans="2:17" ht="15" thickBot="1" x14ac:dyDescent="0.4">
      <c r="B100" s="111" t="s">
        <v>237</v>
      </c>
    </row>
    <row r="101" spans="2:17" ht="18.5" thickBot="1" x14ac:dyDescent="0.45">
      <c r="B101" t="s">
        <v>238</v>
      </c>
      <c r="C101" s="15">
        <v>1000</v>
      </c>
      <c r="F101" s="138" t="s">
        <v>239</v>
      </c>
      <c r="G101" s="139"/>
      <c r="H101" s="140"/>
      <c r="I101" s="141"/>
      <c r="J101" s="142"/>
    </row>
    <row r="102" spans="2:17" x14ac:dyDescent="0.35">
      <c r="B102" t="s">
        <v>240</v>
      </c>
      <c r="C102" s="143">
        <v>0.05</v>
      </c>
    </row>
    <row r="103" spans="2:17" x14ac:dyDescent="0.35">
      <c r="B103" t="s">
        <v>241</v>
      </c>
      <c r="C103" s="143">
        <v>0.02</v>
      </c>
    </row>
    <row r="104" spans="2:17" x14ac:dyDescent="0.35">
      <c r="B104" t="s">
        <v>242</v>
      </c>
      <c r="C104" s="143">
        <v>0.4</v>
      </c>
    </row>
    <row r="106" spans="2:17" ht="15" thickBot="1" x14ac:dyDescent="0.4">
      <c r="B106" s="144" t="s">
        <v>243</v>
      </c>
      <c r="C106" s="144"/>
      <c r="D106" s="144"/>
      <c r="E106" s="144"/>
      <c r="F106" s="144"/>
      <c r="G106" s="144"/>
      <c r="H106" s="144"/>
      <c r="J106" s="144" t="s">
        <v>244</v>
      </c>
      <c r="K106" s="145"/>
      <c r="L106" s="145"/>
      <c r="M106" s="145"/>
    </row>
    <row r="108" spans="2:17" x14ac:dyDescent="0.35">
      <c r="B108" s="111" t="s">
        <v>245</v>
      </c>
      <c r="J108" s="111" t="s">
        <v>246</v>
      </c>
    </row>
    <row r="109" spans="2:17" ht="15" thickBot="1" x14ac:dyDescent="0.4">
      <c r="C109" s="144"/>
      <c r="D109" s="144" t="s">
        <v>247</v>
      </c>
      <c r="E109" s="144"/>
      <c r="G109" s="144" t="s">
        <v>248</v>
      </c>
      <c r="H109" s="144"/>
    </row>
    <row r="110" spans="2:17" ht="40" thickBot="1" x14ac:dyDescent="0.4">
      <c r="B110" s="146" t="s">
        <v>249</v>
      </c>
      <c r="C110" s="146" t="s">
        <v>250</v>
      </c>
      <c r="D110" s="146" t="s">
        <v>251</v>
      </c>
      <c r="E110" s="146" t="s">
        <v>252</v>
      </c>
      <c r="F110" s="3"/>
      <c r="G110" s="147" t="s">
        <v>248</v>
      </c>
      <c r="H110" s="147" t="s">
        <v>253</v>
      </c>
      <c r="I110" s="3"/>
      <c r="J110" s="148" t="s">
        <v>254</v>
      </c>
      <c r="K110" s="148" t="s">
        <v>250</v>
      </c>
      <c r="L110" s="148" t="s">
        <v>255</v>
      </c>
      <c r="M110" s="148" t="s">
        <v>256</v>
      </c>
      <c r="N110" s="3"/>
      <c r="O110" s="3"/>
      <c r="P110" s="3"/>
      <c r="Q110" s="3"/>
    </row>
    <row r="111" spans="2:17" x14ac:dyDescent="0.35">
      <c r="B111" s="149">
        <v>0.5</v>
      </c>
      <c r="G111" s="109">
        <f>+J111*0.5</f>
        <v>0.01</v>
      </c>
      <c r="H111" s="150">
        <f>+G111*K111</f>
        <v>9.7530991202833262E-3</v>
      </c>
      <c r="J111" s="112">
        <f>+C103</f>
        <v>0.02</v>
      </c>
      <c r="K111" s="150">
        <f>EXP(-$C$102*B111)</f>
        <v>0.97530991202833262</v>
      </c>
      <c r="L111" s="109">
        <f>+J111*(1-$C$104)</f>
        <v>1.2E-2</v>
      </c>
      <c r="M111" s="150">
        <f>+L111*K111</f>
        <v>1.1703718944339992E-2</v>
      </c>
    </row>
    <row r="112" spans="2:17" x14ac:dyDescent="0.35">
      <c r="B112" s="149">
        <f>+B111+0.5</f>
        <v>1</v>
      </c>
      <c r="C112" s="150">
        <f>EXP(-$C$102*B112)</f>
        <v>0.95122942450071402</v>
      </c>
      <c r="D112" s="151">
        <f>(1-$C$103)^B112</f>
        <v>0.98</v>
      </c>
      <c r="E112" s="150">
        <f>+D112*C112</f>
        <v>0.9322048360106997</v>
      </c>
    </row>
    <row r="113" spans="2:13" x14ac:dyDescent="0.35">
      <c r="B113" s="149">
        <f t="shared" ref="B113:B119" si="12">+B112+0.5</f>
        <v>1.5</v>
      </c>
      <c r="G113" s="109">
        <f>+J113*0.5</f>
        <v>9.7999999999999997E-3</v>
      </c>
      <c r="H113" s="150">
        <f>+G113*K113</f>
        <v>9.0918861660198181E-3</v>
      </c>
      <c r="J113" s="112">
        <f>+D112*$C$103</f>
        <v>1.9599999999999999E-2</v>
      </c>
      <c r="K113" s="150">
        <f>EXP(-$C$102*B113)</f>
        <v>0.92774348632855286</v>
      </c>
      <c r="L113" s="109">
        <f>+J113*(1-$C$104)</f>
        <v>1.176E-2</v>
      </c>
      <c r="M113" s="150">
        <f>+L113*K113</f>
        <v>1.0910263399223781E-2</v>
      </c>
    </row>
    <row r="114" spans="2:13" x14ac:dyDescent="0.35">
      <c r="B114" s="149">
        <f t="shared" si="12"/>
        <v>2</v>
      </c>
      <c r="C114" s="150">
        <f>EXP(-$C$102*B114)</f>
        <v>0.90483741803595952</v>
      </c>
      <c r="D114" s="151">
        <f>(1-$C$103)^B114</f>
        <v>0.96039999999999992</v>
      </c>
      <c r="E114" s="150">
        <f>+D114*C114</f>
        <v>0.86900585628173543</v>
      </c>
    </row>
    <row r="115" spans="2:13" x14ac:dyDescent="0.35">
      <c r="B115" s="149">
        <f t="shared" si="12"/>
        <v>2.5</v>
      </c>
      <c r="G115" s="109">
        <f>+J115*0.5</f>
        <v>9.6039999999999997E-3</v>
      </c>
      <c r="H115" s="150">
        <f>+G115*K115</f>
        <v>8.4755002524224549E-3</v>
      </c>
      <c r="J115" s="112">
        <f>+D114*$C$103</f>
        <v>1.9207999999999999E-2</v>
      </c>
      <c r="K115" s="150">
        <f>EXP(-$C$102*B115)</f>
        <v>0.88249690258459546</v>
      </c>
      <c r="L115" s="109">
        <f>+J115*(1-$C$104)</f>
        <v>1.15248E-2</v>
      </c>
      <c r="M115" s="150">
        <f>+L115*K115</f>
        <v>1.0170600302906946E-2</v>
      </c>
    </row>
    <row r="116" spans="2:13" x14ac:dyDescent="0.35">
      <c r="B116" s="149">
        <f t="shared" si="12"/>
        <v>3</v>
      </c>
      <c r="C116" s="150">
        <f>EXP(-$C$102*B116)</f>
        <v>0.86070797642505781</v>
      </c>
      <c r="D116" s="151">
        <f>(1-$C$103)^B116</f>
        <v>0.94119199999999992</v>
      </c>
      <c r="E116" s="150">
        <f>+D116*C116</f>
        <v>0.81009146174745295</v>
      </c>
    </row>
    <row r="117" spans="2:13" x14ac:dyDescent="0.35">
      <c r="B117" s="149">
        <f t="shared" si="12"/>
        <v>3.5</v>
      </c>
      <c r="G117" s="109">
        <f>+J117*0.5</f>
        <v>9.411919999999999E-3</v>
      </c>
      <c r="H117" s="150">
        <f>+G117*K117</f>
        <v>7.9009023229181172E-3</v>
      </c>
      <c r="J117" s="112">
        <f>+D116*$C$103</f>
        <v>1.8823839999999998E-2</v>
      </c>
      <c r="K117" s="150">
        <f>EXP(-$C$102*B117)</f>
        <v>0.83945702076920736</v>
      </c>
      <c r="L117" s="109">
        <f>+J117*(1-$C$104)</f>
        <v>1.1294303999999998E-2</v>
      </c>
      <c r="M117" s="150">
        <f>+L117*K117</f>
        <v>9.481082787501741E-3</v>
      </c>
    </row>
    <row r="118" spans="2:13" x14ac:dyDescent="0.35">
      <c r="B118" s="149">
        <f t="shared" si="12"/>
        <v>4</v>
      </c>
      <c r="C118" s="150">
        <f>EXP(-$C$102*B118)</f>
        <v>0.81873075307798182</v>
      </c>
      <c r="D118" s="151">
        <f>(1-$C$103)^B118</f>
        <v>0.92236815999999988</v>
      </c>
      <c r="E118" s="150">
        <f>+D118*C118</f>
        <v>0.75517117825195235</v>
      </c>
    </row>
    <row r="119" spans="2:13" x14ac:dyDescent="0.35">
      <c r="B119" s="149">
        <f t="shared" si="12"/>
        <v>4.5</v>
      </c>
      <c r="G119" s="109">
        <f>+J119*0.5</f>
        <v>9.2236815999999985E-3</v>
      </c>
      <c r="H119" s="150">
        <f>+G119*K119</f>
        <v>7.3652593542724402E-3</v>
      </c>
      <c r="J119" s="112">
        <f>+D118*$C$103</f>
        <v>1.8447363199999997E-2</v>
      </c>
      <c r="K119" s="150">
        <f>EXP(-$C$102*B119)</f>
        <v>0.79851621875937706</v>
      </c>
      <c r="L119" s="109">
        <f>+J119*(1-$C$104)</f>
        <v>1.1068417919999999E-2</v>
      </c>
      <c r="M119" s="150">
        <f>+L119*K119</f>
        <v>8.8383112251269273E-3</v>
      </c>
    </row>
    <row r="120" spans="2:13" ht="15" thickBot="1" x14ac:dyDescent="0.4">
      <c r="B120" s="152">
        <f>+B119+0.5</f>
        <v>5</v>
      </c>
      <c r="C120" s="153">
        <f>EXP(-$C$102*B120)</f>
        <v>0.77880078307140488</v>
      </c>
      <c r="D120" s="154">
        <f>(1-$C$103)^B120</f>
        <v>0.90392079679999982</v>
      </c>
      <c r="E120" s="153">
        <f>+D120*C120</f>
        <v>0.70397422438236812</v>
      </c>
      <c r="G120" s="155"/>
      <c r="H120" s="155"/>
      <c r="J120" s="155"/>
      <c r="K120" s="155"/>
      <c r="L120" s="155"/>
      <c r="M120" s="155"/>
    </row>
    <row r="121" spans="2:13" ht="15" thickBot="1" x14ac:dyDescent="0.4">
      <c r="D121" t="s">
        <v>257</v>
      </c>
      <c r="E121" s="156">
        <f>SUM(E111:E120)</f>
        <v>4.0704475566742087</v>
      </c>
      <c r="G121" t="s">
        <v>257</v>
      </c>
      <c r="H121" s="157">
        <f>SUM(H111:H120)</f>
        <v>4.2586647215916151E-2</v>
      </c>
      <c r="M121" s="158">
        <f>SUM(M111:M120)</f>
        <v>5.1103976659099382E-2</v>
      </c>
    </row>
    <row r="122" spans="2:13" x14ac:dyDescent="0.35">
      <c r="L122" t="s">
        <v>258</v>
      </c>
    </row>
    <row r="123" spans="2:13" x14ac:dyDescent="0.35">
      <c r="F123" s="2" t="s">
        <v>259</v>
      </c>
    </row>
    <row r="124" spans="2:13" ht="15" thickBot="1" x14ac:dyDescent="0.4"/>
    <row r="125" spans="2:13" ht="15" thickBot="1" x14ac:dyDescent="0.4">
      <c r="E125" t="s">
        <v>260</v>
      </c>
      <c r="F125" s="156">
        <f>+E121+H121</f>
        <v>4.1130342038901251</v>
      </c>
    </row>
    <row r="127" spans="2:13" x14ac:dyDescent="0.35">
      <c r="D127" s="7" t="s">
        <v>261</v>
      </c>
      <c r="E127" s="150">
        <f>+F125</f>
        <v>4.1130342038901251</v>
      </c>
    </row>
    <row r="128" spans="2:13" ht="15" thickBot="1" x14ac:dyDescent="0.4">
      <c r="D128" s="7" t="s">
        <v>262</v>
      </c>
      <c r="E128" s="150">
        <f>+M121</f>
        <v>5.1103976659099382E-2</v>
      </c>
    </row>
    <row r="129" spans="4:8" ht="15" thickBot="1" x14ac:dyDescent="0.4">
      <c r="D129" s="7" t="s">
        <v>263</v>
      </c>
      <c r="E129">
        <f>+E128/E127</f>
        <v>1.242488492090949E-2</v>
      </c>
      <c r="G129" s="159">
        <f>+E129*10000</f>
        <v>124.2488492090949</v>
      </c>
      <c r="H129" s="160" t="s">
        <v>264</v>
      </c>
    </row>
    <row r="131" spans="4:8" x14ac:dyDescent="0.35">
      <c r="F131" s="2" t="s">
        <v>265</v>
      </c>
    </row>
  </sheetData>
  <mergeCells count="2">
    <mergeCell ref="J7:K7"/>
    <mergeCell ref="M7:N7"/>
  </mergeCell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FE072-6A5C-4B59-953C-7EE8D4A213E2}">
  <dimension ref="B2:L32"/>
  <sheetViews>
    <sheetView showGridLines="0" workbookViewId="0">
      <selection activeCell="P19" sqref="P19"/>
    </sheetView>
  </sheetViews>
  <sheetFormatPr defaultRowHeight="14.5" x14ac:dyDescent="0.35"/>
  <cols>
    <col min="2" max="2" width="14.08984375" customWidth="1"/>
    <col min="6" max="6" width="13.26953125" customWidth="1"/>
  </cols>
  <sheetData>
    <row r="2" spans="2:12" x14ac:dyDescent="0.35">
      <c r="B2" s="7" t="s">
        <v>553</v>
      </c>
      <c r="C2">
        <v>100</v>
      </c>
      <c r="D2" t="s">
        <v>141</v>
      </c>
      <c r="J2" t="s">
        <v>554</v>
      </c>
      <c r="K2">
        <f>+C2</f>
        <v>100</v>
      </c>
    </row>
    <row r="3" spans="2:12" x14ac:dyDescent="0.35">
      <c r="B3" t="s">
        <v>555</v>
      </c>
      <c r="J3" t="s">
        <v>556</v>
      </c>
      <c r="K3" s="338">
        <v>5</v>
      </c>
    </row>
    <row r="4" spans="2:12" x14ac:dyDescent="0.35">
      <c r="J4" t="s">
        <v>557</v>
      </c>
      <c r="K4" s="4">
        <f>+K2-K5</f>
        <v>80</v>
      </c>
      <c r="L4" s="112">
        <v>0.05</v>
      </c>
    </row>
    <row r="5" spans="2:12" x14ac:dyDescent="0.35">
      <c r="B5" s="339" t="s">
        <v>558</v>
      </c>
      <c r="C5" s="340"/>
      <c r="D5" s="340"/>
      <c r="E5" s="340"/>
      <c r="F5" s="340"/>
      <c r="G5" s="340"/>
      <c r="J5" t="s">
        <v>538</v>
      </c>
      <c r="K5" s="4">
        <f>+K2/K3</f>
        <v>20</v>
      </c>
    </row>
    <row r="6" spans="2:12" ht="15" thickBot="1" x14ac:dyDescent="0.4"/>
    <row r="7" spans="2:12" x14ac:dyDescent="0.35">
      <c r="B7" s="510" t="s">
        <v>559</v>
      </c>
      <c r="C7" s="511"/>
      <c r="D7" s="341"/>
      <c r="F7" s="516" t="s">
        <v>560</v>
      </c>
      <c r="G7" s="517"/>
      <c r="J7" t="s">
        <v>561</v>
      </c>
      <c r="K7" s="6">
        <f>+G31</f>
        <v>-18</v>
      </c>
    </row>
    <row r="8" spans="2:12" x14ac:dyDescent="0.35">
      <c r="B8" s="512"/>
      <c r="C8" s="513"/>
      <c r="D8" s="342"/>
      <c r="F8" s="518"/>
      <c r="G8" s="519"/>
      <c r="J8" t="s">
        <v>562</v>
      </c>
      <c r="K8" s="110">
        <f>-L4*K4</f>
        <v>-4</v>
      </c>
    </row>
    <row r="9" spans="2:12" ht="15" thickBot="1" x14ac:dyDescent="0.4">
      <c r="B9" s="514"/>
      <c r="C9" s="515"/>
      <c r="D9" s="342"/>
      <c r="F9" s="520"/>
      <c r="G9" s="521"/>
      <c r="K9" s="6">
        <f>+K8+K7</f>
        <v>-22</v>
      </c>
    </row>
    <row r="10" spans="2:12" x14ac:dyDescent="0.35">
      <c r="C10" s="343"/>
      <c r="D10" s="342" t="s">
        <v>563</v>
      </c>
      <c r="F10" s="344"/>
    </row>
    <row r="11" spans="2:12" x14ac:dyDescent="0.35">
      <c r="B11" t="s">
        <v>564</v>
      </c>
      <c r="C11" s="345"/>
      <c r="D11" s="342" t="s">
        <v>565</v>
      </c>
      <c r="F11" s="342" t="s">
        <v>566</v>
      </c>
    </row>
    <row r="12" spans="2:12" ht="15" thickBot="1" x14ac:dyDescent="0.4">
      <c r="B12" t="s">
        <v>567</v>
      </c>
      <c r="C12" s="345"/>
      <c r="D12" s="346"/>
      <c r="F12" s="342"/>
      <c r="J12" s="7" t="s">
        <v>568</v>
      </c>
      <c r="K12" s="6">
        <f>-K9</f>
        <v>22</v>
      </c>
    </row>
    <row r="13" spans="2:12" x14ac:dyDescent="0.35">
      <c r="B13" t="s">
        <v>569</v>
      </c>
      <c r="C13" s="347"/>
      <c r="D13" s="522" t="s">
        <v>570</v>
      </c>
      <c r="E13" s="523"/>
      <c r="F13" s="348"/>
    </row>
    <row r="14" spans="2:12" x14ac:dyDescent="0.35">
      <c r="B14" t="s">
        <v>571</v>
      </c>
      <c r="D14" s="524"/>
      <c r="E14" s="525"/>
    </row>
    <row r="15" spans="2:12" ht="15" thickBot="1" x14ac:dyDescent="0.4">
      <c r="D15" s="526"/>
      <c r="E15" s="527"/>
    </row>
    <row r="17" spans="2:8" x14ac:dyDescent="0.35">
      <c r="B17" s="12" t="s">
        <v>572</v>
      </c>
      <c r="C17" s="12"/>
      <c r="D17" s="12"/>
      <c r="E17" s="12"/>
      <c r="F17" s="12" t="s">
        <v>573</v>
      </c>
      <c r="G17" s="12"/>
    </row>
    <row r="19" spans="2:8" x14ac:dyDescent="0.35">
      <c r="B19" s="263" t="s">
        <v>574</v>
      </c>
      <c r="F19" s="263" t="s">
        <v>574</v>
      </c>
    </row>
    <row r="20" spans="2:8" x14ac:dyDescent="0.35">
      <c r="B20" t="s">
        <v>575</v>
      </c>
      <c r="C20" s="112">
        <v>0.01</v>
      </c>
      <c r="F20" t="s">
        <v>575</v>
      </c>
      <c r="G20" s="112">
        <v>0.01</v>
      </c>
    </row>
    <row r="21" spans="2:8" x14ac:dyDescent="0.35">
      <c r="B21" t="s">
        <v>576</v>
      </c>
      <c r="C21" s="112">
        <v>0.02</v>
      </c>
      <c r="F21" t="s">
        <v>576</v>
      </c>
      <c r="G21" s="112">
        <v>0.02</v>
      </c>
    </row>
    <row r="22" spans="2:8" x14ac:dyDescent="0.35">
      <c r="B22" t="s">
        <v>577</v>
      </c>
      <c r="C22" s="112">
        <f>+C21+C20</f>
        <v>0.03</v>
      </c>
      <c r="F22" t="s">
        <v>577</v>
      </c>
      <c r="G22" s="112">
        <f>+G21+G20</f>
        <v>0.03</v>
      </c>
    </row>
    <row r="23" spans="2:8" x14ac:dyDescent="0.35">
      <c r="B23" t="s">
        <v>578</v>
      </c>
      <c r="C23" s="5">
        <f>-C22*$C$2</f>
        <v>-3</v>
      </c>
      <c r="D23" t="s">
        <v>141</v>
      </c>
      <c r="F23" t="s">
        <v>578</v>
      </c>
      <c r="G23" s="5">
        <f>-G22*$C$2</f>
        <v>-3</v>
      </c>
      <c r="H23" t="s">
        <v>141</v>
      </c>
    </row>
    <row r="25" spans="2:8" x14ac:dyDescent="0.35">
      <c r="B25" s="263" t="s">
        <v>579</v>
      </c>
      <c r="F25" s="263" t="s">
        <v>579</v>
      </c>
    </row>
    <row r="26" spans="2:8" x14ac:dyDescent="0.35">
      <c r="B26" t="s">
        <v>580</v>
      </c>
      <c r="C26" s="109">
        <v>0.15</v>
      </c>
      <c r="F26" t="s">
        <v>580</v>
      </c>
      <c r="G26" s="109">
        <v>-0.15</v>
      </c>
    </row>
    <row r="27" spans="2:8" x14ac:dyDescent="0.35">
      <c r="B27" t="s">
        <v>581</v>
      </c>
      <c r="C27" s="112">
        <v>0.02</v>
      </c>
      <c r="F27" t="s">
        <v>581</v>
      </c>
      <c r="G27" s="112">
        <v>0</v>
      </c>
    </row>
    <row r="28" spans="2:8" x14ac:dyDescent="0.35">
      <c r="B28" t="s">
        <v>582</v>
      </c>
      <c r="C28" s="112">
        <f>SUM(C26:C27)</f>
        <v>0.16999999999999998</v>
      </c>
      <c r="F28" t="s">
        <v>582</v>
      </c>
      <c r="G28" s="112">
        <f>SUM(G26:G27)</f>
        <v>-0.15</v>
      </c>
    </row>
    <row r="29" spans="2:8" x14ac:dyDescent="0.35">
      <c r="B29" t="s">
        <v>583</v>
      </c>
      <c r="C29" s="5">
        <f>+C28*$C$2</f>
        <v>17</v>
      </c>
      <c r="D29" t="s">
        <v>584</v>
      </c>
      <c r="F29" t="s">
        <v>583</v>
      </c>
      <c r="G29" s="5">
        <f>+G28*$C$2</f>
        <v>-15</v>
      </c>
      <c r="H29" t="s">
        <v>584</v>
      </c>
    </row>
    <row r="31" spans="2:8" x14ac:dyDescent="0.35">
      <c r="B31" t="s">
        <v>585</v>
      </c>
      <c r="C31" s="6">
        <f>+C23+C29</f>
        <v>14</v>
      </c>
      <c r="D31" t="s">
        <v>141</v>
      </c>
      <c r="F31" t="s">
        <v>585</v>
      </c>
      <c r="G31" s="6">
        <f>+G23+G29</f>
        <v>-18</v>
      </c>
      <c r="H31" t="s">
        <v>141</v>
      </c>
    </row>
    <row r="32" spans="2:8" x14ac:dyDescent="0.35">
      <c r="B32" t="s">
        <v>586</v>
      </c>
    </row>
  </sheetData>
  <mergeCells count="3">
    <mergeCell ref="B7:C9"/>
    <mergeCell ref="F7:G9"/>
    <mergeCell ref="D13:E1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D7E143-184F-4617-9C35-02ACB4A32DEE}">
  <dimension ref="B1:Q52"/>
  <sheetViews>
    <sheetView showGridLines="0" workbookViewId="0">
      <selection activeCell="L10" sqref="L10"/>
    </sheetView>
  </sheetViews>
  <sheetFormatPr defaultRowHeight="14.5" x14ac:dyDescent="0.35"/>
  <cols>
    <col min="1" max="1" width="2.7265625" customWidth="1"/>
    <col min="2" max="2" width="22.36328125" customWidth="1"/>
    <col min="3" max="3" width="12" style="7" customWidth="1"/>
    <col min="4" max="4" width="16.90625" style="27" customWidth="1"/>
    <col min="5" max="5" width="10.36328125" customWidth="1"/>
    <col min="6" max="6" width="8.36328125" customWidth="1"/>
    <col min="7" max="7" width="9.26953125" customWidth="1"/>
    <col min="8" max="8" width="1.54296875" customWidth="1"/>
    <col min="9" max="9" width="9.26953125" customWidth="1"/>
    <col min="10" max="10" width="2.7265625" customWidth="1"/>
    <col min="11" max="11" width="20.08984375" customWidth="1"/>
    <col min="13" max="13" width="10.36328125" customWidth="1"/>
    <col min="14" max="14" width="7.54296875" customWidth="1"/>
    <col min="15" max="15" width="7.36328125" customWidth="1"/>
    <col min="16" max="16" width="1.54296875" customWidth="1"/>
  </cols>
  <sheetData>
    <row r="1" spans="2:10" ht="23.5" x14ac:dyDescent="0.55000000000000004">
      <c r="B1" s="30" t="s">
        <v>129</v>
      </c>
      <c r="C1" s="74"/>
    </row>
    <row r="2" spans="2:10" x14ac:dyDescent="0.35">
      <c r="B2" s="29" t="s">
        <v>432</v>
      </c>
      <c r="C2" s="75"/>
    </row>
    <row r="3" spans="2:10" x14ac:dyDescent="0.35">
      <c r="B3" s="45" t="s">
        <v>68</v>
      </c>
      <c r="C3" s="76"/>
      <c r="D3" s="46"/>
      <c r="E3" s="47"/>
      <c r="F3" s="47"/>
      <c r="G3" s="47"/>
      <c r="H3" s="40"/>
      <c r="I3" s="47"/>
      <c r="J3" s="40"/>
    </row>
    <row r="4" spans="2:10" ht="39" x14ac:dyDescent="0.35">
      <c r="B4" s="49"/>
      <c r="C4" s="50" t="s">
        <v>94</v>
      </c>
      <c r="D4" s="50" t="s">
        <v>51</v>
      </c>
      <c r="E4" s="50" t="s">
        <v>78</v>
      </c>
      <c r="F4" s="50" t="s">
        <v>85</v>
      </c>
      <c r="G4" s="50" t="s">
        <v>80</v>
      </c>
      <c r="H4" s="39"/>
      <c r="I4" s="50" t="s">
        <v>79</v>
      </c>
      <c r="J4" s="40"/>
    </row>
    <row r="5" spans="2:10" x14ac:dyDescent="0.35">
      <c r="B5" s="41" t="s">
        <v>60</v>
      </c>
      <c r="C5" s="77">
        <v>10</v>
      </c>
      <c r="D5" s="31" t="s">
        <v>61</v>
      </c>
      <c r="E5" s="32">
        <v>2342</v>
      </c>
      <c r="F5" s="33">
        <v>-30</v>
      </c>
      <c r="G5" s="34">
        <v>-1.26E-2</v>
      </c>
      <c r="H5" s="40"/>
      <c r="I5" s="42" t="s">
        <v>446</v>
      </c>
      <c r="J5" s="40"/>
    </row>
    <row r="6" spans="2:10" x14ac:dyDescent="0.35">
      <c r="B6" s="41" t="s">
        <v>62</v>
      </c>
      <c r="C6" s="77">
        <v>37500</v>
      </c>
      <c r="D6" s="31" t="s">
        <v>466</v>
      </c>
      <c r="E6" s="32">
        <v>92.85</v>
      </c>
      <c r="F6" s="33">
        <v>-0.05</v>
      </c>
      <c r="G6" s="34">
        <v>-5.0000000000000001E-4</v>
      </c>
      <c r="H6" s="40"/>
      <c r="I6" s="42" t="s">
        <v>446</v>
      </c>
      <c r="J6" s="40"/>
    </row>
    <row r="7" spans="2:10" x14ac:dyDescent="0.35">
      <c r="B7" s="41" t="s">
        <v>53</v>
      </c>
      <c r="C7" s="77">
        <v>5000</v>
      </c>
      <c r="D7" s="31" t="s">
        <v>467</v>
      </c>
      <c r="E7" s="43">
        <v>364.5</v>
      </c>
      <c r="F7" s="43">
        <v>-2.75</v>
      </c>
      <c r="G7" s="44">
        <v>-7.4999999999999997E-3</v>
      </c>
      <c r="H7" s="40"/>
      <c r="I7" s="42" t="s">
        <v>446</v>
      </c>
      <c r="J7" s="40"/>
    </row>
    <row r="8" spans="2:10" x14ac:dyDescent="0.35">
      <c r="B8" s="41" t="s">
        <v>65</v>
      </c>
      <c r="C8" s="77">
        <v>50000</v>
      </c>
      <c r="D8" s="31" t="s">
        <v>466</v>
      </c>
      <c r="E8" s="32">
        <v>78.37</v>
      </c>
      <c r="F8" s="33">
        <v>0.1</v>
      </c>
      <c r="G8" s="34">
        <v>1.2999999999999999E-3</v>
      </c>
      <c r="H8" s="40"/>
      <c r="I8" s="42" t="s">
        <v>446</v>
      </c>
      <c r="J8" s="40"/>
    </row>
    <row r="9" spans="2:10" x14ac:dyDescent="0.35">
      <c r="B9" s="41" t="s">
        <v>67</v>
      </c>
      <c r="C9" s="77">
        <v>40000</v>
      </c>
      <c r="D9" s="31" t="s">
        <v>59</v>
      </c>
      <c r="E9" s="32">
        <v>94.23</v>
      </c>
      <c r="F9" s="33">
        <v>-2.52</v>
      </c>
      <c r="G9" s="34">
        <v>-2.6100000000000002E-2</v>
      </c>
      <c r="H9" s="40"/>
      <c r="I9" s="42" t="s">
        <v>446</v>
      </c>
      <c r="J9" s="40"/>
    </row>
    <row r="10" spans="2:10" x14ac:dyDescent="0.35">
      <c r="B10" s="41" t="s">
        <v>66</v>
      </c>
      <c r="C10" s="77">
        <v>40000</v>
      </c>
      <c r="D10" s="31" t="s">
        <v>59</v>
      </c>
      <c r="E10" s="32">
        <v>121.5</v>
      </c>
      <c r="F10" s="33">
        <v>-1.17</v>
      </c>
      <c r="G10" s="34">
        <v>-9.5999999999999992E-3</v>
      </c>
      <c r="H10" s="40"/>
      <c r="I10" s="42" t="s">
        <v>446</v>
      </c>
      <c r="J10" s="40"/>
    </row>
    <row r="11" spans="2:10" x14ac:dyDescent="0.35">
      <c r="B11" s="41" t="s">
        <v>55</v>
      </c>
      <c r="C11" s="77">
        <v>5000</v>
      </c>
      <c r="D11" s="31" t="s">
        <v>413</v>
      </c>
      <c r="E11" s="43">
        <v>279.5</v>
      </c>
      <c r="F11" s="43">
        <v>1.25</v>
      </c>
      <c r="G11" s="44">
        <v>4.4999999999999997E-3</v>
      </c>
      <c r="H11" s="40"/>
      <c r="I11" s="42" t="s">
        <v>446</v>
      </c>
      <c r="J11" s="40"/>
    </row>
    <row r="12" spans="2:10" x14ac:dyDescent="0.35">
      <c r="B12" s="41" t="s">
        <v>64</v>
      </c>
      <c r="C12" s="77">
        <v>15000</v>
      </c>
      <c r="D12" s="31" t="s">
        <v>466</v>
      </c>
      <c r="E12" s="32">
        <v>109.8</v>
      </c>
      <c r="F12" s="33">
        <v>-0.35</v>
      </c>
      <c r="G12" s="34">
        <v>-3.2000000000000002E-3</v>
      </c>
      <c r="H12" s="40"/>
      <c r="I12" s="42" t="s">
        <v>446</v>
      </c>
      <c r="J12" s="40"/>
    </row>
    <row r="13" spans="2:10" x14ac:dyDescent="0.35">
      <c r="B13" s="41" t="s">
        <v>56</v>
      </c>
      <c r="C13" s="77">
        <v>2000</v>
      </c>
      <c r="D13" s="31" t="s">
        <v>57</v>
      </c>
      <c r="E13" s="43">
        <v>10.69</v>
      </c>
      <c r="F13" s="43">
        <v>0.02</v>
      </c>
      <c r="G13" s="44">
        <v>1.4E-3</v>
      </c>
      <c r="H13" s="40"/>
      <c r="I13" s="42" t="s">
        <v>446</v>
      </c>
      <c r="J13" s="40"/>
    </row>
    <row r="14" spans="2:10" x14ac:dyDescent="0.35">
      <c r="B14" s="41" t="s">
        <v>58</v>
      </c>
      <c r="C14" s="77">
        <v>60000</v>
      </c>
      <c r="D14" s="31" t="s">
        <v>413</v>
      </c>
      <c r="E14" s="43">
        <v>891.75</v>
      </c>
      <c r="F14" s="43">
        <v>-2.5</v>
      </c>
      <c r="G14" s="44">
        <v>-2.8E-3</v>
      </c>
      <c r="H14" s="40"/>
      <c r="I14" s="42" t="s">
        <v>446</v>
      </c>
      <c r="J14" s="40"/>
    </row>
    <row r="15" spans="2:10" x14ac:dyDescent="0.35">
      <c r="B15" s="41" t="s">
        <v>63</v>
      </c>
      <c r="C15" s="77">
        <v>112000</v>
      </c>
      <c r="D15" s="31" t="s">
        <v>59</v>
      </c>
      <c r="E15" s="32">
        <v>12.77</v>
      </c>
      <c r="F15" s="33">
        <v>-0.21</v>
      </c>
      <c r="G15" s="34">
        <v>-1.6199999999999999E-2</v>
      </c>
      <c r="H15" s="40"/>
      <c r="I15" s="42" t="s">
        <v>446</v>
      </c>
      <c r="J15" s="40"/>
    </row>
    <row r="16" spans="2:10" x14ac:dyDescent="0.35">
      <c r="B16" s="41" t="s">
        <v>54</v>
      </c>
      <c r="C16" s="77">
        <v>5000</v>
      </c>
      <c r="D16" s="31" t="s">
        <v>413</v>
      </c>
      <c r="E16" s="43">
        <v>441.25</v>
      </c>
      <c r="F16" s="43">
        <v>-7</v>
      </c>
      <c r="G16" s="44">
        <v>-1.5599999999999999E-2</v>
      </c>
      <c r="H16" s="40"/>
      <c r="I16" s="42" t="s">
        <v>446</v>
      </c>
      <c r="J16" s="40"/>
    </row>
    <row r="17" spans="2:17" x14ac:dyDescent="0.35">
      <c r="C17" s="78"/>
    </row>
    <row r="18" spans="2:17" x14ac:dyDescent="0.35">
      <c r="B18" s="45" t="s">
        <v>84</v>
      </c>
      <c r="C18" s="79"/>
      <c r="D18" s="46"/>
      <c r="E18" s="47"/>
      <c r="F18" s="47"/>
      <c r="G18" s="47"/>
      <c r="H18" s="40"/>
      <c r="I18" s="48"/>
      <c r="Q18" s="51"/>
    </row>
    <row r="19" spans="2:17" ht="39" x14ac:dyDescent="0.35">
      <c r="B19" s="49"/>
      <c r="C19" s="80" t="s">
        <v>94</v>
      </c>
      <c r="D19" s="50" t="s">
        <v>51</v>
      </c>
      <c r="E19" s="50" t="s">
        <v>52</v>
      </c>
      <c r="F19" s="50" t="s">
        <v>85</v>
      </c>
      <c r="G19" s="50" t="s">
        <v>80</v>
      </c>
      <c r="H19" s="39"/>
      <c r="I19" s="50" t="s">
        <v>79</v>
      </c>
    </row>
    <row r="20" spans="2:17" x14ac:dyDescent="0.35">
      <c r="B20" s="41" t="s">
        <v>83</v>
      </c>
      <c r="C20" s="77">
        <v>25</v>
      </c>
      <c r="D20" s="31" t="s">
        <v>61</v>
      </c>
      <c r="E20" s="43">
        <v>1647.6</v>
      </c>
      <c r="F20" s="43">
        <v>-80</v>
      </c>
      <c r="G20" s="44">
        <v>-1.2200000000000001E-2</v>
      </c>
      <c r="H20" s="40"/>
      <c r="I20" s="42" t="s">
        <v>446</v>
      </c>
    </row>
    <row r="21" spans="2:17" x14ac:dyDescent="0.35">
      <c r="B21" s="41" t="s">
        <v>81</v>
      </c>
      <c r="C21" s="77">
        <v>25000</v>
      </c>
      <c r="D21" s="31" t="s">
        <v>82</v>
      </c>
      <c r="E21" s="43">
        <v>2.91</v>
      </c>
      <c r="F21" s="43">
        <v>-1.55</v>
      </c>
      <c r="G21" s="44">
        <v>-5.3E-3</v>
      </c>
      <c r="H21" s="40"/>
      <c r="I21" s="42" t="s">
        <v>446</v>
      </c>
      <c r="J21" s="28"/>
    </row>
    <row r="22" spans="2:17" x14ac:dyDescent="0.35">
      <c r="B22" s="41" t="s">
        <v>69</v>
      </c>
      <c r="C22" s="77">
        <v>100</v>
      </c>
      <c r="D22" s="31" t="s">
        <v>70</v>
      </c>
      <c r="E22" s="43">
        <v>1277.5</v>
      </c>
      <c r="F22" s="43">
        <v>1.5</v>
      </c>
      <c r="G22" s="44">
        <v>1.1999999999999999E-3</v>
      </c>
      <c r="H22" s="40"/>
      <c r="I22" s="42" t="s">
        <v>446</v>
      </c>
    </row>
    <row r="23" spans="2:17" x14ac:dyDescent="0.35">
      <c r="B23" s="41" t="s">
        <v>71</v>
      </c>
      <c r="C23" s="77">
        <v>5000</v>
      </c>
      <c r="D23" s="31" t="s">
        <v>70</v>
      </c>
      <c r="E23" s="43">
        <v>15.06</v>
      </c>
      <c r="F23" s="43">
        <v>0.02</v>
      </c>
      <c r="G23" s="44">
        <v>1.1000000000000001E-3</v>
      </c>
      <c r="H23" s="40"/>
      <c r="I23" s="42" t="s">
        <v>446</v>
      </c>
    </row>
    <row r="24" spans="2:17" x14ac:dyDescent="0.35">
      <c r="B24" s="40"/>
      <c r="C24" s="78"/>
      <c r="D24" s="35"/>
      <c r="E24" s="35"/>
      <c r="F24" s="36"/>
      <c r="G24" s="37"/>
      <c r="H24" s="40"/>
      <c r="I24" s="38"/>
    </row>
    <row r="25" spans="2:17" x14ac:dyDescent="0.35">
      <c r="B25" s="45" t="s">
        <v>87</v>
      </c>
      <c r="C25" s="79"/>
      <c r="D25" s="46"/>
      <c r="E25" s="47"/>
      <c r="F25" s="47"/>
      <c r="G25" s="47"/>
      <c r="H25" s="40"/>
      <c r="I25" s="48"/>
    </row>
    <row r="26" spans="2:17" ht="33.75" customHeight="1" x14ac:dyDescent="0.35">
      <c r="B26" s="49"/>
      <c r="C26" s="80" t="s">
        <v>94</v>
      </c>
      <c r="D26" s="50" t="s">
        <v>51</v>
      </c>
      <c r="E26" s="50" t="s">
        <v>52</v>
      </c>
      <c r="F26" s="50" t="s">
        <v>85</v>
      </c>
      <c r="G26" s="50" t="s">
        <v>80</v>
      </c>
      <c r="H26" s="39"/>
      <c r="I26" s="53" t="s">
        <v>86</v>
      </c>
    </row>
    <row r="27" spans="2:17" x14ac:dyDescent="0.35">
      <c r="B27" s="41" t="s">
        <v>74</v>
      </c>
      <c r="C27" s="77">
        <v>1000</v>
      </c>
      <c r="D27" s="31" t="s">
        <v>73</v>
      </c>
      <c r="E27" s="43">
        <v>74.2</v>
      </c>
      <c r="F27" s="43">
        <v>2.23</v>
      </c>
      <c r="G27" s="44">
        <v>3.1E-2</v>
      </c>
      <c r="H27" s="40"/>
      <c r="I27" s="42" t="s">
        <v>446</v>
      </c>
    </row>
    <row r="28" spans="2:17" x14ac:dyDescent="0.35">
      <c r="B28" s="41" t="s">
        <v>77</v>
      </c>
      <c r="C28" s="77">
        <v>42000</v>
      </c>
      <c r="D28" s="31" t="s">
        <v>414</v>
      </c>
      <c r="E28" s="43">
        <v>211.35</v>
      </c>
      <c r="F28" s="43">
        <v>4.26</v>
      </c>
      <c r="G28" s="44">
        <v>2.06E-2</v>
      </c>
      <c r="H28" s="40"/>
      <c r="I28" s="42" t="s">
        <v>446</v>
      </c>
    </row>
    <row r="29" spans="2:17" x14ac:dyDescent="0.35">
      <c r="B29" s="41" t="s">
        <v>75</v>
      </c>
      <c r="C29" s="77">
        <v>10000</v>
      </c>
      <c r="D29" s="31" t="s">
        <v>76</v>
      </c>
      <c r="E29" s="43">
        <v>2.52</v>
      </c>
      <c r="F29" s="43">
        <v>0.03</v>
      </c>
      <c r="G29" s="44">
        <v>1.24E-2</v>
      </c>
      <c r="H29" s="40"/>
      <c r="I29" s="42" t="s">
        <v>446</v>
      </c>
    </row>
    <row r="30" spans="2:17" x14ac:dyDescent="0.35">
      <c r="B30" s="41" t="s">
        <v>72</v>
      </c>
      <c r="C30" s="77">
        <v>1000</v>
      </c>
      <c r="D30" s="31" t="s">
        <v>73</v>
      </c>
      <c r="E30" s="43">
        <v>65.75</v>
      </c>
      <c r="F30" s="43">
        <v>1.75</v>
      </c>
      <c r="G30" s="44">
        <v>2.7300000000000001E-2</v>
      </c>
      <c r="H30" s="40"/>
      <c r="I30" s="42" t="s">
        <v>446</v>
      </c>
    </row>
    <row r="32" spans="2:17" x14ac:dyDescent="0.35">
      <c r="B32" s="45" t="s">
        <v>103</v>
      </c>
      <c r="C32" s="79"/>
      <c r="D32" s="46"/>
      <c r="E32" s="47"/>
      <c r="F32" s="47"/>
      <c r="G32" s="47"/>
      <c r="H32" s="40"/>
      <c r="I32" s="48"/>
    </row>
    <row r="33" spans="2:9" ht="33.75" customHeight="1" x14ac:dyDescent="0.35">
      <c r="B33" s="49"/>
      <c r="C33" s="80" t="s">
        <v>94</v>
      </c>
      <c r="D33" s="50" t="s">
        <v>51</v>
      </c>
      <c r="E33" s="50" t="s">
        <v>52</v>
      </c>
      <c r="F33" s="50" t="s">
        <v>85</v>
      </c>
      <c r="G33" s="50" t="s">
        <v>80</v>
      </c>
      <c r="H33" s="39"/>
      <c r="I33" s="53" t="s">
        <v>86</v>
      </c>
    </row>
    <row r="34" spans="2:9" x14ac:dyDescent="0.35">
      <c r="B34" s="41" t="s">
        <v>106</v>
      </c>
      <c r="C34" s="77">
        <v>100000</v>
      </c>
      <c r="D34" s="31" t="s">
        <v>130</v>
      </c>
      <c r="E34" s="61" t="s">
        <v>104</v>
      </c>
      <c r="F34" s="43">
        <v>15</v>
      </c>
      <c r="G34" s="44">
        <v>1E-3</v>
      </c>
      <c r="H34" s="40"/>
      <c r="I34" s="42" t="s">
        <v>447</v>
      </c>
    </row>
    <row r="35" spans="2:9" x14ac:dyDescent="0.35">
      <c r="B35" s="41" t="s">
        <v>107</v>
      </c>
      <c r="C35" s="77">
        <v>100000</v>
      </c>
      <c r="D35" s="31" t="s">
        <v>130</v>
      </c>
      <c r="E35" s="61" t="s">
        <v>105</v>
      </c>
      <c r="F35" s="43">
        <v>12.5</v>
      </c>
      <c r="G35" s="44">
        <v>2.5000000000000001E-3</v>
      </c>
      <c r="H35" s="40"/>
      <c r="I35" s="42" t="s">
        <v>447</v>
      </c>
    </row>
    <row r="36" spans="2:9" x14ac:dyDescent="0.35">
      <c r="B36" s="41" t="s">
        <v>108</v>
      </c>
      <c r="C36" s="77">
        <v>100000</v>
      </c>
      <c r="D36" s="31" t="s">
        <v>130</v>
      </c>
      <c r="E36" s="61" t="s">
        <v>113</v>
      </c>
      <c r="F36" s="43">
        <v>6.5</v>
      </c>
      <c r="G36" s="44">
        <v>1.24E-2</v>
      </c>
      <c r="H36" s="40"/>
      <c r="I36" s="42" t="s">
        <v>447</v>
      </c>
    </row>
    <row r="37" spans="2:9" x14ac:dyDescent="0.35">
      <c r="B37" s="41" t="s">
        <v>109</v>
      </c>
      <c r="C37" s="77">
        <v>5000000</v>
      </c>
      <c r="D37" s="31" t="s">
        <v>111</v>
      </c>
      <c r="E37" s="43">
        <v>97.6</v>
      </c>
      <c r="F37" s="43">
        <v>0</v>
      </c>
      <c r="G37" s="44">
        <v>0</v>
      </c>
      <c r="H37" s="40"/>
      <c r="I37" s="42" t="s">
        <v>446</v>
      </c>
    </row>
    <row r="38" spans="2:9" x14ac:dyDescent="0.35">
      <c r="B38" s="62" t="s">
        <v>110</v>
      </c>
      <c r="C38" s="77">
        <v>3000000</v>
      </c>
      <c r="D38" s="31" t="s">
        <v>112</v>
      </c>
      <c r="E38" s="43">
        <v>97.49</v>
      </c>
      <c r="F38" s="43">
        <v>0.01</v>
      </c>
      <c r="G38" s="44">
        <v>0</v>
      </c>
      <c r="H38" s="40"/>
      <c r="I38" s="42" t="s">
        <v>446</v>
      </c>
    </row>
    <row r="40" spans="2:9" x14ac:dyDescent="0.35">
      <c r="B40" s="45" t="s">
        <v>114</v>
      </c>
      <c r="C40" s="79"/>
      <c r="D40" s="46"/>
      <c r="E40" s="47"/>
      <c r="F40" s="47"/>
      <c r="G40" s="47"/>
      <c r="H40" s="40"/>
      <c r="I40" s="48"/>
    </row>
    <row r="41" spans="2:9" ht="33.75" customHeight="1" x14ac:dyDescent="0.35">
      <c r="B41" s="49"/>
      <c r="C41" s="80" t="s">
        <v>94</v>
      </c>
      <c r="D41" s="50" t="s">
        <v>51</v>
      </c>
      <c r="E41" s="50" t="s">
        <v>52</v>
      </c>
      <c r="F41" s="50" t="s">
        <v>85</v>
      </c>
      <c r="G41" s="50" t="s">
        <v>80</v>
      </c>
      <c r="H41" s="39"/>
      <c r="I41" s="53" t="s">
        <v>86</v>
      </c>
    </row>
    <row r="42" spans="2:9" x14ac:dyDescent="0.35">
      <c r="B42" s="41" t="s">
        <v>116</v>
      </c>
      <c r="C42" s="77" t="s">
        <v>120</v>
      </c>
      <c r="D42" s="31" t="s">
        <v>123</v>
      </c>
      <c r="E42" s="64">
        <v>97.29</v>
      </c>
      <c r="F42" s="67">
        <v>0</v>
      </c>
      <c r="G42" s="68">
        <f>+F42/E42</f>
        <v>0</v>
      </c>
      <c r="H42" s="40"/>
      <c r="I42" s="42" t="s">
        <v>447</v>
      </c>
    </row>
    <row r="43" spans="2:9" x14ac:dyDescent="0.35">
      <c r="B43" s="41" t="s">
        <v>117</v>
      </c>
      <c r="C43" s="77">
        <v>100000</v>
      </c>
      <c r="D43" s="31" t="s">
        <v>119</v>
      </c>
      <c r="E43" s="64">
        <v>0.73509999999999998</v>
      </c>
      <c r="F43" s="67">
        <v>1E-3</v>
      </c>
      <c r="G43" s="63">
        <f>+F43/E43</f>
        <v>1.3603591348115903E-3</v>
      </c>
      <c r="H43" s="40"/>
      <c r="I43" s="42" t="s">
        <v>447</v>
      </c>
    </row>
    <row r="44" spans="2:9" x14ac:dyDescent="0.35">
      <c r="B44" s="41" t="s">
        <v>118</v>
      </c>
      <c r="C44" s="65" t="s">
        <v>121</v>
      </c>
      <c r="D44" s="66" t="s">
        <v>122</v>
      </c>
      <c r="E44" s="64">
        <v>1.1523000000000001</v>
      </c>
      <c r="F44" s="67">
        <v>1.0999999999999999E-2</v>
      </c>
      <c r="G44" s="63">
        <f>+F44/E44</f>
        <v>9.5461251410223023E-3</v>
      </c>
      <c r="H44" s="40"/>
      <c r="I44" s="42" t="s">
        <v>447</v>
      </c>
    </row>
    <row r="46" spans="2:9" x14ac:dyDescent="0.35">
      <c r="B46" s="45" t="s">
        <v>115</v>
      </c>
      <c r="C46" s="79"/>
      <c r="D46" s="46"/>
      <c r="E46" s="47"/>
      <c r="F46" s="47"/>
      <c r="G46" s="47"/>
      <c r="H46" s="40"/>
      <c r="I46" s="48"/>
    </row>
    <row r="47" spans="2:9" ht="33.75" customHeight="1" x14ac:dyDescent="0.35">
      <c r="B47" s="49"/>
      <c r="C47" s="80" t="s">
        <v>94</v>
      </c>
      <c r="D47" s="50" t="s">
        <v>51</v>
      </c>
      <c r="E47" s="50" t="s">
        <v>52</v>
      </c>
      <c r="F47" s="50" t="s">
        <v>85</v>
      </c>
      <c r="G47" s="50" t="s">
        <v>80</v>
      </c>
      <c r="H47" s="39"/>
      <c r="I47" s="53" t="s">
        <v>86</v>
      </c>
    </row>
    <row r="48" spans="2:9" x14ac:dyDescent="0.35">
      <c r="B48" s="41" t="s">
        <v>124</v>
      </c>
      <c r="C48" s="77">
        <v>250</v>
      </c>
      <c r="D48" s="31" t="s">
        <v>127</v>
      </c>
      <c r="E48" s="61">
        <v>2505.1999999999998</v>
      </c>
      <c r="F48" s="43">
        <v>19.2</v>
      </c>
      <c r="G48" s="44">
        <f>+F48/E48</f>
        <v>7.6640587577838102E-3</v>
      </c>
      <c r="H48" s="40"/>
      <c r="I48" s="42" t="s">
        <v>447</v>
      </c>
    </row>
    <row r="49" spans="2:9" x14ac:dyDescent="0.35">
      <c r="B49" s="41" t="s">
        <v>125</v>
      </c>
      <c r="C49" s="77">
        <v>20</v>
      </c>
      <c r="D49" s="31" t="s">
        <v>128</v>
      </c>
      <c r="E49" s="61">
        <v>6333.3</v>
      </c>
      <c r="F49" s="43">
        <v>40</v>
      </c>
      <c r="G49" s="44">
        <f t="shared" ref="G49:G50" si="0">+F49/E49</f>
        <v>6.3158227148563941E-3</v>
      </c>
      <c r="H49" s="40"/>
      <c r="I49" s="42" t="s">
        <v>447</v>
      </c>
    </row>
    <row r="50" spans="2:9" x14ac:dyDescent="0.35">
      <c r="B50" s="41" t="s">
        <v>126</v>
      </c>
      <c r="C50" s="77">
        <v>50</v>
      </c>
      <c r="D50" s="31" t="s">
        <v>128</v>
      </c>
      <c r="E50" s="61">
        <v>1349</v>
      </c>
      <c r="F50" s="43">
        <v>8.1</v>
      </c>
      <c r="G50" s="44">
        <f t="shared" si="0"/>
        <v>6.0044477390659746E-3</v>
      </c>
      <c r="H50" s="40"/>
      <c r="I50" s="42" t="s">
        <v>447</v>
      </c>
    </row>
    <row r="52" spans="2:9" x14ac:dyDescent="0.35">
      <c r="I52" s="51" t="s">
        <v>411</v>
      </c>
    </row>
  </sheetData>
  <phoneticPr fontId="29" type="noConversion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746D59-C3F6-4937-B02F-562CBCE8A187}">
  <dimension ref="A1:AT40"/>
  <sheetViews>
    <sheetView showGridLines="0" workbookViewId="0">
      <selection sqref="A1:XFD1048576"/>
    </sheetView>
  </sheetViews>
  <sheetFormatPr defaultRowHeight="14.5" x14ac:dyDescent="0.35"/>
  <cols>
    <col min="1" max="1" width="3.26953125" customWidth="1"/>
    <col min="2" max="2" width="14.36328125" customWidth="1"/>
    <col min="3" max="3" width="10.36328125" customWidth="1"/>
    <col min="4" max="4" width="10.26953125" customWidth="1"/>
    <col min="5" max="5" width="10" customWidth="1"/>
    <col min="6" max="6" width="10.54296875" customWidth="1"/>
    <col min="7" max="7" width="12.08984375" customWidth="1"/>
    <col min="8" max="8" width="5.90625" style="26" customWidth="1"/>
    <col min="9" max="9" width="7.90625" customWidth="1"/>
    <col min="10" max="11" width="9.36328125" customWidth="1"/>
    <col min="12" max="13" width="8.54296875" customWidth="1"/>
    <col min="14" max="14" width="7.36328125" customWidth="1"/>
    <col min="15" max="15" width="7.81640625" customWidth="1"/>
    <col min="16" max="16" width="1.7265625" customWidth="1"/>
    <col min="44" max="44" width="9.81640625" bestFit="1" customWidth="1"/>
    <col min="261" max="261" width="4.7265625" customWidth="1"/>
    <col min="263" max="263" width="7.7265625" customWidth="1"/>
    <col min="265" max="265" width="9.81640625" customWidth="1"/>
    <col min="266" max="266" width="11.1796875" customWidth="1"/>
    <col min="267" max="267" width="10.26953125" customWidth="1"/>
    <col min="268" max="268" width="13.7265625" customWidth="1"/>
    <col min="269" max="269" width="13.26953125" customWidth="1"/>
    <col min="517" max="517" width="4.7265625" customWidth="1"/>
    <col min="519" max="519" width="7.7265625" customWidth="1"/>
    <col min="521" max="521" width="9.81640625" customWidth="1"/>
    <col min="522" max="522" width="11.1796875" customWidth="1"/>
    <col min="523" max="523" width="10.26953125" customWidth="1"/>
    <col min="524" max="524" width="13.7265625" customWidth="1"/>
    <col min="525" max="525" width="13.26953125" customWidth="1"/>
    <col min="773" max="773" width="4.7265625" customWidth="1"/>
    <col min="775" max="775" width="7.7265625" customWidth="1"/>
    <col min="777" max="777" width="9.81640625" customWidth="1"/>
    <col min="778" max="778" width="11.1796875" customWidth="1"/>
    <col min="779" max="779" width="10.26953125" customWidth="1"/>
    <col min="780" max="780" width="13.7265625" customWidth="1"/>
    <col min="781" max="781" width="13.26953125" customWidth="1"/>
    <col min="1029" max="1029" width="4.7265625" customWidth="1"/>
    <col min="1031" max="1031" width="7.7265625" customWidth="1"/>
    <col min="1033" max="1033" width="9.81640625" customWidth="1"/>
    <col min="1034" max="1034" width="11.1796875" customWidth="1"/>
    <col min="1035" max="1035" width="10.26953125" customWidth="1"/>
    <col min="1036" max="1036" width="13.7265625" customWidth="1"/>
    <col min="1037" max="1037" width="13.26953125" customWidth="1"/>
    <col min="1285" max="1285" width="4.7265625" customWidth="1"/>
    <col min="1287" max="1287" width="7.7265625" customWidth="1"/>
    <col min="1289" max="1289" width="9.81640625" customWidth="1"/>
    <col min="1290" max="1290" width="11.1796875" customWidth="1"/>
    <col min="1291" max="1291" width="10.26953125" customWidth="1"/>
    <col min="1292" max="1292" width="13.7265625" customWidth="1"/>
    <col min="1293" max="1293" width="13.26953125" customWidth="1"/>
    <col min="1541" max="1541" width="4.7265625" customWidth="1"/>
    <col min="1543" max="1543" width="7.7265625" customWidth="1"/>
    <col min="1545" max="1545" width="9.81640625" customWidth="1"/>
    <col min="1546" max="1546" width="11.1796875" customWidth="1"/>
    <col min="1547" max="1547" width="10.26953125" customWidth="1"/>
    <col min="1548" max="1548" width="13.7265625" customWidth="1"/>
    <col min="1549" max="1549" width="13.26953125" customWidth="1"/>
    <col min="1797" max="1797" width="4.7265625" customWidth="1"/>
    <col min="1799" max="1799" width="7.7265625" customWidth="1"/>
    <col min="1801" max="1801" width="9.81640625" customWidth="1"/>
    <col min="1802" max="1802" width="11.1796875" customWidth="1"/>
    <col min="1803" max="1803" width="10.26953125" customWidth="1"/>
    <col min="1804" max="1804" width="13.7265625" customWidth="1"/>
    <col min="1805" max="1805" width="13.26953125" customWidth="1"/>
    <col min="2053" max="2053" width="4.7265625" customWidth="1"/>
    <col min="2055" max="2055" width="7.7265625" customWidth="1"/>
    <col min="2057" max="2057" width="9.81640625" customWidth="1"/>
    <col min="2058" max="2058" width="11.1796875" customWidth="1"/>
    <col min="2059" max="2059" width="10.26953125" customWidth="1"/>
    <col min="2060" max="2060" width="13.7265625" customWidth="1"/>
    <col min="2061" max="2061" width="13.26953125" customWidth="1"/>
    <col min="2309" max="2309" width="4.7265625" customWidth="1"/>
    <col min="2311" max="2311" width="7.7265625" customWidth="1"/>
    <col min="2313" max="2313" width="9.81640625" customWidth="1"/>
    <col min="2314" max="2314" width="11.1796875" customWidth="1"/>
    <col min="2315" max="2315" width="10.26953125" customWidth="1"/>
    <col min="2316" max="2316" width="13.7265625" customWidth="1"/>
    <col min="2317" max="2317" width="13.26953125" customWidth="1"/>
    <col min="2565" max="2565" width="4.7265625" customWidth="1"/>
    <col min="2567" max="2567" width="7.7265625" customWidth="1"/>
    <col min="2569" max="2569" width="9.81640625" customWidth="1"/>
    <col min="2570" max="2570" width="11.1796875" customWidth="1"/>
    <col min="2571" max="2571" width="10.26953125" customWidth="1"/>
    <col min="2572" max="2572" width="13.7265625" customWidth="1"/>
    <col min="2573" max="2573" width="13.26953125" customWidth="1"/>
    <col min="2821" max="2821" width="4.7265625" customWidth="1"/>
    <col min="2823" max="2823" width="7.7265625" customWidth="1"/>
    <col min="2825" max="2825" width="9.81640625" customWidth="1"/>
    <col min="2826" max="2826" width="11.1796875" customWidth="1"/>
    <col min="2827" max="2827" width="10.26953125" customWidth="1"/>
    <col min="2828" max="2828" width="13.7265625" customWidth="1"/>
    <col min="2829" max="2829" width="13.26953125" customWidth="1"/>
    <col min="3077" max="3077" width="4.7265625" customWidth="1"/>
    <col min="3079" max="3079" width="7.7265625" customWidth="1"/>
    <col min="3081" max="3081" width="9.81640625" customWidth="1"/>
    <col min="3082" max="3082" width="11.1796875" customWidth="1"/>
    <col min="3083" max="3083" width="10.26953125" customWidth="1"/>
    <col min="3084" max="3084" width="13.7265625" customWidth="1"/>
    <col min="3085" max="3085" width="13.26953125" customWidth="1"/>
    <col min="3333" max="3333" width="4.7265625" customWidth="1"/>
    <col min="3335" max="3335" width="7.7265625" customWidth="1"/>
    <col min="3337" max="3337" width="9.81640625" customWidth="1"/>
    <col min="3338" max="3338" width="11.1796875" customWidth="1"/>
    <col min="3339" max="3339" width="10.26953125" customWidth="1"/>
    <col min="3340" max="3340" width="13.7265625" customWidth="1"/>
    <col min="3341" max="3341" width="13.26953125" customWidth="1"/>
    <col min="3589" max="3589" width="4.7265625" customWidth="1"/>
    <col min="3591" max="3591" width="7.7265625" customWidth="1"/>
    <col min="3593" max="3593" width="9.81640625" customWidth="1"/>
    <col min="3594" max="3594" width="11.1796875" customWidth="1"/>
    <col min="3595" max="3595" width="10.26953125" customWidth="1"/>
    <col min="3596" max="3596" width="13.7265625" customWidth="1"/>
    <col min="3597" max="3597" width="13.26953125" customWidth="1"/>
    <col min="3845" max="3845" width="4.7265625" customWidth="1"/>
    <col min="3847" max="3847" width="7.7265625" customWidth="1"/>
    <col min="3849" max="3849" width="9.81640625" customWidth="1"/>
    <col min="3850" max="3850" width="11.1796875" customWidth="1"/>
    <col min="3851" max="3851" width="10.26953125" customWidth="1"/>
    <col min="3852" max="3852" width="13.7265625" customWidth="1"/>
    <col min="3853" max="3853" width="13.26953125" customWidth="1"/>
    <col min="4101" max="4101" width="4.7265625" customWidth="1"/>
    <col min="4103" max="4103" width="7.7265625" customWidth="1"/>
    <col min="4105" max="4105" width="9.81640625" customWidth="1"/>
    <col min="4106" max="4106" width="11.1796875" customWidth="1"/>
    <col min="4107" max="4107" width="10.26953125" customWidth="1"/>
    <col min="4108" max="4108" width="13.7265625" customWidth="1"/>
    <col min="4109" max="4109" width="13.26953125" customWidth="1"/>
    <col min="4357" max="4357" width="4.7265625" customWidth="1"/>
    <col min="4359" max="4359" width="7.7265625" customWidth="1"/>
    <col min="4361" max="4361" width="9.81640625" customWidth="1"/>
    <col min="4362" max="4362" width="11.1796875" customWidth="1"/>
    <col min="4363" max="4363" width="10.26953125" customWidth="1"/>
    <col min="4364" max="4364" width="13.7265625" customWidth="1"/>
    <col min="4365" max="4365" width="13.26953125" customWidth="1"/>
    <col min="4613" max="4613" width="4.7265625" customWidth="1"/>
    <col min="4615" max="4615" width="7.7265625" customWidth="1"/>
    <col min="4617" max="4617" width="9.81640625" customWidth="1"/>
    <col min="4618" max="4618" width="11.1796875" customWidth="1"/>
    <col min="4619" max="4619" width="10.26953125" customWidth="1"/>
    <col min="4620" max="4620" width="13.7265625" customWidth="1"/>
    <col min="4621" max="4621" width="13.26953125" customWidth="1"/>
    <col min="4869" max="4869" width="4.7265625" customWidth="1"/>
    <col min="4871" max="4871" width="7.7265625" customWidth="1"/>
    <col min="4873" max="4873" width="9.81640625" customWidth="1"/>
    <col min="4874" max="4874" width="11.1796875" customWidth="1"/>
    <col min="4875" max="4875" width="10.26953125" customWidth="1"/>
    <col min="4876" max="4876" width="13.7265625" customWidth="1"/>
    <col min="4877" max="4877" width="13.26953125" customWidth="1"/>
    <col min="5125" max="5125" width="4.7265625" customWidth="1"/>
    <col min="5127" max="5127" width="7.7265625" customWidth="1"/>
    <col min="5129" max="5129" width="9.81640625" customWidth="1"/>
    <col min="5130" max="5130" width="11.1796875" customWidth="1"/>
    <col min="5131" max="5131" width="10.26953125" customWidth="1"/>
    <col min="5132" max="5132" width="13.7265625" customWidth="1"/>
    <col min="5133" max="5133" width="13.26953125" customWidth="1"/>
    <col min="5381" max="5381" width="4.7265625" customWidth="1"/>
    <col min="5383" max="5383" width="7.7265625" customWidth="1"/>
    <col min="5385" max="5385" width="9.81640625" customWidth="1"/>
    <col min="5386" max="5386" width="11.1796875" customWidth="1"/>
    <col min="5387" max="5387" width="10.26953125" customWidth="1"/>
    <col min="5388" max="5388" width="13.7265625" customWidth="1"/>
    <col min="5389" max="5389" width="13.26953125" customWidth="1"/>
    <col min="5637" max="5637" width="4.7265625" customWidth="1"/>
    <col min="5639" max="5639" width="7.7265625" customWidth="1"/>
    <col min="5641" max="5641" width="9.81640625" customWidth="1"/>
    <col min="5642" max="5642" width="11.1796875" customWidth="1"/>
    <col min="5643" max="5643" width="10.26953125" customWidth="1"/>
    <col min="5644" max="5644" width="13.7265625" customWidth="1"/>
    <col min="5645" max="5645" width="13.26953125" customWidth="1"/>
    <col min="5893" max="5893" width="4.7265625" customWidth="1"/>
    <col min="5895" max="5895" width="7.7265625" customWidth="1"/>
    <col min="5897" max="5897" width="9.81640625" customWidth="1"/>
    <col min="5898" max="5898" width="11.1796875" customWidth="1"/>
    <col min="5899" max="5899" width="10.26953125" customWidth="1"/>
    <col min="5900" max="5900" width="13.7265625" customWidth="1"/>
    <col min="5901" max="5901" width="13.26953125" customWidth="1"/>
    <col min="6149" max="6149" width="4.7265625" customWidth="1"/>
    <col min="6151" max="6151" width="7.7265625" customWidth="1"/>
    <col min="6153" max="6153" width="9.81640625" customWidth="1"/>
    <col min="6154" max="6154" width="11.1796875" customWidth="1"/>
    <col min="6155" max="6155" width="10.26953125" customWidth="1"/>
    <col min="6156" max="6156" width="13.7265625" customWidth="1"/>
    <col min="6157" max="6157" width="13.26953125" customWidth="1"/>
    <col min="6405" max="6405" width="4.7265625" customWidth="1"/>
    <col min="6407" max="6407" width="7.7265625" customWidth="1"/>
    <col min="6409" max="6409" width="9.81640625" customWidth="1"/>
    <col min="6410" max="6410" width="11.1796875" customWidth="1"/>
    <col min="6411" max="6411" width="10.26953125" customWidth="1"/>
    <col min="6412" max="6412" width="13.7265625" customWidth="1"/>
    <col min="6413" max="6413" width="13.26953125" customWidth="1"/>
    <col min="6661" max="6661" width="4.7265625" customWidth="1"/>
    <col min="6663" max="6663" width="7.7265625" customWidth="1"/>
    <col min="6665" max="6665" width="9.81640625" customWidth="1"/>
    <col min="6666" max="6666" width="11.1796875" customWidth="1"/>
    <col min="6667" max="6667" width="10.26953125" customWidth="1"/>
    <col min="6668" max="6668" width="13.7265625" customWidth="1"/>
    <col min="6669" max="6669" width="13.26953125" customWidth="1"/>
    <col min="6917" max="6917" width="4.7265625" customWidth="1"/>
    <col min="6919" max="6919" width="7.7265625" customWidth="1"/>
    <col min="6921" max="6921" width="9.81640625" customWidth="1"/>
    <col min="6922" max="6922" width="11.1796875" customWidth="1"/>
    <col min="6923" max="6923" width="10.26953125" customWidth="1"/>
    <col min="6924" max="6924" width="13.7265625" customWidth="1"/>
    <col min="6925" max="6925" width="13.26953125" customWidth="1"/>
    <col min="7173" max="7173" width="4.7265625" customWidth="1"/>
    <col min="7175" max="7175" width="7.7265625" customWidth="1"/>
    <col min="7177" max="7177" width="9.81640625" customWidth="1"/>
    <col min="7178" max="7178" width="11.1796875" customWidth="1"/>
    <col min="7179" max="7179" width="10.26953125" customWidth="1"/>
    <col min="7180" max="7180" width="13.7265625" customWidth="1"/>
    <col min="7181" max="7181" width="13.26953125" customWidth="1"/>
    <col min="7429" max="7429" width="4.7265625" customWidth="1"/>
    <col min="7431" max="7431" width="7.7265625" customWidth="1"/>
    <col min="7433" max="7433" width="9.81640625" customWidth="1"/>
    <col min="7434" max="7434" width="11.1796875" customWidth="1"/>
    <col min="7435" max="7435" width="10.26953125" customWidth="1"/>
    <col min="7436" max="7436" width="13.7265625" customWidth="1"/>
    <col min="7437" max="7437" width="13.26953125" customWidth="1"/>
    <col min="7685" max="7685" width="4.7265625" customWidth="1"/>
    <col min="7687" max="7687" width="7.7265625" customWidth="1"/>
    <col min="7689" max="7689" width="9.81640625" customWidth="1"/>
    <col min="7690" max="7690" width="11.1796875" customWidth="1"/>
    <col min="7691" max="7691" width="10.26953125" customWidth="1"/>
    <col min="7692" max="7692" width="13.7265625" customWidth="1"/>
    <col min="7693" max="7693" width="13.26953125" customWidth="1"/>
    <col min="7941" max="7941" width="4.7265625" customWidth="1"/>
    <col min="7943" max="7943" width="7.7265625" customWidth="1"/>
    <col min="7945" max="7945" width="9.81640625" customWidth="1"/>
    <col min="7946" max="7946" width="11.1796875" customWidth="1"/>
    <col min="7947" max="7947" width="10.26953125" customWidth="1"/>
    <col min="7948" max="7948" width="13.7265625" customWidth="1"/>
    <col min="7949" max="7949" width="13.26953125" customWidth="1"/>
    <col min="8197" max="8197" width="4.7265625" customWidth="1"/>
    <col min="8199" max="8199" width="7.7265625" customWidth="1"/>
    <col min="8201" max="8201" width="9.81640625" customWidth="1"/>
    <col min="8202" max="8202" width="11.1796875" customWidth="1"/>
    <col min="8203" max="8203" width="10.26953125" customWidth="1"/>
    <col min="8204" max="8204" width="13.7265625" customWidth="1"/>
    <col min="8205" max="8205" width="13.26953125" customWidth="1"/>
    <col min="8453" max="8453" width="4.7265625" customWidth="1"/>
    <col min="8455" max="8455" width="7.7265625" customWidth="1"/>
    <col min="8457" max="8457" width="9.81640625" customWidth="1"/>
    <col min="8458" max="8458" width="11.1796875" customWidth="1"/>
    <col min="8459" max="8459" width="10.26953125" customWidth="1"/>
    <col min="8460" max="8460" width="13.7265625" customWidth="1"/>
    <col min="8461" max="8461" width="13.26953125" customWidth="1"/>
    <col min="8709" max="8709" width="4.7265625" customWidth="1"/>
    <col min="8711" max="8711" width="7.7265625" customWidth="1"/>
    <col min="8713" max="8713" width="9.81640625" customWidth="1"/>
    <col min="8714" max="8714" width="11.1796875" customWidth="1"/>
    <col min="8715" max="8715" width="10.26953125" customWidth="1"/>
    <col min="8716" max="8716" width="13.7265625" customWidth="1"/>
    <col min="8717" max="8717" width="13.26953125" customWidth="1"/>
    <col min="8965" max="8965" width="4.7265625" customWidth="1"/>
    <col min="8967" max="8967" width="7.7265625" customWidth="1"/>
    <col min="8969" max="8969" width="9.81640625" customWidth="1"/>
    <col min="8970" max="8970" width="11.1796875" customWidth="1"/>
    <col min="8971" max="8971" width="10.26953125" customWidth="1"/>
    <col min="8972" max="8972" width="13.7265625" customWidth="1"/>
    <col min="8973" max="8973" width="13.26953125" customWidth="1"/>
    <col min="9221" max="9221" width="4.7265625" customWidth="1"/>
    <col min="9223" max="9223" width="7.7265625" customWidth="1"/>
    <col min="9225" max="9225" width="9.81640625" customWidth="1"/>
    <col min="9226" max="9226" width="11.1796875" customWidth="1"/>
    <col min="9227" max="9227" width="10.26953125" customWidth="1"/>
    <col min="9228" max="9228" width="13.7265625" customWidth="1"/>
    <col min="9229" max="9229" width="13.26953125" customWidth="1"/>
    <col min="9477" max="9477" width="4.7265625" customWidth="1"/>
    <col min="9479" max="9479" width="7.7265625" customWidth="1"/>
    <col min="9481" max="9481" width="9.81640625" customWidth="1"/>
    <col min="9482" max="9482" width="11.1796875" customWidth="1"/>
    <col min="9483" max="9483" width="10.26953125" customWidth="1"/>
    <col min="9484" max="9484" width="13.7265625" customWidth="1"/>
    <col min="9485" max="9485" width="13.26953125" customWidth="1"/>
    <col min="9733" max="9733" width="4.7265625" customWidth="1"/>
    <col min="9735" max="9735" width="7.7265625" customWidth="1"/>
    <col min="9737" max="9737" width="9.81640625" customWidth="1"/>
    <col min="9738" max="9738" width="11.1796875" customWidth="1"/>
    <col min="9739" max="9739" width="10.26953125" customWidth="1"/>
    <col min="9740" max="9740" width="13.7265625" customWidth="1"/>
    <col min="9741" max="9741" width="13.26953125" customWidth="1"/>
    <col min="9989" max="9989" width="4.7265625" customWidth="1"/>
    <col min="9991" max="9991" width="7.7265625" customWidth="1"/>
    <col min="9993" max="9993" width="9.81640625" customWidth="1"/>
    <col min="9994" max="9994" width="11.1796875" customWidth="1"/>
    <col min="9995" max="9995" width="10.26953125" customWidth="1"/>
    <col min="9996" max="9996" width="13.7265625" customWidth="1"/>
    <col min="9997" max="9997" width="13.26953125" customWidth="1"/>
    <col min="10245" max="10245" width="4.7265625" customWidth="1"/>
    <col min="10247" max="10247" width="7.7265625" customWidth="1"/>
    <col min="10249" max="10249" width="9.81640625" customWidth="1"/>
    <col min="10250" max="10250" width="11.1796875" customWidth="1"/>
    <col min="10251" max="10251" width="10.26953125" customWidth="1"/>
    <col min="10252" max="10252" width="13.7265625" customWidth="1"/>
    <col min="10253" max="10253" width="13.26953125" customWidth="1"/>
    <col min="10501" max="10501" width="4.7265625" customWidth="1"/>
    <col min="10503" max="10503" width="7.7265625" customWidth="1"/>
    <col min="10505" max="10505" width="9.81640625" customWidth="1"/>
    <col min="10506" max="10506" width="11.1796875" customWidth="1"/>
    <col min="10507" max="10507" width="10.26953125" customWidth="1"/>
    <col min="10508" max="10508" width="13.7265625" customWidth="1"/>
    <col min="10509" max="10509" width="13.26953125" customWidth="1"/>
    <col min="10757" max="10757" width="4.7265625" customWidth="1"/>
    <col min="10759" max="10759" width="7.7265625" customWidth="1"/>
    <col min="10761" max="10761" width="9.81640625" customWidth="1"/>
    <col min="10762" max="10762" width="11.1796875" customWidth="1"/>
    <col min="10763" max="10763" width="10.26953125" customWidth="1"/>
    <col min="10764" max="10764" width="13.7265625" customWidth="1"/>
    <col min="10765" max="10765" width="13.26953125" customWidth="1"/>
    <col min="11013" max="11013" width="4.7265625" customWidth="1"/>
    <col min="11015" max="11015" width="7.7265625" customWidth="1"/>
    <col min="11017" max="11017" width="9.81640625" customWidth="1"/>
    <col min="11018" max="11018" width="11.1796875" customWidth="1"/>
    <col min="11019" max="11019" width="10.26953125" customWidth="1"/>
    <col min="11020" max="11020" width="13.7265625" customWidth="1"/>
    <col min="11021" max="11021" width="13.26953125" customWidth="1"/>
    <col min="11269" max="11269" width="4.7265625" customWidth="1"/>
    <col min="11271" max="11271" width="7.7265625" customWidth="1"/>
    <col min="11273" max="11273" width="9.81640625" customWidth="1"/>
    <col min="11274" max="11274" width="11.1796875" customWidth="1"/>
    <col min="11275" max="11275" width="10.26953125" customWidth="1"/>
    <col min="11276" max="11276" width="13.7265625" customWidth="1"/>
    <col min="11277" max="11277" width="13.26953125" customWidth="1"/>
    <col min="11525" max="11525" width="4.7265625" customWidth="1"/>
    <col min="11527" max="11527" width="7.7265625" customWidth="1"/>
    <col min="11529" max="11529" width="9.81640625" customWidth="1"/>
    <col min="11530" max="11530" width="11.1796875" customWidth="1"/>
    <col min="11531" max="11531" width="10.26953125" customWidth="1"/>
    <col min="11532" max="11532" width="13.7265625" customWidth="1"/>
    <col min="11533" max="11533" width="13.26953125" customWidth="1"/>
    <col min="11781" max="11781" width="4.7265625" customWidth="1"/>
    <col min="11783" max="11783" width="7.7265625" customWidth="1"/>
    <col min="11785" max="11785" width="9.81640625" customWidth="1"/>
    <col min="11786" max="11786" width="11.1796875" customWidth="1"/>
    <col min="11787" max="11787" width="10.26953125" customWidth="1"/>
    <col min="11788" max="11788" width="13.7265625" customWidth="1"/>
    <col min="11789" max="11789" width="13.26953125" customWidth="1"/>
    <col min="12037" max="12037" width="4.7265625" customWidth="1"/>
    <col min="12039" max="12039" width="7.7265625" customWidth="1"/>
    <col min="12041" max="12041" width="9.81640625" customWidth="1"/>
    <col min="12042" max="12042" width="11.1796875" customWidth="1"/>
    <col min="12043" max="12043" width="10.26953125" customWidth="1"/>
    <col min="12044" max="12044" width="13.7265625" customWidth="1"/>
    <col min="12045" max="12045" width="13.26953125" customWidth="1"/>
    <col min="12293" max="12293" width="4.7265625" customWidth="1"/>
    <col min="12295" max="12295" width="7.7265625" customWidth="1"/>
    <col min="12297" max="12297" width="9.81640625" customWidth="1"/>
    <col min="12298" max="12298" width="11.1796875" customWidth="1"/>
    <col min="12299" max="12299" width="10.26953125" customWidth="1"/>
    <col min="12300" max="12300" width="13.7265625" customWidth="1"/>
    <col min="12301" max="12301" width="13.26953125" customWidth="1"/>
    <col min="12549" max="12549" width="4.7265625" customWidth="1"/>
    <col min="12551" max="12551" width="7.7265625" customWidth="1"/>
    <col min="12553" max="12553" width="9.81640625" customWidth="1"/>
    <col min="12554" max="12554" width="11.1796875" customWidth="1"/>
    <col min="12555" max="12555" width="10.26953125" customWidth="1"/>
    <col min="12556" max="12556" width="13.7265625" customWidth="1"/>
    <col min="12557" max="12557" width="13.26953125" customWidth="1"/>
    <col min="12805" max="12805" width="4.7265625" customWidth="1"/>
    <col min="12807" max="12807" width="7.7265625" customWidth="1"/>
    <col min="12809" max="12809" width="9.81640625" customWidth="1"/>
    <col min="12810" max="12810" width="11.1796875" customWidth="1"/>
    <col min="12811" max="12811" width="10.26953125" customWidth="1"/>
    <col min="12812" max="12812" width="13.7265625" customWidth="1"/>
    <col min="12813" max="12813" width="13.26953125" customWidth="1"/>
    <col min="13061" max="13061" width="4.7265625" customWidth="1"/>
    <col min="13063" max="13063" width="7.7265625" customWidth="1"/>
    <col min="13065" max="13065" width="9.81640625" customWidth="1"/>
    <col min="13066" max="13066" width="11.1796875" customWidth="1"/>
    <col min="13067" max="13067" width="10.26953125" customWidth="1"/>
    <col min="13068" max="13068" width="13.7265625" customWidth="1"/>
    <col min="13069" max="13069" width="13.26953125" customWidth="1"/>
    <col min="13317" max="13317" width="4.7265625" customWidth="1"/>
    <col min="13319" max="13319" width="7.7265625" customWidth="1"/>
    <col min="13321" max="13321" width="9.81640625" customWidth="1"/>
    <col min="13322" max="13322" width="11.1796875" customWidth="1"/>
    <col min="13323" max="13323" width="10.26953125" customWidth="1"/>
    <col min="13324" max="13324" width="13.7265625" customWidth="1"/>
    <col min="13325" max="13325" width="13.26953125" customWidth="1"/>
    <col min="13573" max="13573" width="4.7265625" customWidth="1"/>
    <col min="13575" max="13575" width="7.7265625" customWidth="1"/>
    <col min="13577" max="13577" width="9.81640625" customWidth="1"/>
    <col min="13578" max="13578" width="11.1796875" customWidth="1"/>
    <col min="13579" max="13579" width="10.26953125" customWidth="1"/>
    <col min="13580" max="13580" width="13.7265625" customWidth="1"/>
    <col min="13581" max="13581" width="13.26953125" customWidth="1"/>
    <col min="13829" max="13829" width="4.7265625" customWidth="1"/>
    <col min="13831" max="13831" width="7.7265625" customWidth="1"/>
    <col min="13833" max="13833" width="9.81640625" customWidth="1"/>
    <col min="13834" max="13834" width="11.1796875" customWidth="1"/>
    <col min="13835" max="13835" width="10.26953125" customWidth="1"/>
    <col min="13836" max="13836" width="13.7265625" customWidth="1"/>
    <col min="13837" max="13837" width="13.26953125" customWidth="1"/>
    <col min="14085" max="14085" width="4.7265625" customWidth="1"/>
    <col min="14087" max="14087" width="7.7265625" customWidth="1"/>
    <col min="14089" max="14089" width="9.81640625" customWidth="1"/>
    <col min="14090" max="14090" width="11.1796875" customWidth="1"/>
    <col min="14091" max="14091" width="10.26953125" customWidth="1"/>
    <col min="14092" max="14092" width="13.7265625" customWidth="1"/>
    <col min="14093" max="14093" width="13.26953125" customWidth="1"/>
    <col min="14341" max="14341" width="4.7265625" customWidth="1"/>
    <col min="14343" max="14343" width="7.7265625" customWidth="1"/>
    <col min="14345" max="14345" width="9.81640625" customWidth="1"/>
    <col min="14346" max="14346" width="11.1796875" customWidth="1"/>
    <col min="14347" max="14347" width="10.26953125" customWidth="1"/>
    <col min="14348" max="14348" width="13.7265625" customWidth="1"/>
    <col min="14349" max="14349" width="13.26953125" customWidth="1"/>
    <col min="14597" max="14597" width="4.7265625" customWidth="1"/>
    <col min="14599" max="14599" width="7.7265625" customWidth="1"/>
    <col min="14601" max="14601" width="9.81640625" customWidth="1"/>
    <col min="14602" max="14602" width="11.1796875" customWidth="1"/>
    <col min="14603" max="14603" width="10.26953125" customWidth="1"/>
    <col min="14604" max="14604" width="13.7265625" customWidth="1"/>
    <col min="14605" max="14605" width="13.26953125" customWidth="1"/>
    <col min="14853" max="14853" width="4.7265625" customWidth="1"/>
    <col min="14855" max="14855" width="7.7265625" customWidth="1"/>
    <col min="14857" max="14857" width="9.81640625" customWidth="1"/>
    <col min="14858" max="14858" width="11.1796875" customWidth="1"/>
    <col min="14859" max="14859" width="10.26953125" customWidth="1"/>
    <col min="14860" max="14860" width="13.7265625" customWidth="1"/>
    <col min="14861" max="14861" width="13.26953125" customWidth="1"/>
    <col min="15109" max="15109" width="4.7265625" customWidth="1"/>
    <col min="15111" max="15111" width="7.7265625" customWidth="1"/>
    <col min="15113" max="15113" width="9.81640625" customWidth="1"/>
    <col min="15114" max="15114" width="11.1796875" customWidth="1"/>
    <col min="15115" max="15115" width="10.26953125" customWidth="1"/>
    <col min="15116" max="15116" width="13.7265625" customWidth="1"/>
    <col min="15117" max="15117" width="13.26953125" customWidth="1"/>
    <col min="15365" max="15365" width="4.7265625" customWidth="1"/>
    <col min="15367" max="15367" width="7.7265625" customWidth="1"/>
    <col min="15369" max="15369" width="9.81640625" customWidth="1"/>
    <col min="15370" max="15370" width="11.1796875" customWidth="1"/>
    <col min="15371" max="15371" width="10.26953125" customWidth="1"/>
    <col min="15372" max="15372" width="13.7265625" customWidth="1"/>
    <col min="15373" max="15373" width="13.26953125" customWidth="1"/>
    <col min="15621" max="15621" width="4.7265625" customWidth="1"/>
    <col min="15623" max="15623" width="7.7265625" customWidth="1"/>
    <col min="15625" max="15625" width="9.81640625" customWidth="1"/>
    <col min="15626" max="15626" width="11.1796875" customWidth="1"/>
    <col min="15627" max="15627" width="10.26953125" customWidth="1"/>
    <col min="15628" max="15628" width="13.7265625" customWidth="1"/>
    <col min="15629" max="15629" width="13.26953125" customWidth="1"/>
    <col min="15877" max="15877" width="4.7265625" customWidth="1"/>
    <col min="15879" max="15879" width="7.7265625" customWidth="1"/>
    <col min="15881" max="15881" width="9.81640625" customWidth="1"/>
    <col min="15882" max="15882" width="11.1796875" customWidth="1"/>
    <col min="15883" max="15883" width="10.26953125" customWidth="1"/>
    <col min="15884" max="15884" width="13.7265625" customWidth="1"/>
    <col min="15885" max="15885" width="13.26953125" customWidth="1"/>
    <col min="16133" max="16133" width="4.7265625" customWidth="1"/>
    <col min="16135" max="16135" width="7.7265625" customWidth="1"/>
    <col min="16137" max="16137" width="9.81640625" customWidth="1"/>
    <col min="16138" max="16138" width="11.1796875" customWidth="1"/>
    <col min="16139" max="16139" width="10.26953125" customWidth="1"/>
    <col min="16140" max="16140" width="13.7265625" customWidth="1"/>
    <col min="16141" max="16141" width="13.26953125" customWidth="1"/>
  </cols>
  <sheetData>
    <row r="1" spans="1:18" ht="20" x14ac:dyDescent="0.4">
      <c r="B1" s="1" t="s">
        <v>0</v>
      </c>
      <c r="C1" s="1"/>
    </row>
    <row r="2" spans="1:18" ht="13.5" customHeight="1" x14ac:dyDescent="0.4">
      <c r="B2" s="423" t="s">
        <v>676</v>
      </c>
      <c r="C2" s="1"/>
    </row>
    <row r="3" spans="1:18" x14ac:dyDescent="0.35">
      <c r="B3" t="s">
        <v>95</v>
      </c>
      <c r="D3" s="9">
        <v>5000</v>
      </c>
      <c r="E3" t="s">
        <v>96</v>
      </c>
      <c r="I3" t="s">
        <v>432</v>
      </c>
    </row>
    <row r="5" spans="1:18" x14ac:dyDescent="0.35">
      <c r="B5" s="45" t="s">
        <v>84</v>
      </c>
      <c r="C5" s="55"/>
      <c r="D5" s="46"/>
      <c r="E5" s="47"/>
      <c r="F5" s="47"/>
      <c r="G5" s="47"/>
      <c r="H5" s="40"/>
      <c r="I5" s="48"/>
    </row>
    <row r="6" spans="1:18" ht="39" x14ac:dyDescent="0.35">
      <c r="B6" s="49"/>
      <c r="C6" s="56" t="s">
        <v>94</v>
      </c>
      <c r="D6" s="50" t="s">
        <v>51</v>
      </c>
      <c r="E6" s="50" t="s">
        <v>52</v>
      </c>
      <c r="F6" s="50" t="s">
        <v>85</v>
      </c>
      <c r="G6" s="50" t="s">
        <v>80</v>
      </c>
      <c r="H6" s="39"/>
      <c r="I6" s="50" t="s">
        <v>79</v>
      </c>
    </row>
    <row r="7" spans="1:18" hidden="1" x14ac:dyDescent="0.35">
      <c r="B7" s="41" t="s">
        <v>83</v>
      </c>
      <c r="C7" s="54">
        <v>25</v>
      </c>
      <c r="D7" s="31" t="s">
        <v>61</v>
      </c>
      <c r="E7" s="43">
        <v>6476</v>
      </c>
      <c r="F7" s="43">
        <v>-80</v>
      </c>
      <c r="G7" s="44">
        <v>-1.2200000000000001E-2</v>
      </c>
      <c r="H7" s="40"/>
      <c r="I7" s="42" t="s">
        <v>446</v>
      </c>
    </row>
    <row r="8" spans="1:18" x14ac:dyDescent="0.35">
      <c r="B8" s="41" t="s">
        <v>81</v>
      </c>
      <c r="C8" s="54">
        <v>25000</v>
      </c>
      <c r="D8" s="31" t="s">
        <v>82</v>
      </c>
      <c r="E8" s="361">
        <v>3.4725000000000001</v>
      </c>
      <c r="F8" s="361">
        <v>9.7500000000000003E-2</v>
      </c>
      <c r="G8" s="44">
        <f>F8/E8</f>
        <v>2.8077753779697623E-2</v>
      </c>
      <c r="H8" s="40"/>
      <c r="I8" s="42" t="s">
        <v>613</v>
      </c>
    </row>
    <row r="9" spans="1:18" x14ac:dyDescent="0.35">
      <c r="B9" s="41" t="s">
        <v>69</v>
      </c>
      <c r="C9" s="54">
        <v>100</v>
      </c>
      <c r="D9" s="31" t="s">
        <v>70</v>
      </c>
      <c r="E9" s="43">
        <v>1649.7</v>
      </c>
      <c r="F9" s="361">
        <v>9</v>
      </c>
      <c r="G9" s="44">
        <f>F9/E9</f>
        <v>5.455537370430987E-3</v>
      </c>
      <c r="H9" s="40"/>
      <c r="I9" s="42" t="s">
        <v>613</v>
      </c>
    </row>
    <row r="10" spans="1:18" x14ac:dyDescent="0.35">
      <c r="B10" s="69" t="s">
        <v>71</v>
      </c>
      <c r="C10" s="70">
        <v>5000</v>
      </c>
      <c r="D10" s="71" t="s">
        <v>70</v>
      </c>
      <c r="E10" s="362">
        <v>19.672999999999998</v>
      </c>
      <c r="F10" s="363">
        <v>0.54800000000000004</v>
      </c>
      <c r="G10" s="72">
        <f>F10/E10</f>
        <v>2.7855436384893004E-2</v>
      </c>
      <c r="H10" s="40"/>
      <c r="I10" s="73" t="s">
        <v>614</v>
      </c>
    </row>
    <row r="12" spans="1:18" x14ac:dyDescent="0.35">
      <c r="B12" s="2" t="s">
        <v>88</v>
      </c>
      <c r="C12" s="2"/>
      <c r="E12" t="s">
        <v>95</v>
      </c>
      <c r="G12" s="9">
        <v>5000</v>
      </c>
      <c r="H12" t="s">
        <v>96</v>
      </c>
    </row>
    <row r="13" spans="1:18" ht="41.4" customHeight="1" thickBot="1" x14ac:dyDescent="0.4">
      <c r="A13" s="3"/>
      <c r="B13" s="57" t="s">
        <v>1</v>
      </c>
      <c r="C13" s="57"/>
      <c r="D13" s="57"/>
      <c r="E13" s="57" t="s">
        <v>2</v>
      </c>
      <c r="F13" s="57" t="s">
        <v>3</v>
      </c>
      <c r="G13" s="57" t="s">
        <v>97</v>
      </c>
      <c r="H13" s="58"/>
      <c r="I13" s="57" t="s">
        <v>102</v>
      </c>
      <c r="J13" s="57" t="s">
        <v>4</v>
      </c>
      <c r="K13" s="57" t="s">
        <v>628</v>
      </c>
      <c r="L13" s="57" t="s">
        <v>101</v>
      </c>
      <c r="M13" s="57" t="s">
        <v>629</v>
      </c>
      <c r="N13" s="57" t="s">
        <v>99</v>
      </c>
      <c r="O13" s="57" t="s">
        <v>100</v>
      </c>
      <c r="P13" s="3"/>
      <c r="Q13" s="3"/>
      <c r="R13" s="3"/>
    </row>
    <row r="14" spans="1:18" ht="15" thickTop="1" x14ac:dyDescent="0.35">
      <c r="B14" s="52" t="s">
        <v>615</v>
      </c>
      <c r="C14" s="52" t="s">
        <v>91</v>
      </c>
      <c r="D14" s="40" t="s">
        <v>5</v>
      </c>
      <c r="E14" s="364">
        <f>+E10</f>
        <v>19.672999999999998</v>
      </c>
      <c r="F14" s="4"/>
      <c r="I14" s="9">
        <f>-L14*0.1</f>
        <v>-9836.5</v>
      </c>
      <c r="J14" s="9">
        <f>+E14*5000*0.1</f>
        <v>9836.5</v>
      </c>
      <c r="K14" s="151">
        <f>+J14/L14</f>
        <v>0.10000000000000002</v>
      </c>
      <c r="L14" s="9">
        <f>+E14*C10</f>
        <v>98364.999999999985</v>
      </c>
      <c r="M14" s="9">
        <f>IF(K14&gt;0.1,0,L14*0.1-J14)</f>
        <v>0</v>
      </c>
    </row>
    <row r="15" spans="1:18" x14ac:dyDescent="0.35">
      <c r="B15" s="52" t="s">
        <v>616</v>
      </c>
      <c r="C15" s="52" t="s">
        <v>92</v>
      </c>
      <c r="D15" s="40"/>
      <c r="E15" s="364">
        <f>+E14+F15</f>
        <v>19.872999999999998</v>
      </c>
      <c r="F15" s="4">
        <v>0.2</v>
      </c>
      <c r="G15" s="6">
        <f>+F15*$D$3</f>
        <v>1000</v>
      </c>
      <c r="H15" s="26" t="s">
        <v>6</v>
      </c>
      <c r="I15" s="6"/>
      <c r="J15" s="14">
        <f t="shared" ref="J15:J23" si="0">+J14+G15</f>
        <v>10836.5</v>
      </c>
      <c r="K15" s="151">
        <f t="shared" ref="K15:K26" si="1">+J15/L15</f>
        <v>0.11016621765872009</v>
      </c>
      <c r="L15" s="9">
        <f>+L14</f>
        <v>98364.999999999985</v>
      </c>
      <c r="M15" s="9">
        <f t="shared" ref="M15:M26" si="2">IF(K15&gt;0.1,0,L15*0.1-J15)</f>
        <v>0</v>
      </c>
    </row>
    <row r="16" spans="1:18" x14ac:dyDescent="0.35">
      <c r="B16" s="52" t="s">
        <v>617</v>
      </c>
      <c r="C16" s="52" t="s">
        <v>93</v>
      </c>
      <c r="D16" s="40"/>
      <c r="E16" s="364">
        <f t="shared" ref="E16:E23" si="3">+E15+F16</f>
        <v>19.972999999999999</v>
      </c>
      <c r="F16" s="4">
        <v>0.1</v>
      </c>
      <c r="G16" s="6">
        <f t="shared" ref="G16:G23" si="4">+F16*$D$3</f>
        <v>500</v>
      </c>
      <c r="H16" s="26" t="s">
        <v>6</v>
      </c>
      <c r="I16" s="6"/>
      <c r="J16" s="14">
        <f t="shared" si="0"/>
        <v>11336.5</v>
      </c>
      <c r="K16" s="151">
        <f t="shared" si="1"/>
        <v>0.11524932648808013</v>
      </c>
      <c r="L16" s="9">
        <f t="shared" ref="L16:L26" si="5">+L15</f>
        <v>98364.999999999985</v>
      </c>
      <c r="M16" s="9">
        <f t="shared" si="2"/>
        <v>0</v>
      </c>
    </row>
    <row r="17" spans="2:44" x14ac:dyDescent="0.35">
      <c r="B17" s="52" t="s">
        <v>618</v>
      </c>
      <c r="C17" s="52" t="s">
        <v>89</v>
      </c>
      <c r="D17" s="40"/>
      <c r="E17" s="364">
        <f t="shared" si="3"/>
        <v>19.672999999999998</v>
      </c>
      <c r="F17" s="4">
        <v>-0.30000000000000071</v>
      </c>
      <c r="G17" s="6">
        <f t="shared" si="4"/>
        <v>-1500.0000000000036</v>
      </c>
      <c r="H17" s="26" t="s">
        <v>7</v>
      </c>
      <c r="I17" s="6"/>
      <c r="J17" s="14">
        <f t="shared" si="0"/>
        <v>9836.4999999999964</v>
      </c>
      <c r="K17" s="151">
        <f t="shared" si="1"/>
        <v>9.9999999999999978E-2</v>
      </c>
      <c r="L17" s="9">
        <f t="shared" si="5"/>
        <v>98364.999999999985</v>
      </c>
      <c r="M17" s="9">
        <f t="shared" si="2"/>
        <v>3.637978807091713E-12</v>
      </c>
    </row>
    <row r="18" spans="2:44" x14ac:dyDescent="0.35">
      <c r="B18" s="52" t="s">
        <v>619</v>
      </c>
      <c r="C18" s="52" t="s">
        <v>90</v>
      </c>
      <c r="D18" s="40"/>
      <c r="E18" s="364">
        <f t="shared" si="3"/>
        <v>19.512999999999998</v>
      </c>
      <c r="F18" s="4">
        <v>-0.16</v>
      </c>
      <c r="G18" s="6">
        <f t="shared" si="4"/>
        <v>-800</v>
      </c>
      <c r="H18" s="26" t="s">
        <v>7</v>
      </c>
      <c r="I18" s="6"/>
      <c r="J18" s="14">
        <f t="shared" si="0"/>
        <v>9036.4999999999964</v>
      </c>
      <c r="K18" s="151">
        <f t="shared" si="1"/>
        <v>9.1867025873023922E-2</v>
      </c>
      <c r="L18" s="9">
        <f t="shared" si="5"/>
        <v>98364.999999999985</v>
      </c>
      <c r="M18" s="9">
        <f t="shared" si="2"/>
        <v>800.00000000000364</v>
      </c>
    </row>
    <row r="19" spans="2:44" x14ac:dyDescent="0.35">
      <c r="B19" s="52" t="s">
        <v>620</v>
      </c>
      <c r="C19" s="52" t="s">
        <v>91</v>
      </c>
      <c r="D19" s="40"/>
      <c r="E19" s="364">
        <f t="shared" si="3"/>
        <v>19.613</v>
      </c>
      <c r="F19" s="4">
        <v>9.9999999999999645E-2</v>
      </c>
      <c r="G19" s="6">
        <f t="shared" si="4"/>
        <v>499.99999999999824</v>
      </c>
      <c r="H19" s="26" t="s">
        <v>6</v>
      </c>
      <c r="I19" s="6"/>
      <c r="J19" s="14">
        <f t="shared" si="0"/>
        <v>9536.4999999999945</v>
      </c>
      <c r="K19" s="151">
        <f t="shared" si="1"/>
        <v>9.6950134702383936E-2</v>
      </c>
      <c r="L19" s="9">
        <f t="shared" si="5"/>
        <v>98364.999999999985</v>
      </c>
      <c r="M19" s="9">
        <f t="shared" si="2"/>
        <v>300.00000000000546</v>
      </c>
    </row>
    <row r="20" spans="2:44" x14ac:dyDescent="0.35">
      <c r="B20" s="52" t="s">
        <v>621</v>
      </c>
      <c r="C20" s="52" t="s">
        <v>92</v>
      </c>
      <c r="D20" s="40"/>
      <c r="E20" s="364">
        <f t="shared" si="3"/>
        <v>19.262999999999998</v>
      </c>
      <c r="F20" s="4">
        <v>-0.35</v>
      </c>
      <c r="G20" s="6">
        <f t="shared" si="4"/>
        <v>-1750</v>
      </c>
      <c r="H20" s="26" t="s">
        <v>7</v>
      </c>
      <c r="I20" s="6"/>
      <c r="J20" s="14">
        <f t="shared" si="0"/>
        <v>7786.4999999999945</v>
      </c>
      <c r="K20" s="151">
        <f t="shared" si="1"/>
        <v>7.915925379962381E-2</v>
      </c>
      <c r="L20" s="9">
        <f t="shared" si="5"/>
        <v>98364.999999999985</v>
      </c>
      <c r="M20" s="9">
        <f t="shared" si="2"/>
        <v>2050.0000000000055</v>
      </c>
    </row>
    <row r="21" spans="2:44" x14ac:dyDescent="0.35">
      <c r="B21" s="52" t="s">
        <v>622</v>
      </c>
      <c r="C21" s="52" t="s">
        <v>93</v>
      </c>
      <c r="D21" s="40"/>
      <c r="E21" s="364">
        <f t="shared" si="3"/>
        <v>19.402999999999999</v>
      </c>
      <c r="F21" s="4">
        <v>0.14000000000000001</v>
      </c>
      <c r="G21" s="6">
        <f t="shared" si="4"/>
        <v>700.00000000000011</v>
      </c>
      <c r="H21" s="26" t="s">
        <v>6</v>
      </c>
      <c r="I21" s="6"/>
      <c r="J21" s="14">
        <f t="shared" si="0"/>
        <v>8486.4999999999945</v>
      </c>
      <c r="K21" s="151">
        <f t="shared" si="1"/>
        <v>8.6275606160727852E-2</v>
      </c>
      <c r="L21" s="9">
        <f t="shared" si="5"/>
        <v>98364.999999999985</v>
      </c>
      <c r="M21" s="9">
        <f t="shared" si="2"/>
        <v>1350.0000000000055</v>
      </c>
    </row>
    <row r="22" spans="2:44" x14ac:dyDescent="0.35">
      <c r="B22" s="52" t="s">
        <v>623</v>
      </c>
      <c r="C22" s="52" t="s">
        <v>89</v>
      </c>
      <c r="D22" s="40"/>
      <c r="E22" s="364">
        <f t="shared" si="3"/>
        <v>19.652999999999999</v>
      </c>
      <c r="F22" s="4">
        <v>0.25</v>
      </c>
      <c r="G22" s="6">
        <f t="shared" si="4"/>
        <v>1250</v>
      </c>
      <c r="H22" s="26" t="s">
        <v>6</v>
      </c>
      <c r="I22" s="6"/>
      <c r="J22" s="14">
        <f t="shared" si="0"/>
        <v>9736.4999999999945</v>
      </c>
      <c r="K22" s="151">
        <f t="shared" si="1"/>
        <v>9.898337823412795E-2</v>
      </c>
      <c r="L22" s="9">
        <f t="shared" si="5"/>
        <v>98364.999999999985</v>
      </c>
      <c r="M22" s="9">
        <f t="shared" si="2"/>
        <v>100.00000000000546</v>
      </c>
    </row>
    <row r="23" spans="2:44" x14ac:dyDescent="0.35">
      <c r="B23" s="52" t="s">
        <v>624</v>
      </c>
      <c r="C23" s="52" t="s">
        <v>90</v>
      </c>
      <c r="D23" s="40"/>
      <c r="E23" s="364">
        <f t="shared" si="3"/>
        <v>20.003</v>
      </c>
      <c r="F23" s="4">
        <v>0.35</v>
      </c>
      <c r="G23" s="6">
        <f t="shared" si="4"/>
        <v>1750</v>
      </c>
      <c r="H23" s="26" t="s">
        <v>6</v>
      </c>
      <c r="I23" s="6"/>
      <c r="J23" s="14">
        <f t="shared" si="0"/>
        <v>11486.499999999995</v>
      </c>
      <c r="K23" s="151">
        <f t="shared" si="1"/>
        <v>0.11677425913688809</v>
      </c>
      <c r="L23" s="9">
        <f t="shared" si="5"/>
        <v>98364.999999999985</v>
      </c>
      <c r="M23" s="9">
        <f t="shared" si="2"/>
        <v>0</v>
      </c>
    </row>
    <row r="24" spans="2:44" x14ac:dyDescent="0.35">
      <c r="B24" s="52" t="s">
        <v>625</v>
      </c>
      <c r="C24" s="52" t="s">
        <v>91</v>
      </c>
      <c r="D24" s="40"/>
      <c r="E24" s="364">
        <f t="shared" ref="E24:E25" si="6">+E23+F24</f>
        <v>19.902999999999999</v>
      </c>
      <c r="F24" s="4">
        <v>-0.1</v>
      </c>
      <c r="G24" s="6">
        <f t="shared" ref="G24:G25" si="7">+F24*$D$3</f>
        <v>-500</v>
      </c>
      <c r="H24" s="26" t="s">
        <v>6</v>
      </c>
      <c r="I24" s="6"/>
      <c r="J24" s="14">
        <f t="shared" ref="J24:J25" si="8">+J23+G24</f>
        <v>10986.499999999995</v>
      </c>
      <c r="K24" s="151">
        <f t="shared" si="1"/>
        <v>0.11169115030752805</v>
      </c>
      <c r="L24" s="9">
        <f t="shared" si="5"/>
        <v>98364.999999999985</v>
      </c>
      <c r="M24" s="9">
        <f t="shared" si="2"/>
        <v>0</v>
      </c>
    </row>
    <row r="25" spans="2:44" x14ac:dyDescent="0.35">
      <c r="B25" s="52" t="s">
        <v>626</v>
      </c>
      <c r="C25" s="52" t="s">
        <v>92</v>
      </c>
      <c r="D25" s="40"/>
      <c r="E25" s="364">
        <f t="shared" si="6"/>
        <v>20.352999999999998</v>
      </c>
      <c r="F25" s="4">
        <v>0.45</v>
      </c>
      <c r="G25" s="6">
        <f t="shared" si="7"/>
        <v>2250</v>
      </c>
      <c r="H25" s="26" t="s">
        <v>6</v>
      </c>
      <c r="I25" s="6"/>
      <c r="J25" s="14">
        <f t="shared" si="8"/>
        <v>13236.499999999995</v>
      </c>
      <c r="K25" s="151">
        <f t="shared" si="1"/>
        <v>0.1345651400396482</v>
      </c>
      <c r="L25" s="9">
        <f t="shared" si="5"/>
        <v>98364.999999999985</v>
      </c>
      <c r="M25" s="9">
        <f t="shared" si="2"/>
        <v>0</v>
      </c>
    </row>
    <row r="26" spans="2:44" x14ac:dyDescent="0.35">
      <c r="B26" s="52" t="s">
        <v>627</v>
      </c>
      <c r="C26" s="52" t="s">
        <v>93</v>
      </c>
      <c r="D26" s="40" t="s">
        <v>8</v>
      </c>
      <c r="E26" s="364">
        <f t="shared" ref="E26" si="9">+E25+F26</f>
        <v>20.902999999999999</v>
      </c>
      <c r="F26" s="4">
        <v>0.55000000000000004</v>
      </c>
      <c r="G26" s="6">
        <f t="shared" ref="G26" si="10">+F26*$D$3</f>
        <v>2750</v>
      </c>
      <c r="H26" s="26" t="s">
        <v>6</v>
      </c>
      <c r="I26" s="6"/>
      <c r="J26" s="14">
        <f t="shared" ref="J26" si="11">+J25+G26</f>
        <v>15986.499999999995</v>
      </c>
      <c r="K26" s="151">
        <f t="shared" si="1"/>
        <v>0.16252223860112841</v>
      </c>
      <c r="L26" s="9">
        <f t="shared" si="5"/>
        <v>98364.999999999985</v>
      </c>
      <c r="M26" s="9">
        <f t="shared" si="2"/>
        <v>0</v>
      </c>
    </row>
    <row r="27" spans="2:44" ht="15" thickBot="1" x14ac:dyDescent="0.4">
      <c r="F27" s="7" t="s">
        <v>9</v>
      </c>
      <c r="G27" s="8">
        <f>SUM(G14:G23)</f>
        <v>1649.9999999999945</v>
      </c>
      <c r="N27" s="60">
        <f>+G27</f>
        <v>1649.9999999999945</v>
      </c>
      <c r="O27" s="59">
        <f>+N27/-I14</f>
        <v>0.16774259136888064</v>
      </c>
    </row>
    <row r="28" spans="2:44" ht="15" thickTop="1" x14ac:dyDescent="0.35"/>
    <row r="29" spans="2:44" x14ac:dyDescent="0.35">
      <c r="G29" s="9"/>
      <c r="O29" s="7" t="s">
        <v>98</v>
      </c>
      <c r="AR29" t="s">
        <v>649</v>
      </c>
    </row>
    <row r="31" spans="2:44" x14ac:dyDescent="0.35">
      <c r="G31" s="9"/>
      <c r="AR31">
        <v>1000000</v>
      </c>
    </row>
    <row r="32" spans="2:44" x14ac:dyDescent="0.35">
      <c r="AR32">
        <v>42000</v>
      </c>
    </row>
    <row r="33" spans="43:46" x14ac:dyDescent="0.35">
      <c r="AR33">
        <f>+AR31/AR32</f>
        <v>23.80952380952381</v>
      </c>
    </row>
    <row r="36" spans="43:46" x14ac:dyDescent="0.35">
      <c r="AQ36" t="s">
        <v>650</v>
      </c>
      <c r="AR36">
        <v>0.03</v>
      </c>
    </row>
    <row r="37" spans="43:46" x14ac:dyDescent="0.35">
      <c r="AQ37" t="s">
        <v>651</v>
      </c>
      <c r="AR37">
        <v>0.04</v>
      </c>
      <c r="AT37" t="s">
        <v>653</v>
      </c>
    </row>
    <row r="38" spans="43:46" x14ac:dyDescent="0.35">
      <c r="AQ38" t="s">
        <v>652</v>
      </c>
      <c r="AR38">
        <v>0.8</v>
      </c>
    </row>
    <row r="39" spans="43:46" x14ac:dyDescent="0.35">
      <c r="AT39" s="150">
        <f>AR36/AR37*AR38</f>
        <v>0.60000000000000009</v>
      </c>
    </row>
    <row r="40" spans="43:46" x14ac:dyDescent="0.35">
      <c r="AT40">
        <f>+AT39*AR33</f>
        <v>14.285714285714288</v>
      </c>
    </row>
  </sheetData>
  <phoneticPr fontId="29" type="noConversion"/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3E03A1-F36E-4A2F-9103-9EDF5BD3FF77}">
  <dimension ref="B1:J26"/>
  <sheetViews>
    <sheetView showGridLines="0" topLeftCell="A9" workbookViewId="0">
      <selection activeCell="B20" sqref="B20"/>
    </sheetView>
  </sheetViews>
  <sheetFormatPr defaultRowHeight="14.5" x14ac:dyDescent="0.35"/>
  <cols>
    <col min="1" max="1" width="3.26953125" customWidth="1"/>
    <col min="2" max="2" width="35.1796875" customWidth="1"/>
    <col min="3" max="3" width="12" customWidth="1"/>
    <col min="4" max="4" width="10.90625" customWidth="1"/>
    <col min="5" max="7" width="11.90625" customWidth="1"/>
    <col min="8" max="8" width="8.90625" style="27" customWidth="1"/>
    <col min="9" max="9" width="13.1796875" style="27" customWidth="1"/>
    <col min="10" max="10" width="8.90625" style="27"/>
  </cols>
  <sheetData>
    <row r="1" spans="2:8" ht="20" x14ac:dyDescent="0.4">
      <c r="B1" s="1" t="s">
        <v>0</v>
      </c>
    </row>
    <row r="2" spans="2:8" s="26" customFormat="1" ht="13.5" customHeight="1" x14ac:dyDescent="0.4">
      <c r="B2" s="424" t="s">
        <v>677</v>
      </c>
      <c r="C2" s="424"/>
      <c r="D2" s="425"/>
    </row>
    <row r="4" spans="2:8" x14ac:dyDescent="0.35">
      <c r="B4" s="45" t="s">
        <v>114</v>
      </c>
      <c r="C4" s="79"/>
      <c r="D4" s="46"/>
      <c r="E4" s="47"/>
      <c r="F4" s="47"/>
      <c r="G4" s="47"/>
      <c r="H4" s="47"/>
    </row>
    <row r="5" spans="2:8" ht="26" x14ac:dyDescent="0.35">
      <c r="B5" s="49"/>
      <c r="C5" s="56" t="s">
        <v>94</v>
      </c>
      <c r="D5" s="50" t="s">
        <v>51</v>
      </c>
      <c r="E5" s="50" t="s">
        <v>52</v>
      </c>
      <c r="F5" s="50" t="s">
        <v>85</v>
      </c>
      <c r="G5" s="50" t="s">
        <v>80</v>
      </c>
      <c r="H5" s="50" t="s">
        <v>457</v>
      </c>
    </row>
    <row r="6" spans="2:8" x14ac:dyDescent="0.35">
      <c r="B6" s="41" t="s">
        <v>116</v>
      </c>
      <c r="C6" s="77" t="s">
        <v>120</v>
      </c>
      <c r="D6" s="31" t="s">
        <v>123</v>
      </c>
      <c r="E6" s="64">
        <v>0.67859999999999998</v>
      </c>
      <c r="F6" s="98">
        <v>0</v>
      </c>
      <c r="G6" s="95">
        <f>+F6/E6</f>
        <v>0</v>
      </c>
      <c r="H6" s="95" t="s">
        <v>613</v>
      </c>
    </row>
    <row r="7" spans="2:8" x14ac:dyDescent="0.35">
      <c r="B7" s="41" t="s">
        <v>117</v>
      </c>
      <c r="C7" s="77">
        <v>100000</v>
      </c>
      <c r="D7" s="31" t="s">
        <v>119</v>
      </c>
      <c r="E7" s="64">
        <v>0.73450000000000004</v>
      </c>
      <c r="F7" s="98">
        <v>1E-3</v>
      </c>
      <c r="G7" s="96">
        <f>+F7/E7</f>
        <v>1.3614703880190605E-3</v>
      </c>
      <c r="H7" s="95" t="s">
        <v>630</v>
      </c>
    </row>
    <row r="8" spans="2:8" x14ac:dyDescent="0.35">
      <c r="B8" s="69" t="s">
        <v>118</v>
      </c>
      <c r="C8" s="81" t="s">
        <v>121</v>
      </c>
      <c r="D8" s="82" t="s">
        <v>122</v>
      </c>
      <c r="E8" s="83">
        <v>0.99180000000000001</v>
      </c>
      <c r="F8" s="99">
        <v>1.0999999999999999E-2</v>
      </c>
      <c r="G8" s="97">
        <f>+F8/E8</f>
        <v>1.1090945755192578E-2</v>
      </c>
      <c r="H8" s="97" t="s">
        <v>631</v>
      </c>
    </row>
    <row r="9" spans="2:8" ht="9" customHeight="1" x14ac:dyDescent="0.35"/>
    <row r="10" spans="2:8" x14ac:dyDescent="0.35">
      <c r="B10" t="s">
        <v>133</v>
      </c>
      <c r="C10" s="93">
        <v>1000000</v>
      </c>
    </row>
    <row r="11" spans="2:8" x14ac:dyDescent="0.35">
      <c r="B11" t="s">
        <v>132</v>
      </c>
      <c r="C11" s="94">
        <f>+E8</f>
        <v>0.99180000000000001</v>
      </c>
    </row>
    <row r="12" spans="2:8" x14ac:dyDescent="0.35">
      <c r="B12" t="s">
        <v>679</v>
      </c>
      <c r="C12" s="109">
        <v>1</v>
      </c>
    </row>
    <row r="13" spans="2:8" x14ac:dyDescent="0.35">
      <c r="B13" t="s">
        <v>678</v>
      </c>
      <c r="C13" s="9">
        <f>C10/C8*C12</f>
        <v>8</v>
      </c>
      <c r="D13" t="s">
        <v>131</v>
      </c>
    </row>
    <row r="14" spans="2:8" x14ac:dyDescent="0.35">
      <c r="C14" s="93"/>
    </row>
    <row r="15" spans="2:8" ht="8.5" customHeight="1" x14ac:dyDescent="0.35"/>
    <row r="16" spans="2:8" ht="29.75" customHeight="1" x14ac:dyDescent="0.35">
      <c r="B16" s="92" t="s">
        <v>45</v>
      </c>
      <c r="C16" s="90"/>
      <c r="D16" s="91" t="s">
        <v>131</v>
      </c>
      <c r="E16" s="440" t="s">
        <v>134</v>
      </c>
      <c r="F16" s="441"/>
      <c r="G16" s="441"/>
    </row>
    <row r="17" spans="2:7" x14ac:dyDescent="0.35">
      <c r="B17" t="s">
        <v>136</v>
      </c>
      <c r="E17" s="86">
        <v>0.1</v>
      </c>
      <c r="F17" s="86">
        <v>0</v>
      </c>
      <c r="G17" s="84">
        <f>-E17</f>
        <v>-0.1</v>
      </c>
    </row>
    <row r="18" spans="2:7" ht="15" thickBot="1" x14ac:dyDescent="0.4">
      <c r="B18" t="s">
        <v>49</v>
      </c>
      <c r="E18" s="85">
        <f>+F18+E17</f>
        <v>1.0918000000000001</v>
      </c>
      <c r="F18" s="85">
        <f>+E8</f>
        <v>0.99180000000000001</v>
      </c>
      <c r="G18" s="85">
        <f>+F18+G17</f>
        <v>0.89180000000000004</v>
      </c>
    </row>
    <row r="19" spans="2:7" x14ac:dyDescent="0.35">
      <c r="B19" t="s">
        <v>690</v>
      </c>
      <c r="C19" s="27"/>
      <c r="D19" s="27"/>
      <c r="E19" s="87">
        <f>+E18*C10</f>
        <v>1091800</v>
      </c>
      <c r="F19" s="87">
        <f>+F18*C10</f>
        <v>991800</v>
      </c>
      <c r="G19" s="87">
        <f>+G18*C10</f>
        <v>891800</v>
      </c>
    </row>
    <row r="20" spans="2:7" x14ac:dyDescent="0.35">
      <c r="B20" s="10" t="s">
        <v>35</v>
      </c>
      <c r="D20" s="426">
        <f>C13</f>
        <v>8</v>
      </c>
      <c r="E20" s="87">
        <f>-E17*$C$10</f>
        <v>-100000</v>
      </c>
      <c r="F20" s="87">
        <f t="shared" ref="F20:G20" si="0">-F17*$C$10</f>
        <v>0</v>
      </c>
      <c r="G20" s="87">
        <f t="shared" si="0"/>
        <v>100000</v>
      </c>
    </row>
    <row r="21" spans="2:7" ht="15" thickBot="1" x14ac:dyDescent="0.4">
      <c r="B21" t="s">
        <v>135</v>
      </c>
      <c r="E21" s="88">
        <f>+E20+E19</f>
        <v>991800</v>
      </c>
      <c r="F21" s="88">
        <f t="shared" ref="F21:G21" si="1">+F20+F19</f>
        <v>991800</v>
      </c>
      <c r="G21" s="88">
        <f t="shared" si="1"/>
        <v>991800</v>
      </c>
    </row>
    <row r="22" spans="2:7" ht="15" thickTop="1" x14ac:dyDescent="0.35">
      <c r="E22" s="27"/>
      <c r="F22" s="27"/>
      <c r="G22" s="27"/>
    </row>
    <row r="23" spans="2:7" x14ac:dyDescent="0.35">
      <c r="E23" s="27"/>
      <c r="F23" s="27"/>
      <c r="G23" s="27"/>
    </row>
    <row r="24" spans="2:7" x14ac:dyDescent="0.35">
      <c r="E24" s="27"/>
      <c r="F24" s="24" t="s">
        <v>46</v>
      </c>
      <c r="G24" s="27"/>
    </row>
    <row r="25" spans="2:7" x14ac:dyDescent="0.35">
      <c r="D25" s="24"/>
    </row>
    <row r="26" spans="2:7" x14ac:dyDescent="0.35">
      <c r="G26" s="7" t="s">
        <v>137</v>
      </c>
    </row>
  </sheetData>
  <mergeCells count="1">
    <mergeCell ref="E16:G16"/>
  </mergeCells>
  <phoneticPr fontId="29" type="noConversion"/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207C82-04AB-4C25-978A-27741EF8FEB4}">
  <dimension ref="B1:AR22"/>
  <sheetViews>
    <sheetView showGridLines="0" workbookViewId="0">
      <selection activeCell="J15" sqref="J15"/>
    </sheetView>
  </sheetViews>
  <sheetFormatPr defaultRowHeight="14.5" x14ac:dyDescent="0.35"/>
  <cols>
    <col min="1" max="1" width="3.26953125" customWidth="1"/>
    <col min="2" max="2" width="29.26953125" customWidth="1"/>
    <col min="3" max="3" width="10.36328125" customWidth="1"/>
    <col min="4" max="4" width="10.26953125" customWidth="1"/>
    <col min="5" max="5" width="10" customWidth="1"/>
    <col min="6" max="6" width="10.54296875" customWidth="1"/>
    <col min="7" max="7" width="12.08984375" customWidth="1"/>
    <col min="8" max="8" width="3.36328125" style="26" customWidth="1"/>
    <col min="9" max="9" width="7.90625" customWidth="1"/>
    <col min="10" max="11" width="9.36328125" customWidth="1"/>
    <col min="12" max="13" width="8.54296875" customWidth="1"/>
    <col min="14" max="14" width="7.36328125" customWidth="1"/>
    <col min="15" max="15" width="7.81640625" customWidth="1"/>
    <col min="16" max="16" width="1.7265625" customWidth="1"/>
    <col min="44" max="44" width="9.81640625" bestFit="1" customWidth="1"/>
    <col min="261" max="261" width="4.7265625" customWidth="1"/>
    <col min="263" max="263" width="7.7265625" customWidth="1"/>
    <col min="265" max="265" width="9.81640625" customWidth="1"/>
    <col min="266" max="266" width="11.1796875" customWidth="1"/>
    <col min="267" max="267" width="10.26953125" customWidth="1"/>
    <col min="268" max="268" width="13.7265625" customWidth="1"/>
    <col min="269" max="269" width="13.26953125" customWidth="1"/>
    <col min="517" max="517" width="4.7265625" customWidth="1"/>
    <col min="519" max="519" width="7.7265625" customWidth="1"/>
    <col min="521" max="521" width="9.81640625" customWidth="1"/>
    <col min="522" max="522" width="11.1796875" customWidth="1"/>
    <col min="523" max="523" width="10.26953125" customWidth="1"/>
    <col min="524" max="524" width="13.7265625" customWidth="1"/>
    <col min="525" max="525" width="13.26953125" customWidth="1"/>
    <col min="773" max="773" width="4.7265625" customWidth="1"/>
    <col min="775" max="775" width="7.7265625" customWidth="1"/>
    <col min="777" max="777" width="9.81640625" customWidth="1"/>
    <col min="778" max="778" width="11.1796875" customWidth="1"/>
    <col min="779" max="779" width="10.26953125" customWidth="1"/>
    <col min="780" max="780" width="13.7265625" customWidth="1"/>
    <col min="781" max="781" width="13.26953125" customWidth="1"/>
    <col min="1029" max="1029" width="4.7265625" customWidth="1"/>
    <col min="1031" max="1031" width="7.7265625" customWidth="1"/>
    <col min="1033" max="1033" width="9.81640625" customWidth="1"/>
    <col min="1034" max="1034" width="11.1796875" customWidth="1"/>
    <col min="1035" max="1035" width="10.26953125" customWidth="1"/>
    <col min="1036" max="1036" width="13.7265625" customWidth="1"/>
    <col min="1037" max="1037" width="13.26953125" customWidth="1"/>
    <col min="1285" max="1285" width="4.7265625" customWidth="1"/>
    <col min="1287" max="1287" width="7.7265625" customWidth="1"/>
    <col min="1289" max="1289" width="9.81640625" customWidth="1"/>
    <col min="1290" max="1290" width="11.1796875" customWidth="1"/>
    <col min="1291" max="1291" width="10.26953125" customWidth="1"/>
    <col min="1292" max="1292" width="13.7265625" customWidth="1"/>
    <col min="1293" max="1293" width="13.26953125" customWidth="1"/>
    <col min="1541" max="1541" width="4.7265625" customWidth="1"/>
    <col min="1543" max="1543" width="7.7265625" customWidth="1"/>
    <col min="1545" max="1545" width="9.81640625" customWidth="1"/>
    <col min="1546" max="1546" width="11.1796875" customWidth="1"/>
    <col min="1547" max="1547" width="10.26953125" customWidth="1"/>
    <col min="1548" max="1548" width="13.7265625" customWidth="1"/>
    <col min="1549" max="1549" width="13.26953125" customWidth="1"/>
    <col min="1797" max="1797" width="4.7265625" customWidth="1"/>
    <col min="1799" max="1799" width="7.7265625" customWidth="1"/>
    <col min="1801" max="1801" width="9.81640625" customWidth="1"/>
    <col min="1802" max="1802" width="11.1796875" customWidth="1"/>
    <col min="1803" max="1803" width="10.26953125" customWidth="1"/>
    <col min="1804" max="1804" width="13.7265625" customWidth="1"/>
    <col min="1805" max="1805" width="13.26953125" customWidth="1"/>
    <col min="2053" max="2053" width="4.7265625" customWidth="1"/>
    <col min="2055" max="2055" width="7.7265625" customWidth="1"/>
    <col min="2057" max="2057" width="9.81640625" customWidth="1"/>
    <col min="2058" max="2058" width="11.1796875" customWidth="1"/>
    <col min="2059" max="2059" width="10.26953125" customWidth="1"/>
    <col min="2060" max="2060" width="13.7265625" customWidth="1"/>
    <col min="2061" max="2061" width="13.26953125" customWidth="1"/>
    <col min="2309" max="2309" width="4.7265625" customWidth="1"/>
    <col min="2311" max="2311" width="7.7265625" customWidth="1"/>
    <col min="2313" max="2313" width="9.81640625" customWidth="1"/>
    <col min="2314" max="2314" width="11.1796875" customWidth="1"/>
    <col min="2315" max="2315" width="10.26953125" customWidth="1"/>
    <col min="2316" max="2316" width="13.7265625" customWidth="1"/>
    <col min="2317" max="2317" width="13.26953125" customWidth="1"/>
    <col min="2565" max="2565" width="4.7265625" customWidth="1"/>
    <col min="2567" max="2567" width="7.7265625" customWidth="1"/>
    <col min="2569" max="2569" width="9.81640625" customWidth="1"/>
    <col min="2570" max="2570" width="11.1796875" customWidth="1"/>
    <col min="2571" max="2571" width="10.26953125" customWidth="1"/>
    <col min="2572" max="2572" width="13.7265625" customWidth="1"/>
    <col min="2573" max="2573" width="13.26953125" customWidth="1"/>
    <col min="2821" max="2821" width="4.7265625" customWidth="1"/>
    <col min="2823" max="2823" width="7.7265625" customWidth="1"/>
    <col min="2825" max="2825" width="9.81640625" customWidth="1"/>
    <col min="2826" max="2826" width="11.1796875" customWidth="1"/>
    <col min="2827" max="2827" width="10.26953125" customWidth="1"/>
    <col min="2828" max="2828" width="13.7265625" customWidth="1"/>
    <col min="2829" max="2829" width="13.26953125" customWidth="1"/>
    <col min="3077" max="3077" width="4.7265625" customWidth="1"/>
    <col min="3079" max="3079" width="7.7265625" customWidth="1"/>
    <col min="3081" max="3081" width="9.81640625" customWidth="1"/>
    <col min="3082" max="3082" width="11.1796875" customWidth="1"/>
    <col min="3083" max="3083" width="10.26953125" customWidth="1"/>
    <col min="3084" max="3084" width="13.7265625" customWidth="1"/>
    <col min="3085" max="3085" width="13.26953125" customWidth="1"/>
    <col min="3333" max="3333" width="4.7265625" customWidth="1"/>
    <col min="3335" max="3335" width="7.7265625" customWidth="1"/>
    <col min="3337" max="3337" width="9.81640625" customWidth="1"/>
    <col min="3338" max="3338" width="11.1796875" customWidth="1"/>
    <col min="3339" max="3339" width="10.26953125" customWidth="1"/>
    <col min="3340" max="3340" width="13.7265625" customWidth="1"/>
    <col min="3341" max="3341" width="13.26953125" customWidth="1"/>
    <col min="3589" max="3589" width="4.7265625" customWidth="1"/>
    <col min="3591" max="3591" width="7.7265625" customWidth="1"/>
    <col min="3593" max="3593" width="9.81640625" customWidth="1"/>
    <col min="3594" max="3594" width="11.1796875" customWidth="1"/>
    <col min="3595" max="3595" width="10.26953125" customWidth="1"/>
    <col min="3596" max="3596" width="13.7265625" customWidth="1"/>
    <col min="3597" max="3597" width="13.26953125" customWidth="1"/>
    <col min="3845" max="3845" width="4.7265625" customWidth="1"/>
    <col min="3847" max="3847" width="7.7265625" customWidth="1"/>
    <col min="3849" max="3849" width="9.81640625" customWidth="1"/>
    <col min="3850" max="3850" width="11.1796875" customWidth="1"/>
    <col min="3851" max="3851" width="10.26953125" customWidth="1"/>
    <col min="3852" max="3852" width="13.7265625" customWidth="1"/>
    <col min="3853" max="3853" width="13.26953125" customWidth="1"/>
    <col min="4101" max="4101" width="4.7265625" customWidth="1"/>
    <col min="4103" max="4103" width="7.7265625" customWidth="1"/>
    <col min="4105" max="4105" width="9.81640625" customWidth="1"/>
    <col min="4106" max="4106" width="11.1796875" customWidth="1"/>
    <col min="4107" max="4107" width="10.26953125" customWidth="1"/>
    <col min="4108" max="4108" width="13.7265625" customWidth="1"/>
    <col min="4109" max="4109" width="13.26953125" customWidth="1"/>
    <col min="4357" max="4357" width="4.7265625" customWidth="1"/>
    <col min="4359" max="4359" width="7.7265625" customWidth="1"/>
    <col min="4361" max="4361" width="9.81640625" customWidth="1"/>
    <col min="4362" max="4362" width="11.1796875" customWidth="1"/>
    <col min="4363" max="4363" width="10.26953125" customWidth="1"/>
    <col min="4364" max="4364" width="13.7265625" customWidth="1"/>
    <col min="4365" max="4365" width="13.26953125" customWidth="1"/>
    <col min="4613" max="4613" width="4.7265625" customWidth="1"/>
    <col min="4615" max="4615" width="7.7265625" customWidth="1"/>
    <col min="4617" max="4617" width="9.81640625" customWidth="1"/>
    <col min="4618" max="4618" width="11.1796875" customWidth="1"/>
    <col min="4619" max="4619" width="10.26953125" customWidth="1"/>
    <col min="4620" max="4620" width="13.7265625" customWidth="1"/>
    <col min="4621" max="4621" width="13.26953125" customWidth="1"/>
    <col min="4869" max="4869" width="4.7265625" customWidth="1"/>
    <col min="4871" max="4871" width="7.7265625" customWidth="1"/>
    <col min="4873" max="4873" width="9.81640625" customWidth="1"/>
    <col min="4874" max="4874" width="11.1796875" customWidth="1"/>
    <col min="4875" max="4875" width="10.26953125" customWidth="1"/>
    <col min="4876" max="4876" width="13.7265625" customWidth="1"/>
    <col min="4877" max="4877" width="13.26953125" customWidth="1"/>
    <col min="5125" max="5125" width="4.7265625" customWidth="1"/>
    <col min="5127" max="5127" width="7.7265625" customWidth="1"/>
    <col min="5129" max="5129" width="9.81640625" customWidth="1"/>
    <col min="5130" max="5130" width="11.1796875" customWidth="1"/>
    <col min="5131" max="5131" width="10.26953125" customWidth="1"/>
    <col min="5132" max="5132" width="13.7265625" customWidth="1"/>
    <col min="5133" max="5133" width="13.26953125" customWidth="1"/>
    <col min="5381" max="5381" width="4.7265625" customWidth="1"/>
    <col min="5383" max="5383" width="7.7265625" customWidth="1"/>
    <col min="5385" max="5385" width="9.81640625" customWidth="1"/>
    <col min="5386" max="5386" width="11.1796875" customWidth="1"/>
    <col min="5387" max="5387" width="10.26953125" customWidth="1"/>
    <col min="5388" max="5388" width="13.7265625" customWidth="1"/>
    <col min="5389" max="5389" width="13.26953125" customWidth="1"/>
    <col min="5637" max="5637" width="4.7265625" customWidth="1"/>
    <col min="5639" max="5639" width="7.7265625" customWidth="1"/>
    <col min="5641" max="5641" width="9.81640625" customWidth="1"/>
    <col min="5642" max="5642" width="11.1796875" customWidth="1"/>
    <col min="5643" max="5643" width="10.26953125" customWidth="1"/>
    <col min="5644" max="5644" width="13.7265625" customWidth="1"/>
    <col min="5645" max="5645" width="13.26953125" customWidth="1"/>
    <col min="5893" max="5893" width="4.7265625" customWidth="1"/>
    <col min="5895" max="5895" width="7.7265625" customWidth="1"/>
    <col min="5897" max="5897" width="9.81640625" customWidth="1"/>
    <col min="5898" max="5898" width="11.1796875" customWidth="1"/>
    <col min="5899" max="5899" width="10.26953125" customWidth="1"/>
    <col min="5900" max="5900" width="13.7265625" customWidth="1"/>
    <col min="5901" max="5901" width="13.26953125" customWidth="1"/>
    <col min="6149" max="6149" width="4.7265625" customWidth="1"/>
    <col min="6151" max="6151" width="7.7265625" customWidth="1"/>
    <col min="6153" max="6153" width="9.81640625" customWidth="1"/>
    <col min="6154" max="6154" width="11.1796875" customWidth="1"/>
    <col min="6155" max="6155" width="10.26953125" customWidth="1"/>
    <col min="6156" max="6156" width="13.7265625" customWidth="1"/>
    <col min="6157" max="6157" width="13.26953125" customWidth="1"/>
    <col min="6405" max="6405" width="4.7265625" customWidth="1"/>
    <col min="6407" max="6407" width="7.7265625" customWidth="1"/>
    <col min="6409" max="6409" width="9.81640625" customWidth="1"/>
    <col min="6410" max="6410" width="11.1796875" customWidth="1"/>
    <col min="6411" max="6411" width="10.26953125" customWidth="1"/>
    <col min="6412" max="6412" width="13.7265625" customWidth="1"/>
    <col min="6413" max="6413" width="13.26953125" customWidth="1"/>
    <col min="6661" max="6661" width="4.7265625" customWidth="1"/>
    <col min="6663" max="6663" width="7.7265625" customWidth="1"/>
    <col min="6665" max="6665" width="9.81640625" customWidth="1"/>
    <col min="6666" max="6666" width="11.1796875" customWidth="1"/>
    <col min="6667" max="6667" width="10.26953125" customWidth="1"/>
    <col min="6668" max="6668" width="13.7265625" customWidth="1"/>
    <col min="6669" max="6669" width="13.26953125" customWidth="1"/>
    <col min="6917" max="6917" width="4.7265625" customWidth="1"/>
    <col min="6919" max="6919" width="7.7265625" customWidth="1"/>
    <col min="6921" max="6921" width="9.81640625" customWidth="1"/>
    <col min="6922" max="6922" width="11.1796875" customWidth="1"/>
    <col min="6923" max="6923" width="10.26953125" customWidth="1"/>
    <col min="6924" max="6924" width="13.7265625" customWidth="1"/>
    <col min="6925" max="6925" width="13.26953125" customWidth="1"/>
    <col min="7173" max="7173" width="4.7265625" customWidth="1"/>
    <col min="7175" max="7175" width="7.7265625" customWidth="1"/>
    <col min="7177" max="7177" width="9.81640625" customWidth="1"/>
    <col min="7178" max="7178" width="11.1796875" customWidth="1"/>
    <col min="7179" max="7179" width="10.26953125" customWidth="1"/>
    <col min="7180" max="7180" width="13.7265625" customWidth="1"/>
    <col min="7181" max="7181" width="13.26953125" customWidth="1"/>
    <col min="7429" max="7429" width="4.7265625" customWidth="1"/>
    <col min="7431" max="7431" width="7.7265625" customWidth="1"/>
    <col min="7433" max="7433" width="9.81640625" customWidth="1"/>
    <col min="7434" max="7434" width="11.1796875" customWidth="1"/>
    <col min="7435" max="7435" width="10.26953125" customWidth="1"/>
    <col min="7436" max="7436" width="13.7265625" customWidth="1"/>
    <col min="7437" max="7437" width="13.26953125" customWidth="1"/>
    <col min="7685" max="7685" width="4.7265625" customWidth="1"/>
    <col min="7687" max="7687" width="7.7265625" customWidth="1"/>
    <col min="7689" max="7689" width="9.81640625" customWidth="1"/>
    <col min="7690" max="7690" width="11.1796875" customWidth="1"/>
    <col min="7691" max="7691" width="10.26953125" customWidth="1"/>
    <col min="7692" max="7692" width="13.7265625" customWidth="1"/>
    <col min="7693" max="7693" width="13.26953125" customWidth="1"/>
    <col min="7941" max="7941" width="4.7265625" customWidth="1"/>
    <col min="7943" max="7943" width="7.7265625" customWidth="1"/>
    <col min="7945" max="7945" width="9.81640625" customWidth="1"/>
    <col min="7946" max="7946" width="11.1796875" customWidth="1"/>
    <col min="7947" max="7947" width="10.26953125" customWidth="1"/>
    <col min="7948" max="7948" width="13.7265625" customWidth="1"/>
    <col min="7949" max="7949" width="13.26953125" customWidth="1"/>
    <col min="8197" max="8197" width="4.7265625" customWidth="1"/>
    <col min="8199" max="8199" width="7.7265625" customWidth="1"/>
    <col min="8201" max="8201" width="9.81640625" customWidth="1"/>
    <col min="8202" max="8202" width="11.1796875" customWidth="1"/>
    <col min="8203" max="8203" width="10.26953125" customWidth="1"/>
    <col min="8204" max="8204" width="13.7265625" customWidth="1"/>
    <col min="8205" max="8205" width="13.26953125" customWidth="1"/>
    <col min="8453" max="8453" width="4.7265625" customWidth="1"/>
    <col min="8455" max="8455" width="7.7265625" customWidth="1"/>
    <col min="8457" max="8457" width="9.81640625" customWidth="1"/>
    <col min="8458" max="8458" width="11.1796875" customWidth="1"/>
    <col min="8459" max="8459" width="10.26953125" customWidth="1"/>
    <col min="8460" max="8460" width="13.7265625" customWidth="1"/>
    <col min="8461" max="8461" width="13.26953125" customWidth="1"/>
    <col min="8709" max="8709" width="4.7265625" customWidth="1"/>
    <col min="8711" max="8711" width="7.7265625" customWidth="1"/>
    <col min="8713" max="8713" width="9.81640625" customWidth="1"/>
    <col min="8714" max="8714" width="11.1796875" customWidth="1"/>
    <col min="8715" max="8715" width="10.26953125" customWidth="1"/>
    <col min="8716" max="8716" width="13.7265625" customWidth="1"/>
    <col min="8717" max="8717" width="13.26953125" customWidth="1"/>
    <col min="8965" max="8965" width="4.7265625" customWidth="1"/>
    <col min="8967" max="8967" width="7.7265625" customWidth="1"/>
    <col min="8969" max="8969" width="9.81640625" customWidth="1"/>
    <col min="8970" max="8970" width="11.1796875" customWidth="1"/>
    <col min="8971" max="8971" width="10.26953125" customWidth="1"/>
    <col min="8972" max="8972" width="13.7265625" customWidth="1"/>
    <col min="8973" max="8973" width="13.26953125" customWidth="1"/>
    <col min="9221" max="9221" width="4.7265625" customWidth="1"/>
    <col min="9223" max="9223" width="7.7265625" customWidth="1"/>
    <col min="9225" max="9225" width="9.81640625" customWidth="1"/>
    <col min="9226" max="9226" width="11.1796875" customWidth="1"/>
    <col min="9227" max="9227" width="10.26953125" customWidth="1"/>
    <col min="9228" max="9228" width="13.7265625" customWidth="1"/>
    <col min="9229" max="9229" width="13.26953125" customWidth="1"/>
    <col min="9477" max="9477" width="4.7265625" customWidth="1"/>
    <col min="9479" max="9479" width="7.7265625" customWidth="1"/>
    <col min="9481" max="9481" width="9.81640625" customWidth="1"/>
    <col min="9482" max="9482" width="11.1796875" customWidth="1"/>
    <col min="9483" max="9483" width="10.26953125" customWidth="1"/>
    <col min="9484" max="9484" width="13.7265625" customWidth="1"/>
    <col min="9485" max="9485" width="13.26953125" customWidth="1"/>
    <col min="9733" max="9733" width="4.7265625" customWidth="1"/>
    <col min="9735" max="9735" width="7.7265625" customWidth="1"/>
    <col min="9737" max="9737" width="9.81640625" customWidth="1"/>
    <col min="9738" max="9738" width="11.1796875" customWidth="1"/>
    <col min="9739" max="9739" width="10.26953125" customWidth="1"/>
    <col min="9740" max="9740" width="13.7265625" customWidth="1"/>
    <col min="9741" max="9741" width="13.26953125" customWidth="1"/>
    <col min="9989" max="9989" width="4.7265625" customWidth="1"/>
    <col min="9991" max="9991" width="7.7265625" customWidth="1"/>
    <col min="9993" max="9993" width="9.81640625" customWidth="1"/>
    <col min="9994" max="9994" width="11.1796875" customWidth="1"/>
    <col min="9995" max="9995" width="10.26953125" customWidth="1"/>
    <col min="9996" max="9996" width="13.7265625" customWidth="1"/>
    <col min="9997" max="9997" width="13.26953125" customWidth="1"/>
    <col min="10245" max="10245" width="4.7265625" customWidth="1"/>
    <col min="10247" max="10247" width="7.7265625" customWidth="1"/>
    <col min="10249" max="10249" width="9.81640625" customWidth="1"/>
    <col min="10250" max="10250" width="11.1796875" customWidth="1"/>
    <col min="10251" max="10251" width="10.26953125" customWidth="1"/>
    <col min="10252" max="10252" width="13.7265625" customWidth="1"/>
    <col min="10253" max="10253" width="13.26953125" customWidth="1"/>
    <col min="10501" max="10501" width="4.7265625" customWidth="1"/>
    <col min="10503" max="10503" width="7.7265625" customWidth="1"/>
    <col min="10505" max="10505" width="9.81640625" customWidth="1"/>
    <col min="10506" max="10506" width="11.1796875" customWidth="1"/>
    <col min="10507" max="10507" width="10.26953125" customWidth="1"/>
    <col min="10508" max="10508" width="13.7265625" customWidth="1"/>
    <col min="10509" max="10509" width="13.26953125" customWidth="1"/>
    <col min="10757" max="10757" width="4.7265625" customWidth="1"/>
    <col min="10759" max="10759" width="7.7265625" customWidth="1"/>
    <col min="10761" max="10761" width="9.81640625" customWidth="1"/>
    <col min="10762" max="10762" width="11.1796875" customWidth="1"/>
    <col min="10763" max="10763" width="10.26953125" customWidth="1"/>
    <col min="10764" max="10764" width="13.7265625" customWidth="1"/>
    <col min="10765" max="10765" width="13.26953125" customWidth="1"/>
    <col min="11013" max="11013" width="4.7265625" customWidth="1"/>
    <col min="11015" max="11015" width="7.7265625" customWidth="1"/>
    <col min="11017" max="11017" width="9.81640625" customWidth="1"/>
    <col min="11018" max="11018" width="11.1796875" customWidth="1"/>
    <col min="11019" max="11019" width="10.26953125" customWidth="1"/>
    <col min="11020" max="11020" width="13.7265625" customWidth="1"/>
    <col min="11021" max="11021" width="13.26953125" customWidth="1"/>
    <col min="11269" max="11269" width="4.7265625" customWidth="1"/>
    <col min="11271" max="11271" width="7.7265625" customWidth="1"/>
    <col min="11273" max="11273" width="9.81640625" customWidth="1"/>
    <col min="11274" max="11274" width="11.1796875" customWidth="1"/>
    <col min="11275" max="11275" width="10.26953125" customWidth="1"/>
    <col min="11276" max="11276" width="13.7265625" customWidth="1"/>
    <col min="11277" max="11277" width="13.26953125" customWidth="1"/>
    <col min="11525" max="11525" width="4.7265625" customWidth="1"/>
    <col min="11527" max="11527" width="7.7265625" customWidth="1"/>
    <col min="11529" max="11529" width="9.81640625" customWidth="1"/>
    <col min="11530" max="11530" width="11.1796875" customWidth="1"/>
    <col min="11531" max="11531" width="10.26953125" customWidth="1"/>
    <col min="11532" max="11532" width="13.7265625" customWidth="1"/>
    <col min="11533" max="11533" width="13.26953125" customWidth="1"/>
    <col min="11781" max="11781" width="4.7265625" customWidth="1"/>
    <col min="11783" max="11783" width="7.7265625" customWidth="1"/>
    <col min="11785" max="11785" width="9.81640625" customWidth="1"/>
    <col min="11786" max="11786" width="11.1796875" customWidth="1"/>
    <col min="11787" max="11787" width="10.26953125" customWidth="1"/>
    <col min="11788" max="11788" width="13.7265625" customWidth="1"/>
    <col min="11789" max="11789" width="13.26953125" customWidth="1"/>
    <col min="12037" max="12037" width="4.7265625" customWidth="1"/>
    <col min="12039" max="12039" width="7.7265625" customWidth="1"/>
    <col min="12041" max="12041" width="9.81640625" customWidth="1"/>
    <col min="12042" max="12042" width="11.1796875" customWidth="1"/>
    <col min="12043" max="12043" width="10.26953125" customWidth="1"/>
    <col min="12044" max="12044" width="13.7265625" customWidth="1"/>
    <col min="12045" max="12045" width="13.26953125" customWidth="1"/>
    <col min="12293" max="12293" width="4.7265625" customWidth="1"/>
    <col min="12295" max="12295" width="7.7265625" customWidth="1"/>
    <col min="12297" max="12297" width="9.81640625" customWidth="1"/>
    <col min="12298" max="12298" width="11.1796875" customWidth="1"/>
    <col min="12299" max="12299" width="10.26953125" customWidth="1"/>
    <col min="12300" max="12300" width="13.7265625" customWidth="1"/>
    <col min="12301" max="12301" width="13.26953125" customWidth="1"/>
    <col min="12549" max="12549" width="4.7265625" customWidth="1"/>
    <col min="12551" max="12551" width="7.7265625" customWidth="1"/>
    <col min="12553" max="12553" width="9.81640625" customWidth="1"/>
    <col min="12554" max="12554" width="11.1796875" customWidth="1"/>
    <col min="12555" max="12555" width="10.26953125" customWidth="1"/>
    <col min="12556" max="12556" width="13.7265625" customWidth="1"/>
    <col min="12557" max="12557" width="13.26953125" customWidth="1"/>
    <col min="12805" max="12805" width="4.7265625" customWidth="1"/>
    <col min="12807" max="12807" width="7.7265625" customWidth="1"/>
    <col min="12809" max="12809" width="9.81640625" customWidth="1"/>
    <col min="12810" max="12810" width="11.1796875" customWidth="1"/>
    <col min="12811" max="12811" width="10.26953125" customWidth="1"/>
    <col min="12812" max="12812" width="13.7265625" customWidth="1"/>
    <col min="12813" max="12813" width="13.26953125" customWidth="1"/>
    <col min="13061" max="13061" width="4.7265625" customWidth="1"/>
    <col min="13063" max="13063" width="7.7265625" customWidth="1"/>
    <col min="13065" max="13065" width="9.81640625" customWidth="1"/>
    <col min="13066" max="13066" width="11.1796875" customWidth="1"/>
    <col min="13067" max="13067" width="10.26953125" customWidth="1"/>
    <col min="13068" max="13068" width="13.7265625" customWidth="1"/>
    <col min="13069" max="13069" width="13.26953125" customWidth="1"/>
    <col min="13317" max="13317" width="4.7265625" customWidth="1"/>
    <col min="13319" max="13319" width="7.7265625" customWidth="1"/>
    <col min="13321" max="13321" width="9.81640625" customWidth="1"/>
    <col min="13322" max="13322" width="11.1796875" customWidth="1"/>
    <col min="13323" max="13323" width="10.26953125" customWidth="1"/>
    <col min="13324" max="13324" width="13.7265625" customWidth="1"/>
    <col min="13325" max="13325" width="13.26953125" customWidth="1"/>
    <col min="13573" max="13573" width="4.7265625" customWidth="1"/>
    <col min="13575" max="13575" width="7.7265625" customWidth="1"/>
    <col min="13577" max="13577" width="9.81640625" customWidth="1"/>
    <col min="13578" max="13578" width="11.1796875" customWidth="1"/>
    <col min="13579" max="13579" width="10.26953125" customWidth="1"/>
    <col min="13580" max="13580" width="13.7265625" customWidth="1"/>
    <col min="13581" max="13581" width="13.26953125" customWidth="1"/>
    <col min="13829" max="13829" width="4.7265625" customWidth="1"/>
    <col min="13831" max="13831" width="7.7265625" customWidth="1"/>
    <col min="13833" max="13833" width="9.81640625" customWidth="1"/>
    <col min="13834" max="13834" width="11.1796875" customWidth="1"/>
    <col min="13835" max="13835" width="10.26953125" customWidth="1"/>
    <col min="13836" max="13836" width="13.7265625" customWidth="1"/>
    <col min="13837" max="13837" width="13.26953125" customWidth="1"/>
    <col min="14085" max="14085" width="4.7265625" customWidth="1"/>
    <col min="14087" max="14087" width="7.7265625" customWidth="1"/>
    <col min="14089" max="14089" width="9.81640625" customWidth="1"/>
    <col min="14090" max="14090" width="11.1796875" customWidth="1"/>
    <col min="14091" max="14091" width="10.26953125" customWidth="1"/>
    <col min="14092" max="14092" width="13.7265625" customWidth="1"/>
    <col min="14093" max="14093" width="13.26953125" customWidth="1"/>
    <col min="14341" max="14341" width="4.7265625" customWidth="1"/>
    <col min="14343" max="14343" width="7.7265625" customWidth="1"/>
    <col min="14345" max="14345" width="9.81640625" customWidth="1"/>
    <col min="14346" max="14346" width="11.1796875" customWidth="1"/>
    <col min="14347" max="14347" width="10.26953125" customWidth="1"/>
    <col min="14348" max="14348" width="13.7265625" customWidth="1"/>
    <col min="14349" max="14349" width="13.26953125" customWidth="1"/>
    <col min="14597" max="14597" width="4.7265625" customWidth="1"/>
    <col min="14599" max="14599" width="7.7265625" customWidth="1"/>
    <col min="14601" max="14601" width="9.81640625" customWidth="1"/>
    <col min="14602" max="14602" width="11.1796875" customWidth="1"/>
    <col min="14603" max="14603" width="10.26953125" customWidth="1"/>
    <col min="14604" max="14604" width="13.7265625" customWidth="1"/>
    <col min="14605" max="14605" width="13.26953125" customWidth="1"/>
    <col min="14853" max="14853" width="4.7265625" customWidth="1"/>
    <col min="14855" max="14855" width="7.7265625" customWidth="1"/>
    <col min="14857" max="14857" width="9.81640625" customWidth="1"/>
    <col min="14858" max="14858" width="11.1796875" customWidth="1"/>
    <col min="14859" max="14859" width="10.26953125" customWidth="1"/>
    <col min="14860" max="14860" width="13.7265625" customWidth="1"/>
    <col min="14861" max="14861" width="13.26953125" customWidth="1"/>
    <col min="15109" max="15109" width="4.7265625" customWidth="1"/>
    <col min="15111" max="15111" width="7.7265625" customWidth="1"/>
    <col min="15113" max="15113" width="9.81640625" customWidth="1"/>
    <col min="15114" max="15114" width="11.1796875" customWidth="1"/>
    <col min="15115" max="15115" width="10.26953125" customWidth="1"/>
    <col min="15116" max="15116" width="13.7265625" customWidth="1"/>
    <col min="15117" max="15117" width="13.26953125" customWidth="1"/>
    <col min="15365" max="15365" width="4.7265625" customWidth="1"/>
    <col min="15367" max="15367" width="7.7265625" customWidth="1"/>
    <col min="15369" max="15369" width="9.81640625" customWidth="1"/>
    <col min="15370" max="15370" width="11.1796875" customWidth="1"/>
    <col min="15371" max="15371" width="10.26953125" customWidth="1"/>
    <col min="15372" max="15372" width="13.7265625" customWidth="1"/>
    <col min="15373" max="15373" width="13.26953125" customWidth="1"/>
    <col min="15621" max="15621" width="4.7265625" customWidth="1"/>
    <col min="15623" max="15623" width="7.7265625" customWidth="1"/>
    <col min="15625" max="15625" width="9.81640625" customWidth="1"/>
    <col min="15626" max="15626" width="11.1796875" customWidth="1"/>
    <col min="15627" max="15627" width="10.26953125" customWidth="1"/>
    <col min="15628" max="15628" width="13.7265625" customWidth="1"/>
    <col min="15629" max="15629" width="13.26953125" customWidth="1"/>
    <col min="15877" max="15877" width="4.7265625" customWidth="1"/>
    <col min="15879" max="15879" width="7.7265625" customWidth="1"/>
    <col min="15881" max="15881" width="9.81640625" customWidth="1"/>
    <col min="15882" max="15882" width="11.1796875" customWidth="1"/>
    <col min="15883" max="15883" width="10.26953125" customWidth="1"/>
    <col min="15884" max="15884" width="13.7265625" customWidth="1"/>
    <col min="15885" max="15885" width="13.26953125" customWidth="1"/>
    <col min="16133" max="16133" width="4.7265625" customWidth="1"/>
    <col min="16135" max="16135" width="7.7265625" customWidth="1"/>
    <col min="16137" max="16137" width="9.81640625" customWidth="1"/>
    <col min="16138" max="16138" width="11.1796875" customWidth="1"/>
    <col min="16139" max="16139" width="10.26953125" customWidth="1"/>
    <col min="16140" max="16140" width="13.7265625" customWidth="1"/>
    <col min="16141" max="16141" width="13.26953125" customWidth="1"/>
  </cols>
  <sheetData>
    <row r="1" spans="2:44" ht="20" x14ac:dyDescent="0.4">
      <c r="B1" s="1" t="s">
        <v>0</v>
      </c>
      <c r="C1" s="1"/>
    </row>
    <row r="2" spans="2:44" ht="13.5" customHeight="1" x14ac:dyDescent="0.4">
      <c r="B2" s="423" t="s">
        <v>680</v>
      </c>
      <c r="C2" s="1"/>
    </row>
    <row r="3" spans="2:44" x14ac:dyDescent="0.35">
      <c r="D3" s="9"/>
    </row>
    <row r="4" spans="2:44" x14ac:dyDescent="0.35">
      <c r="B4" s="45" t="s">
        <v>87</v>
      </c>
      <c r="C4" s="79"/>
      <c r="D4" s="46"/>
      <c r="E4" s="47"/>
      <c r="F4" s="47"/>
      <c r="G4" s="47"/>
      <c r="H4" s="40"/>
      <c r="I4" s="48"/>
    </row>
    <row r="5" spans="2:44" ht="43" customHeight="1" x14ac:dyDescent="0.35">
      <c r="B5" s="49"/>
      <c r="C5" s="56" t="s">
        <v>94</v>
      </c>
      <c r="D5" s="50" t="s">
        <v>51</v>
      </c>
      <c r="E5" s="50" t="s">
        <v>52</v>
      </c>
      <c r="F5" s="50" t="s">
        <v>85</v>
      </c>
      <c r="G5" s="50" t="s">
        <v>80</v>
      </c>
      <c r="H5" s="39"/>
      <c r="I5" s="53" t="s">
        <v>86</v>
      </c>
    </row>
    <row r="6" spans="2:44" x14ac:dyDescent="0.35">
      <c r="B6" s="41" t="s">
        <v>74</v>
      </c>
      <c r="C6" s="77">
        <v>1000</v>
      </c>
      <c r="D6" s="31" t="s">
        <v>73</v>
      </c>
      <c r="E6" s="43">
        <v>74.2</v>
      </c>
      <c r="F6" s="43">
        <v>2.23</v>
      </c>
      <c r="G6" s="44">
        <v>3.1E-2</v>
      </c>
      <c r="H6" s="40"/>
      <c r="I6" s="42" t="s">
        <v>446</v>
      </c>
    </row>
    <row r="7" spans="2:44" x14ac:dyDescent="0.35">
      <c r="B7" s="427" t="s">
        <v>77</v>
      </c>
      <c r="C7" s="431">
        <v>42000</v>
      </c>
      <c r="D7" s="428" t="s">
        <v>414</v>
      </c>
      <c r="E7" s="432">
        <v>211.35</v>
      </c>
      <c r="F7" s="432">
        <v>4.26</v>
      </c>
      <c r="G7" s="429">
        <v>2.06E-2</v>
      </c>
      <c r="H7" s="40"/>
      <c r="I7" s="430" t="s">
        <v>446</v>
      </c>
    </row>
    <row r="8" spans="2:44" x14ac:dyDescent="0.35">
      <c r="B8" s="41" t="s">
        <v>75</v>
      </c>
      <c r="C8" s="77">
        <v>10000</v>
      </c>
      <c r="D8" s="31" t="s">
        <v>76</v>
      </c>
      <c r="E8" s="43">
        <v>2.52</v>
      </c>
      <c r="F8" s="43">
        <v>0.03</v>
      </c>
      <c r="G8" s="44">
        <v>1.24E-2</v>
      </c>
      <c r="H8" s="40"/>
      <c r="I8" s="42" t="s">
        <v>446</v>
      </c>
    </row>
    <row r="9" spans="2:44" x14ac:dyDescent="0.35">
      <c r="B9" s="41" t="s">
        <v>72</v>
      </c>
      <c r="C9" s="77">
        <v>1000</v>
      </c>
      <c r="D9" s="31" t="s">
        <v>73</v>
      </c>
      <c r="E9" s="43">
        <v>65.75</v>
      </c>
      <c r="F9" s="43">
        <v>1.75</v>
      </c>
      <c r="G9" s="44">
        <v>2.7300000000000001E-2</v>
      </c>
      <c r="H9" s="40"/>
      <c r="I9" s="42" t="s">
        <v>446</v>
      </c>
    </row>
    <row r="11" spans="2:44" x14ac:dyDescent="0.35">
      <c r="B11" t="s">
        <v>684</v>
      </c>
      <c r="D11" s="9">
        <v>1000000</v>
      </c>
      <c r="E11" s="433" t="s">
        <v>685</v>
      </c>
      <c r="G11" s="9"/>
      <c r="O11" s="7"/>
      <c r="AR11" t="s">
        <v>649</v>
      </c>
    </row>
    <row r="12" spans="2:44" x14ac:dyDescent="0.35">
      <c r="C12" s="94"/>
    </row>
    <row r="13" spans="2:44" x14ac:dyDescent="0.35">
      <c r="B13" s="12" t="s">
        <v>681</v>
      </c>
      <c r="C13" s="109"/>
      <c r="G13" s="9"/>
      <c r="AR13">
        <v>1000000</v>
      </c>
    </row>
    <row r="14" spans="2:44" x14ac:dyDescent="0.35">
      <c r="B14" t="s">
        <v>682</v>
      </c>
      <c r="C14" s="109"/>
      <c r="D14" s="112">
        <v>4.2500000000000003E-2</v>
      </c>
      <c r="G14" s="9"/>
    </row>
    <row r="15" spans="2:44" x14ac:dyDescent="0.35">
      <c r="B15" t="s">
        <v>683</v>
      </c>
      <c r="C15" s="109"/>
      <c r="D15" s="112">
        <v>3.85E-2</v>
      </c>
      <c r="G15" s="9"/>
    </row>
    <row r="16" spans="2:44" x14ac:dyDescent="0.35">
      <c r="B16" t="s">
        <v>686</v>
      </c>
      <c r="C16" s="109"/>
      <c r="D16" s="5">
        <v>0.75</v>
      </c>
      <c r="G16" s="9"/>
    </row>
    <row r="17" spans="2:44" x14ac:dyDescent="0.35">
      <c r="B17" t="s">
        <v>687</v>
      </c>
      <c r="C17" s="109"/>
      <c r="D17" s="6">
        <f>+(D14/D15)*D16</f>
        <v>0.82792207792207795</v>
      </c>
      <c r="G17" s="9"/>
    </row>
    <row r="18" spans="2:44" x14ac:dyDescent="0.35">
      <c r="C18" s="109"/>
      <c r="G18" s="9"/>
    </row>
    <row r="19" spans="2:44" ht="15" thickBot="1" x14ac:dyDescent="0.4">
      <c r="B19" t="s">
        <v>688</v>
      </c>
      <c r="C19" s="9">
        <f>D11/C9*C13</f>
        <v>0</v>
      </c>
      <c r="D19" s="6">
        <f>+D11/C7</f>
        <v>23.80952380952381</v>
      </c>
      <c r="AR19">
        <v>42000</v>
      </c>
    </row>
    <row r="20" spans="2:44" ht="15" thickBot="1" x14ac:dyDescent="0.4">
      <c r="B20" t="s">
        <v>689</v>
      </c>
      <c r="D20" s="434">
        <f>ROUND(+D19*D17,0)</f>
        <v>20</v>
      </c>
      <c r="AR20">
        <f>+AR13/AR19</f>
        <v>23.80952380952381</v>
      </c>
    </row>
    <row r="22" spans="2:44" x14ac:dyDescent="0.35">
      <c r="D22" s="24"/>
      <c r="H22" s="27"/>
      <c r="I22" s="27"/>
      <c r="J22" s="27"/>
    </row>
  </sheetData>
  <pageMargins left="0.7" right="0.7" top="0.75" bottom="0.75" header="0.3" footer="0.3"/>
  <pageSetup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CF4BB1-6A28-418B-96A9-5984F1D92BBB}">
  <dimension ref="B1:N28"/>
  <sheetViews>
    <sheetView showGridLines="0" workbookViewId="0">
      <selection activeCell="Q12" sqref="Q12"/>
    </sheetView>
  </sheetViews>
  <sheetFormatPr defaultRowHeight="14.5" x14ac:dyDescent="0.35"/>
  <cols>
    <col min="1" max="1" width="2.54296875" customWidth="1"/>
    <col min="2" max="2" width="2.36328125" customWidth="1"/>
    <col min="3" max="3" width="12.26953125" customWidth="1"/>
    <col min="4" max="4" width="12.1796875" bestFit="1" customWidth="1"/>
    <col min="5" max="5" width="2.36328125" customWidth="1"/>
    <col min="6" max="6" width="12.6328125" customWidth="1"/>
    <col min="7" max="7" width="13.1796875" customWidth="1"/>
    <col min="8" max="8" width="4.1796875" customWidth="1"/>
    <col min="9" max="9" width="12.54296875" customWidth="1"/>
    <col min="10" max="10" width="12.6328125" style="27" customWidth="1"/>
    <col min="11" max="11" width="2.36328125" style="27" customWidth="1"/>
    <col min="12" max="12" width="12.26953125" customWidth="1"/>
    <col min="13" max="13" width="12.1796875" bestFit="1" customWidth="1"/>
    <col min="14" max="14" width="2.36328125" customWidth="1"/>
    <col min="15" max="15" width="2.81640625" customWidth="1"/>
  </cols>
  <sheetData>
    <row r="1" spans="2:14" ht="20" x14ac:dyDescent="0.4">
      <c r="B1" s="1" t="s">
        <v>672</v>
      </c>
    </row>
    <row r="2" spans="2:14" ht="15.5" customHeight="1" x14ac:dyDescent="0.35">
      <c r="B2" s="447" t="s">
        <v>671</v>
      </c>
      <c r="C2" s="447"/>
      <c r="D2" s="447"/>
      <c r="E2" s="447"/>
      <c r="F2" s="447"/>
      <c r="G2" s="447"/>
      <c r="H2" s="447"/>
      <c r="I2" s="447"/>
      <c r="J2" s="447"/>
      <c r="K2" s="447"/>
      <c r="L2" s="447"/>
      <c r="M2" s="447"/>
      <c r="N2" s="447"/>
    </row>
    <row r="3" spans="2:14" ht="14" customHeight="1" thickBot="1" x14ac:dyDescent="0.4">
      <c r="C3" s="388"/>
      <c r="D3" s="388"/>
      <c r="E3" s="388"/>
      <c r="F3" s="388"/>
      <c r="G3" s="388"/>
      <c r="H3" s="388"/>
      <c r="I3" s="388"/>
      <c r="J3" s="388"/>
      <c r="K3" s="388"/>
      <c r="L3" s="388"/>
      <c r="M3" s="388"/>
    </row>
    <row r="4" spans="2:14" ht="33" customHeight="1" thickBot="1" x14ac:dyDescent="0.4">
      <c r="B4" s="442" t="s">
        <v>674</v>
      </c>
      <c r="C4" s="443"/>
      <c r="D4" s="443"/>
      <c r="E4" s="422"/>
      <c r="F4" s="244"/>
      <c r="G4" s="442" t="s">
        <v>673</v>
      </c>
      <c r="H4" s="443"/>
      <c r="I4" s="444"/>
      <c r="J4" s="182"/>
      <c r="K4" s="442" t="s">
        <v>675</v>
      </c>
      <c r="L4" s="445"/>
      <c r="M4" s="445"/>
      <c r="N4" s="446"/>
    </row>
    <row r="5" spans="2:14" ht="15" thickTop="1" x14ac:dyDescent="0.35">
      <c r="B5" s="274"/>
      <c r="C5" s="369" t="s">
        <v>424</v>
      </c>
      <c r="D5" s="370">
        <v>100000000</v>
      </c>
      <c r="E5" s="390"/>
      <c r="G5" s="274" t="s">
        <v>657</v>
      </c>
      <c r="I5" s="403">
        <f>+D5</f>
        <v>100000000</v>
      </c>
      <c r="K5" s="418"/>
      <c r="L5" s="369" t="s">
        <v>424</v>
      </c>
      <c r="M5" s="417">
        <v>100000000</v>
      </c>
      <c r="N5" s="291"/>
    </row>
    <row r="6" spans="2:14" x14ac:dyDescent="0.35">
      <c r="B6" s="274"/>
      <c r="C6" s="371" t="s">
        <v>658</v>
      </c>
      <c r="D6" s="389" t="s">
        <v>659</v>
      </c>
      <c r="E6" s="392"/>
      <c r="G6" s="391" t="s">
        <v>658</v>
      </c>
      <c r="H6" s="371"/>
      <c r="I6" s="392" t="s">
        <v>659</v>
      </c>
      <c r="K6" s="418"/>
      <c r="L6" s="371" t="s">
        <v>658</v>
      </c>
      <c r="M6" s="389" t="s">
        <v>659</v>
      </c>
      <c r="N6" s="291"/>
    </row>
    <row r="7" spans="2:14" x14ac:dyDescent="0.35">
      <c r="B7" s="274"/>
      <c r="C7" s="371"/>
      <c r="D7" s="372"/>
      <c r="E7" s="393"/>
      <c r="G7" s="391"/>
      <c r="H7" s="371"/>
      <c r="I7" s="393"/>
      <c r="K7" s="418"/>
      <c r="L7" s="371"/>
      <c r="M7" s="372"/>
      <c r="N7" s="291"/>
    </row>
    <row r="8" spans="2:14" x14ac:dyDescent="0.35">
      <c r="B8" s="274"/>
      <c r="C8" s="378" t="s">
        <v>660</v>
      </c>
      <c r="D8" s="379"/>
      <c r="E8" s="395"/>
      <c r="F8" s="12"/>
      <c r="G8" s="394" t="s">
        <v>660</v>
      </c>
      <c r="H8" s="378"/>
      <c r="I8" s="395"/>
      <c r="J8" s="387"/>
      <c r="K8" s="419"/>
      <c r="L8" s="378" t="s">
        <v>660</v>
      </c>
      <c r="M8" s="379"/>
      <c r="N8" s="291"/>
    </row>
    <row r="9" spans="2:14" x14ac:dyDescent="0.35">
      <c r="B9" s="274"/>
      <c r="C9" s="289" t="s">
        <v>153</v>
      </c>
      <c r="D9" s="289">
        <v>0.05</v>
      </c>
      <c r="E9" s="396"/>
      <c r="G9" s="274" t="s">
        <v>266</v>
      </c>
      <c r="I9" s="414">
        <v>4.9500000000000002E-2</v>
      </c>
      <c r="K9" s="418"/>
      <c r="L9" s="289" t="s">
        <v>153</v>
      </c>
      <c r="M9" s="289">
        <v>6.2E-2</v>
      </c>
      <c r="N9" s="291"/>
    </row>
    <row r="10" spans="2:14" ht="15" thickBot="1" x14ac:dyDescent="0.4">
      <c r="B10" s="274"/>
      <c r="C10" s="289" t="s">
        <v>667</v>
      </c>
      <c r="D10" s="289">
        <v>3.0000000000000001E-3</v>
      </c>
      <c r="E10" s="396"/>
      <c r="G10" s="405"/>
      <c r="H10" s="406"/>
      <c r="I10" s="280"/>
      <c r="K10" s="418"/>
      <c r="L10" s="289" t="s">
        <v>667</v>
      </c>
      <c r="M10" s="289">
        <v>0.01</v>
      </c>
      <c r="N10" s="291"/>
    </row>
    <row r="11" spans="2:14" x14ac:dyDescent="0.35">
      <c r="B11" s="274"/>
      <c r="C11" s="289"/>
      <c r="D11" s="289"/>
      <c r="E11" s="396"/>
      <c r="G11" s="109"/>
      <c r="H11" s="109"/>
      <c r="K11" s="418"/>
      <c r="L11" s="289"/>
      <c r="M11" s="289"/>
      <c r="N11" s="291"/>
    </row>
    <row r="12" spans="2:14" x14ac:dyDescent="0.35">
      <c r="B12" s="274"/>
      <c r="C12" s="378" t="s">
        <v>666</v>
      </c>
      <c r="D12" s="289"/>
      <c r="E12" s="396"/>
      <c r="G12" s="109"/>
      <c r="H12" s="109"/>
      <c r="K12" s="418"/>
      <c r="L12" s="378" t="s">
        <v>666</v>
      </c>
      <c r="M12" s="289"/>
      <c r="N12" s="291"/>
    </row>
    <row r="13" spans="2:14" x14ac:dyDescent="0.35">
      <c r="B13" s="274"/>
      <c r="C13" t="s">
        <v>155</v>
      </c>
      <c r="D13" s="7" t="s">
        <v>156</v>
      </c>
      <c r="E13" s="397"/>
      <c r="H13" s="109"/>
      <c r="K13" s="418"/>
      <c r="L13" t="s">
        <v>157</v>
      </c>
      <c r="M13" s="7" t="s">
        <v>158</v>
      </c>
      <c r="N13" s="291"/>
    </row>
    <row r="14" spans="2:14" x14ac:dyDescent="0.35">
      <c r="B14" s="274"/>
      <c r="C14" t="s">
        <v>159</v>
      </c>
      <c r="D14" s="7" t="s">
        <v>160</v>
      </c>
      <c r="E14" s="397"/>
      <c r="F14" s="7"/>
      <c r="H14" s="109"/>
      <c r="K14" s="418"/>
      <c r="L14" t="s">
        <v>159</v>
      </c>
      <c r="M14" s="7" t="s">
        <v>161</v>
      </c>
      <c r="N14" s="291"/>
    </row>
    <row r="15" spans="2:14" ht="15" thickBot="1" x14ac:dyDescent="0.4">
      <c r="B15" s="274"/>
      <c r="E15" s="291"/>
      <c r="H15" s="109"/>
      <c r="K15" s="418"/>
      <c r="N15" s="291"/>
    </row>
    <row r="16" spans="2:14" ht="15" thickBot="1" x14ac:dyDescent="0.4">
      <c r="B16" s="274"/>
      <c r="C16" s="378" t="s">
        <v>162</v>
      </c>
      <c r="D16" s="373"/>
      <c r="E16" s="398"/>
      <c r="F16" s="373"/>
      <c r="G16" s="283" t="s">
        <v>662</v>
      </c>
      <c r="H16" s="374"/>
      <c r="I16" s="283" t="s">
        <v>663</v>
      </c>
      <c r="K16" s="418"/>
      <c r="L16" s="378" t="s">
        <v>162</v>
      </c>
      <c r="M16" s="182"/>
      <c r="N16" s="291"/>
    </row>
    <row r="17" spans="2:14" x14ac:dyDescent="0.35">
      <c r="B17" s="274"/>
      <c r="C17" t="s">
        <v>163</v>
      </c>
      <c r="D17" s="112">
        <f>-D9</f>
        <v>-0.05</v>
      </c>
      <c r="E17" s="399"/>
      <c r="F17" s="112"/>
      <c r="G17" s="407">
        <f>-D17</f>
        <v>0.05</v>
      </c>
      <c r="H17" s="109"/>
      <c r="I17" s="409" t="s">
        <v>664</v>
      </c>
      <c r="K17" s="418"/>
      <c r="L17" t="s">
        <v>163</v>
      </c>
      <c r="M17" s="113">
        <v>-0.01</v>
      </c>
      <c r="N17" s="291"/>
    </row>
    <row r="18" spans="2:14" ht="15" thickBot="1" x14ac:dyDescent="0.4">
      <c r="B18" s="274"/>
      <c r="D18" s="112"/>
      <c r="E18" s="399"/>
      <c r="F18" s="112"/>
      <c r="G18" s="408"/>
      <c r="H18" s="109"/>
      <c r="I18" s="410"/>
      <c r="K18" s="418"/>
      <c r="L18" t="s">
        <v>163</v>
      </c>
      <c r="M18" s="113" t="s">
        <v>654</v>
      </c>
      <c r="N18" s="291"/>
    </row>
    <row r="19" spans="2:14" ht="15" thickBot="1" x14ac:dyDescent="0.4">
      <c r="B19" s="274"/>
      <c r="D19" s="112"/>
      <c r="E19" s="399"/>
      <c r="F19" s="112"/>
      <c r="H19" s="109"/>
      <c r="K19" s="418"/>
      <c r="M19" s="113"/>
      <c r="N19" s="291"/>
    </row>
    <row r="20" spans="2:14" ht="15" thickBot="1" x14ac:dyDescent="0.4">
      <c r="B20" s="274"/>
      <c r="D20" s="112"/>
      <c r="E20" s="399"/>
      <c r="F20" s="112"/>
      <c r="G20" s="375"/>
      <c r="H20" s="376" t="s">
        <v>665</v>
      </c>
      <c r="I20" s="377"/>
      <c r="K20" s="418"/>
      <c r="M20" s="113"/>
      <c r="N20" s="291"/>
    </row>
    <row r="21" spans="2:14" x14ac:dyDescent="0.35">
      <c r="B21" s="274"/>
      <c r="C21" t="s">
        <v>163</v>
      </c>
      <c r="D21" s="115" t="s">
        <v>654</v>
      </c>
      <c r="E21" s="400"/>
      <c r="F21" s="115"/>
      <c r="G21" s="274" t="s">
        <v>669</v>
      </c>
      <c r="H21" s="289"/>
      <c r="I21" s="411" t="s">
        <v>661</v>
      </c>
      <c r="K21" s="418"/>
      <c r="L21" t="s">
        <v>167</v>
      </c>
      <c r="M21" s="116" t="s">
        <v>655</v>
      </c>
      <c r="N21" s="291"/>
    </row>
    <row r="22" spans="2:14" x14ac:dyDescent="0.35">
      <c r="B22" s="274"/>
      <c r="C22" t="s">
        <v>167</v>
      </c>
      <c r="D22" s="112">
        <f>+I9</f>
        <v>4.9500000000000002E-2</v>
      </c>
      <c r="E22" s="399"/>
      <c r="F22" s="112"/>
      <c r="G22" s="274" t="s">
        <v>670</v>
      </c>
      <c r="H22" s="289"/>
      <c r="I22" s="404">
        <v>4.9500000000000002E-2</v>
      </c>
      <c r="K22" s="418"/>
      <c r="L22" t="s">
        <v>163</v>
      </c>
      <c r="M22" s="116">
        <f>-I9</f>
        <v>-4.9500000000000002E-2</v>
      </c>
      <c r="N22" s="291"/>
    </row>
    <row r="23" spans="2:14" ht="15" thickBot="1" x14ac:dyDescent="0.4">
      <c r="B23" s="274"/>
      <c r="C23" t="s">
        <v>169</v>
      </c>
      <c r="D23" s="380" t="s">
        <v>656</v>
      </c>
      <c r="E23" s="416"/>
      <c r="F23" s="381"/>
      <c r="G23" s="402"/>
      <c r="H23" s="412"/>
      <c r="I23" s="413"/>
      <c r="J23" s="24"/>
      <c r="K23" s="420"/>
      <c r="L23" s="210" t="s">
        <v>169</v>
      </c>
      <c r="M23" s="382">
        <f>-M10+M22</f>
        <v>-5.9500000000000004E-2</v>
      </c>
      <c r="N23" s="291"/>
    </row>
    <row r="24" spans="2:14" ht="15.5" thickTop="1" thickBot="1" x14ac:dyDescent="0.4">
      <c r="B24" s="274"/>
      <c r="D24" s="383"/>
      <c r="E24" s="416"/>
      <c r="F24" s="381"/>
      <c r="G24" s="210"/>
      <c r="H24" s="210"/>
      <c r="I24" s="210"/>
      <c r="J24" s="24"/>
      <c r="K24" s="420"/>
      <c r="L24" s="210"/>
      <c r="M24" s="384"/>
      <c r="N24" s="291"/>
    </row>
    <row r="25" spans="2:14" ht="15.5" thickTop="1" thickBot="1" x14ac:dyDescent="0.4">
      <c r="B25" s="279"/>
      <c r="C25" s="155" t="s">
        <v>171</v>
      </c>
      <c r="D25" s="415">
        <f>+D10+D22+D17</f>
        <v>2.5000000000000022E-3</v>
      </c>
      <c r="E25" s="401"/>
      <c r="F25" s="385"/>
      <c r="G25" s="210"/>
      <c r="H25" s="210"/>
      <c r="I25" s="210"/>
      <c r="J25" s="24"/>
      <c r="K25" s="421"/>
      <c r="L25" s="412" t="s">
        <v>171</v>
      </c>
      <c r="M25" s="415">
        <f>+M9+M23</f>
        <v>2.4999999999999953E-3</v>
      </c>
      <c r="N25" s="280"/>
    </row>
    <row r="26" spans="2:14" x14ac:dyDescent="0.35">
      <c r="C26" s="114"/>
      <c r="D26" s="114"/>
      <c r="E26" s="114"/>
      <c r="F26" s="114"/>
      <c r="G26" s="114"/>
      <c r="H26" s="114"/>
      <c r="I26" s="114"/>
      <c r="J26" s="89"/>
      <c r="K26" s="89"/>
      <c r="L26" s="114"/>
      <c r="M26" s="114"/>
    </row>
    <row r="27" spans="2:14" x14ac:dyDescent="0.35">
      <c r="C27" s="386" t="s">
        <v>668</v>
      </c>
      <c r="M27" s="7"/>
    </row>
    <row r="28" spans="2:14" x14ac:dyDescent="0.35">
      <c r="M28" s="7" t="s">
        <v>691</v>
      </c>
    </row>
  </sheetData>
  <mergeCells count="4">
    <mergeCell ref="G4:I4"/>
    <mergeCell ref="B4:D4"/>
    <mergeCell ref="K4:N4"/>
    <mergeCell ref="B2:N2"/>
  </mergeCells>
  <phoneticPr fontId="29" type="noConversion"/>
  <pageMargins left="0.7" right="0.7" top="0.75" bottom="0.75" header="0.3" footer="0.3"/>
  <pageSetup orientation="portrait" horizontalDpi="1200" verticalDpi="12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68B419-9B5A-40A8-A0D7-8E88833F8678}">
  <dimension ref="B1:K34"/>
  <sheetViews>
    <sheetView showGridLines="0" topLeftCell="A2" workbookViewId="0">
      <selection activeCell="M16" sqref="M16"/>
    </sheetView>
  </sheetViews>
  <sheetFormatPr defaultRowHeight="14.5" x14ac:dyDescent="0.35"/>
  <cols>
    <col min="2" max="2" width="17.26953125" customWidth="1"/>
    <col min="3" max="3" width="12" customWidth="1"/>
    <col min="4" max="4" width="11.54296875" customWidth="1"/>
    <col min="5" max="5" width="8.453125" customWidth="1"/>
    <col min="6" max="6" width="3.26953125" customWidth="1"/>
    <col min="7" max="7" width="12.08984375" customWidth="1"/>
    <col min="8" max="8" width="3.08984375" customWidth="1"/>
    <col min="9" max="9" width="1.08984375" customWidth="1"/>
    <col min="10" max="10" width="7.90625" customWidth="1"/>
    <col min="11" max="11" width="6.26953125" customWidth="1"/>
    <col min="12" max="12" width="3.26953125" customWidth="1"/>
    <col min="13" max="13" width="10.7265625" customWidth="1"/>
    <col min="14" max="14" width="10.90625" customWidth="1"/>
    <col min="258" max="258" width="17.26953125" customWidth="1"/>
    <col min="259" max="259" width="12" customWidth="1"/>
    <col min="260" max="260" width="11.54296875" customWidth="1"/>
    <col min="261" max="261" width="10.7265625" customWidth="1"/>
    <col min="262" max="262" width="10.08984375" customWidth="1"/>
    <col min="263" max="263" width="12.08984375" customWidth="1"/>
    <col min="266" max="266" width="10.54296875" customWidth="1"/>
    <col min="267" max="267" width="10.90625" customWidth="1"/>
    <col min="268" max="268" width="11.26953125" customWidth="1"/>
    <col min="269" max="269" width="10.7265625" customWidth="1"/>
    <col min="270" max="270" width="10.90625" customWidth="1"/>
    <col min="514" max="514" width="17.26953125" customWidth="1"/>
    <col min="515" max="515" width="12" customWidth="1"/>
    <col min="516" max="516" width="11.54296875" customWidth="1"/>
    <col min="517" max="517" width="10.7265625" customWidth="1"/>
    <col min="518" max="518" width="10.08984375" customWidth="1"/>
    <col min="519" max="519" width="12.08984375" customWidth="1"/>
    <col min="522" max="522" width="10.54296875" customWidth="1"/>
    <col min="523" max="523" width="10.90625" customWidth="1"/>
    <col min="524" max="524" width="11.26953125" customWidth="1"/>
    <col min="525" max="525" width="10.7265625" customWidth="1"/>
    <col min="526" max="526" width="10.90625" customWidth="1"/>
    <col min="770" max="770" width="17.26953125" customWidth="1"/>
    <col min="771" max="771" width="12" customWidth="1"/>
    <col min="772" max="772" width="11.54296875" customWidth="1"/>
    <col min="773" max="773" width="10.7265625" customWidth="1"/>
    <col min="774" max="774" width="10.08984375" customWidth="1"/>
    <col min="775" max="775" width="12.08984375" customWidth="1"/>
    <col min="778" max="778" width="10.54296875" customWidth="1"/>
    <col min="779" max="779" width="10.90625" customWidth="1"/>
    <col min="780" max="780" width="11.26953125" customWidth="1"/>
    <col min="781" max="781" width="10.7265625" customWidth="1"/>
    <col min="782" max="782" width="10.90625" customWidth="1"/>
    <col min="1026" max="1026" width="17.26953125" customWidth="1"/>
    <col min="1027" max="1027" width="12" customWidth="1"/>
    <col min="1028" max="1028" width="11.54296875" customWidth="1"/>
    <col min="1029" max="1029" width="10.7265625" customWidth="1"/>
    <col min="1030" max="1030" width="10.08984375" customWidth="1"/>
    <col min="1031" max="1031" width="12.08984375" customWidth="1"/>
    <col min="1034" max="1034" width="10.54296875" customWidth="1"/>
    <col min="1035" max="1035" width="10.90625" customWidth="1"/>
    <col min="1036" max="1036" width="11.26953125" customWidth="1"/>
    <col min="1037" max="1037" width="10.7265625" customWidth="1"/>
    <col min="1038" max="1038" width="10.90625" customWidth="1"/>
    <col min="1282" max="1282" width="17.26953125" customWidth="1"/>
    <col min="1283" max="1283" width="12" customWidth="1"/>
    <col min="1284" max="1284" width="11.54296875" customWidth="1"/>
    <col min="1285" max="1285" width="10.7265625" customWidth="1"/>
    <col min="1286" max="1286" width="10.08984375" customWidth="1"/>
    <col min="1287" max="1287" width="12.08984375" customWidth="1"/>
    <col min="1290" max="1290" width="10.54296875" customWidth="1"/>
    <col min="1291" max="1291" width="10.90625" customWidth="1"/>
    <col min="1292" max="1292" width="11.26953125" customWidth="1"/>
    <col min="1293" max="1293" width="10.7265625" customWidth="1"/>
    <col min="1294" max="1294" width="10.90625" customWidth="1"/>
    <col min="1538" max="1538" width="17.26953125" customWidth="1"/>
    <col min="1539" max="1539" width="12" customWidth="1"/>
    <col min="1540" max="1540" width="11.54296875" customWidth="1"/>
    <col min="1541" max="1541" width="10.7265625" customWidth="1"/>
    <col min="1542" max="1542" width="10.08984375" customWidth="1"/>
    <col min="1543" max="1543" width="12.08984375" customWidth="1"/>
    <col min="1546" max="1546" width="10.54296875" customWidth="1"/>
    <col min="1547" max="1547" width="10.90625" customWidth="1"/>
    <col min="1548" max="1548" width="11.26953125" customWidth="1"/>
    <col min="1549" max="1549" width="10.7265625" customWidth="1"/>
    <col min="1550" max="1550" width="10.90625" customWidth="1"/>
    <col min="1794" max="1794" width="17.26953125" customWidth="1"/>
    <col min="1795" max="1795" width="12" customWidth="1"/>
    <col min="1796" max="1796" width="11.54296875" customWidth="1"/>
    <col min="1797" max="1797" width="10.7265625" customWidth="1"/>
    <col min="1798" max="1798" width="10.08984375" customWidth="1"/>
    <col min="1799" max="1799" width="12.08984375" customWidth="1"/>
    <col min="1802" max="1802" width="10.54296875" customWidth="1"/>
    <col min="1803" max="1803" width="10.90625" customWidth="1"/>
    <col min="1804" max="1804" width="11.26953125" customWidth="1"/>
    <col min="1805" max="1805" width="10.7265625" customWidth="1"/>
    <col min="1806" max="1806" width="10.90625" customWidth="1"/>
    <col min="2050" max="2050" width="17.26953125" customWidth="1"/>
    <col min="2051" max="2051" width="12" customWidth="1"/>
    <col min="2052" max="2052" width="11.54296875" customWidth="1"/>
    <col min="2053" max="2053" width="10.7265625" customWidth="1"/>
    <col min="2054" max="2054" width="10.08984375" customWidth="1"/>
    <col min="2055" max="2055" width="12.08984375" customWidth="1"/>
    <col min="2058" max="2058" width="10.54296875" customWidth="1"/>
    <col min="2059" max="2059" width="10.90625" customWidth="1"/>
    <col min="2060" max="2060" width="11.26953125" customWidth="1"/>
    <col min="2061" max="2061" width="10.7265625" customWidth="1"/>
    <col min="2062" max="2062" width="10.90625" customWidth="1"/>
    <col min="2306" max="2306" width="17.26953125" customWidth="1"/>
    <col min="2307" max="2307" width="12" customWidth="1"/>
    <col min="2308" max="2308" width="11.54296875" customWidth="1"/>
    <col min="2309" max="2309" width="10.7265625" customWidth="1"/>
    <col min="2310" max="2310" width="10.08984375" customWidth="1"/>
    <col min="2311" max="2311" width="12.08984375" customWidth="1"/>
    <col min="2314" max="2314" width="10.54296875" customWidth="1"/>
    <col min="2315" max="2315" width="10.90625" customWidth="1"/>
    <col min="2316" max="2316" width="11.26953125" customWidth="1"/>
    <col min="2317" max="2317" width="10.7265625" customWidth="1"/>
    <col min="2318" max="2318" width="10.90625" customWidth="1"/>
    <col min="2562" max="2562" width="17.26953125" customWidth="1"/>
    <col min="2563" max="2563" width="12" customWidth="1"/>
    <col min="2564" max="2564" width="11.54296875" customWidth="1"/>
    <col min="2565" max="2565" width="10.7265625" customWidth="1"/>
    <col min="2566" max="2566" width="10.08984375" customWidth="1"/>
    <col min="2567" max="2567" width="12.08984375" customWidth="1"/>
    <col min="2570" max="2570" width="10.54296875" customWidth="1"/>
    <col min="2571" max="2571" width="10.90625" customWidth="1"/>
    <col min="2572" max="2572" width="11.26953125" customWidth="1"/>
    <col min="2573" max="2573" width="10.7265625" customWidth="1"/>
    <col min="2574" max="2574" width="10.90625" customWidth="1"/>
    <col min="2818" max="2818" width="17.26953125" customWidth="1"/>
    <col min="2819" max="2819" width="12" customWidth="1"/>
    <col min="2820" max="2820" width="11.54296875" customWidth="1"/>
    <col min="2821" max="2821" width="10.7265625" customWidth="1"/>
    <col min="2822" max="2822" width="10.08984375" customWidth="1"/>
    <col min="2823" max="2823" width="12.08984375" customWidth="1"/>
    <col min="2826" max="2826" width="10.54296875" customWidth="1"/>
    <col min="2827" max="2827" width="10.90625" customWidth="1"/>
    <col min="2828" max="2828" width="11.26953125" customWidth="1"/>
    <col min="2829" max="2829" width="10.7265625" customWidth="1"/>
    <col min="2830" max="2830" width="10.90625" customWidth="1"/>
    <col min="3074" max="3074" width="17.26953125" customWidth="1"/>
    <col min="3075" max="3075" width="12" customWidth="1"/>
    <col min="3076" max="3076" width="11.54296875" customWidth="1"/>
    <col min="3077" max="3077" width="10.7265625" customWidth="1"/>
    <col min="3078" max="3078" width="10.08984375" customWidth="1"/>
    <col min="3079" max="3079" width="12.08984375" customWidth="1"/>
    <col min="3082" max="3082" width="10.54296875" customWidth="1"/>
    <col min="3083" max="3083" width="10.90625" customWidth="1"/>
    <col min="3084" max="3084" width="11.26953125" customWidth="1"/>
    <col min="3085" max="3085" width="10.7265625" customWidth="1"/>
    <col min="3086" max="3086" width="10.90625" customWidth="1"/>
    <col min="3330" max="3330" width="17.26953125" customWidth="1"/>
    <col min="3331" max="3331" width="12" customWidth="1"/>
    <col min="3332" max="3332" width="11.54296875" customWidth="1"/>
    <col min="3333" max="3333" width="10.7265625" customWidth="1"/>
    <col min="3334" max="3334" width="10.08984375" customWidth="1"/>
    <col min="3335" max="3335" width="12.08984375" customWidth="1"/>
    <col min="3338" max="3338" width="10.54296875" customWidth="1"/>
    <col min="3339" max="3339" width="10.90625" customWidth="1"/>
    <col min="3340" max="3340" width="11.26953125" customWidth="1"/>
    <col min="3341" max="3341" width="10.7265625" customWidth="1"/>
    <col min="3342" max="3342" width="10.90625" customWidth="1"/>
    <col min="3586" max="3586" width="17.26953125" customWidth="1"/>
    <col min="3587" max="3587" width="12" customWidth="1"/>
    <col min="3588" max="3588" width="11.54296875" customWidth="1"/>
    <col min="3589" max="3589" width="10.7265625" customWidth="1"/>
    <col min="3590" max="3590" width="10.08984375" customWidth="1"/>
    <col min="3591" max="3591" width="12.08984375" customWidth="1"/>
    <col min="3594" max="3594" width="10.54296875" customWidth="1"/>
    <col min="3595" max="3595" width="10.90625" customWidth="1"/>
    <col min="3596" max="3596" width="11.26953125" customWidth="1"/>
    <col min="3597" max="3597" width="10.7265625" customWidth="1"/>
    <col min="3598" max="3598" width="10.90625" customWidth="1"/>
    <col min="3842" max="3842" width="17.26953125" customWidth="1"/>
    <col min="3843" max="3843" width="12" customWidth="1"/>
    <col min="3844" max="3844" width="11.54296875" customWidth="1"/>
    <col min="3845" max="3845" width="10.7265625" customWidth="1"/>
    <col min="3846" max="3846" width="10.08984375" customWidth="1"/>
    <col min="3847" max="3847" width="12.08984375" customWidth="1"/>
    <col min="3850" max="3850" width="10.54296875" customWidth="1"/>
    <col min="3851" max="3851" width="10.90625" customWidth="1"/>
    <col min="3852" max="3852" width="11.26953125" customWidth="1"/>
    <col min="3853" max="3853" width="10.7265625" customWidth="1"/>
    <col min="3854" max="3854" width="10.90625" customWidth="1"/>
    <col min="4098" max="4098" width="17.26953125" customWidth="1"/>
    <col min="4099" max="4099" width="12" customWidth="1"/>
    <col min="4100" max="4100" width="11.54296875" customWidth="1"/>
    <col min="4101" max="4101" width="10.7265625" customWidth="1"/>
    <col min="4102" max="4102" width="10.08984375" customWidth="1"/>
    <col min="4103" max="4103" width="12.08984375" customWidth="1"/>
    <col min="4106" max="4106" width="10.54296875" customWidth="1"/>
    <col min="4107" max="4107" width="10.90625" customWidth="1"/>
    <col min="4108" max="4108" width="11.26953125" customWidth="1"/>
    <col min="4109" max="4109" width="10.7265625" customWidth="1"/>
    <col min="4110" max="4110" width="10.90625" customWidth="1"/>
    <col min="4354" max="4354" width="17.26953125" customWidth="1"/>
    <col min="4355" max="4355" width="12" customWidth="1"/>
    <col min="4356" max="4356" width="11.54296875" customWidth="1"/>
    <col min="4357" max="4357" width="10.7265625" customWidth="1"/>
    <col min="4358" max="4358" width="10.08984375" customWidth="1"/>
    <col min="4359" max="4359" width="12.08984375" customWidth="1"/>
    <col min="4362" max="4362" width="10.54296875" customWidth="1"/>
    <col min="4363" max="4363" width="10.90625" customWidth="1"/>
    <col min="4364" max="4364" width="11.26953125" customWidth="1"/>
    <col min="4365" max="4365" width="10.7265625" customWidth="1"/>
    <col min="4366" max="4366" width="10.90625" customWidth="1"/>
    <col min="4610" max="4610" width="17.26953125" customWidth="1"/>
    <col min="4611" max="4611" width="12" customWidth="1"/>
    <col min="4612" max="4612" width="11.54296875" customWidth="1"/>
    <col min="4613" max="4613" width="10.7265625" customWidth="1"/>
    <col min="4614" max="4614" width="10.08984375" customWidth="1"/>
    <col min="4615" max="4615" width="12.08984375" customWidth="1"/>
    <col min="4618" max="4618" width="10.54296875" customWidth="1"/>
    <col min="4619" max="4619" width="10.90625" customWidth="1"/>
    <col min="4620" max="4620" width="11.26953125" customWidth="1"/>
    <col min="4621" max="4621" width="10.7265625" customWidth="1"/>
    <col min="4622" max="4622" width="10.90625" customWidth="1"/>
    <col min="4866" max="4866" width="17.26953125" customWidth="1"/>
    <col min="4867" max="4867" width="12" customWidth="1"/>
    <col min="4868" max="4868" width="11.54296875" customWidth="1"/>
    <col min="4869" max="4869" width="10.7265625" customWidth="1"/>
    <col min="4870" max="4870" width="10.08984375" customWidth="1"/>
    <col min="4871" max="4871" width="12.08984375" customWidth="1"/>
    <col min="4874" max="4874" width="10.54296875" customWidth="1"/>
    <col min="4875" max="4875" width="10.90625" customWidth="1"/>
    <col min="4876" max="4876" width="11.26953125" customWidth="1"/>
    <col min="4877" max="4877" width="10.7265625" customWidth="1"/>
    <col min="4878" max="4878" width="10.90625" customWidth="1"/>
    <col min="5122" max="5122" width="17.26953125" customWidth="1"/>
    <col min="5123" max="5123" width="12" customWidth="1"/>
    <col min="5124" max="5124" width="11.54296875" customWidth="1"/>
    <col min="5125" max="5125" width="10.7265625" customWidth="1"/>
    <col min="5126" max="5126" width="10.08984375" customWidth="1"/>
    <col min="5127" max="5127" width="12.08984375" customWidth="1"/>
    <col min="5130" max="5130" width="10.54296875" customWidth="1"/>
    <col min="5131" max="5131" width="10.90625" customWidth="1"/>
    <col min="5132" max="5132" width="11.26953125" customWidth="1"/>
    <col min="5133" max="5133" width="10.7265625" customWidth="1"/>
    <col min="5134" max="5134" width="10.90625" customWidth="1"/>
    <col min="5378" max="5378" width="17.26953125" customWidth="1"/>
    <col min="5379" max="5379" width="12" customWidth="1"/>
    <col min="5380" max="5380" width="11.54296875" customWidth="1"/>
    <col min="5381" max="5381" width="10.7265625" customWidth="1"/>
    <col min="5382" max="5382" width="10.08984375" customWidth="1"/>
    <col min="5383" max="5383" width="12.08984375" customWidth="1"/>
    <col min="5386" max="5386" width="10.54296875" customWidth="1"/>
    <col min="5387" max="5387" width="10.90625" customWidth="1"/>
    <col min="5388" max="5388" width="11.26953125" customWidth="1"/>
    <col min="5389" max="5389" width="10.7265625" customWidth="1"/>
    <col min="5390" max="5390" width="10.90625" customWidth="1"/>
    <col min="5634" max="5634" width="17.26953125" customWidth="1"/>
    <col min="5635" max="5635" width="12" customWidth="1"/>
    <col min="5636" max="5636" width="11.54296875" customWidth="1"/>
    <col min="5637" max="5637" width="10.7265625" customWidth="1"/>
    <col min="5638" max="5638" width="10.08984375" customWidth="1"/>
    <col min="5639" max="5639" width="12.08984375" customWidth="1"/>
    <col min="5642" max="5642" width="10.54296875" customWidth="1"/>
    <col min="5643" max="5643" width="10.90625" customWidth="1"/>
    <col min="5644" max="5644" width="11.26953125" customWidth="1"/>
    <col min="5645" max="5645" width="10.7265625" customWidth="1"/>
    <col min="5646" max="5646" width="10.90625" customWidth="1"/>
    <col min="5890" max="5890" width="17.26953125" customWidth="1"/>
    <col min="5891" max="5891" width="12" customWidth="1"/>
    <col min="5892" max="5892" width="11.54296875" customWidth="1"/>
    <col min="5893" max="5893" width="10.7265625" customWidth="1"/>
    <col min="5894" max="5894" width="10.08984375" customWidth="1"/>
    <col min="5895" max="5895" width="12.08984375" customWidth="1"/>
    <col min="5898" max="5898" width="10.54296875" customWidth="1"/>
    <col min="5899" max="5899" width="10.90625" customWidth="1"/>
    <col min="5900" max="5900" width="11.26953125" customWidth="1"/>
    <col min="5901" max="5901" width="10.7265625" customWidth="1"/>
    <col min="5902" max="5902" width="10.90625" customWidth="1"/>
    <col min="6146" max="6146" width="17.26953125" customWidth="1"/>
    <col min="6147" max="6147" width="12" customWidth="1"/>
    <col min="6148" max="6148" width="11.54296875" customWidth="1"/>
    <col min="6149" max="6149" width="10.7265625" customWidth="1"/>
    <col min="6150" max="6150" width="10.08984375" customWidth="1"/>
    <col min="6151" max="6151" width="12.08984375" customWidth="1"/>
    <col min="6154" max="6154" width="10.54296875" customWidth="1"/>
    <col min="6155" max="6155" width="10.90625" customWidth="1"/>
    <col min="6156" max="6156" width="11.26953125" customWidth="1"/>
    <col min="6157" max="6157" width="10.7265625" customWidth="1"/>
    <col min="6158" max="6158" width="10.90625" customWidth="1"/>
    <col min="6402" max="6402" width="17.26953125" customWidth="1"/>
    <col min="6403" max="6403" width="12" customWidth="1"/>
    <col min="6404" max="6404" width="11.54296875" customWidth="1"/>
    <col min="6405" max="6405" width="10.7265625" customWidth="1"/>
    <col min="6406" max="6406" width="10.08984375" customWidth="1"/>
    <col min="6407" max="6407" width="12.08984375" customWidth="1"/>
    <col min="6410" max="6410" width="10.54296875" customWidth="1"/>
    <col min="6411" max="6411" width="10.90625" customWidth="1"/>
    <col min="6412" max="6412" width="11.26953125" customWidth="1"/>
    <col min="6413" max="6413" width="10.7265625" customWidth="1"/>
    <col min="6414" max="6414" width="10.90625" customWidth="1"/>
    <col min="6658" max="6658" width="17.26953125" customWidth="1"/>
    <col min="6659" max="6659" width="12" customWidth="1"/>
    <col min="6660" max="6660" width="11.54296875" customWidth="1"/>
    <col min="6661" max="6661" width="10.7265625" customWidth="1"/>
    <col min="6662" max="6662" width="10.08984375" customWidth="1"/>
    <col min="6663" max="6663" width="12.08984375" customWidth="1"/>
    <col min="6666" max="6666" width="10.54296875" customWidth="1"/>
    <col min="6667" max="6667" width="10.90625" customWidth="1"/>
    <col min="6668" max="6668" width="11.26953125" customWidth="1"/>
    <col min="6669" max="6669" width="10.7265625" customWidth="1"/>
    <col min="6670" max="6670" width="10.90625" customWidth="1"/>
    <col min="6914" max="6914" width="17.26953125" customWidth="1"/>
    <col min="6915" max="6915" width="12" customWidth="1"/>
    <col min="6916" max="6916" width="11.54296875" customWidth="1"/>
    <col min="6917" max="6917" width="10.7265625" customWidth="1"/>
    <col min="6918" max="6918" width="10.08984375" customWidth="1"/>
    <col min="6919" max="6919" width="12.08984375" customWidth="1"/>
    <col min="6922" max="6922" width="10.54296875" customWidth="1"/>
    <col min="6923" max="6923" width="10.90625" customWidth="1"/>
    <col min="6924" max="6924" width="11.26953125" customWidth="1"/>
    <col min="6925" max="6925" width="10.7265625" customWidth="1"/>
    <col min="6926" max="6926" width="10.90625" customWidth="1"/>
    <col min="7170" max="7170" width="17.26953125" customWidth="1"/>
    <col min="7171" max="7171" width="12" customWidth="1"/>
    <col min="7172" max="7172" width="11.54296875" customWidth="1"/>
    <col min="7173" max="7173" width="10.7265625" customWidth="1"/>
    <col min="7174" max="7174" width="10.08984375" customWidth="1"/>
    <col min="7175" max="7175" width="12.08984375" customWidth="1"/>
    <col min="7178" max="7178" width="10.54296875" customWidth="1"/>
    <col min="7179" max="7179" width="10.90625" customWidth="1"/>
    <col min="7180" max="7180" width="11.26953125" customWidth="1"/>
    <col min="7181" max="7181" width="10.7265625" customWidth="1"/>
    <col min="7182" max="7182" width="10.90625" customWidth="1"/>
    <col min="7426" max="7426" width="17.26953125" customWidth="1"/>
    <col min="7427" max="7427" width="12" customWidth="1"/>
    <col min="7428" max="7428" width="11.54296875" customWidth="1"/>
    <col min="7429" max="7429" width="10.7265625" customWidth="1"/>
    <col min="7430" max="7430" width="10.08984375" customWidth="1"/>
    <col min="7431" max="7431" width="12.08984375" customWidth="1"/>
    <col min="7434" max="7434" width="10.54296875" customWidth="1"/>
    <col min="7435" max="7435" width="10.90625" customWidth="1"/>
    <col min="7436" max="7436" width="11.26953125" customWidth="1"/>
    <col min="7437" max="7437" width="10.7265625" customWidth="1"/>
    <col min="7438" max="7438" width="10.90625" customWidth="1"/>
    <col min="7682" max="7682" width="17.26953125" customWidth="1"/>
    <col min="7683" max="7683" width="12" customWidth="1"/>
    <col min="7684" max="7684" width="11.54296875" customWidth="1"/>
    <col min="7685" max="7685" width="10.7265625" customWidth="1"/>
    <col min="7686" max="7686" width="10.08984375" customWidth="1"/>
    <col min="7687" max="7687" width="12.08984375" customWidth="1"/>
    <col min="7690" max="7690" width="10.54296875" customWidth="1"/>
    <col min="7691" max="7691" width="10.90625" customWidth="1"/>
    <col min="7692" max="7692" width="11.26953125" customWidth="1"/>
    <col min="7693" max="7693" width="10.7265625" customWidth="1"/>
    <col min="7694" max="7694" width="10.90625" customWidth="1"/>
    <col min="7938" max="7938" width="17.26953125" customWidth="1"/>
    <col min="7939" max="7939" width="12" customWidth="1"/>
    <col min="7940" max="7940" width="11.54296875" customWidth="1"/>
    <col min="7941" max="7941" width="10.7265625" customWidth="1"/>
    <col min="7942" max="7942" width="10.08984375" customWidth="1"/>
    <col min="7943" max="7943" width="12.08984375" customWidth="1"/>
    <col min="7946" max="7946" width="10.54296875" customWidth="1"/>
    <col min="7947" max="7947" width="10.90625" customWidth="1"/>
    <col min="7948" max="7948" width="11.26953125" customWidth="1"/>
    <col min="7949" max="7949" width="10.7265625" customWidth="1"/>
    <col min="7950" max="7950" width="10.90625" customWidth="1"/>
    <col min="8194" max="8194" width="17.26953125" customWidth="1"/>
    <col min="8195" max="8195" width="12" customWidth="1"/>
    <col min="8196" max="8196" width="11.54296875" customWidth="1"/>
    <col min="8197" max="8197" width="10.7265625" customWidth="1"/>
    <col min="8198" max="8198" width="10.08984375" customWidth="1"/>
    <col min="8199" max="8199" width="12.08984375" customWidth="1"/>
    <col min="8202" max="8202" width="10.54296875" customWidth="1"/>
    <col min="8203" max="8203" width="10.90625" customWidth="1"/>
    <col min="8204" max="8204" width="11.26953125" customWidth="1"/>
    <col min="8205" max="8205" width="10.7265625" customWidth="1"/>
    <col min="8206" max="8206" width="10.90625" customWidth="1"/>
    <col min="8450" max="8450" width="17.26953125" customWidth="1"/>
    <col min="8451" max="8451" width="12" customWidth="1"/>
    <col min="8452" max="8452" width="11.54296875" customWidth="1"/>
    <col min="8453" max="8453" width="10.7265625" customWidth="1"/>
    <col min="8454" max="8454" width="10.08984375" customWidth="1"/>
    <col min="8455" max="8455" width="12.08984375" customWidth="1"/>
    <col min="8458" max="8458" width="10.54296875" customWidth="1"/>
    <col min="8459" max="8459" width="10.90625" customWidth="1"/>
    <col min="8460" max="8460" width="11.26953125" customWidth="1"/>
    <col min="8461" max="8461" width="10.7265625" customWidth="1"/>
    <col min="8462" max="8462" width="10.90625" customWidth="1"/>
    <col min="8706" max="8706" width="17.26953125" customWidth="1"/>
    <col min="8707" max="8707" width="12" customWidth="1"/>
    <col min="8708" max="8708" width="11.54296875" customWidth="1"/>
    <col min="8709" max="8709" width="10.7265625" customWidth="1"/>
    <col min="8710" max="8710" width="10.08984375" customWidth="1"/>
    <col min="8711" max="8711" width="12.08984375" customWidth="1"/>
    <col min="8714" max="8714" width="10.54296875" customWidth="1"/>
    <col min="8715" max="8715" width="10.90625" customWidth="1"/>
    <col min="8716" max="8716" width="11.26953125" customWidth="1"/>
    <col min="8717" max="8717" width="10.7265625" customWidth="1"/>
    <col min="8718" max="8718" width="10.90625" customWidth="1"/>
    <col min="8962" max="8962" width="17.26953125" customWidth="1"/>
    <col min="8963" max="8963" width="12" customWidth="1"/>
    <col min="8964" max="8964" width="11.54296875" customWidth="1"/>
    <col min="8965" max="8965" width="10.7265625" customWidth="1"/>
    <col min="8966" max="8966" width="10.08984375" customWidth="1"/>
    <col min="8967" max="8967" width="12.08984375" customWidth="1"/>
    <col min="8970" max="8970" width="10.54296875" customWidth="1"/>
    <col min="8971" max="8971" width="10.90625" customWidth="1"/>
    <col min="8972" max="8972" width="11.26953125" customWidth="1"/>
    <col min="8973" max="8973" width="10.7265625" customWidth="1"/>
    <col min="8974" max="8974" width="10.90625" customWidth="1"/>
    <col min="9218" max="9218" width="17.26953125" customWidth="1"/>
    <col min="9219" max="9219" width="12" customWidth="1"/>
    <col min="9220" max="9220" width="11.54296875" customWidth="1"/>
    <col min="9221" max="9221" width="10.7265625" customWidth="1"/>
    <col min="9222" max="9222" width="10.08984375" customWidth="1"/>
    <col min="9223" max="9223" width="12.08984375" customWidth="1"/>
    <col min="9226" max="9226" width="10.54296875" customWidth="1"/>
    <col min="9227" max="9227" width="10.90625" customWidth="1"/>
    <col min="9228" max="9228" width="11.26953125" customWidth="1"/>
    <col min="9229" max="9229" width="10.7265625" customWidth="1"/>
    <col min="9230" max="9230" width="10.90625" customWidth="1"/>
    <col min="9474" max="9474" width="17.26953125" customWidth="1"/>
    <col min="9475" max="9475" width="12" customWidth="1"/>
    <col min="9476" max="9476" width="11.54296875" customWidth="1"/>
    <col min="9477" max="9477" width="10.7265625" customWidth="1"/>
    <col min="9478" max="9478" width="10.08984375" customWidth="1"/>
    <col min="9479" max="9479" width="12.08984375" customWidth="1"/>
    <col min="9482" max="9482" width="10.54296875" customWidth="1"/>
    <col min="9483" max="9483" width="10.90625" customWidth="1"/>
    <col min="9484" max="9484" width="11.26953125" customWidth="1"/>
    <col min="9485" max="9485" width="10.7265625" customWidth="1"/>
    <col min="9486" max="9486" width="10.90625" customWidth="1"/>
    <col min="9730" max="9730" width="17.26953125" customWidth="1"/>
    <col min="9731" max="9731" width="12" customWidth="1"/>
    <col min="9732" max="9732" width="11.54296875" customWidth="1"/>
    <col min="9733" max="9733" width="10.7265625" customWidth="1"/>
    <col min="9734" max="9734" width="10.08984375" customWidth="1"/>
    <col min="9735" max="9735" width="12.08984375" customWidth="1"/>
    <col min="9738" max="9738" width="10.54296875" customWidth="1"/>
    <col min="9739" max="9739" width="10.90625" customWidth="1"/>
    <col min="9740" max="9740" width="11.26953125" customWidth="1"/>
    <col min="9741" max="9741" width="10.7265625" customWidth="1"/>
    <col min="9742" max="9742" width="10.90625" customWidth="1"/>
    <col min="9986" max="9986" width="17.26953125" customWidth="1"/>
    <col min="9987" max="9987" width="12" customWidth="1"/>
    <col min="9988" max="9988" width="11.54296875" customWidth="1"/>
    <col min="9989" max="9989" width="10.7265625" customWidth="1"/>
    <col min="9990" max="9990" width="10.08984375" customWidth="1"/>
    <col min="9991" max="9991" width="12.08984375" customWidth="1"/>
    <col min="9994" max="9994" width="10.54296875" customWidth="1"/>
    <col min="9995" max="9995" width="10.90625" customWidth="1"/>
    <col min="9996" max="9996" width="11.26953125" customWidth="1"/>
    <col min="9997" max="9997" width="10.7265625" customWidth="1"/>
    <col min="9998" max="9998" width="10.90625" customWidth="1"/>
    <col min="10242" max="10242" width="17.26953125" customWidth="1"/>
    <col min="10243" max="10243" width="12" customWidth="1"/>
    <col min="10244" max="10244" width="11.54296875" customWidth="1"/>
    <col min="10245" max="10245" width="10.7265625" customWidth="1"/>
    <col min="10246" max="10246" width="10.08984375" customWidth="1"/>
    <col min="10247" max="10247" width="12.08984375" customWidth="1"/>
    <col min="10250" max="10250" width="10.54296875" customWidth="1"/>
    <col min="10251" max="10251" width="10.90625" customWidth="1"/>
    <col min="10252" max="10252" width="11.26953125" customWidth="1"/>
    <col min="10253" max="10253" width="10.7265625" customWidth="1"/>
    <col min="10254" max="10254" width="10.90625" customWidth="1"/>
    <col min="10498" max="10498" width="17.26953125" customWidth="1"/>
    <col min="10499" max="10499" width="12" customWidth="1"/>
    <col min="10500" max="10500" width="11.54296875" customWidth="1"/>
    <col min="10501" max="10501" width="10.7265625" customWidth="1"/>
    <col min="10502" max="10502" width="10.08984375" customWidth="1"/>
    <col min="10503" max="10503" width="12.08984375" customWidth="1"/>
    <col min="10506" max="10506" width="10.54296875" customWidth="1"/>
    <col min="10507" max="10507" width="10.90625" customWidth="1"/>
    <col min="10508" max="10508" width="11.26953125" customWidth="1"/>
    <col min="10509" max="10509" width="10.7265625" customWidth="1"/>
    <col min="10510" max="10510" width="10.90625" customWidth="1"/>
    <col min="10754" max="10754" width="17.26953125" customWidth="1"/>
    <col min="10755" max="10755" width="12" customWidth="1"/>
    <col min="10756" max="10756" width="11.54296875" customWidth="1"/>
    <col min="10757" max="10757" width="10.7265625" customWidth="1"/>
    <col min="10758" max="10758" width="10.08984375" customWidth="1"/>
    <col min="10759" max="10759" width="12.08984375" customWidth="1"/>
    <col min="10762" max="10762" width="10.54296875" customWidth="1"/>
    <col min="10763" max="10763" width="10.90625" customWidth="1"/>
    <col min="10764" max="10764" width="11.26953125" customWidth="1"/>
    <col min="10765" max="10765" width="10.7265625" customWidth="1"/>
    <col min="10766" max="10766" width="10.90625" customWidth="1"/>
    <col min="11010" max="11010" width="17.26953125" customWidth="1"/>
    <col min="11011" max="11011" width="12" customWidth="1"/>
    <col min="11012" max="11012" width="11.54296875" customWidth="1"/>
    <col min="11013" max="11013" width="10.7265625" customWidth="1"/>
    <col min="11014" max="11014" width="10.08984375" customWidth="1"/>
    <col min="11015" max="11015" width="12.08984375" customWidth="1"/>
    <col min="11018" max="11018" width="10.54296875" customWidth="1"/>
    <col min="11019" max="11019" width="10.90625" customWidth="1"/>
    <col min="11020" max="11020" width="11.26953125" customWidth="1"/>
    <col min="11021" max="11021" width="10.7265625" customWidth="1"/>
    <col min="11022" max="11022" width="10.90625" customWidth="1"/>
    <col min="11266" max="11266" width="17.26953125" customWidth="1"/>
    <col min="11267" max="11267" width="12" customWidth="1"/>
    <col min="11268" max="11268" width="11.54296875" customWidth="1"/>
    <col min="11269" max="11269" width="10.7265625" customWidth="1"/>
    <col min="11270" max="11270" width="10.08984375" customWidth="1"/>
    <col min="11271" max="11271" width="12.08984375" customWidth="1"/>
    <col min="11274" max="11274" width="10.54296875" customWidth="1"/>
    <col min="11275" max="11275" width="10.90625" customWidth="1"/>
    <col min="11276" max="11276" width="11.26953125" customWidth="1"/>
    <col min="11277" max="11277" width="10.7265625" customWidth="1"/>
    <col min="11278" max="11278" width="10.90625" customWidth="1"/>
    <col min="11522" max="11522" width="17.26953125" customWidth="1"/>
    <col min="11523" max="11523" width="12" customWidth="1"/>
    <col min="11524" max="11524" width="11.54296875" customWidth="1"/>
    <col min="11525" max="11525" width="10.7265625" customWidth="1"/>
    <col min="11526" max="11526" width="10.08984375" customWidth="1"/>
    <col min="11527" max="11527" width="12.08984375" customWidth="1"/>
    <col min="11530" max="11530" width="10.54296875" customWidth="1"/>
    <col min="11531" max="11531" width="10.90625" customWidth="1"/>
    <col min="11532" max="11532" width="11.26953125" customWidth="1"/>
    <col min="11533" max="11533" width="10.7265625" customWidth="1"/>
    <col min="11534" max="11534" width="10.90625" customWidth="1"/>
    <col min="11778" max="11778" width="17.26953125" customWidth="1"/>
    <col min="11779" max="11779" width="12" customWidth="1"/>
    <col min="11780" max="11780" width="11.54296875" customWidth="1"/>
    <col min="11781" max="11781" width="10.7265625" customWidth="1"/>
    <col min="11782" max="11782" width="10.08984375" customWidth="1"/>
    <col min="11783" max="11783" width="12.08984375" customWidth="1"/>
    <col min="11786" max="11786" width="10.54296875" customWidth="1"/>
    <col min="11787" max="11787" width="10.90625" customWidth="1"/>
    <col min="11788" max="11788" width="11.26953125" customWidth="1"/>
    <col min="11789" max="11789" width="10.7265625" customWidth="1"/>
    <col min="11790" max="11790" width="10.90625" customWidth="1"/>
    <col min="12034" max="12034" width="17.26953125" customWidth="1"/>
    <col min="12035" max="12035" width="12" customWidth="1"/>
    <col min="12036" max="12036" width="11.54296875" customWidth="1"/>
    <col min="12037" max="12037" width="10.7265625" customWidth="1"/>
    <col min="12038" max="12038" width="10.08984375" customWidth="1"/>
    <col min="12039" max="12039" width="12.08984375" customWidth="1"/>
    <col min="12042" max="12042" width="10.54296875" customWidth="1"/>
    <col min="12043" max="12043" width="10.90625" customWidth="1"/>
    <col min="12044" max="12044" width="11.26953125" customWidth="1"/>
    <col min="12045" max="12045" width="10.7265625" customWidth="1"/>
    <col min="12046" max="12046" width="10.90625" customWidth="1"/>
    <col min="12290" max="12290" width="17.26953125" customWidth="1"/>
    <col min="12291" max="12291" width="12" customWidth="1"/>
    <col min="12292" max="12292" width="11.54296875" customWidth="1"/>
    <col min="12293" max="12293" width="10.7265625" customWidth="1"/>
    <col min="12294" max="12294" width="10.08984375" customWidth="1"/>
    <col min="12295" max="12295" width="12.08984375" customWidth="1"/>
    <col min="12298" max="12298" width="10.54296875" customWidth="1"/>
    <col min="12299" max="12299" width="10.90625" customWidth="1"/>
    <col min="12300" max="12300" width="11.26953125" customWidth="1"/>
    <col min="12301" max="12301" width="10.7265625" customWidth="1"/>
    <col min="12302" max="12302" width="10.90625" customWidth="1"/>
    <col min="12546" max="12546" width="17.26953125" customWidth="1"/>
    <col min="12547" max="12547" width="12" customWidth="1"/>
    <col min="12548" max="12548" width="11.54296875" customWidth="1"/>
    <col min="12549" max="12549" width="10.7265625" customWidth="1"/>
    <col min="12550" max="12550" width="10.08984375" customWidth="1"/>
    <col min="12551" max="12551" width="12.08984375" customWidth="1"/>
    <col min="12554" max="12554" width="10.54296875" customWidth="1"/>
    <col min="12555" max="12555" width="10.90625" customWidth="1"/>
    <col min="12556" max="12556" width="11.26953125" customWidth="1"/>
    <col min="12557" max="12557" width="10.7265625" customWidth="1"/>
    <col min="12558" max="12558" width="10.90625" customWidth="1"/>
    <col min="12802" max="12802" width="17.26953125" customWidth="1"/>
    <col min="12803" max="12803" width="12" customWidth="1"/>
    <col min="12804" max="12804" width="11.54296875" customWidth="1"/>
    <col min="12805" max="12805" width="10.7265625" customWidth="1"/>
    <col min="12806" max="12806" width="10.08984375" customWidth="1"/>
    <col min="12807" max="12807" width="12.08984375" customWidth="1"/>
    <col min="12810" max="12810" width="10.54296875" customWidth="1"/>
    <col min="12811" max="12811" width="10.90625" customWidth="1"/>
    <col min="12812" max="12812" width="11.26953125" customWidth="1"/>
    <col min="12813" max="12813" width="10.7265625" customWidth="1"/>
    <col min="12814" max="12814" width="10.90625" customWidth="1"/>
    <col min="13058" max="13058" width="17.26953125" customWidth="1"/>
    <col min="13059" max="13059" width="12" customWidth="1"/>
    <col min="13060" max="13060" width="11.54296875" customWidth="1"/>
    <col min="13061" max="13061" width="10.7265625" customWidth="1"/>
    <col min="13062" max="13062" width="10.08984375" customWidth="1"/>
    <col min="13063" max="13063" width="12.08984375" customWidth="1"/>
    <col min="13066" max="13066" width="10.54296875" customWidth="1"/>
    <col min="13067" max="13067" width="10.90625" customWidth="1"/>
    <col min="13068" max="13068" width="11.26953125" customWidth="1"/>
    <col min="13069" max="13069" width="10.7265625" customWidth="1"/>
    <col min="13070" max="13070" width="10.90625" customWidth="1"/>
    <col min="13314" max="13314" width="17.26953125" customWidth="1"/>
    <col min="13315" max="13315" width="12" customWidth="1"/>
    <col min="13316" max="13316" width="11.54296875" customWidth="1"/>
    <col min="13317" max="13317" width="10.7265625" customWidth="1"/>
    <col min="13318" max="13318" width="10.08984375" customWidth="1"/>
    <col min="13319" max="13319" width="12.08984375" customWidth="1"/>
    <col min="13322" max="13322" width="10.54296875" customWidth="1"/>
    <col min="13323" max="13323" width="10.90625" customWidth="1"/>
    <col min="13324" max="13324" width="11.26953125" customWidth="1"/>
    <col min="13325" max="13325" width="10.7265625" customWidth="1"/>
    <col min="13326" max="13326" width="10.90625" customWidth="1"/>
    <col min="13570" max="13570" width="17.26953125" customWidth="1"/>
    <col min="13571" max="13571" width="12" customWidth="1"/>
    <col min="13572" max="13572" width="11.54296875" customWidth="1"/>
    <col min="13573" max="13573" width="10.7265625" customWidth="1"/>
    <col min="13574" max="13574" width="10.08984375" customWidth="1"/>
    <col min="13575" max="13575" width="12.08984375" customWidth="1"/>
    <col min="13578" max="13578" width="10.54296875" customWidth="1"/>
    <col min="13579" max="13579" width="10.90625" customWidth="1"/>
    <col min="13580" max="13580" width="11.26953125" customWidth="1"/>
    <col min="13581" max="13581" width="10.7265625" customWidth="1"/>
    <col min="13582" max="13582" width="10.90625" customWidth="1"/>
    <col min="13826" max="13826" width="17.26953125" customWidth="1"/>
    <col min="13827" max="13827" width="12" customWidth="1"/>
    <col min="13828" max="13828" width="11.54296875" customWidth="1"/>
    <col min="13829" max="13829" width="10.7265625" customWidth="1"/>
    <col min="13830" max="13830" width="10.08984375" customWidth="1"/>
    <col min="13831" max="13831" width="12.08984375" customWidth="1"/>
    <col min="13834" max="13834" width="10.54296875" customWidth="1"/>
    <col min="13835" max="13835" width="10.90625" customWidth="1"/>
    <col min="13836" max="13836" width="11.26953125" customWidth="1"/>
    <col min="13837" max="13837" width="10.7265625" customWidth="1"/>
    <col min="13838" max="13838" width="10.90625" customWidth="1"/>
    <col min="14082" max="14082" width="17.26953125" customWidth="1"/>
    <col min="14083" max="14083" width="12" customWidth="1"/>
    <col min="14084" max="14084" width="11.54296875" customWidth="1"/>
    <col min="14085" max="14085" width="10.7265625" customWidth="1"/>
    <col min="14086" max="14086" width="10.08984375" customWidth="1"/>
    <col min="14087" max="14087" width="12.08984375" customWidth="1"/>
    <col min="14090" max="14090" width="10.54296875" customWidth="1"/>
    <col min="14091" max="14091" width="10.90625" customWidth="1"/>
    <col min="14092" max="14092" width="11.26953125" customWidth="1"/>
    <col min="14093" max="14093" width="10.7265625" customWidth="1"/>
    <col min="14094" max="14094" width="10.90625" customWidth="1"/>
    <col min="14338" max="14338" width="17.26953125" customWidth="1"/>
    <col min="14339" max="14339" width="12" customWidth="1"/>
    <col min="14340" max="14340" width="11.54296875" customWidth="1"/>
    <col min="14341" max="14341" width="10.7265625" customWidth="1"/>
    <col min="14342" max="14342" width="10.08984375" customWidth="1"/>
    <col min="14343" max="14343" width="12.08984375" customWidth="1"/>
    <col min="14346" max="14346" width="10.54296875" customWidth="1"/>
    <col min="14347" max="14347" width="10.90625" customWidth="1"/>
    <col min="14348" max="14348" width="11.26953125" customWidth="1"/>
    <col min="14349" max="14349" width="10.7265625" customWidth="1"/>
    <col min="14350" max="14350" width="10.90625" customWidth="1"/>
    <col min="14594" max="14594" width="17.26953125" customWidth="1"/>
    <col min="14595" max="14595" width="12" customWidth="1"/>
    <col min="14596" max="14596" width="11.54296875" customWidth="1"/>
    <col min="14597" max="14597" width="10.7265625" customWidth="1"/>
    <col min="14598" max="14598" width="10.08984375" customWidth="1"/>
    <col min="14599" max="14599" width="12.08984375" customWidth="1"/>
    <col min="14602" max="14602" width="10.54296875" customWidth="1"/>
    <col min="14603" max="14603" width="10.90625" customWidth="1"/>
    <col min="14604" max="14604" width="11.26953125" customWidth="1"/>
    <col min="14605" max="14605" width="10.7265625" customWidth="1"/>
    <col min="14606" max="14606" width="10.90625" customWidth="1"/>
    <col min="14850" max="14850" width="17.26953125" customWidth="1"/>
    <col min="14851" max="14851" width="12" customWidth="1"/>
    <col min="14852" max="14852" width="11.54296875" customWidth="1"/>
    <col min="14853" max="14853" width="10.7265625" customWidth="1"/>
    <col min="14854" max="14854" width="10.08984375" customWidth="1"/>
    <col min="14855" max="14855" width="12.08984375" customWidth="1"/>
    <col min="14858" max="14858" width="10.54296875" customWidth="1"/>
    <col min="14859" max="14859" width="10.90625" customWidth="1"/>
    <col min="14860" max="14860" width="11.26953125" customWidth="1"/>
    <col min="14861" max="14861" width="10.7265625" customWidth="1"/>
    <col min="14862" max="14862" width="10.90625" customWidth="1"/>
    <col min="15106" max="15106" width="17.26953125" customWidth="1"/>
    <col min="15107" max="15107" width="12" customWidth="1"/>
    <col min="15108" max="15108" width="11.54296875" customWidth="1"/>
    <col min="15109" max="15109" width="10.7265625" customWidth="1"/>
    <col min="15110" max="15110" width="10.08984375" customWidth="1"/>
    <col min="15111" max="15111" width="12.08984375" customWidth="1"/>
    <col min="15114" max="15114" width="10.54296875" customWidth="1"/>
    <col min="15115" max="15115" width="10.90625" customWidth="1"/>
    <col min="15116" max="15116" width="11.26953125" customWidth="1"/>
    <col min="15117" max="15117" width="10.7265625" customWidth="1"/>
    <col min="15118" max="15118" width="10.90625" customWidth="1"/>
    <col min="15362" max="15362" width="17.26953125" customWidth="1"/>
    <col min="15363" max="15363" width="12" customWidth="1"/>
    <col min="15364" max="15364" width="11.54296875" customWidth="1"/>
    <col min="15365" max="15365" width="10.7265625" customWidth="1"/>
    <col min="15366" max="15366" width="10.08984375" customWidth="1"/>
    <col min="15367" max="15367" width="12.08984375" customWidth="1"/>
    <col min="15370" max="15370" width="10.54296875" customWidth="1"/>
    <col min="15371" max="15371" width="10.90625" customWidth="1"/>
    <col min="15372" max="15372" width="11.26953125" customWidth="1"/>
    <col min="15373" max="15373" width="10.7265625" customWidth="1"/>
    <col min="15374" max="15374" width="10.90625" customWidth="1"/>
    <col min="15618" max="15618" width="17.26953125" customWidth="1"/>
    <col min="15619" max="15619" width="12" customWidth="1"/>
    <col min="15620" max="15620" width="11.54296875" customWidth="1"/>
    <col min="15621" max="15621" width="10.7265625" customWidth="1"/>
    <col min="15622" max="15622" width="10.08984375" customWidth="1"/>
    <col min="15623" max="15623" width="12.08984375" customWidth="1"/>
    <col min="15626" max="15626" width="10.54296875" customWidth="1"/>
    <col min="15627" max="15627" width="10.90625" customWidth="1"/>
    <col min="15628" max="15628" width="11.26953125" customWidth="1"/>
    <col min="15629" max="15629" width="10.7265625" customWidth="1"/>
    <col min="15630" max="15630" width="10.90625" customWidth="1"/>
    <col min="15874" max="15874" width="17.26953125" customWidth="1"/>
    <col min="15875" max="15875" width="12" customWidth="1"/>
    <col min="15876" max="15876" width="11.54296875" customWidth="1"/>
    <col min="15877" max="15877" width="10.7265625" customWidth="1"/>
    <col min="15878" max="15878" width="10.08984375" customWidth="1"/>
    <col min="15879" max="15879" width="12.08984375" customWidth="1"/>
    <col min="15882" max="15882" width="10.54296875" customWidth="1"/>
    <col min="15883" max="15883" width="10.90625" customWidth="1"/>
    <col min="15884" max="15884" width="11.26953125" customWidth="1"/>
    <col min="15885" max="15885" width="10.7265625" customWidth="1"/>
    <col min="15886" max="15886" width="10.90625" customWidth="1"/>
    <col min="16130" max="16130" width="17.26953125" customWidth="1"/>
    <col min="16131" max="16131" width="12" customWidth="1"/>
    <col min="16132" max="16132" width="11.54296875" customWidth="1"/>
    <col min="16133" max="16133" width="10.7265625" customWidth="1"/>
    <col min="16134" max="16134" width="10.08984375" customWidth="1"/>
    <col min="16135" max="16135" width="12.08984375" customWidth="1"/>
    <col min="16138" max="16138" width="10.54296875" customWidth="1"/>
    <col min="16139" max="16139" width="10.90625" customWidth="1"/>
    <col min="16140" max="16140" width="11.26953125" customWidth="1"/>
    <col min="16141" max="16141" width="10.7265625" customWidth="1"/>
    <col min="16142" max="16142" width="10.90625" customWidth="1"/>
  </cols>
  <sheetData>
    <row r="1" spans="2:7" ht="20" x14ac:dyDescent="0.4">
      <c r="B1" s="1" t="s">
        <v>268</v>
      </c>
    </row>
    <row r="3" spans="2:7" ht="15.5" x14ac:dyDescent="0.35">
      <c r="B3" s="128" t="s">
        <v>415</v>
      </c>
    </row>
    <row r="4" spans="2:7" ht="15.5" x14ac:dyDescent="0.35">
      <c r="B4" s="128"/>
    </row>
    <row r="5" spans="2:7" x14ac:dyDescent="0.35">
      <c r="B5" s="111" t="s">
        <v>274</v>
      </c>
    </row>
    <row r="6" spans="2:7" x14ac:dyDescent="0.35">
      <c r="B6" s="161" t="s">
        <v>280</v>
      </c>
      <c r="C6" s="2"/>
      <c r="E6" s="162">
        <v>100</v>
      </c>
      <c r="F6" s="161" t="s">
        <v>271</v>
      </c>
    </row>
    <row r="7" spans="2:7" x14ac:dyDescent="0.35">
      <c r="B7" t="s">
        <v>275</v>
      </c>
      <c r="E7" s="112">
        <v>0.06</v>
      </c>
    </row>
    <row r="8" spans="2:7" x14ac:dyDescent="0.35">
      <c r="B8" t="s">
        <v>279</v>
      </c>
      <c r="E8">
        <v>3</v>
      </c>
      <c r="F8" t="s">
        <v>276</v>
      </c>
    </row>
    <row r="9" spans="2:7" x14ac:dyDescent="0.35">
      <c r="E9" s="112"/>
    </row>
    <row r="10" spans="2:7" x14ac:dyDescent="0.35">
      <c r="B10" s="111" t="s">
        <v>277</v>
      </c>
      <c r="E10" s="112"/>
    </row>
    <row r="11" spans="2:7" x14ac:dyDescent="0.35">
      <c r="B11" t="s">
        <v>193</v>
      </c>
      <c r="E11" s="282">
        <v>1.1499999999999999</v>
      </c>
      <c r="F11" t="s">
        <v>272</v>
      </c>
    </row>
    <row r="12" spans="2:7" x14ac:dyDescent="0.35">
      <c r="B12" s="161" t="s">
        <v>278</v>
      </c>
      <c r="E12" s="15">
        <f>+E11*E6</f>
        <v>114.99999999999999</v>
      </c>
      <c r="F12" t="s">
        <v>141</v>
      </c>
    </row>
    <row r="13" spans="2:7" x14ac:dyDescent="0.35">
      <c r="B13" t="s">
        <v>281</v>
      </c>
      <c r="E13" s="112">
        <v>7.0000000000000007E-2</v>
      </c>
    </row>
    <row r="14" spans="2:7" x14ac:dyDescent="0.35">
      <c r="E14" s="4"/>
    </row>
    <row r="15" spans="2:7" x14ac:dyDescent="0.35">
      <c r="B15" s="129" t="s">
        <v>269</v>
      </c>
      <c r="C15" s="114"/>
      <c r="D15" s="114"/>
      <c r="E15" s="114"/>
    </row>
    <row r="16" spans="2:7" ht="70" customHeight="1" thickBot="1" x14ac:dyDescent="0.4">
      <c r="B16" s="106" t="s">
        <v>197</v>
      </c>
      <c r="C16" s="106" t="s">
        <v>198</v>
      </c>
      <c r="D16" s="106" t="s">
        <v>270</v>
      </c>
      <c r="E16" s="106" t="s">
        <v>200</v>
      </c>
      <c r="G16" s="106" t="s">
        <v>201</v>
      </c>
    </row>
    <row r="17" spans="2:11" x14ac:dyDescent="0.35">
      <c r="B17" s="27">
        <v>1</v>
      </c>
      <c r="C17" s="130">
        <f>-$E$7*$E$6</f>
        <v>-6</v>
      </c>
      <c r="D17" s="131">
        <v>1.1499999999999999</v>
      </c>
      <c r="E17">
        <f>+D17*C17</f>
        <v>-6.8999999999999995</v>
      </c>
      <c r="G17" s="132">
        <f>-E17/((1+$E$7)^B17)</f>
        <v>6.5094339622641497</v>
      </c>
    </row>
    <row r="18" spans="2:11" x14ac:dyDescent="0.35">
      <c r="B18" s="27">
        <v>2</v>
      </c>
      <c r="C18" s="130">
        <f>-$E$7*$E$6</f>
        <v>-6</v>
      </c>
      <c r="D18" s="131">
        <v>1.17</v>
      </c>
      <c r="E18">
        <f>+D18*C18</f>
        <v>-7.02</v>
      </c>
      <c r="G18" s="132">
        <f>-E18/((1+$E$7)^B18)</f>
        <v>6.2477750088999633</v>
      </c>
    </row>
    <row r="19" spans="2:11" x14ac:dyDescent="0.35">
      <c r="B19" s="27">
        <v>3</v>
      </c>
      <c r="C19" s="130">
        <f>-$E$7*$E$6-E6</f>
        <v>-106</v>
      </c>
      <c r="D19" s="131">
        <v>1.21</v>
      </c>
      <c r="E19">
        <f>+D19*C19</f>
        <v>-128.26</v>
      </c>
      <c r="G19" s="132">
        <f>-E19/((1+$E$7)^B19)</f>
        <v>107.68956924172299</v>
      </c>
    </row>
    <row r="20" spans="2:11" ht="15" thickBot="1" x14ac:dyDescent="0.4">
      <c r="G20" s="133">
        <f>SUM(G17:G19)</f>
        <v>120.44677821288711</v>
      </c>
    </row>
    <row r="21" spans="2:11" ht="27.75" customHeight="1" thickTop="1" thickBot="1" x14ac:dyDescent="0.4"/>
    <row r="22" spans="2:11" ht="15" thickBot="1" x14ac:dyDescent="0.4">
      <c r="B22" s="129" t="s">
        <v>282</v>
      </c>
      <c r="C22" s="114"/>
      <c r="D22" s="114"/>
      <c r="E22" s="114"/>
      <c r="J22" s="134" t="s">
        <v>204</v>
      </c>
      <c r="K22" s="135">
        <f>+G20-G27</f>
        <v>2.3728144710062793</v>
      </c>
    </row>
    <row r="23" spans="2:11" ht="66" thickBot="1" x14ac:dyDescent="0.4">
      <c r="B23" s="106" t="s">
        <v>197</v>
      </c>
      <c r="C23" s="106" t="s">
        <v>202</v>
      </c>
      <c r="D23" s="106"/>
      <c r="E23" s="106" t="s">
        <v>200</v>
      </c>
      <c r="G23" s="106" t="s">
        <v>203</v>
      </c>
    </row>
    <row r="24" spans="2:11" x14ac:dyDescent="0.35">
      <c r="B24" s="27">
        <v>1</v>
      </c>
      <c r="C24" s="130">
        <f>-$E$6*$E$13*$E$11</f>
        <v>-8.0500000000000007</v>
      </c>
      <c r="D24" s="131"/>
      <c r="E24" s="130">
        <f>+C24</f>
        <v>-8.0500000000000007</v>
      </c>
      <c r="G24" s="132">
        <f>-E24/((1+$E$7)^B24)</f>
        <v>7.5943396226415096</v>
      </c>
    </row>
    <row r="25" spans="2:11" x14ac:dyDescent="0.35">
      <c r="B25" s="27">
        <v>2</v>
      </c>
      <c r="C25" s="130">
        <f>-$E$6*$E$13*$E$11</f>
        <v>-8.0500000000000007</v>
      </c>
      <c r="D25" s="131"/>
      <c r="E25" s="130">
        <f>+C25</f>
        <v>-8.0500000000000007</v>
      </c>
      <c r="G25" s="132">
        <f>-E25/((1+$E$7)^B25)</f>
        <v>7.1644713421146315</v>
      </c>
    </row>
    <row r="26" spans="2:11" x14ac:dyDescent="0.35">
      <c r="B26" s="27">
        <v>3</v>
      </c>
      <c r="C26" s="130">
        <f>-$E$6*$E$13*$E$11-(E6*E11)</f>
        <v>-123.04999999999998</v>
      </c>
      <c r="D26" s="131"/>
      <c r="E26" s="130">
        <f>+C26</f>
        <v>-123.04999999999998</v>
      </c>
      <c r="G26" s="132">
        <f>-E26/((1+$E$7)^B26)</f>
        <v>103.31515277712469</v>
      </c>
    </row>
    <row r="27" spans="2:11" ht="15" thickBot="1" x14ac:dyDescent="0.4">
      <c r="G27" s="133">
        <f>SUM(G24:G26)</f>
        <v>118.07396374188083</v>
      </c>
    </row>
    <row r="28" spans="2:11" ht="15" thickTop="1" x14ac:dyDescent="0.35"/>
    <row r="29" spans="2:11" ht="11.5" customHeight="1" x14ac:dyDescent="0.35">
      <c r="K29" s="7" t="s">
        <v>273</v>
      </c>
    </row>
    <row r="30" spans="2:11" ht="11.5" customHeight="1" x14ac:dyDescent="0.35"/>
    <row r="31" spans="2:11" ht="11.5" customHeight="1" x14ac:dyDescent="0.35"/>
    <row r="32" spans="2:11" ht="11.5" customHeight="1" x14ac:dyDescent="0.35"/>
    <row r="33" ht="11.5" customHeight="1" x14ac:dyDescent="0.35"/>
    <row r="34" ht="11.5" customHeight="1" x14ac:dyDescent="0.35"/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920278-E55B-4D54-968F-3F0EEA9A33E9}">
  <dimension ref="B2:G21"/>
  <sheetViews>
    <sheetView showGridLines="0" workbookViewId="0">
      <selection activeCell="K12" sqref="K12"/>
    </sheetView>
  </sheetViews>
  <sheetFormatPr defaultRowHeight="14.5" x14ac:dyDescent="0.35"/>
  <cols>
    <col min="1" max="1" width="4.81640625" customWidth="1"/>
    <col min="2" max="2" width="12" customWidth="1"/>
    <col min="3" max="3" width="12.7265625" customWidth="1"/>
    <col min="4" max="4" width="13" customWidth="1"/>
    <col min="5" max="7" width="13.90625" customWidth="1"/>
  </cols>
  <sheetData>
    <row r="2" spans="2:7" ht="21" x14ac:dyDescent="0.5">
      <c r="B2" s="247" t="s">
        <v>420</v>
      </c>
    </row>
    <row r="4" spans="2:7" x14ac:dyDescent="0.35">
      <c r="B4" s="12" t="s">
        <v>431</v>
      </c>
    </row>
    <row r="5" spans="2:7" x14ac:dyDescent="0.35">
      <c r="B5" t="s">
        <v>424</v>
      </c>
      <c r="C5" s="9">
        <v>100000000</v>
      </c>
    </row>
    <row r="6" spans="2:7" x14ac:dyDescent="0.35">
      <c r="B6" t="s">
        <v>421</v>
      </c>
      <c r="C6" s="7" t="s">
        <v>425</v>
      </c>
    </row>
    <row r="7" spans="2:7" x14ac:dyDescent="0.35">
      <c r="B7" t="s">
        <v>422</v>
      </c>
      <c r="C7">
        <v>5</v>
      </c>
      <c r="D7" t="s">
        <v>276</v>
      </c>
    </row>
    <row r="9" spans="2:7" x14ac:dyDescent="0.35">
      <c r="B9" s="12" t="s">
        <v>423</v>
      </c>
    </row>
    <row r="10" spans="2:7" x14ac:dyDescent="0.35">
      <c r="B10" t="s">
        <v>140</v>
      </c>
      <c r="C10" s="9">
        <v>100000000</v>
      </c>
      <c r="D10" t="s">
        <v>141</v>
      </c>
    </row>
    <row r="12" spans="2:7" ht="72.5" x14ac:dyDescent="0.35">
      <c r="B12" s="245" t="s">
        <v>417</v>
      </c>
      <c r="C12" s="245" t="s">
        <v>418</v>
      </c>
      <c r="D12" s="245" t="s">
        <v>419</v>
      </c>
      <c r="E12" s="245" t="s">
        <v>426</v>
      </c>
      <c r="F12" s="245" t="s">
        <v>427</v>
      </c>
      <c r="G12" s="245" t="s">
        <v>428</v>
      </c>
    </row>
    <row r="13" spans="2:7" x14ac:dyDescent="0.35">
      <c r="B13" s="182">
        <v>0</v>
      </c>
      <c r="C13" s="182"/>
      <c r="D13" s="182"/>
      <c r="E13" s="182"/>
      <c r="F13" s="182"/>
      <c r="G13" s="182"/>
    </row>
    <row r="14" spans="2:7" x14ac:dyDescent="0.35">
      <c r="B14" s="182">
        <v>1</v>
      </c>
      <c r="C14" s="246">
        <v>0.03</v>
      </c>
      <c r="D14" s="246">
        <v>0.02</v>
      </c>
      <c r="E14" s="248">
        <f>+C14*$C$5</f>
        <v>3000000</v>
      </c>
      <c r="F14" s="249">
        <f>-D14*$C$10</f>
        <v>-2000000</v>
      </c>
      <c r="G14" s="249">
        <f>+E14+F14</f>
        <v>1000000</v>
      </c>
    </row>
    <row r="15" spans="2:7" x14ac:dyDescent="0.35">
      <c r="B15" s="182">
        <v>2</v>
      </c>
      <c r="C15" s="246">
        <v>0.03</v>
      </c>
      <c r="D15" s="246">
        <v>2.4E-2</v>
      </c>
      <c r="E15" s="248">
        <f t="shared" ref="E15:E18" si="0">+C15*$C$5</f>
        <v>3000000</v>
      </c>
      <c r="F15" s="249">
        <f t="shared" ref="F15:F18" si="1">-D15*$C$10</f>
        <v>-2400000</v>
      </c>
      <c r="G15" s="249">
        <f t="shared" ref="G15:G18" si="2">+E15+F15</f>
        <v>600000</v>
      </c>
    </row>
    <row r="16" spans="2:7" x14ac:dyDescent="0.35">
      <c r="B16" s="182">
        <v>3</v>
      </c>
      <c r="C16" s="246">
        <v>0.03</v>
      </c>
      <c r="D16" s="246">
        <v>3.2500000000000001E-2</v>
      </c>
      <c r="E16" s="248">
        <f t="shared" si="0"/>
        <v>3000000</v>
      </c>
      <c r="F16" s="249">
        <f t="shared" si="1"/>
        <v>-3250000</v>
      </c>
      <c r="G16" s="249">
        <f t="shared" si="2"/>
        <v>-250000</v>
      </c>
    </row>
    <row r="17" spans="2:7" x14ac:dyDescent="0.35">
      <c r="B17" s="182">
        <v>4</v>
      </c>
      <c r="C17" s="246">
        <v>0.03</v>
      </c>
      <c r="D17" s="246">
        <v>0.04</v>
      </c>
      <c r="E17" s="248">
        <f t="shared" si="0"/>
        <v>3000000</v>
      </c>
      <c r="F17" s="249">
        <f t="shared" si="1"/>
        <v>-4000000</v>
      </c>
      <c r="G17" s="249">
        <f t="shared" si="2"/>
        <v>-1000000</v>
      </c>
    </row>
    <row r="18" spans="2:7" x14ac:dyDescent="0.35">
      <c r="B18" s="182">
        <v>5</v>
      </c>
      <c r="C18" s="246">
        <v>0.03</v>
      </c>
      <c r="D18" s="246">
        <v>0.04</v>
      </c>
      <c r="E18" s="248">
        <f t="shared" si="0"/>
        <v>3000000</v>
      </c>
      <c r="F18" s="249">
        <f t="shared" si="1"/>
        <v>-4000000</v>
      </c>
      <c r="G18" s="249">
        <f t="shared" si="2"/>
        <v>-1000000</v>
      </c>
    </row>
    <row r="19" spans="2:7" ht="15" thickBot="1" x14ac:dyDescent="0.4">
      <c r="B19" s="244" t="s">
        <v>429</v>
      </c>
      <c r="C19" s="244"/>
      <c r="D19" s="244"/>
      <c r="E19" s="244"/>
      <c r="F19" s="244"/>
      <c r="G19" s="250">
        <f>SUM(G14:G18)</f>
        <v>-650000</v>
      </c>
    </row>
    <row r="20" spans="2:7" ht="15" thickTop="1" x14ac:dyDescent="0.35">
      <c r="B20" s="244"/>
      <c r="C20" s="244"/>
      <c r="D20" s="244"/>
      <c r="E20" s="244"/>
      <c r="F20" s="244"/>
      <c r="G20" s="244"/>
    </row>
    <row r="21" spans="2:7" x14ac:dyDescent="0.35">
      <c r="G21" s="7" t="s">
        <v>430</v>
      </c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44F191-CEEC-4BBD-883F-990B62B705F7}">
  <dimension ref="A1:R36"/>
  <sheetViews>
    <sheetView workbookViewId="0">
      <selection activeCell="I7" sqref="I7"/>
    </sheetView>
  </sheetViews>
  <sheetFormatPr defaultRowHeight="14.5" x14ac:dyDescent="0.35"/>
  <cols>
    <col min="1" max="1" width="5.08984375" customWidth="1"/>
    <col min="2" max="2" width="9.453125" customWidth="1"/>
    <col min="3" max="3" width="12.26953125" customWidth="1"/>
    <col min="4" max="4" width="11.36328125" customWidth="1"/>
    <col min="5" max="5" width="11.08984375" customWidth="1"/>
    <col min="6" max="6" width="3.6328125" customWidth="1"/>
    <col min="7" max="7" width="6" customWidth="1"/>
    <col min="8" max="8" width="7.7265625" customWidth="1"/>
    <col min="9" max="9" width="12.08984375" customWidth="1"/>
    <col min="11" max="11" width="4.1796875" customWidth="1"/>
    <col min="12" max="12" width="10.54296875" customWidth="1"/>
    <col min="13" max="13" width="10.90625" customWidth="1"/>
    <col min="14" max="14" width="11.26953125" customWidth="1"/>
    <col min="15" max="15" width="8.453125" customWidth="1"/>
    <col min="16" max="16" width="2.81640625" customWidth="1"/>
    <col min="259" max="259" width="17.26953125" customWidth="1"/>
    <col min="260" max="260" width="12" customWidth="1"/>
    <col min="261" max="261" width="11.54296875" customWidth="1"/>
    <col min="262" max="262" width="10.7265625" customWidth="1"/>
    <col min="263" max="263" width="10.08984375" customWidth="1"/>
    <col min="264" max="264" width="12.08984375" customWidth="1"/>
    <col min="267" max="267" width="10.54296875" customWidth="1"/>
    <col min="268" max="268" width="10.90625" customWidth="1"/>
    <col min="269" max="269" width="11.26953125" customWidth="1"/>
    <col min="270" max="270" width="10.7265625" customWidth="1"/>
    <col min="271" max="271" width="10.90625" customWidth="1"/>
    <col min="515" max="515" width="17.26953125" customWidth="1"/>
    <col min="516" max="516" width="12" customWidth="1"/>
    <col min="517" max="517" width="11.54296875" customWidth="1"/>
    <col min="518" max="518" width="10.7265625" customWidth="1"/>
    <col min="519" max="519" width="10.08984375" customWidth="1"/>
    <col min="520" max="520" width="12.08984375" customWidth="1"/>
    <col min="523" max="523" width="10.54296875" customWidth="1"/>
    <col min="524" max="524" width="10.90625" customWidth="1"/>
    <col min="525" max="525" width="11.26953125" customWidth="1"/>
    <col min="526" max="526" width="10.7265625" customWidth="1"/>
    <col min="527" max="527" width="10.90625" customWidth="1"/>
    <col min="771" max="771" width="17.26953125" customWidth="1"/>
    <col min="772" max="772" width="12" customWidth="1"/>
    <col min="773" max="773" width="11.54296875" customWidth="1"/>
    <col min="774" max="774" width="10.7265625" customWidth="1"/>
    <col min="775" max="775" width="10.08984375" customWidth="1"/>
    <col min="776" max="776" width="12.08984375" customWidth="1"/>
    <col min="779" max="779" width="10.54296875" customWidth="1"/>
    <col min="780" max="780" width="10.90625" customWidth="1"/>
    <col min="781" max="781" width="11.26953125" customWidth="1"/>
    <col min="782" max="782" width="10.7265625" customWidth="1"/>
    <col min="783" max="783" width="10.90625" customWidth="1"/>
    <col min="1027" max="1027" width="17.26953125" customWidth="1"/>
    <col min="1028" max="1028" width="12" customWidth="1"/>
    <col min="1029" max="1029" width="11.54296875" customWidth="1"/>
    <col min="1030" max="1030" width="10.7265625" customWidth="1"/>
    <col min="1031" max="1031" width="10.08984375" customWidth="1"/>
    <col min="1032" max="1032" width="12.08984375" customWidth="1"/>
    <col min="1035" max="1035" width="10.54296875" customWidth="1"/>
    <col min="1036" max="1036" width="10.90625" customWidth="1"/>
    <col min="1037" max="1037" width="11.26953125" customWidth="1"/>
    <col min="1038" max="1038" width="10.7265625" customWidth="1"/>
    <col min="1039" max="1039" width="10.90625" customWidth="1"/>
    <col min="1283" max="1283" width="17.26953125" customWidth="1"/>
    <col min="1284" max="1284" width="12" customWidth="1"/>
    <col min="1285" max="1285" width="11.54296875" customWidth="1"/>
    <col min="1286" max="1286" width="10.7265625" customWidth="1"/>
    <col min="1287" max="1287" width="10.08984375" customWidth="1"/>
    <col min="1288" max="1288" width="12.08984375" customWidth="1"/>
    <col min="1291" max="1291" width="10.54296875" customWidth="1"/>
    <col min="1292" max="1292" width="10.90625" customWidth="1"/>
    <col min="1293" max="1293" width="11.26953125" customWidth="1"/>
    <col min="1294" max="1294" width="10.7265625" customWidth="1"/>
    <col min="1295" max="1295" width="10.90625" customWidth="1"/>
    <col min="1539" max="1539" width="17.26953125" customWidth="1"/>
    <col min="1540" max="1540" width="12" customWidth="1"/>
    <col min="1541" max="1541" width="11.54296875" customWidth="1"/>
    <col min="1542" max="1542" width="10.7265625" customWidth="1"/>
    <col min="1543" max="1543" width="10.08984375" customWidth="1"/>
    <col min="1544" max="1544" width="12.08984375" customWidth="1"/>
    <col min="1547" max="1547" width="10.54296875" customWidth="1"/>
    <col min="1548" max="1548" width="10.90625" customWidth="1"/>
    <col min="1549" max="1549" width="11.26953125" customWidth="1"/>
    <col min="1550" max="1550" width="10.7265625" customWidth="1"/>
    <col min="1551" max="1551" width="10.90625" customWidth="1"/>
    <col min="1795" max="1795" width="17.26953125" customWidth="1"/>
    <col min="1796" max="1796" width="12" customWidth="1"/>
    <col min="1797" max="1797" width="11.54296875" customWidth="1"/>
    <col min="1798" max="1798" width="10.7265625" customWidth="1"/>
    <col min="1799" max="1799" width="10.08984375" customWidth="1"/>
    <col min="1800" max="1800" width="12.08984375" customWidth="1"/>
    <col min="1803" max="1803" width="10.54296875" customWidth="1"/>
    <col min="1804" max="1804" width="10.90625" customWidth="1"/>
    <col min="1805" max="1805" width="11.26953125" customWidth="1"/>
    <col min="1806" max="1806" width="10.7265625" customWidth="1"/>
    <col min="1807" max="1807" width="10.90625" customWidth="1"/>
    <col min="2051" max="2051" width="17.26953125" customWidth="1"/>
    <col min="2052" max="2052" width="12" customWidth="1"/>
    <col min="2053" max="2053" width="11.54296875" customWidth="1"/>
    <col min="2054" max="2054" width="10.7265625" customWidth="1"/>
    <col min="2055" max="2055" width="10.08984375" customWidth="1"/>
    <col min="2056" max="2056" width="12.08984375" customWidth="1"/>
    <col min="2059" max="2059" width="10.54296875" customWidth="1"/>
    <col min="2060" max="2060" width="10.90625" customWidth="1"/>
    <col min="2061" max="2061" width="11.26953125" customWidth="1"/>
    <col min="2062" max="2062" width="10.7265625" customWidth="1"/>
    <col min="2063" max="2063" width="10.90625" customWidth="1"/>
    <col min="2307" max="2307" width="17.26953125" customWidth="1"/>
    <col min="2308" max="2308" width="12" customWidth="1"/>
    <col min="2309" max="2309" width="11.54296875" customWidth="1"/>
    <col min="2310" max="2310" width="10.7265625" customWidth="1"/>
    <col min="2311" max="2311" width="10.08984375" customWidth="1"/>
    <col min="2312" max="2312" width="12.08984375" customWidth="1"/>
    <col min="2315" max="2315" width="10.54296875" customWidth="1"/>
    <col min="2316" max="2316" width="10.90625" customWidth="1"/>
    <col min="2317" max="2317" width="11.26953125" customWidth="1"/>
    <col min="2318" max="2318" width="10.7265625" customWidth="1"/>
    <col min="2319" max="2319" width="10.90625" customWidth="1"/>
    <col min="2563" max="2563" width="17.26953125" customWidth="1"/>
    <col min="2564" max="2564" width="12" customWidth="1"/>
    <col min="2565" max="2565" width="11.54296875" customWidth="1"/>
    <col min="2566" max="2566" width="10.7265625" customWidth="1"/>
    <col min="2567" max="2567" width="10.08984375" customWidth="1"/>
    <col min="2568" max="2568" width="12.08984375" customWidth="1"/>
    <col min="2571" max="2571" width="10.54296875" customWidth="1"/>
    <col min="2572" max="2572" width="10.90625" customWidth="1"/>
    <col min="2573" max="2573" width="11.26953125" customWidth="1"/>
    <col min="2574" max="2574" width="10.7265625" customWidth="1"/>
    <col min="2575" max="2575" width="10.90625" customWidth="1"/>
    <col min="2819" max="2819" width="17.26953125" customWidth="1"/>
    <col min="2820" max="2820" width="12" customWidth="1"/>
    <col min="2821" max="2821" width="11.54296875" customWidth="1"/>
    <col min="2822" max="2822" width="10.7265625" customWidth="1"/>
    <col min="2823" max="2823" width="10.08984375" customWidth="1"/>
    <col min="2824" max="2824" width="12.08984375" customWidth="1"/>
    <col min="2827" max="2827" width="10.54296875" customWidth="1"/>
    <col min="2828" max="2828" width="10.90625" customWidth="1"/>
    <col min="2829" max="2829" width="11.26953125" customWidth="1"/>
    <col min="2830" max="2830" width="10.7265625" customWidth="1"/>
    <col min="2831" max="2831" width="10.90625" customWidth="1"/>
    <col min="3075" max="3075" width="17.26953125" customWidth="1"/>
    <col min="3076" max="3076" width="12" customWidth="1"/>
    <col min="3077" max="3077" width="11.54296875" customWidth="1"/>
    <col min="3078" max="3078" width="10.7265625" customWidth="1"/>
    <col min="3079" max="3079" width="10.08984375" customWidth="1"/>
    <col min="3080" max="3080" width="12.08984375" customWidth="1"/>
    <col min="3083" max="3083" width="10.54296875" customWidth="1"/>
    <col min="3084" max="3084" width="10.90625" customWidth="1"/>
    <col min="3085" max="3085" width="11.26953125" customWidth="1"/>
    <col min="3086" max="3086" width="10.7265625" customWidth="1"/>
    <col min="3087" max="3087" width="10.90625" customWidth="1"/>
    <col min="3331" max="3331" width="17.26953125" customWidth="1"/>
    <col min="3332" max="3332" width="12" customWidth="1"/>
    <col min="3333" max="3333" width="11.54296875" customWidth="1"/>
    <col min="3334" max="3334" width="10.7265625" customWidth="1"/>
    <col min="3335" max="3335" width="10.08984375" customWidth="1"/>
    <col min="3336" max="3336" width="12.08984375" customWidth="1"/>
    <col min="3339" max="3339" width="10.54296875" customWidth="1"/>
    <col min="3340" max="3340" width="10.90625" customWidth="1"/>
    <col min="3341" max="3341" width="11.26953125" customWidth="1"/>
    <col min="3342" max="3342" width="10.7265625" customWidth="1"/>
    <col min="3343" max="3343" width="10.90625" customWidth="1"/>
    <col min="3587" max="3587" width="17.26953125" customWidth="1"/>
    <col min="3588" max="3588" width="12" customWidth="1"/>
    <col min="3589" max="3589" width="11.54296875" customWidth="1"/>
    <col min="3590" max="3590" width="10.7265625" customWidth="1"/>
    <col min="3591" max="3591" width="10.08984375" customWidth="1"/>
    <col min="3592" max="3592" width="12.08984375" customWidth="1"/>
    <col min="3595" max="3595" width="10.54296875" customWidth="1"/>
    <col min="3596" max="3596" width="10.90625" customWidth="1"/>
    <col min="3597" max="3597" width="11.26953125" customWidth="1"/>
    <col min="3598" max="3598" width="10.7265625" customWidth="1"/>
    <col min="3599" max="3599" width="10.90625" customWidth="1"/>
    <col min="3843" max="3843" width="17.26953125" customWidth="1"/>
    <col min="3844" max="3844" width="12" customWidth="1"/>
    <col min="3845" max="3845" width="11.54296875" customWidth="1"/>
    <col min="3846" max="3846" width="10.7265625" customWidth="1"/>
    <col min="3847" max="3847" width="10.08984375" customWidth="1"/>
    <col min="3848" max="3848" width="12.08984375" customWidth="1"/>
    <col min="3851" max="3851" width="10.54296875" customWidth="1"/>
    <col min="3852" max="3852" width="10.90625" customWidth="1"/>
    <col min="3853" max="3853" width="11.26953125" customWidth="1"/>
    <col min="3854" max="3854" width="10.7265625" customWidth="1"/>
    <col min="3855" max="3855" width="10.90625" customWidth="1"/>
    <col min="4099" max="4099" width="17.26953125" customWidth="1"/>
    <col min="4100" max="4100" width="12" customWidth="1"/>
    <col min="4101" max="4101" width="11.54296875" customWidth="1"/>
    <col min="4102" max="4102" width="10.7265625" customWidth="1"/>
    <col min="4103" max="4103" width="10.08984375" customWidth="1"/>
    <col min="4104" max="4104" width="12.08984375" customWidth="1"/>
    <col min="4107" max="4107" width="10.54296875" customWidth="1"/>
    <col min="4108" max="4108" width="10.90625" customWidth="1"/>
    <col min="4109" max="4109" width="11.26953125" customWidth="1"/>
    <col min="4110" max="4110" width="10.7265625" customWidth="1"/>
    <col min="4111" max="4111" width="10.90625" customWidth="1"/>
    <col min="4355" max="4355" width="17.26953125" customWidth="1"/>
    <col min="4356" max="4356" width="12" customWidth="1"/>
    <col min="4357" max="4357" width="11.54296875" customWidth="1"/>
    <col min="4358" max="4358" width="10.7265625" customWidth="1"/>
    <col min="4359" max="4359" width="10.08984375" customWidth="1"/>
    <col min="4360" max="4360" width="12.08984375" customWidth="1"/>
    <col min="4363" max="4363" width="10.54296875" customWidth="1"/>
    <col min="4364" max="4364" width="10.90625" customWidth="1"/>
    <col min="4365" max="4365" width="11.26953125" customWidth="1"/>
    <col min="4366" max="4366" width="10.7265625" customWidth="1"/>
    <col min="4367" max="4367" width="10.90625" customWidth="1"/>
    <col min="4611" max="4611" width="17.26953125" customWidth="1"/>
    <col min="4612" max="4612" width="12" customWidth="1"/>
    <col min="4613" max="4613" width="11.54296875" customWidth="1"/>
    <col min="4614" max="4614" width="10.7265625" customWidth="1"/>
    <col min="4615" max="4615" width="10.08984375" customWidth="1"/>
    <col min="4616" max="4616" width="12.08984375" customWidth="1"/>
    <col min="4619" max="4619" width="10.54296875" customWidth="1"/>
    <col min="4620" max="4620" width="10.90625" customWidth="1"/>
    <col min="4621" max="4621" width="11.26953125" customWidth="1"/>
    <col min="4622" max="4622" width="10.7265625" customWidth="1"/>
    <col min="4623" max="4623" width="10.90625" customWidth="1"/>
    <col min="4867" max="4867" width="17.26953125" customWidth="1"/>
    <col min="4868" max="4868" width="12" customWidth="1"/>
    <col min="4869" max="4869" width="11.54296875" customWidth="1"/>
    <col min="4870" max="4870" width="10.7265625" customWidth="1"/>
    <col min="4871" max="4871" width="10.08984375" customWidth="1"/>
    <col min="4872" max="4872" width="12.08984375" customWidth="1"/>
    <col min="4875" max="4875" width="10.54296875" customWidth="1"/>
    <col min="4876" max="4876" width="10.90625" customWidth="1"/>
    <col min="4877" max="4877" width="11.26953125" customWidth="1"/>
    <col min="4878" max="4878" width="10.7265625" customWidth="1"/>
    <col min="4879" max="4879" width="10.90625" customWidth="1"/>
    <col min="5123" max="5123" width="17.26953125" customWidth="1"/>
    <col min="5124" max="5124" width="12" customWidth="1"/>
    <col min="5125" max="5125" width="11.54296875" customWidth="1"/>
    <col min="5126" max="5126" width="10.7265625" customWidth="1"/>
    <col min="5127" max="5127" width="10.08984375" customWidth="1"/>
    <col min="5128" max="5128" width="12.08984375" customWidth="1"/>
    <col min="5131" max="5131" width="10.54296875" customWidth="1"/>
    <col min="5132" max="5132" width="10.90625" customWidth="1"/>
    <col min="5133" max="5133" width="11.26953125" customWidth="1"/>
    <col min="5134" max="5134" width="10.7265625" customWidth="1"/>
    <col min="5135" max="5135" width="10.90625" customWidth="1"/>
    <col min="5379" max="5379" width="17.26953125" customWidth="1"/>
    <col min="5380" max="5380" width="12" customWidth="1"/>
    <col min="5381" max="5381" width="11.54296875" customWidth="1"/>
    <col min="5382" max="5382" width="10.7265625" customWidth="1"/>
    <col min="5383" max="5383" width="10.08984375" customWidth="1"/>
    <col min="5384" max="5384" width="12.08984375" customWidth="1"/>
    <col min="5387" max="5387" width="10.54296875" customWidth="1"/>
    <col min="5388" max="5388" width="10.90625" customWidth="1"/>
    <col min="5389" max="5389" width="11.26953125" customWidth="1"/>
    <col min="5390" max="5390" width="10.7265625" customWidth="1"/>
    <col min="5391" max="5391" width="10.90625" customWidth="1"/>
    <col min="5635" max="5635" width="17.26953125" customWidth="1"/>
    <col min="5636" max="5636" width="12" customWidth="1"/>
    <col min="5637" max="5637" width="11.54296875" customWidth="1"/>
    <col min="5638" max="5638" width="10.7265625" customWidth="1"/>
    <col min="5639" max="5639" width="10.08984375" customWidth="1"/>
    <col min="5640" max="5640" width="12.08984375" customWidth="1"/>
    <col min="5643" max="5643" width="10.54296875" customWidth="1"/>
    <col min="5644" max="5644" width="10.90625" customWidth="1"/>
    <col min="5645" max="5645" width="11.26953125" customWidth="1"/>
    <col min="5646" max="5646" width="10.7265625" customWidth="1"/>
    <col min="5647" max="5647" width="10.90625" customWidth="1"/>
    <col min="5891" max="5891" width="17.26953125" customWidth="1"/>
    <col min="5892" max="5892" width="12" customWidth="1"/>
    <col min="5893" max="5893" width="11.54296875" customWidth="1"/>
    <col min="5894" max="5894" width="10.7265625" customWidth="1"/>
    <col min="5895" max="5895" width="10.08984375" customWidth="1"/>
    <col min="5896" max="5896" width="12.08984375" customWidth="1"/>
    <col min="5899" max="5899" width="10.54296875" customWidth="1"/>
    <col min="5900" max="5900" width="10.90625" customWidth="1"/>
    <col min="5901" max="5901" width="11.26953125" customWidth="1"/>
    <col min="5902" max="5902" width="10.7265625" customWidth="1"/>
    <col min="5903" max="5903" width="10.90625" customWidth="1"/>
    <col min="6147" max="6147" width="17.26953125" customWidth="1"/>
    <col min="6148" max="6148" width="12" customWidth="1"/>
    <col min="6149" max="6149" width="11.54296875" customWidth="1"/>
    <col min="6150" max="6150" width="10.7265625" customWidth="1"/>
    <col min="6151" max="6151" width="10.08984375" customWidth="1"/>
    <col min="6152" max="6152" width="12.08984375" customWidth="1"/>
    <col min="6155" max="6155" width="10.54296875" customWidth="1"/>
    <col min="6156" max="6156" width="10.90625" customWidth="1"/>
    <col min="6157" max="6157" width="11.26953125" customWidth="1"/>
    <col min="6158" max="6158" width="10.7265625" customWidth="1"/>
    <col min="6159" max="6159" width="10.90625" customWidth="1"/>
    <col min="6403" max="6403" width="17.26953125" customWidth="1"/>
    <col min="6404" max="6404" width="12" customWidth="1"/>
    <col min="6405" max="6405" width="11.54296875" customWidth="1"/>
    <col min="6406" max="6406" width="10.7265625" customWidth="1"/>
    <col min="6407" max="6407" width="10.08984375" customWidth="1"/>
    <col min="6408" max="6408" width="12.08984375" customWidth="1"/>
    <col min="6411" max="6411" width="10.54296875" customWidth="1"/>
    <col min="6412" max="6412" width="10.90625" customWidth="1"/>
    <col min="6413" max="6413" width="11.26953125" customWidth="1"/>
    <col min="6414" max="6414" width="10.7265625" customWidth="1"/>
    <col min="6415" max="6415" width="10.90625" customWidth="1"/>
    <col min="6659" max="6659" width="17.26953125" customWidth="1"/>
    <col min="6660" max="6660" width="12" customWidth="1"/>
    <col min="6661" max="6661" width="11.54296875" customWidth="1"/>
    <col min="6662" max="6662" width="10.7265625" customWidth="1"/>
    <col min="6663" max="6663" width="10.08984375" customWidth="1"/>
    <col min="6664" max="6664" width="12.08984375" customWidth="1"/>
    <col min="6667" max="6667" width="10.54296875" customWidth="1"/>
    <col min="6668" max="6668" width="10.90625" customWidth="1"/>
    <col min="6669" max="6669" width="11.26953125" customWidth="1"/>
    <col min="6670" max="6670" width="10.7265625" customWidth="1"/>
    <col min="6671" max="6671" width="10.90625" customWidth="1"/>
    <col min="6915" max="6915" width="17.26953125" customWidth="1"/>
    <col min="6916" max="6916" width="12" customWidth="1"/>
    <col min="6917" max="6917" width="11.54296875" customWidth="1"/>
    <col min="6918" max="6918" width="10.7265625" customWidth="1"/>
    <col min="6919" max="6919" width="10.08984375" customWidth="1"/>
    <col min="6920" max="6920" width="12.08984375" customWidth="1"/>
    <col min="6923" max="6923" width="10.54296875" customWidth="1"/>
    <col min="6924" max="6924" width="10.90625" customWidth="1"/>
    <col min="6925" max="6925" width="11.26953125" customWidth="1"/>
    <col min="6926" max="6926" width="10.7265625" customWidth="1"/>
    <col min="6927" max="6927" width="10.90625" customWidth="1"/>
    <col min="7171" max="7171" width="17.26953125" customWidth="1"/>
    <col min="7172" max="7172" width="12" customWidth="1"/>
    <col min="7173" max="7173" width="11.54296875" customWidth="1"/>
    <col min="7174" max="7174" width="10.7265625" customWidth="1"/>
    <col min="7175" max="7175" width="10.08984375" customWidth="1"/>
    <col min="7176" max="7176" width="12.08984375" customWidth="1"/>
    <col min="7179" max="7179" width="10.54296875" customWidth="1"/>
    <col min="7180" max="7180" width="10.90625" customWidth="1"/>
    <col min="7181" max="7181" width="11.26953125" customWidth="1"/>
    <col min="7182" max="7182" width="10.7265625" customWidth="1"/>
    <col min="7183" max="7183" width="10.90625" customWidth="1"/>
    <col min="7427" max="7427" width="17.26953125" customWidth="1"/>
    <col min="7428" max="7428" width="12" customWidth="1"/>
    <col min="7429" max="7429" width="11.54296875" customWidth="1"/>
    <col min="7430" max="7430" width="10.7265625" customWidth="1"/>
    <col min="7431" max="7431" width="10.08984375" customWidth="1"/>
    <col min="7432" max="7432" width="12.08984375" customWidth="1"/>
    <col min="7435" max="7435" width="10.54296875" customWidth="1"/>
    <col min="7436" max="7436" width="10.90625" customWidth="1"/>
    <col min="7437" max="7437" width="11.26953125" customWidth="1"/>
    <col min="7438" max="7438" width="10.7265625" customWidth="1"/>
    <col min="7439" max="7439" width="10.90625" customWidth="1"/>
    <col min="7683" max="7683" width="17.26953125" customWidth="1"/>
    <col min="7684" max="7684" width="12" customWidth="1"/>
    <col min="7685" max="7685" width="11.54296875" customWidth="1"/>
    <col min="7686" max="7686" width="10.7265625" customWidth="1"/>
    <col min="7687" max="7687" width="10.08984375" customWidth="1"/>
    <col min="7688" max="7688" width="12.08984375" customWidth="1"/>
    <col min="7691" max="7691" width="10.54296875" customWidth="1"/>
    <col min="7692" max="7692" width="10.90625" customWidth="1"/>
    <col min="7693" max="7693" width="11.26953125" customWidth="1"/>
    <col min="7694" max="7694" width="10.7265625" customWidth="1"/>
    <col min="7695" max="7695" width="10.90625" customWidth="1"/>
    <col min="7939" max="7939" width="17.26953125" customWidth="1"/>
    <col min="7940" max="7940" width="12" customWidth="1"/>
    <col min="7941" max="7941" width="11.54296875" customWidth="1"/>
    <col min="7942" max="7942" width="10.7265625" customWidth="1"/>
    <col min="7943" max="7943" width="10.08984375" customWidth="1"/>
    <col min="7944" max="7944" width="12.08984375" customWidth="1"/>
    <col min="7947" max="7947" width="10.54296875" customWidth="1"/>
    <col min="7948" max="7948" width="10.90625" customWidth="1"/>
    <col min="7949" max="7949" width="11.26953125" customWidth="1"/>
    <col min="7950" max="7950" width="10.7265625" customWidth="1"/>
    <col min="7951" max="7951" width="10.90625" customWidth="1"/>
    <col min="8195" max="8195" width="17.26953125" customWidth="1"/>
    <col min="8196" max="8196" width="12" customWidth="1"/>
    <col min="8197" max="8197" width="11.54296875" customWidth="1"/>
    <col min="8198" max="8198" width="10.7265625" customWidth="1"/>
    <col min="8199" max="8199" width="10.08984375" customWidth="1"/>
    <col min="8200" max="8200" width="12.08984375" customWidth="1"/>
    <col min="8203" max="8203" width="10.54296875" customWidth="1"/>
    <col min="8204" max="8204" width="10.90625" customWidth="1"/>
    <col min="8205" max="8205" width="11.26953125" customWidth="1"/>
    <col min="8206" max="8206" width="10.7265625" customWidth="1"/>
    <col min="8207" max="8207" width="10.90625" customWidth="1"/>
    <col min="8451" max="8451" width="17.26953125" customWidth="1"/>
    <col min="8452" max="8452" width="12" customWidth="1"/>
    <col min="8453" max="8453" width="11.54296875" customWidth="1"/>
    <col min="8454" max="8454" width="10.7265625" customWidth="1"/>
    <col min="8455" max="8455" width="10.08984375" customWidth="1"/>
    <col min="8456" max="8456" width="12.08984375" customWidth="1"/>
    <col min="8459" max="8459" width="10.54296875" customWidth="1"/>
    <col min="8460" max="8460" width="10.90625" customWidth="1"/>
    <col min="8461" max="8461" width="11.26953125" customWidth="1"/>
    <col min="8462" max="8462" width="10.7265625" customWidth="1"/>
    <col min="8463" max="8463" width="10.90625" customWidth="1"/>
    <col min="8707" max="8707" width="17.26953125" customWidth="1"/>
    <col min="8708" max="8708" width="12" customWidth="1"/>
    <col min="8709" max="8709" width="11.54296875" customWidth="1"/>
    <col min="8710" max="8710" width="10.7265625" customWidth="1"/>
    <col min="8711" max="8711" width="10.08984375" customWidth="1"/>
    <col min="8712" max="8712" width="12.08984375" customWidth="1"/>
    <col min="8715" max="8715" width="10.54296875" customWidth="1"/>
    <col min="8716" max="8716" width="10.90625" customWidth="1"/>
    <col min="8717" max="8717" width="11.26953125" customWidth="1"/>
    <col min="8718" max="8718" width="10.7265625" customWidth="1"/>
    <col min="8719" max="8719" width="10.90625" customWidth="1"/>
    <col min="8963" max="8963" width="17.26953125" customWidth="1"/>
    <col min="8964" max="8964" width="12" customWidth="1"/>
    <col min="8965" max="8965" width="11.54296875" customWidth="1"/>
    <col min="8966" max="8966" width="10.7265625" customWidth="1"/>
    <col min="8967" max="8967" width="10.08984375" customWidth="1"/>
    <col min="8968" max="8968" width="12.08984375" customWidth="1"/>
    <col min="8971" max="8971" width="10.54296875" customWidth="1"/>
    <col min="8972" max="8972" width="10.90625" customWidth="1"/>
    <col min="8973" max="8973" width="11.26953125" customWidth="1"/>
    <col min="8974" max="8974" width="10.7265625" customWidth="1"/>
    <col min="8975" max="8975" width="10.90625" customWidth="1"/>
    <col min="9219" max="9219" width="17.26953125" customWidth="1"/>
    <col min="9220" max="9220" width="12" customWidth="1"/>
    <col min="9221" max="9221" width="11.54296875" customWidth="1"/>
    <col min="9222" max="9222" width="10.7265625" customWidth="1"/>
    <col min="9223" max="9223" width="10.08984375" customWidth="1"/>
    <col min="9224" max="9224" width="12.08984375" customWidth="1"/>
    <col min="9227" max="9227" width="10.54296875" customWidth="1"/>
    <col min="9228" max="9228" width="10.90625" customWidth="1"/>
    <col min="9229" max="9229" width="11.26953125" customWidth="1"/>
    <col min="9230" max="9230" width="10.7265625" customWidth="1"/>
    <col min="9231" max="9231" width="10.90625" customWidth="1"/>
    <col min="9475" max="9475" width="17.26953125" customWidth="1"/>
    <col min="9476" max="9476" width="12" customWidth="1"/>
    <col min="9477" max="9477" width="11.54296875" customWidth="1"/>
    <col min="9478" max="9478" width="10.7265625" customWidth="1"/>
    <col min="9479" max="9479" width="10.08984375" customWidth="1"/>
    <col min="9480" max="9480" width="12.08984375" customWidth="1"/>
    <col min="9483" max="9483" width="10.54296875" customWidth="1"/>
    <col min="9484" max="9484" width="10.90625" customWidth="1"/>
    <col min="9485" max="9485" width="11.26953125" customWidth="1"/>
    <col min="9486" max="9486" width="10.7265625" customWidth="1"/>
    <col min="9487" max="9487" width="10.90625" customWidth="1"/>
    <col min="9731" max="9731" width="17.26953125" customWidth="1"/>
    <col min="9732" max="9732" width="12" customWidth="1"/>
    <col min="9733" max="9733" width="11.54296875" customWidth="1"/>
    <col min="9734" max="9734" width="10.7265625" customWidth="1"/>
    <col min="9735" max="9735" width="10.08984375" customWidth="1"/>
    <col min="9736" max="9736" width="12.08984375" customWidth="1"/>
    <col min="9739" max="9739" width="10.54296875" customWidth="1"/>
    <col min="9740" max="9740" width="10.90625" customWidth="1"/>
    <col min="9741" max="9741" width="11.26953125" customWidth="1"/>
    <col min="9742" max="9742" width="10.7265625" customWidth="1"/>
    <col min="9743" max="9743" width="10.90625" customWidth="1"/>
    <col min="9987" max="9987" width="17.26953125" customWidth="1"/>
    <col min="9988" max="9988" width="12" customWidth="1"/>
    <col min="9989" max="9989" width="11.54296875" customWidth="1"/>
    <col min="9990" max="9990" width="10.7265625" customWidth="1"/>
    <col min="9991" max="9991" width="10.08984375" customWidth="1"/>
    <col min="9992" max="9992" width="12.08984375" customWidth="1"/>
    <col min="9995" max="9995" width="10.54296875" customWidth="1"/>
    <col min="9996" max="9996" width="10.90625" customWidth="1"/>
    <col min="9997" max="9997" width="11.26953125" customWidth="1"/>
    <col min="9998" max="9998" width="10.7265625" customWidth="1"/>
    <col min="9999" max="9999" width="10.90625" customWidth="1"/>
    <col min="10243" max="10243" width="17.26953125" customWidth="1"/>
    <col min="10244" max="10244" width="12" customWidth="1"/>
    <col min="10245" max="10245" width="11.54296875" customWidth="1"/>
    <col min="10246" max="10246" width="10.7265625" customWidth="1"/>
    <col min="10247" max="10247" width="10.08984375" customWidth="1"/>
    <col min="10248" max="10248" width="12.08984375" customWidth="1"/>
    <col min="10251" max="10251" width="10.54296875" customWidth="1"/>
    <col min="10252" max="10252" width="10.90625" customWidth="1"/>
    <col min="10253" max="10253" width="11.26953125" customWidth="1"/>
    <col min="10254" max="10254" width="10.7265625" customWidth="1"/>
    <col min="10255" max="10255" width="10.90625" customWidth="1"/>
    <col min="10499" max="10499" width="17.26953125" customWidth="1"/>
    <col min="10500" max="10500" width="12" customWidth="1"/>
    <col min="10501" max="10501" width="11.54296875" customWidth="1"/>
    <col min="10502" max="10502" width="10.7265625" customWidth="1"/>
    <col min="10503" max="10503" width="10.08984375" customWidth="1"/>
    <col min="10504" max="10504" width="12.08984375" customWidth="1"/>
    <col min="10507" max="10507" width="10.54296875" customWidth="1"/>
    <col min="10508" max="10508" width="10.90625" customWidth="1"/>
    <col min="10509" max="10509" width="11.26953125" customWidth="1"/>
    <col min="10510" max="10510" width="10.7265625" customWidth="1"/>
    <col min="10511" max="10511" width="10.90625" customWidth="1"/>
    <col min="10755" max="10755" width="17.26953125" customWidth="1"/>
    <col min="10756" max="10756" width="12" customWidth="1"/>
    <col min="10757" max="10757" width="11.54296875" customWidth="1"/>
    <col min="10758" max="10758" width="10.7265625" customWidth="1"/>
    <col min="10759" max="10759" width="10.08984375" customWidth="1"/>
    <col min="10760" max="10760" width="12.08984375" customWidth="1"/>
    <col min="10763" max="10763" width="10.54296875" customWidth="1"/>
    <col min="10764" max="10764" width="10.90625" customWidth="1"/>
    <col min="10765" max="10765" width="11.26953125" customWidth="1"/>
    <col min="10766" max="10766" width="10.7265625" customWidth="1"/>
    <col min="10767" max="10767" width="10.90625" customWidth="1"/>
    <col min="11011" max="11011" width="17.26953125" customWidth="1"/>
    <col min="11012" max="11012" width="12" customWidth="1"/>
    <col min="11013" max="11013" width="11.54296875" customWidth="1"/>
    <col min="11014" max="11014" width="10.7265625" customWidth="1"/>
    <col min="11015" max="11015" width="10.08984375" customWidth="1"/>
    <col min="11016" max="11016" width="12.08984375" customWidth="1"/>
    <col min="11019" max="11019" width="10.54296875" customWidth="1"/>
    <col min="11020" max="11020" width="10.90625" customWidth="1"/>
    <col min="11021" max="11021" width="11.26953125" customWidth="1"/>
    <col min="11022" max="11022" width="10.7265625" customWidth="1"/>
    <col min="11023" max="11023" width="10.90625" customWidth="1"/>
    <col min="11267" max="11267" width="17.26953125" customWidth="1"/>
    <col min="11268" max="11268" width="12" customWidth="1"/>
    <col min="11269" max="11269" width="11.54296875" customWidth="1"/>
    <col min="11270" max="11270" width="10.7265625" customWidth="1"/>
    <col min="11271" max="11271" width="10.08984375" customWidth="1"/>
    <col min="11272" max="11272" width="12.08984375" customWidth="1"/>
    <col min="11275" max="11275" width="10.54296875" customWidth="1"/>
    <col min="11276" max="11276" width="10.90625" customWidth="1"/>
    <col min="11277" max="11277" width="11.26953125" customWidth="1"/>
    <col min="11278" max="11278" width="10.7265625" customWidth="1"/>
    <col min="11279" max="11279" width="10.90625" customWidth="1"/>
    <col min="11523" max="11523" width="17.26953125" customWidth="1"/>
    <col min="11524" max="11524" width="12" customWidth="1"/>
    <col min="11525" max="11525" width="11.54296875" customWidth="1"/>
    <col min="11526" max="11526" width="10.7265625" customWidth="1"/>
    <col min="11527" max="11527" width="10.08984375" customWidth="1"/>
    <col min="11528" max="11528" width="12.08984375" customWidth="1"/>
    <col min="11531" max="11531" width="10.54296875" customWidth="1"/>
    <col min="11532" max="11532" width="10.90625" customWidth="1"/>
    <col min="11533" max="11533" width="11.26953125" customWidth="1"/>
    <col min="11534" max="11534" width="10.7265625" customWidth="1"/>
    <col min="11535" max="11535" width="10.90625" customWidth="1"/>
    <col min="11779" max="11779" width="17.26953125" customWidth="1"/>
    <col min="11780" max="11780" width="12" customWidth="1"/>
    <col min="11781" max="11781" width="11.54296875" customWidth="1"/>
    <col min="11782" max="11782" width="10.7265625" customWidth="1"/>
    <col min="11783" max="11783" width="10.08984375" customWidth="1"/>
    <col min="11784" max="11784" width="12.08984375" customWidth="1"/>
    <col min="11787" max="11787" width="10.54296875" customWidth="1"/>
    <col min="11788" max="11788" width="10.90625" customWidth="1"/>
    <col min="11789" max="11789" width="11.26953125" customWidth="1"/>
    <col min="11790" max="11790" width="10.7265625" customWidth="1"/>
    <col min="11791" max="11791" width="10.90625" customWidth="1"/>
    <col min="12035" max="12035" width="17.26953125" customWidth="1"/>
    <col min="12036" max="12036" width="12" customWidth="1"/>
    <col min="12037" max="12037" width="11.54296875" customWidth="1"/>
    <col min="12038" max="12038" width="10.7265625" customWidth="1"/>
    <col min="12039" max="12039" width="10.08984375" customWidth="1"/>
    <col min="12040" max="12040" width="12.08984375" customWidth="1"/>
    <col min="12043" max="12043" width="10.54296875" customWidth="1"/>
    <col min="12044" max="12044" width="10.90625" customWidth="1"/>
    <col min="12045" max="12045" width="11.26953125" customWidth="1"/>
    <col min="12046" max="12046" width="10.7265625" customWidth="1"/>
    <col min="12047" max="12047" width="10.90625" customWidth="1"/>
    <col min="12291" max="12291" width="17.26953125" customWidth="1"/>
    <col min="12292" max="12292" width="12" customWidth="1"/>
    <col min="12293" max="12293" width="11.54296875" customWidth="1"/>
    <col min="12294" max="12294" width="10.7265625" customWidth="1"/>
    <col min="12295" max="12295" width="10.08984375" customWidth="1"/>
    <col min="12296" max="12296" width="12.08984375" customWidth="1"/>
    <col min="12299" max="12299" width="10.54296875" customWidth="1"/>
    <col min="12300" max="12300" width="10.90625" customWidth="1"/>
    <col min="12301" max="12301" width="11.26953125" customWidth="1"/>
    <col min="12302" max="12302" width="10.7265625" customWidth="1"/>
    <col min="12303" max="12303" width="10.90625" customWidth="1"/>
    <col min="12547" max="12547" width="17.26953125" customWidth="1"/>
    <col min="12548" max="12548" width="12" customWidth="1"/>
    <col min="12549" max="12549" width="11.54296875" customWidth="1"/>
    <col min="12550" max="12550" width="10.7265625" customWidth="1"/>
    <col min="12551" max="12551" width="10.08984375" customWidth="1"/>
    <col min="12552" max="12552" width="12.08984375" customWidth="1"/>
    <col min="12555" max="12555" width="10.54296875" customWidth="1"/>
    <col min="12556" max="12556" width="10.90625" customWidth="1"/>
    <col min="12557" max="12557" width="11.26953125" customWidth="1"/>
    <col min="12558" max="12558" width="10.7265625" customWidth="1"/>
    <col min="12559" max="12559" width="10.90625" customWidth="1"/>
    <col min="12803" max="12803" width="17.26953125" customWidth="1"/>
    <col min="12804" max="12804" width="12" customWidth="1"/>
    <col min="12805" max="12805" width="11.54296875" customWidth="1"/>
    <col min="12806" max="12806" width="10.7265625" customWidth="1"/>
    <col min="12807" max="12807" width="10.08984375" customWidth="1"/>
    <col min="12808" max="12808" width="12.08984375" customWidth="1"/>
    <col min="12811" max="12811" width="10.54296875" customWidth="1"/>
    <col min="12812" max="12812" width="10.90625" customWidth="1"/>
    <col min="12813" max="12813" width="11.26953125" customWidth="1"/>
    <col min="12814" max="12814" width="10.7265625" customWidth="1"/>
    <col min="12815" max="12815" width="10.90625" customWidth="1"/>
    <col min="13059" max="13059" width="17.26953125" customWidth="1"/>
    <col min="13060" max="13060" width="12" customWidth="1"/>
    <col min="13061" max="13061" width="11.54296875" customWidth="1"/>
    <col min="13062" max="13062" width="10.7265625" customWidth="1"/>
    <col min="13063" max="13063" width="10.08984375" customWidth="1"/>
    <col min="13064" max="13064" width="12.08984375" customWidth="1"/>
    <col min="13067" max="13067" width="10.54296875" customWidth="1"/>
    <col min="13068" max="13068" width="10.90625" customWidth="1"/>
    <col min="13069" max="13069" width="11.26953125" customWidth="1"/>
    <col min="13070" max="13070" width="10.7265625" customWidth="1"/>
    <col min="13071" max="13071" width="10.90625" customWidth="1"/>
    <col min="13315" max="13315" width="17.26953125" customWidth="1"/>
    <col min="13316" max="13316" width="12" customWidth="1"/>
    <col min="13317" max="13317" width="11.54296875" customWidth="1"/>
    <col min="13318" max="13318" width="10.7265625" customWidth="1"/>
    <col min="13319" max="13319" width="10.08984375" customWidth="1"/>
    <col min="13320" max="13320" width="12.08984375" customWidth="1"/>
    <col min="13323" max="13323" width="10.54296875" customWidth="1"/>
    <col min="13324" max="13324" width="10.90625" customWidth="1"/>
    <col min="13325" max="13325" width="11.26953125" customWidth="1"/>
    <col min="13326" max="13326" width="10.7265625" customWidth="1"/>
    <col min="13327" max="13327" width="10.90625" customWidth="1"/>
    <col min="13571" max="13571" width="17.26953125" customWidth="1"/>
    <col min="13572" max="13572" width="12" customWidth="1"/>
    <col min="13573" max="13573" width="11.54296875" customWidth="1"/>
    <col min="13574" max="13574" width="10.7265625" customWidth="1"/>
    <col min="13575" max="13575" width="10.08984375" customWidth="1"/>
    <col min="13576" max="13576" width="12.08984375" customWidth="1"/>
    <col min="13579" max="13579" width="10.54296875" customWidth="1"/>
    <col min="13580" max="13580" width="10.90625" customWidth="1"/>
    <col min="13581" max="13581" width="11.26953125" customWidth="1"/>
    <col min="13582" max="13582" width="10.7265625" customWidth="1"/>
    <col min="13583" max="13583" width="10.90625" customWidth="1"/>
    <col min="13827" max="13827" width="17.26953125" customWidth="1"/>
    <col min="13828" max="13828" width="12" customWidth="1"/>
    <col min="13829" max="13829" width="11.54296875" customWidth="1"/>
    <col min="13830" max="13830" width="10.7265625" customWidth="1"/>
    <col min="13831" max="13831" width="10.08984375" customWidth="1"/>
    <col min="13832" max="13832" width="12.08984375" customWidth="1"/>
    <col min="13835" max="13835" width="10.54296875" customWidth="1"/>
    <col min="13836" max="13836" width="10.90625" customWidth="1"/>
    <col min="13837" max="13837" width="11.26953125" customWidth="1"/>
    <col min="13838" max="13838" width="10.7265625" customWidth="1"/>
    <col min="13839" max="13839" width="10.90625" customWidth="1"/>
    <col min="14083" max="14083" width="17.26953125" customWidth="1"/>
    <col min="14084" max="14084" width="12" customWidth="1"/>
    <col min="14085" max="14085" width="11.54296875" customWidth="1"/>
    <col min="14086" max="14086" width="10.7265625" customWidth="1"/>
    <col min="14087" max="14087" width="10.08984375" customWidth="1"/>
    <col min="14088" max="14088" width="12.08984375" customWidth="1"/>
    <col min="14091" max="14091" width="10.54296875" customWidth="1"/>
    <col min="14092" max="14092" width="10.90625" customWidth="1"/>
    <col min="14093" max="14093" width="11.26953125" customWidth="1"/>
    <col min="14094" max="14094" width="10.7265625" customWidth="1"/>
    <col min="14095" max="14095" width="10.90625" customWidth="1"/>
    <col min="14339" max="14339" width="17.26953125" customWidth="1"/>
    <col min="14340" max="14340" width="12" customWidth="1"/>
    <col min="14341" max="14341" width="11.54296875" customWidth="1"/>
    <col min="14342" max="14342" width="10.7265625" customWidth="1"/>
    <col min="14343" max="14343" width="10.08984375" customWidth="1"/>
    <col min="14344" max="14344" width="12.08984375" customWidth="1"/>
    <col min="14347" max="14347" width="10.54296875" customWidth="1"/>
    <col min="14348" max="14348" width="10.90625" customWidth="1"/>
    <col min="14349" max="14349" width="11.26953125" customWidth="1"/>
    <col min="14350" max="14350" width="10.7265625" customWidth="1"/>
    <col min="14351" max="14351" width="10.90625" customWidth="1"/>
    <col min="14595" max="14595" width="17.26953125" customWidth="1"/>
    <col min="14596" max="14596" width="12" customWidth="1"/>
    <col min="14597" max="14597" width="11.54296875" customWidth="1"/>
    <col min="14598" max="14598" width="10.7265625" customWidth="1"/>
    <col min="14599" max="14599" width="10.08984375" customWidth="1"/>
    <col min="14600" max="14600" width="12.08984375" customWidth="1"/>
    <col min="14603" max="14603" width="10.54296875" customWidth="1"/>
    <col min="14604" max="14604" width="10.90625" customWidth="1"/>
    <col min="14605" max="14605" width="11.26953125" customWidth="1"/>
    <col min="14606" max="14606" width="10.7265625" customWidth="1"/>
    <col min="14607" max="14607" width="10.90625" customWidth="1"/>
    <col min="14851" max="14851" width="17.26953125" customWidth="1"/>
    <col min="14852" max="14852" width="12" customWidth="1"/>
    <col min="14853" max="14853" width="11.54296875" customWidth="1"/>
    <col min="14854" max="14854" width="10.7265625" customWidth="1"/>
    <col min="14855" max="14855" width="10.08984375" customWidth="1"/>
    <col min="14856" max="14856" width="12.08984375" customWidth="1"/>
    <col min="14859" max="14859" width="10.54296875" customWidth="1"/>
    <col min="14860" max="14860" width="10.90625" customWidth="1"/>
    <col min="14861" max="14861" width="11.26953125" customWidth="1"/>
    <col min="14862" max="14862" width="10.7265625" customWidth="1"/>
    <col min="14863" max="14863" width="10.90625" customWidth="1"/>
    <col min="15107" max="15107" width="17.26953125" customWidth="1"/>
    <col min="15108" max="15108" width="12" customWidth="1"/>
    <col min="15109" max="15109" width="11.54296875" customWidth="1"/>
    <col min="15110" max="15110" width="10.7265625" customWidth="1"/>
    <col min="15111" max="15111" width="10.08984375" customWidth="1"/>
    <col min="15112" max="15112" width="12.08984375" customWidth="1"/>
    <col min="15115" max="15115" width="10.54296875" customWidth="1"/>
    <col min="15116" max="15116" width="10.90625" customWidth="1"/>
    <col min="15117" max="15117" width="11.26953125" customWidth="1"/>
    <col min="15118" max="15118" width="10.7265625" customWidth="1"/>
    <col min="15119" max="15119" width="10.90625" customWidth="1"/>
    <col min="15363" max="15363" width="17.26953125" customWidth="1"/>
    <col min="15364" max="15364" width="12" customWidth="1"/>
    <col min="15365" max="15365" width="11.54296875" customWidth="1"/>
    <col min="15366" max="15366" width="10.7265625" customWidth="1"/>
    <col min="15367" max="15367" width="10.08984375" customWidth="1"/>
    <col min="15368" max="15368" width="12.08984375" customWidth="1"/>
    <col min="15371" max="15371" width="10.54296875" customWidth="1"/>
    <col min="15372" max="15372" width="10.90625" customWidth="1"/>
    <col min="15373" max="15373" width="11.26953125" customWidth="1"/>
    <col min="15374" max="15374" width="10.7265625" customWidth="1"/>
    <col min="15375" max="15375" width="10.90625" customWidth="1"/>
    <col min="15619" max="15619" width="17.26953125" customWidth="1"/>
    <col min="15620" max="15620" width="12" customWidth="1"/>
    <col min="15621" max="15621" width="11.54296875" customWidth="1"/>
    <col min="15622" max="15622" width="10.7265625" customWidth="1"/>
    <col min="15623" max="15623" width="10.08984375" customWidth="1"/>
    <col min="15624" max="15624" width="12.08984375" customWidth="1"/>
    <col min="15627" max="15627" width="10.54296875" customWidth="1"/>
    <col min="15628" max="15628" width="10.90625" customWidth="1"/>
    <col min="15629" max="15629" width="11.26953125" customWidth="1"/>
    <col min="15630" max="15630" width="10.7265625" customWidth="1"/>
    <col min="15631" max="15631" width="10.90625" customWidth="1"/>
    <col min="15875" max="15875" width="17.26953125" customWidth="1"/>
    <col min="15876" max="15876" width="12" customWidth="1"/>
    <col min="15877" max="15877" width="11.54296875" customWidth="1"/>
    <col min="15878" max="15878" width="10.7265625" customWidth="1"/>
    <col min="15879" max="15879" width="10.08984375" customWidth="1"/>
    <col min="15880" max="15880" width="12.08984375" customWidth="1"/>
    <col min="15883" max="15883" width="10.54296875" customWidth="1"/>
    <col min="15884" max="15884" width="10.90625" customWidth="1"/>
    <col min="15885" max="15885" width="11.26953125" customWidth="1"/>
    <col min="15886" max="15886" width="10.7265625" customWidth="1"/>
    <col min="15887" max="15887" width="10.90625" customWidth="1"/>
    <col min="16131" max="16131" width="17.26953125" customWidth="1"/>
    <col min="16132" max="16132" width="12" customWidth="1"/>
    <col min="16133" max="16133" width="11.54296875" customWidth="1"/>
    <col min="16134" max="16134" width="10.7265625" customWidth="1"/>
    <col min="16135" max="16135" width="10.08984375" customWidth="1"/>
    <col min="16136" max="16136" width="12.08984375" customWidth="1"/>
    <col min="16139" max="16139" width="10.54296875" customWidth="1"/>
    <col min="16140" max="16140" width="10.90625" customWidth="1"/>
    <col min="16141" max="16141" width="11.26953125" customWidth="1"/>
    <col min="16142" max="16142" width="10.7265625" customWidth="1"/>
    <col min="16143" max="16143" width="10.90625" customWidth="1"/>
  </cols>
  <sheetData>
    <row r="1" spans="1:18" ht="18" customHeight="1" x14ac:dyDescent="0.35">
      <c r="A1" s="167"/>
      <c r="B1" s="166" t="s">
        <v>284</v>
      </c>
      <c r="C1" s="166"/>
      <c r="D1" s="166" t="s">
        <v>286</v>
      </c>
      <c r="E1" s="166" t="s">
        <v>287</v>
      </c>
      <c r="F1" s="166" t="s">
        <v>288</v>
      </c>
      <c r="G1" s="166" t="s">
        <v>289</v>
      </c>
      <c r="H1" s="166" t="s">
        <v>290</v>
      </c>
      <c r="I1" s="166" t="s">
        <v>291</v>
      </c>
      <c r="J1" s="166" t="s">
        <v>292</v>
      </c>
      <c r="K1" s="166" t="s">
        <v>293</v>
      </c>
      <c r="L1" s="166" t="s">
        <v>294</v>
      </c>
      <c r="M1" s="166" t="s">
        <v>295</v>
      </c>
      <c r="N1" s="166" t="s">
        <v>296</v>
      </c>
      <c r="O1" s="166" t="s">
        <v>313</v>
      </c>
    </row>
    <row r="2" spans="1:18" ht="20" x14ac:dyDescent="0.4">
      <c r="A2" s="168">
        <f>ROW()</f>
        <v>2</v>
      </c>
      <c r="B2" s="1" t="s">
        <v>236</v>
      </c>
    </row>
    <row r="3" spans="1:18" x14ac:dyDescent="0.35">
      <c r="A3" s="168">
        <f>ROW()</f>
        <v>3</v>
      </c>
    </row>
    <row r="4" spans="1:18" ht="15" thickBot="1" x14ac:dyDescent="0.4">
      <c r="A4" s="168">
        <f>ROW()</f>
        <v>4</v>
      </c>
      <c r="B4" s="45" t="s">
        <v>297</v>
      </c>
      <c r="C4" s="169"/>
      <c r="D4" s="169"/>
      <c r="E4" s="169"/>
    </row>
    <row r="5" spans="1:18" ht="18.5" thickBot="1" x14ac:dyDescent="0.45">
      <c r="A5" s="168">
        <f>ROW()</f>
        <v>5</v>
      </c>
      <c r="B5" t="s">
        <v>318</v>
      </c>
      <c r="D5" s="15">
        <v>100</v>
      </c>
      <c r="E5" t="s">
        <v>141</v>
      </c>
      <c r="L5" s="164" t="s">
        <v>283</v>
      </c>
      <c r="M5" s="140"/>
      <c r="N5" s="140"/>
      <c r="O5" s="165"/>
    </row>
    <row r="6" spans="1:18" x14ac:dyDescent="0.35">
      <c r="A6" s="168">
        <f>ROW()</f>
        <v>6</v>
      </c>
      <c r="B6" t="s">
        <v>317</v>
      </c>
      <c r="D6" s="143">
        <v>2.5000000000000001E-2</v>
      </c>
    </row>
    <row r="7" spans="1:18" x14ac:dyDescent="0.35">
      <c r="A7" s="168">
        <f>ROW()</f>
        <v>7</v>
      </c>
      <c r="B7" t="s">
        <v>316</v>
      </c>
      <c r="D7" s="143">
        <v>0.03</v>
      </c>
    </row>
    <row r="8" spans="1:18" x14ac:dyDescent="0.35">
      <c r="A8" s="168">
        <f>ROW()</f>
        <v>8</v>
      </c>
      <c r="B8" t="s">
        <v>315</v>
      </c>
      <c r="D8" s="143">
        <v>0.7</v>
      </c>
    </row>
    <row r="9" spans="1:18" x14ac:dyDescent="0.35">
      <c r="A9" s="168">
        <f>ROW()</f>
        <v>9</v>
      </c>
    </row>
    <row r="10" spans="1:18" ht="15" thickBot="1" x14ac:dyDescent="0.4">
      <c r="A10" s="168">
        <f>ROW()</f>
        <v>10</v>
      </c>
      <c r="B10" s="144" t="s">
        <v>243</v>
      </c>
      <c r="C10" s="144"/>
      <c r="D10" s="144"/>
      <c r="E10" s="144"/>
      <c r="F10" s="144"/>
      <c r="G10" s="144"/>
      <c r="H10" s="144"/>
      <c r="I10" s="144"/>
      <c r="J10" s="144"/>
      <c r="L10" s="144" t="s">
        <v>244</v>
      </c>
      <c r="M10" s="145"/>
      <c r="N10" s="145"/>
      <c r="O10" s="145"/>
    </row>
    <row r="11" spans="1:18" x14ac:dyDescent="0.35">
      <c r="A11" s="168">
        <f>ROW()</f>
        <v>11</v>
      </c>
    </row>
    <row r="12" spans="1:18" x14ac:dyDescent="0.35">
      <c r="A12" s="168">
        <f>ROW()</f>
        <v>12</v>
      </c>
      <c r="B12" s="111" t="s">
        <v>245</v>
      </c>
      <c r="L12" s="111"/>
    </row>
    <row r="13" spans="1:18" ht="15" thickBot="1" x14ac:dyDescent="0.4">
      <c r="A13" s="168">
        <f>ROW()</f>
        <v>13</v>
      </c>
      <c r="B13" s="144" t="s">
        <v>247</v>
      </c>
      <c r="C13" s="144"/>
      <c r="D13" s="144"/>
      <c r="E13" s="144"/>
      <c r="I13" s="144" t="s">
        <v>248</v>
      </c>
      <c r="J13" s="144"/>
      <c r="L13" s="144" t="s">
        <v>231</v>
      </c>
      <c r="M13" s="144"/>
    </row>
    <row r="14" spans="1:18" ht="56" customHeight="1" thickBot="1" x14ac:dyDescent="0.4">
      <c r="A14" s="168">
        <f>ROW()</f>
        <v>14</v>
      </c>
      <c r="B14" s="170" t="s">
        <v>249</v>
      </c>
      <c r="C14" s="170" t="s">
        <v>300</v>
      </c>
      <c r="D14" s="170" t="s">
        <v>303</v>
      </c>
      <c r="E14" s="170" t="s">
        <v>252</v>
      </c>
      <c r="G14" s="171"/>
      <c r="H14" s="171"/>
      <c r="I14" s="172" t="s">
        <v>304</v>
      </c>
      <c r="J14" s="172" t="s">
        <v>253</v>
      </c>
      <c r="K14" s="171"/>
      <c r="L14" s="173" t="s">
        <v>302</v>
      </c>
      <c r="M14" s="173" t="s">
        <v>250</v>
      </c>
      <c r="N14" s="173" t="s">
        <v>314</v>
      </c>
      <c r="O14" s="173" t="s">
        <v>256</v>
      </c>
      <c r="P14" s="3"/>
      <c r="Q14" s="3"/>
      <c r="R14" s="3"/>
    </row>
    <row r="15" spans="1:18" x14ac:dyDescent="0.35">
      <c r="A15" s="168">
        <f>ROW()</f>
        <v>15</v>
      </c>
      <c r="B15" s="149">
        <v>0.5</v>
      </c>
      <c r="I15" s="109">
        <f>+L15*0.5</f>
        <v>1.4999999999999999E-2</v>
      </c>
      <c r="J15" s="150">
        <f>+I15*M15</f>
        <v>1.4813667007408221E-2</v>
      </c>
      <c r="L15" s="112">
        <f>+D7</f>
        <v>0.03</v>
      </c>
      <c r="M15" s="150">
        <f>EXP(-$D$6*B15)</f>
        <v>0.98757780049388144</v>
      </c>
      <c r="N15" s="109">
        <f>+L15*(1-$D$8)</f>
        <v>9.0000000000000011E-3</v>
      </c>
      <c r="O15" s="150">
        <f>+N15*M15</f>
        <v>8.8882002044449338E-3</v>
      </c>
    </row>
    <row r="16" spans="1:18" x14ac:dyDescent="0.35">
      <c r="A16" s="168">
        <f>ROW()</f>
        <v>16</v>
      </c>
      <c r="B16" s="149">
        <f>+B15+0.5</f>
        <v>1</v>
      </c>
      <c r="C16" s="150">
        <f>EXP(-$D$6*B16)</f>
        <v>0.97530991202833262</v>
      </c>
      <c r="D16" s="151">
        <f>(1-$D$7)^B16</f>
        <v>0.97</v>
      </c>
      <c r="E16" s="174">
        <f>+D16*C16</f>
        <v>0.94605061466748264</v>
      </c>
      <c r="G16" s="175" t="s">
        <v>301</v>
      </c>
      <c r="H16" s="174"/>
    </row>
    <row r="17" spans="1:15" x14ac:dyDescent="0.35">
      <c r="A17" s="168">
        <f>ROW()</f>
        <v>17</v>
      </c>
      <c r="B17" s="149">
        <f t="shared" ref="B17:B23" si="0">+B16+0.5</f>
        <v>1.5</v>
      </c>
      <c r="I17" s="109">
        <f>+L17*0.5</f>
        <v>1.4549999999999999E-2</v>
      </c>
      <c r="J17" s="150">
        <f>+I17*M17</f>
        <v>1.4014478777837956E-2</v>
      </c>
      <c r="L17" s="112">
        <f>+D16*$D$7</f>
        <v>2.9099999999999997E-2</v>
      </c>
      <c r="M17" s="150">
        <f>EXP(-$D$6*B17)</f>
        <v>0.96319441772082182</v>
      </c>
      <c r="N17" s="109">
        <f>+L17*(1-$D$8)</f>
        <v>8.7299999999999999E-3</v>
      </c>
      <c r="O17" s="150">
        <f>+N17*M17</f>
        <v>8.4086872667027742E-3</v>
      </c>
    </row>
    <row r="18" spans="1:15" x14ac:dyDescent="0.35">
      <c r="A18" s="168">
        <f>ROW()</f>
        <v>18</v>
      </c>
      <c r="B18" s="149">
        <f t="shared" si="0"/>
        <v>2</v>
      </c>
      <c r="C18" s="150">
        <f>EXP(-$D$6*B18)</f>
        <v>0.95122942450071402</v>
      </c>
      <c r="D18" s="151">
        <f>(1-$D$7)^B18</f>
        <v>0.94089999999999996</v>
      </c>
      <c r="E18" s="150">
        <f>+D18*C18</f>
        <v>0.89501176551272177</v>
      </c>
    </row>
    <row r="19" spans="1:15" x14ac:dyDescent="0.35">
      <c r="A19" s="168">
        <f>ROW()</f>
        <v>19</v>
      </c>
      <c r="B19" s="149">
        <f t="shared" si="0"/>
        <v>2.5</v>
      </c>
      <c r="I19" s="109">
        <f>+L19*0.5</f>
        <v>1.4113499999999999E-2</v>
      </c>
      <c r="J19" s="150">
        <f>+I19*M19</f>
        <v>1.3258406262017991E-2</v>
      </c>
      <c r="L19" s="112">
        <f>+D18*$D$7</f>
        <v>2.8226999999999999E-2</v>
      </c>
      <c r="M19" s="150">
        <f>EXP(-$D$6*B19)</f>
        <v>0.93941306281347581</v>
      </c>
      <c r="N19" s="109">
        <f>+L19*(1-$D$8)</f>
        <v>8.468100000000001E-3</v>
      </c>
      <c r="O19" s="150">
        <f>+N19*M19</f>
        <v>7.955043757210796E-3</v>
      </c>
    </row>
    <row r="20" spans="1:15" x14ac:dyDescent="0.35">
      <c r="A20" s="168">
        <f>ROW()</f>
        <v>20</v>
      </c>
      <c r="B20" s="149">
        <f t="shared" si="0"/>
        <v>3</v>
      </c>
      <c r="C20" s="150">
        <f>EXP(-$D$6*B20)</f>
        <v>0.92774348632855286</v>
      </c>
      <c r="D20" s="151">
        <f>(1-$D$7)^B20</f>
        <v>0.91267299999999996</v>
      </c>
      <c r="E20" s="150">
        <f>+D20*C20</f>
        <v>0.84672643089793931</v>
      </c>
    </row>
    <row r="21" spans="1:15" x14ac:dyDescent="0.35">
      <c r="A21" s="168">
        <f>ROW()</f>
        <v>21</v>
      </c>
      <c r="B21" s="149">
        <f t="shared" si="0"/>
        <v>3.5</v>
      </c>
      <c r="I21" s="109">
        <f>+L21*0.5</f>
        <v>1.3690094999999999E-2</v>
      </c>
      <c r="J21" s="150">
        <f>+I21*M21</f>
        <v>1.2543123393693321E-2</v>
      </c>
      <c r="L21" s="112">
        <f>+D20*$D$7</f>
        <v>2.7380189999999999E-2</v>
      </c>
      <c r="M21" s="150">
        <f>EXP(-$D$6*B21)</f>
        <v>0.91621887165087756</v>
      </c>
      <c r="N21" s="109">
        <f>+L21*(1-$D$8)</f>
        <v>8.2140570000000003E-3</v>
      </c>
      <c r="O21" s="150">
        <f>+N21*M21</f>
        <v>7.525874036215993E-3</v>
      </c>
    </row>
    <row r="22" spans="1:15" x14ac:dyDescent="0.35">
      <c r="A22" s="168">
        <f>ROW()</f>
        <v>22</v>
      </c>
      <c r="B22" s="149">
        <f t="shared" si="0"/>
        <v>4</v>
      </c>
      <c r="C22" s="150">
        <f>EXP(-$D$6*B22)</f>
        <v>0.90483741803595952</v>
      </c>
      <c r="D22" s="151">
        <f>(1-$D$7)^B22</f>
        <v>0.88529280999999993</v>
      </c>
      <c r="E22" s="150">
        <f>+D22*C22</f>
        <v>0.80104606040619919</v>
      </c>
    </row>
    <row r="23" spans="1:15" x14ac:dyDescent="0.35">
      <c r="A23" s="168">
        <f>ROW()</f>
        <v>23</v>
      </c>
      <c r="B23" s="149">
        <f t="shared" si="0"/>
        <v>4.5</v>
      </c>
      <c r="I23" s="109">
        <f>+L23*0.5</f>
        <v>1.3279392149999998E-2</v>
      </c>
      <c r="J23" s="150">
        <f>+I23*M23</f>
        <v>1.1866429596453646E-2</v>
      </c>
      <c r="L23" s="112">
        <f>+D22*$D$7</f>
        <v>2.6558784299999996E-2</v>
      </c>
      <c r="M23" s="150">
        <f>EXP(-$D$6*B23)</f>
        <v>0.89359734710851568</v>
      </c>
      <c r="N23" s="109">
        <f>+L23*(1-$D$8)</f>
        <v>7.9676352900000004E-3</v>
      </c>
      <c r="O23" s="150">
        <f>+N23*M23</f>
        <v>7.1198577578721898E-3</v>
      </c>
    </row>
    <row r="24" spans="1:15" ht="15" thickBot="1" x14ac:dyDescent="0.4">
      <c r="A24" s="168">
        <f>ROW()</f>
        <v>24</v>
      </c>
      <c r="B24" s="152">
        <f>+B23+0.5</f>
        <v>5</v>
      </c>
      <c r="C24" s="153">
        <f>EXP(-$D$6*B24)</f>
        <v>0.88249690258459546</v>
      </c>
      <c r="D24" s="154">
        <f>(1-$D$7)^B24</f>
        <v>0.8587340256999999</v>
      </c>
      <c r="E24" s="153">
        <f>+D24*C24</f>
        <v>0.75783011782425036</v>
      </c>
      <c r="I24" s="155"/>
      <c r="J24" s="155"/>
      <c r="L24" s="155"/>
      <c r="M24" s="155"/>
      <c r="N24" s="155"/>
      <c r="O24" s="155"/>
    </row>
    <row r="25" spans="1:15" ht="15" thickBot="1" x14ac:dyDescent="0.4">
      <c r="A25" s="168">
        <f>ROW()</f>
        <v>25</v>
      </c>
      <c r="D25" t="s">
        <v>257</v>
      </c>
      <c r="E25" s="176">
        <f>SUM(E15:E24)</f>
        <v>4.2466649893085933</v>
      </c>
      <c r="G25" s="178" t="s">
        <v>309</v>
      </c>
      <c r="I25" s="7" t="s">
        <v>257</v>
      </c>
      <c r="J25" s="157">
        <f>SUM(J15:J24)</f>
        <v>6.649610503741113E-2</v>
      </c>
      <c r="O25" s="158">
        <f>SUM(O15:O24)</f>
        <v>3.9897663022446683E-2</v>
      </c>
    </row>
    <row r="26" spans="1:15" ht="15" thickBot="1" x14ac:dyDescent="0.4">
      <c r="A26" s="168">
        <f>ROW()</f>
        <v>26</v>
      </c>
      <c r="D26" t="s">
        <v>305</v>
      </c>
      <c r="E26" s="177">
        <f>+J25</f>
        <v>6.649610503741113E-2</v>
      </c>
      <c r="G26" s="181">
        <f>+J25</f>
        <v>6.649610503741113E-2</v>
      </c>
      <c r="N26" t="s">
        <v>258</v>
      </c>
    </row>
    <row r="27" spans="1:15" ht="15" thickBot="1" x14ac:dyDescent="0.4">
      <c r="A27" s="168">
        <f>ROW()</f>
        <v>27</v>
      </c>
      <c r="D27" t="s">
        <v>260</v>
      </c>
      <c r="E27" s="176">
        <f>+E25+E26</f>
        <v>4.3131610943460048</v>
      </c>
      <c r="G27" s="175" t="s">
        <v>310</v>
      </c>
    </row>
    <row r="28" spans="1:15" x14ac:dyDescent="0.35">
      <c r="A28" s="168">
        <f>ROW()</f>
        <v>28</v>
      </c>
      <c r="G28" s="178"/>
    </row>
    <row r="29" spans="1:15" x14ac:dyDescent="0.35">
      <c r="A29" s="168">
        <f>ROW()</f>
        <v>29</v>
      </c>
      <c r="D29" s="7" t="s">
        <v>306</v>
      </c>
      <c r="E29" s="150">
        <f>+E27</f>
        <v>4.3131610943460048</v>
      </c>
      <c r="G29" s="179" t="s">
        <v>311</v>
      </c>
    </row>
    <row r="30" spans="1:15" x14ac:dyDescent="0.35">
      <c r="A30" s="168">
        <f>ROW()</f>
        <v>30</v>
      </c>
      <c r="D30" s="7" t="s">
        <v>262</v>
      </c>
      <c r="E30" s="174">
        <f>+O25</f>
        <v>3.9897663022446683E-2</v>
      </c>
      <c r="G30" s="179" t="s">
        <v>312</v>
      </c>
    </row>
    <row r="31" spans="1:15" x14ac:dyDescent="0.35">
      <c r="A31" s="168"/>
      <c r="D31" s="7" t="s">
        <v>299</v>
      </c>
      <c r="E31" s="150"/>
      <c r="G31" s="178"/>
    </row>
    <row r="32" spans="1:15" x14ac:dyDescent="0.35">
      <c r="A32" s="168">
        <f>ROW()</f>
        <v>32</v>
      </c>
      <c r="D32" s="7" t="s">
        <v>298</v>
      </c>
      <c r="E32" s="10">
        <f>+E30/E29</f>
        <v>9.2502139729367747E-3</v>
      </c>
      <c r="G32" s="179" t="s">
        <v>308</v>
      </c>
    </row>
    <row r="33" spans="1:15" ht="15" thickBot="1" x14ac:dyDescent="0.4">
      <c r="A33" s="168">
        <f>ROW()</f>
        <v>33</v>
      </c>
    </row>
    <row r="34" spans="1:15" ht="15" thickBot="1" x14ac:dyDescent="0.4">
      <c r="A34" s="168">
        <f>ROW()</f>
        <v>34</v>
      </c>
      <c r="D34" s="163" t="s">
        <v>307</v>
      </c>
      <c r="E34" s="159">
        <f>+E32*10000</f>
        <v>92.502139729367741</v>
      </c>
      <c r="F34" s="180"/>
      <c r="G34" s="160" t="s">
        <v>264</v>
      </c>
      <c r="H34" s="2"/>
    </row>
    <row r="35" spans="1:15" x14ac:dyDescent="0.35">
      <c r="A35" s="168">
        <f>ROW()</f>
        <v>35</v>
      </c>
    </row>
    <row r="36" spans="1:15" x14ac:dyDescent="0.35">
      <c r="A36" s="168">
        <f>ROW()</f>
        <v>36</v>
      </c>
      <c r="O36" s="7" t="s">
        <v>366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19</vt:i4>
      </vt:variant>
    </vt:vector>
  </HeadingPairs>
  <TitlesOfParts>
    <vt:vector size="19" baseType="lpstr">
      <vt:lpstr>Figure 14.1</vt:lpstr>
      <vt:lpstr>Figure 14.2</vt:lpstr>
      <vt:lpstr>Figure 14.3</vt:lpstr>
      <vt:lpstr>Figure 14.4a</vt:lpstr>
      <vt:lpstr>Figure 14.4b</vt:lpstr>
      <vt:lpstr>Figure 14.5</vt:lpstr>
      <vt:lpstr>Figure 14.6</vt:lpstr>
      <vt:lpstr>Figure 14.7</vt:lpstr>
      <vt:lpstr>Figure 14.8</vt:lpstr>
      <vt:lpstr>Figure 14.11</vt:lpstr>
      <vt:lpstr>Figure 14.9</vt:lpstr>
      <vt:lpstr>Figure 14.10</vt:lpstr>
      <vt:lpstr>Speculation Basis</vt:lpstr>
      <vt:lpstr>FRAs</vt:lpstr>
      <vt:lpstr>Credit Derivatives</vt:lpstr>
      <vt:lpstr>CDO and CDS</vt:lpstr>
      <vt:lpstr>CASE STUDY</vt:lpstr>
      <vt:lpstr>Sheet3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Droussiotis</dc:creator>
  <cp:lastModifiedBy>Chris Droussiotis</cp:lastModifiedBy>
  <dcterms:created xsi:type="dcterms:W3CDTF">2019-04-22T14:20:47Z</dcterms:created>
  <dcterms:modified xsi:type="dcterms:W3CDTF">2023-11-15T22:55:18Z</dcterms:modified>
</cp:coreProperties>
</file>