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ink/ink1.xml" ContentType="application/inkml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ink/ink2.xml" ContentType="application/inkml+xml"/>
  <Override PartName="/xl/ink/ink3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II - SECONDARY MARKETS\EXCEL SPREADSHEETS\"/>
    </mc:Choice>
  </mc:AlternateContent>
  <xr:revisionPtr revIDLastSave="0" documentId="13_ncr:1_{78F19157-8D6B-4C2D-BF42-8E7AAF76D519}" xr6:coauthVersionLast="47" xr6:coauthVersionMax="47" xr10:uidLastSave="{00000000-0000-0000-0000-000000000000}"/>
  <bookViews>
    <workbookView xWindow="-71010" yWindow="375" windowWidth="25440" windowHeight="15270" xr2:uid="{00000000-000D-0000-FFFF-FFFF00000000}"/>
  </bookViews>
  <sheets>
    <sheet name="Figure 13.1" sheetId="2" r:id="rId1"/>
    <sheet name="Figure 13.2" sheetId="4" r:id="rId2"/>
    <sheet name="Figure 13.3" sheetId="5" r:id="rId3"/>
    <sheet name="Figure 13.4" sheetId="3" r:id="rId4"/>
    <sheet name="Figure 13.5" sheetId="6" r:id="rId5"/>
    <sheet name="Figure 13.6" sheetId="7" r:id="rId6"/>
    <sheet name="Figure 13.7" sheetId="8" r:id="rId7"/>
    <sheet name="Figure 13.8" sheetId="9" r:id="rId8"/>
    <sheet name="Figure 13.9" sheetId="10" r:id="rId9"/>
    <sheet name="Figure 13.10" sheetId="11" r:id="rId10"/>
    <sheet name="Figure 13.11" sheetId="12" r:id="rId11"/>
    <sheet name="Figure 13.12" sheetId="13" r:id="rId12"/>
    <sheet name="Figure 13.13" sheetId="1" r:id="rId13"/>
    <sheet name="Figure 13.14" sheetId="15" r:id="rId14"/>
    <sheet name="Figure 13.15" sheetId="16" r:id="rId15"/>
    <sheet name="Figure 13.16" sheetId="17" r:id="rId16"/>
    <sheet name="Figure 13.17" sheetId="18" r:id="rId17"/>
    <sheet name="Figure 13.18" sheetId="19" r:id="rId18"/>
    <sheet name="Figure 13.19" sheetId="22" r:id="rId19"/>
    <sheet name="Figure 13.20" sheetId="21" r:id="rId20"/>
    <sheet name="Figure 13.21" sheetId="24" r:id="rId21"/>
    <sheet name="Figure 13.22" sheetId="25" r:id="rId22"/>
    <sheet name="Figure 13.23" sheetId="26" r:id="rId23"/>
    <sheet name="Figure 13.24" sheetId="28" r:id="rId24"/>
    <sheet name="INSTRUCTORS" sheetId="29" r:id="rId25"/>
    <sheet name="Testing the Market" sheetId="35" r:id="rId26"/>
    <sheet name="EuropeanCall" sheetId="31" r:id="rId27"/>
    <sheet name="AmericanPut" sheetId="30" r:id="rId28"/>
    <sheet name="OptionsonFuture" sheetId="32" r:id="rId29"/>
    <sheet name="10PeriodBOPM" sheetId="33" r:id="rId30"/>
    <sheet name="15PeriodBOPM" sheetId="34" r:id="rId31"/>
    <sheet name="Sheet13" sheetId="27" r:id="rId32"/>
    <sheet name="Sheet6" sheetId="20" r:id="rId33"/>
    <sheet name="Sheet14" sheetId="14" r:id="rId34"/>
    <sheet name="Sheet9" sheetId="23" r:id="rId35"/>
  </sheets>
  <definedNames>
    <definedName name="_xlnm.Print_Area" localSheetId="19">'Figure 13.20'!$A$1:$T$22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5" l="1"/>
  <c r="G10" i="25"/>
  <c r="G9" i="25"/>
  <c r="G8" i="25"/>
  <c r="G7" i="25"/>
  <c r="G8" i="24"/>
  <c r="G7" i="24"/>
  <c r="Q46" i="29"/>
  <c r="N44" i="29"/>
  <c r="N43" i="29"/>
  <c r="N45" i="29"/>
  <c r="N46" i="29" s="1"/>
  <c r="N42" i="29"/>
  <c r="Q40" i="29"/>
  <c r="Q36" i="29"/>
  <c r="N40" i="29"/>
  <c r="S40" i="29" s="1"/>
  <c r="N38" i="29"/>
  <c r="N37" i="29"/>
  <c r="N39" i="29"/>
  <c r="N36" i="29"/>
  <c r="O30" i="29"/>
  <c r="Q30" i="29" s="1"/>
  <c r="N34" i="29"/>
  <c r="V34" i="29" s="1"/>
  <c r="N32" i="29"/>
  <c r="N31" i="29"/>
  <c r="N33" i="29"/>
  <c r="N30" i="29"/>
  <c r="Q27" i="29"/>
  <c r="Q26" i="29"/>
  <c r="N27" i="29"/>
  <c r="N28" i="29" s="1"/>
  <c r="S28" i="29" s="1"/>
  <c r="N26" i="29"/>
  <c r="Q24" i="29"/>
  <c r="Q23" i="29"/>
  <c r="N25" i="29"/>
  <c r="U25" i="29" s="1"/>
  <c r="V25" i="29" s="1"/>
  <c r="N24" i="29"/>
  <c r="N23" i="29"/>
  <c r="Q21" i="29"/>
  <c r="Q20" i="29"/>
  <c r="N21" i="29"/>
  <c r="N22" i="29" s="1"/>
  <c r="N20" i="29"/>
  <c r="S19" i="29"/>
  <c r="Q18" i="29"/>
  <c r="Q17" i="29"/>
  <c r="B28" i="35"/>
  <c r="C28" i="35"/>
  <c r="B29" i="35"/>
  <c r="C29" i="35"/>
  <c r="D30" i="35" s="1"/>
  <c r="B30" i="35"/>
  <c r="C30" i="35"/>
  <c r="B31" i="35"/>
  <c r="C31" i="35"/>
  <c r="D31" i="35" s="1"/>
  <c r="B32" i="35"/>
  <c r="C32" i="35"/>
  <c r="B33" i="35"/>
  <c r="C33" i="35"/>
  <c r="D33" i="35" s="1"/>
  <c r="B34" i="35"/>
  <c r="C34" i="35"/>
  <c r="B35" i="35"/>
  <c r="C35" i="35"/>
  <c r="D35" i="35" s="1"/>
  <c r="B36" i="35"/>
  <c r="C36" i="35"/>
  <c r="B37" i="35"/>
  <c r="C37" i="35"/>
  <c r="D38" i="35" s="1"/>
  <c r="B38" i="35"/>
  <c r="C38" i="35"/>
  <c r="B39" i="35"/>
  <c r="C39" i="35"/>
  <c r="D39" i="35" s="1"/>
  <c r="B40" i="35"/>
  <c r="C40" i="35"/>
  <c r="B41" i="35"/>
  <c r="C41" i="35"/>
  <c r="D41" i="35" s="1"/>
  <c r="B42" i="35"/>
  <c r="C42" i="35"/>
  <c r="B43" i="35"/>
  <c r="C43" i="35"/>
  <c r="D43" i="35" s="1"/>
  <c r="B44" i="35"/>
  <c r="C44" i="35"/>
  <c r="B45" i="35"/>
  <c r="C45" i="35"/>
  <c r="D46" i="35" s="1"/>
  <c r="B46" i="35"/>
  <c r="C46" i="35"/>
  <c r="B47" i="35"/>
  <c r="C47" i="35"/>
  <c r="D47" i="35" s="1"/>
  <c r="B48" i="35"/>
  <c r="C48" i="35"/>
  <c r="B49" i="35"/>
  <c r="C49" i="35"/>
  <c r="D49" i="35" s="1"/>
  <c r="B50" i="35"/>
  <c r="C50" i="35"/>
  <c r="B51" i="35"/>
  <c r="C51" i="35"/>
  <c r="D51" i="35" s="1"/>
  <c r="B52" i="35"/>
  <c r="C52" i="35"/>
  <c r="B53" i="35"/>
  <c r="C53" i="35"/>
  <c r="D54" i="35" s="1"/>
  <c r="B54" i="35"/>
  <c r="C54" i="35"/>
  <c r="B55" i="35"/>
  <c r="C55" i="35"/>
  <c r="D55" i="35" s="1"/>
  <c r="B56" i="35"/>
  <c r="C56" i="35"/>
  <c r="B57" i="35"/>
  <c r="C57" i="35"/>
  <c r="D57" i="35" s="1"/>
  <c r="B58" i="35"/>
  <c r="C58" i="35"/>
  <c r="B59" i="35"/>
  <c r="C59" i="35"/>
  <c r="D59" i="35" s="1"/>
  <c r="B60" i="35"/>
  <c r="C60" i="35"/>
  <c r="B61" i="35"/>
  <c r="C61" i="35"/>
  <c r="D62" i="35" s="1"/>
  <c r="B62" i="35"/>
  <c r="C62" i="35"/>
  <c r="B63" i="35"/>
  <c r="C63" i="35"/>
  <c r="D63" i="35" s="1"/>
  <c r="B64" i="35"/>
  <c r="C64" i="35"/>
  <c r="B65" i="35"/>
  <c r="C65" i="35"/>
  <c r="D66" i="35" s="1"/>
  <c r="B66" i="35"/>
  <c r="C66" i="35"/>
  <c r="B67" i="35"/>
  <c r="C67" i="35"/>
  <c r="D67" i="35" s="1"/>
  <c r="B68" i="35"/>
  <c r="C68" i="35"/>
  <c r="B69" i="35"/>
  <c r="C69" i="35"/>
  <c r="D69" i="35" s="1"/>
  <c r="B70" i="35"/>
  <c r="C70" i="35"/>
  <c r="B71" i="35"/>
  <c r="C71" i="35"/>
  <c r="D71" i="35" s="1"/>
  <c r="B72" i="35"/>
  <c r="C72" i="35"/>
  <c r="B73" i="35"/>
  <c r="C73" i="35"/>
  <c r="D74" i="35" s="1"/>
  <c r="B74" i="35"/>
  <c r="C74" i="35"/>
  <c r="B75" i="35"/>
  <c r="C75" i="35"/>
  <c r="D75" i="35" s="1"/>
  <c r="B76" i="35"/>
  <c r="C76" i="35"/>
  <c r="B77" i="35"/>
  <c r="C77" i="35"/>
  <c r="D78" i="35" s="1"/>
  <c r="B78" i="35"/>
  <c r="C78" i="35"/>
  <c r="B79" i="35"/>
  <c r="C79" i="35"/>
  <c r="D79" i="35" s="1"/>
  <c r="B80" i="35"/>
  <c r="C80" i="35"/>
  <c r="B81" i="35"/>
  <c r="C81" i="35"/>
  <c r="D82" i="35" s="1"/>
  <c r="B82" i="35"/>
  <c r="C82" i="35"/>
  <c r="B83" i="35"/>
  <c r="C83" i="35"/>
  <c r="D83" i="35" s="1"/>
  <c r="B84" i="35"/>
  <c r="C84" i="35"/>
  <c r="B85" i="35"/>
  <c r="C85" i="35"/>
  <c r="D86" i="35" s="1"/>
  <c r="B86" i="35"/>
  <c r="C86" i="35"/>
  <c r="C27" i="35"/>
  <c r="D25" i="35" s="1"/>
  <c r="B27" i="35"/>
  <c r="C25" i="35"/>
  <c r="B17" i="35"/>
  <c r="B18" i="35" s="1"/>
  <c r="B19" i="35" s="1"/>
  <c r="B20" i="35" s="1"/>
  <c r="B14" i="35"/>
  <c r="D6" i="35" s="1"/>
  <c r="D9" i="35"/>
  <c r="D8" i="35"/>
  <c r="L5" i="35"/>
  <c r="O5" i="35" s="1"/>
  <c r="Q5" i="29"/>
  <c r="N19" i="29"/>
  <c r="V19" i="29" s="1"/>
  <c r="Q14" i="29"/>
  <c r="N14" i="29"/>
  <c r="U14" i="29" s="1"/>
  <c r="V13" i="29"/>
  <c r="Q13" i="29"/>
  <c r="N13" i="29"/>
  <c r="R13" i="29" s="1"/>
  <c r="T13" i="29" s="1"/>
  <c r="V12" i="29"/>
  <c r="U12" i="29"/>
  <c r="R12" i="29"/>
  <c r="S12" i="29"/>
  <c r="V11" i="29"/>
  <c r="U11" i="29"/>
  <c r="S11" i="29"/>
  <c r="R11" i="29"/>
  <c r="U10" i="29"/>
  <c r="U9" i="29"/>
  <c r="S10" i="29"/>
  <c r="R10" i="29"/>
  <c r="S9" i="29"/>
  <c r="R9" i="29"/>
  <c r="Q9" i="29"/>
  <c r="V8" i="29"/>
  <c r="U8" i="29"/>
  <c r="T8" i="29"/>
  <c r="S8" i="29"/>
  <c r="R8" i="29"/>
  <c r="Q8" i="29"/>
  <c r="V7" i="29"/>
  <c r="T7" i="29"/>
  <c r="S7" i="29"/>
  <c r="R7" i="29"/>
  <c r="Q7" i="29"/>
  <c r="V6" i="29"/>
  <c r="T6" i="29"/>
  <c r="S6" i="29"/>
  <c r="R6" i="29"/>
  <c r="Q6" i="29"/>
  <c r="T5" i="29"/>
  <c r="S5" i="29"/>
  <c r="R5" i="29"/>
  <c r="B50" i="34"/>
  <c r="C49" i="34"/>
  <c r="B49" i="34"/>
  <c r="D48" i="34"/>
  <c r="C48" i="34"/>
  <c r="B48" i="34"/>
  <c r="E47" i="34"/>
  <c r="D47" i="34"/>
  <c r="C47" i="34"/>
  <c r="B47" i="34"/>
  <c r="F46" i="34"/>
  <c r="E46" i="34"/>
  <c r="D46" i="34"/>
  <c r="C46" i="34"/>
  <c r="B46" i="34"/>
  <c r="G45" i="34"/>
  <c r="F45" i="34"/>
  <c r="E45" i="34"/>
  <c r="D45" i="34"/>
  <c r="C45" i="34"/>
  <c r="B45" i="34"/>
  <c r="H44" i="34"/>
  <c r="G44" i="34"/>
  <c r="F44" i="34"/>
  <c r="E44" i="34"/>
  <c r="D44" i="34"/>
  <c r="C44" i="34"/>
  <c r="B44" i="34"/>
  <c r="I43" i="34"/>
  <c r="H43" i="34"/>
  <c r="G43" i="34"/>
  <c r="F43" i="34"/>
  <c r="E43" i="34"/>
  <c r="D43" i="34"/>
  <c r="C43" i="34"/>
  <c r="B43" i="34"/>
  <c r="J42" i="34"/>
  <c r="I42" i="34"/>
  <c r="H42" i="34"/>
  <c r="G42" i="34"/>
  <c r="F42" i="34"/>
  <c r="E42" i="34"/>
  <c r="D42" i="34"/>
  <c r="C42" i="34"/>
  <c r="B42" i="34"/>
  <c r="K41" i="34"/>
  <c r="J41" i="34"/>
  <c r="I41" i="34"/>
  <c r="H41" i="34"/>
  <c r="G41" i="34"/>
  <c r="F41" i="34"/>
  <c r="E41" i="34"/>
  <c r="D41" i="34"/>
  <c r="C41" i="34"/>
  <c r="B41" i="34"/>
  <c r="A40" i="34"/>
  <c r="A39" i="34"/>
  <c r="A38" i="34"/>
  <c r="N35" i="34"/>
  <c r="M35" i="34"/>
  <c r="B31" i="34"/>
  <c r="C29" i="34"/>
  <c r="D28" i="34"/>
  <c r="C28" i="34"/>
  <c r="E27" i="34"/>
  <c r="D27" i="34"/>
  <c r="C27" i="34"/>
  <c r="F26" i="34"/>
  <c r="E26" i="34"/>
  <c r="C26" i="34"/>
  <c r="G25" i="34"/>
  <c r="F25" i="34"/>
  <c r="E25" i="34"/>
  <c r="D25" i="34"/>
  <c r="C25" i="34"/>
  <c r="H24" i="34"/>
  <c r="G24" i="34"/>
  <c r="F24" i="34"/>
  <c r="E24" i="34"/>
  <c r="D24" i="34"/>
  <c r="C24" i="34"/>
  <c r="I23" i="34"/>
  <c r="H23" i="34"/>
  <c r="G23" i="34"/>
  <c r="F23" i="34"/>
  <c r="E23" i="34"/>
  <c r="D23" i="34"/>
  <c r="C23" i="34"/>
  <c r="J22" i="34"/>
  <c r="I22" i="34"/>
  <c r="H22" i="34"/>
  <c r="G22" i="34"/>
  <c r="F22" i="34"/>
  <c r="E22" i="34"/>
  <c r="D22" i="34"/>
  <c r="C22" i="34"/>
  <c r="K21" i="34"/>
  <c r="J21" i="34"/>
  <c r="I21" i="34"/>
  <c r="H21" i="34"/>
  <c r="G21" i="34"/>
  <c r="F21" i="34"/>
  <c r="E21" i="34"/>
  <c r="D21" i="34"/>
  <c r="C21" i="34"/>
  <c r="A20" i="34"/>
  <c r="M15" i="34"/>
  <c r="B8" i="34"/>
  <c r="B40" i="33"/>
  <c r="C39" i="33"/>
  <c r="B39" i="33"/>
  <c r="D38" i="33"/>
  <c r="C38" i="33"/>
  <c r="B38" i="33"/>
  <c r="E37" i="33"/>
  <c r="D37" i="33"/>
  <c r="C37" i="33"/>
  <c r="B37" i="33"/>
  <c r="F36" i="33"/>
  <c r="E36" i="33"/>
  <c r="D36" i="33"/>
  <c r="C36" i="33"/>
  <c r="B36" i="33"/>
  <c r="G35" i="33"/>
  <c r="F35" i="33"/>
  <c r="E35" i="33"/>
  <c r="D35" i="33"/>
  <c r="C35" i="33"/>
  <c r="B35" i="33"/>
  <c r="H34" i="33"/>
  <c r="G34" i="33"/>
  <c r="F34" i="33"/>
  <c r="E34" i="33"/>
  <c r="D34" i="33"/>
  <c r="C34" i="33"/>
  <c r="B34" i="33"/>
  <c r="I33" i="33"/>
  <c r="H33" i="33"/>
  <c r="G33" i="33"/>
  <c r="F33" i="33"/>
  <c r="E33" i="33"/>
  <c r="D33" i="33"/>
  <c r="C33" i="33"/>
  <c r="B33" i="33"/>
  <c r="J32" i="33"/>
  <c r="I32" i="33"/>
  <c r="H32" i="33"/>
  <c r="G32" i="33"/>
  <c r="F32" i="33"/>
  <c r="E32" i="33"/>
  <c r="D32" i="33"/>
  <c r="C32" i="33"/>
  <c r="B32" i="33"/>
  <c r="K31" i="33"/>
  <c r="J31" i="33"/>
  <c r="I31" i="33"/>
  <c r="H31" i="33"/>
  <c r="G31" i="33"/>
  <c r="F31" i="33"/>
  <c r="E31" i="33"/>
  <c r="D31" i="33"/>
  <c r="C31" i="33"/>
  <c r="B31" i="33"/>
  <c r="B26" i="33"/>
  <c r="C24" i="33"/>
  <c r="D23" i="33"/>
  <c r="C23" i="33"/>
  <c r="E22" i="33"/>
  <c r="D22" i="33"/>
  <c r="C22" i="33"/>
  <c r="F21" i="33"/>
  <c r="E21" i="33"/>
  <c r="D21" i="33"/>
  <c r="C21" i="33"/>
  <c r="G20" i="33"/>
  <c r="F20" i="33"/>
  <c r="E20" i="33"/>
  <c r="D20" i="33"/>
  <c r="C20" i="33"/>
  <c r="H19" i="33"/>
  <c r="G19" i="33"/>
  <c r="F19" i="33"/>
  <c r="E19" i="33"/>
  <c r="D19" i="33"/>
  <c r="C19" i="33"/>
  <c r="I18" i="33"/>
  <c r="H18" i="33"/>
  <c r="G18" i="33"/>
  <c r="F18" i="33"/>
  <c r="E18" i="33"/>
  <c r="D18" i="33"/>
  <c r="C18" i="33"/>
  <c r="J17" i="33"/>
  <c r="I17" i="33"/>
  <c r="H17" i="33"/>
  <c r="G17" i="33"/>
  <c r="F17" i="33"/>
  <c r="E17" i="33"/>
  <c r="D17" i="33"/>
  <c r="C17" i="33"/>
  <c r="K16" i="33"/>
  <c r="J16" i="33"/>
  <c r="I16" i="33"/>
  <c r="H16" i="33"/>
  <c r="G16" i="33"/>
  <c r="F16" i="33"/>
  <c r="E16" i="33"/>
  <c r="D16" i="33"/>
  <c r="C16" i="33"/>
  <c r="B8" i="33"/>
  <c r="B8" i="32"/>
  <c r="D17" i="31"/>
  <c r="D16" i="31"/>
  <c r="E14" i="31"/>
  <c r="E23" i="31" s="1"/>
  <c r="B8" i="31"/>
  <c r="C17" i="31" s="1"/>
  <c r="B8" i="30"/>
  <c r="C17" i="30" s="1"/>
  <c r="S22" i="29" l="1"/>
  <c r="V22" i="29"/>
  <c r="O31" i="29"/>
  <c r="O32" i="29" s="1"/>
  <c r="O33" i="29" s="1"/>
  <c r="R40" i="29"/>
  <c r="T40" i="29" s="1"/>
  <c r="V40" i="29"/>
  <c r="R46" i="29"/>
  <c r="Q34" i="29"/>
  <c r="R34" i="29" s="1"/>
  <c r="T34" i="29" s="1"/>
  <c r="S25" i="29"/>
  <c r="U28" i="29"/>
  <c r="Q28" i="29"/>
  <c r="R28" i="29" s="1"/>
  <c r="Q25" i="29"/>
  <c r="R25" i="29" s="1"/>
  <c r="Q22" i="29"/>
  <c r="R22" i="29" s="1"/>
  <c r="T22" i="29" s="1"/>
  <c r="Q19" i="29"/>
  <c r="R19" i="29" s="1"/>
  <c r="T19" i="29" s="1"/>
  <c r="R14" i="29"/>
  <c r="D40" i="35"/>
  <c r="D56" i="35"/>
  <c r="D72" i="35"/>
  <c r="D44" i="35"/>
  <c r="D60" i="35"/>
  <c r="D76" i="35"/>
  <c r="D32" i="35"/>
  <c r="D48" i="35"/>
  <c r="D64" i="35"/>
  <c r="D80" i="35"/>
  <c r="D36" i="35"/>
  <c r="D52" i="35"/>
  <c r="D68" i="35"/>
  <c r="D84" i="35"/>
  <c r="D37" i="35"/>
  <c r="D45" i="35"/>
  <c r="D53" i="35"/>
  <c r="D61" i="35"/>
  <c r="D65" i="35"/>
  <c r="D73" i="35"/>
  <c r="D77" i="35"/>
  <c r="D81" i="35"/>
  <c r="D85" i="35"/>
  <c r="D34" i="35"/>
  <c r="D42" i="35"/>
  <c r="D50" i="35"/>
  <c r="D58" i="35"/>
  <c r="D70" i="35"/>
  <c r="D28" i="35"/>
  <c r="D29" i="35"/>
  <c r="K6" i="35"/>
  <c r="B25" i="35"/>
  <c r="A19" i="34"/>
  <c r="O35" i="34"/>
  <c r="A37" i="34"/>
  <c r="N15" i="34"/>
  <c r="B9" i="34"/>
  <c r="C30" i="34"/>
  <c r="D29" i="34" s="1"/>
  <c r="E28" i="34" s="1"/>
  <c r="F27" i="34" s="1"/>
  <c r="G26" i="34" s="1"/>
  <c r="H25" i="34" s="1"/>
  <c r="I24" i="34" s="1"/>
  <c r="J23" i="34" s="1"/>
  <c r="K22" i="34" s="1"/>
  <c r="L21" i="34" s="1"/>
  <c r="B9" i="33"/>
  <c r="C25" i="33"/>
  <c r="D24" i="33" s="1"/>
  <c r="E23" i="33" s="1"/>
  <c r="F22" i="33" s="1"/>
  <c r="G21" i="33" s="1"/>
  <c r="H20" i="33" s="1"/>
  <c r="I19" i="33" s="1"/>
  <c r="J18" i="33" s="1"/>
  <c r="K17" i="33" s="1"/>
  <c r="L16" i="33" s="1"/>
  <c r="L31" i="33" s="1"/>
  <c r="H22" i="32"/>
  <c r="C24" i="32"/>
  <c r="B9" i="32"/>
  <c r="L14" i="32" s="1"/>
  <c r="L30" i="32" s="1"/>
  <c r="L46" i="32" s="1"/>
  <c r="K15" i="32"/>
  <c r="I19" i="32"/>
  <c r="J21" i="32"/>
  <c r="G23" i="32"/>
  <c r="D15" i="31"/>
  <c r="E16" i="31"/>
  <c r="E25" i="31" s="1"/>
  <c r="E17" i="31"/>
  <c r="E26" i="31" s="1"/>
  <c r="B9" i="31"/>
  <c r="E15" i="31"/>
  <c r="E24" i="31" s="1"/>
  <c r="B17" i="31"/>
  <c r="C16" i="31"/>
  <c r="D15" i="30"/>
  <c r="E16" i="30"/>
  <c r="E25" i="30" s="1"/>
  <c r="E17" i="30"/>
  <c r="E26" i="30" s="1"/>
  <c r="D16" i="30"/>
  <c r="B9" i="30"/>
  <c r="B10" i="30" s="1"/>
  <c r="E15" i="30"/>
  <c r="E24" i="30" s="1"/>
  <c r="B17" i="30"/>
  <c r="E14" i="30"/>
  <c r="E23" i="30" s="1"/>
  <c r="D17" i="30"/>
  <c r="C16" i="30"/>
  <c r="D22" i="35" l="1"/>
  <c r="D5" i="35" s="1"/>
  <c r="G5" i="35" s="1"/>
  <c r="G7" i="35" s="1"/>
  <c r="N6" i="35"/>
  <c r="K7" i="35"/>
  <c r="H5" i="35"/>
  <c r="M20" i="34"/>
  <c r="N19" i="34" s="1"/>
  <c r="O19" i="34" s="1"/>
  <c r="M21" i="34"/>
  <c r="N21" i="34" s="1"/>
  <c r="A36" i="34"/>
  <c r="O15" i="34"/>
  <c r="E29" i="34"/>
  <c r="F29" i="34" s="1"/>
  <c r="G29" i="34" s="1"/>
  <c r="H29" i="34" s="1"/>
  <c r="I29" i="34" s="1"/>
  <c r="J29" i="34" s="1"/>
  <c r="K29" i="34" s="1"/>
  <c r="L29" i="34" s="1"/>
  <c r="M29" i="34" s="1"/>
  <c r="N29" i="34" s="1"/>
  <c r="G27" i="34"/>
  <c r="H27" i="34" s="1"/>
  <c r="I27" i="34" s="1"/>
  <c r="J27" i="34" s="1"/>
  <c r="K27" i="34" s="1"/>
  <c r="L27" i="34" s="1"/>
  <c r="M27" i="34" s="1"/>
  <c r="N27" i="34" s="1"/>
  <c r="B10" i="34"/>
  <c r="J24" i="34"/>
  <c r="K24" i="34" s="1"/>
  <c r="L24" i="34" s="1"/>
  <c r="M24" i="34" s="1"/>
  <c r="N24" i="34" s="1"/>
  <c r="L22" i="34"/>
  <c r="M22" i="34" s="1"/>
  <c r="N22" i="34" s="1"/>
  <c r="C31" i="34"/>
  <c r="D31" i="34" s="1"/>
  <c r="E31" i="34" s="1"/>
  <c r="F31" i="34" s="1"/>
  <c r="G31" i="34" s="1"/>
  <c r="H31" i="34" s="1"/>
  <c r="I31" i="34" s="1"/>
  <c r="J31" i="34" s="1"/>
  <c r="K31" i="34" s="1"/>
  <c r="L31" i="34" s="1"/>
  <c r="M31" i="34" s="1"/>
  <c r="N31" i="34" s="1"/>
  <c r="D30" i="34"/>
  <c r="E30" i="34" s="1"/>
  <c r="F30" i="34" s="1"/>
  <c r="G30" i="34" s="1"/>
  <c r="H30" i="34" s="1"/>
  <c r="I30" i="34" s="1"/>
  <c r="J30" i="34" s="1"/>
  <c r="K30" i="34" s="1"/>
  <c r="L30" i="34" s="1"/>
  <c r="M30" i="34" s="1"/>
  <c r="N30" i="34" s="1"/>
  <c r="I25" i="34"/>
  <c r="J25" i="34" s="1"/>
  <c r="K25" i="34" s="1"/>
  <c r="L25" i="34" s="1"/>
  <c r="M25" i="34" s="1"/>
  <c r="N25" i="34" s="1"/>
  <c r="K23" i="34"/>
  <c r="L23" i="34" s="1"/>
  <c r="M23" i="34" s="1"/>
  <c r="N23" i="34" s="1"/>
  <c r="H26" i="34"/>
  <c r="I26" i="34" s="1"/>
  <c r="J26" i="34" s="1"/>
  <c r="K26" i="34" s="1"/>
  <c r="L26" i="34" s="1"/>
  <c r="M26" i="34" s="1"/>
  <c r="N26" i="34" s="1"/>
  <c r="F28" i="34"/>
  <c r="G28" i="34" s="1"/>
  <c r="H28" i="34" s="1"/>
  <c r="I28" i="34" s="1"/>
  <c r="J28" i="34" s="1"/>
  <c r="K28" i="34" s="1"/>
  <c r="L28" i="34" s="1"/>
  <c r="M28" i="34" s="1"/>
  <c r="N28" i="34" s="1"/>
  <c r="A18" i="34"/>
  <c r="P35" i="34"/>
  <c r="D25" i="33"/>
  <c r="E25" i="33" s="1"/>
  <c r="F25" i="33" s="1"/>
  <c r="G25" i="33" s="1"/>
  <c r="H25" i="33" s="1"/>
  <c r="I25" i="33" s="1"/>
  <c r="J25" i="33" s="1"/>
  <c r="K25" i="33" s="1"/>
  <c r="L25" i="33" s="1"/>
  <c r="L40" i="33" s="1"/>
  <c r="H21" i="33"/>
  <c r="I21" i="33" s="1"/>
  <c r="J21" i="33" s="1"/>
  <c r="K21" i="33" s="1"/>
  <c r="L21" i="33" s="1"/>
  <c r="L36" i="33" s="1"/>
  <c r="L17" i="33"/>
  <c r="L32" i="33" s="1"/>
  <c r="I20" i="33"/>
  <c r="J20" i="33" s="1"/>
  <c r="K20" i="33" s="1"/>
  <c r="L20" i="33" s="1"/>
  <c r="L35" i="33" s="1"/>
  <c r="B10" i="33"/>
  <c r="C26" i="33"/>
  <c r="D26" i="33" s="1"/>
  <c r="E26" i="33" s="1"/>
  <c r="F26" i="33" s="1"/>
  <c r="G26" i="33" s="1"/>
  <c r="H26" i="33" s="1"/>
  <c r="I26" i="33" s="1"/>
  <c r="J26" i="33" s="1"/>
  <c r="K26" i="33" s="1"/>
  <c r="L26" i="33" s="1"/>
  <c r="L41" i="33" s="1"/>
  <c r="F23" i="33"/>
  <c r="G23" i="33" s="1"/>
  <c r="H23" i="33" s="1"/>
  <c r="I23" i="33" s="1"/>
  <c r="J23" i="33" s="1"/>
  <c r="K23" i="33" s="1"/>
  <c r="L23" i="33" s="1"/>
  <c r="L38" i="33" s="1"/>
  <c r="E24" i="33"/>
  <c r="F24" i="33" s="1"/>
  <c r="G24" i="33" s="1"/>
  <c r="H24" i="33" s="1"/>
  <c r="I24" i="33" s="1"/>
  <c r="J24" i="33" s="1"/>
  <c r="K24" i="33" s="1"/>
  <c r="L24" i="33" s="1"/>
  <c r="L39" i="33" s="1"/>
  <c r="J19" i="33"/>
  <c r="K19" i="33" s="1"/>
  <c r="L19" i="33" s="1"/>
  <c r="L34" i="33" s="1"/>
  <c r="K18" i="33"/>
  <c r="L18" i="33" s="1"/>
  <c r="L33" i="33" s="1"/>
  <c r="G22" i="33"/>
  <c r="H22" i="33" s="1"/>
  <c r="I22" i="33" s="1"/>
  <c r="J22" i="33" s="1"/>
  <c r="K22" i="33" s="1"/>
  <c r="L22" i="33" s="1"/>
  <c r="L37" i="33" s="1"/>
  <c r="K17" i="32"/>
  <c r="C23" i="32"/>
  <c r="K18" i="32"/>
  <c r="J23" i="32"/>
  <c r="D22" i="32"/>
  <c r="L19" i="32"/>
  <c r="L35" i="32" s="1"/>
  <c r="L51" i="32" s="1"/>
  <c r="K16" i="32"/>
  <c r="I20" i="32"/>
  <c r="H24" i="32"/>
  <c r="F21" i="32"/>
  <c r="D24" i="32"/>
  <c r="J20" i="32"/>
  <c r="K24" i="32"/>
  <c r="F23" i="32"/>
  <c r="I21" i="32"/>
  <c r="H19" i="32"/>
  <c r="J24" i="32"/>
  <c r="B24" i="32"/>
  <c r="E23" i="32"/>
  <c r="G22" i="32"/>
  <c r="H21" i="32"/>
  <c r="H20" i="32"/>
  <c r="G19" i="32"/>
  <c r="I18" i="32"/>
  <c r="J16" i="32"/>
  <c r="F24" i="32"/>
  <c r="I23" i="32"/>
  <c r="K22" i="32"/>
  <c r="L21" i="32"/>
  <c r="L37" i="32" s="1"/>
  <c r="L53" i="32" s="1"/>
  <c r="L20" i="32"/>
  <c r="L36" i="32" s="1"/>
  <c r="L52" i="32" s="1"/>
  <c r="K19" i="32"/>
  <c r="J17" i="32"/>
  <c r="I24" i="32"/>
  <c r="D23" i="32"/>
  <c r="G21" i="32"/>
  <c r="L18" i="32"/>
  <c r="L34" i="32" s="1"/>
  <c r="L50" i="32" s="1"/>
  <c r="B10" i="32"/>
  <c r="J19" i="32"/>
  <c r="E24" i="32"/>
  <c r="J22" i="32"/>
  <c r="K20" i="32"/>
  <c r="H18" i="32"/>
  <c r="L23" i="32"/>
  <c r="L39" i="32" s="1"/>
  <c r="L55" i="32" s="1"/>
  <c r="G20" i="32"/>
  <c r="H23" i="32"/>
  <c r="L15" i="32"/>
  <c r="L31" i="32" s="1"/>
  <c r="L47" i="32" s="1"/>
  <c r="F22" i="32"/>
  <c r="I17" i="32"/>
  <c r="K21" i="32"/>
  <c r="I22" i="32"/>
  <c r="L17" i="32"/>
  <c r="L33" i="32" s="1"/>
  <c r="L49" i="32" s="1"/>
  <c r="K23" i="32"/>
  <c r="E22" i="32"/>
  <c r="F20" i="32"/>
  <c r="L16" i="32"/>
  <c r="L32" i="32" s="1"/>
  <c r="L48" i="32" s="1"/>
  <c r="G24" i="32"/>
  <c r="L22" i="32"/>
  <c r="L38" i="32" s="1"/>
  <c r="L54" i="32" s="1"/>
  <c r="E21" i="32"/>
  <c r="J18" i="32"/>
  <c r="L24" i="32"/>
  <c r="L40" i="32" s="1"/>
  <c r="L56" i="32" s="1"/>
  <c r="B10" i="31"/>
  <c r="D24" i="31" s="1"/>
  <c r="C25" i="31" s="1"/>
  <c r="D26" i="31"/>
  <c r="D25" i="31"/>
  <c r="C26" i="31" s="1"/>
  <c r="D26" i="30"/>
  <c r="C26" i="30" s="1"/>
  <c r="D24" i="30"/>
  <c r="C25" i="30" s="1"/>
  <c r="B26" i="30" s="1"/>
  <c r="D25" i="30"/>
  <c r="O30" i="19"/>
  <c r="Q29" i="19"/>
  <c r="G6" i="35" l="1"/>
  <c r="G8" i="35" s="1"/>
  <c r="G10" i="35" s="1"/>
  <c r="K5" i="35" s="1"/>
  <c r="K8" i="35"/>
  <c r="N7" i="35"/>
  <c r="H7" i="35"/>
  <c r="H6" i="35"/>
  <c r="H8" i="35" s="1"/>
  <c r="N20" i="34"/>
  <c r="O20" i="34" s="1"/>
  <c r="Q35" i="34"/>
  <c r="A17" i="34"/>
  <c r="O18" i="34"/>
  <c r="O27" i="34"/>
  <c r="O24" i="34"/>
  <c r="O28" i="34"/>
  <c r="O25" i="34"/>
  <c r="O21" i="34"/>
  <c r="O26" i="34"/>
  <c r="O22" i="34"/>
  <c r="O30" i="34"/>
  <c r="O31" i="34"/>
  <c r="O29" i="34"/>
  <c r="O23" i="34"/>
  <c r="P15" i="34"/>
  <c r="B11" i="34"/>
  <c r="B11" i="33"/>
  <c r="K35" i="33" s="1"/>
  <c r="K38" i="33"/>
  <c r="K38" i="32"/>
  <c r="K35" i="32"/>
  <c r="J36" i="32" s="1"/>
  <c r="K36" i="32"/>
  <c r="K39" i="32"/>
  <c r="B11" i="32"/>
  <c r="K50" i="32" s="1"/>
  <c r="K53" i="32"/>
  <c r="K33" i="32"/>
  <c r="J39" i="32"/>
  <c r="B26" i="31"/>
  <c r="N1" i="1"/>
  <c r="N1" i="13"/>
  <c r="N1" i="12"/>
  <c r="N1" i="11"/>
  <c r="N1" i="10"/>
  <c r="F28" i="5"/>
  <c r="C28" i="5"/>
  <c r="D28" i="5"/>
  <c r="J28" i="5"/>
  <c r="K28" i="5" s="1"/>
  <c r="L28" i="5" s="1"/>
  <c r="M28" i="5"/>
  <c r="N28" i="5"/>
  <c r="C24" i="5"/>
  <c r="M24" i="5" s="1"/>
  <c r="D24" i="5"/>
  <c r="N24" i="5"/>
  <c r="H10" i="35" l="1"/>
  <c r="N5" i="35" s="1"/>
  <c r="K9" i="35"/>
  <c r="N8" i="35"/>
  <c r="P18" i="34"/>
  <c r="A16" i="34"/>
  <c r="P17" i="34"/>
  <c r="P28" i="34"/>
  <c r="P25" i="34"/>
  <c r="P21" i="34"/>
  <c r="P29" i="34"/>
  <c r="P22" i="34"/>
  <c r="P20" i="34"/>
  <c r="Q15" i="34"/>
  <c r="P31" i="34"/>
  <c r="P23" i="34"/>
  <c r="P27" i="34"/>
  <c r="P26" i="34"/>
  <c r="P24" i="34"/>
  <c r="P30" i="34"/>
  <c r="P19" i="34"/>
  <c r="K33" i="33"/>
  <c r="K37" i="33"/>
  <c r="J38" i="33" s="1"/>
  <c r="K41" i="33"/>
  <c r="K32" i="33"/>
  <c r="K36" i="33"/>
  <c r="J36" i="33" s="1"/>
  <c r="K40" i="33"/>
  <c r="K39" i="33"/>
  <c r="K34" i="33"/>
  <c r="J35" i="33" s="1"/>
  <c r="K48" i="32"/>
  <c r="J49" i="32" s="1"/>
  <c r="I50" i="32" s="1"/>
  <c r="K55" i="32"/>
  <c r="K32" i="32"/>
  <c r="J33" i="32" s="1"/>
  <c r="K31" i="32"/>
  <c r="J32" i="32" s="1"/>
  <c r="I33" i="32" s="1"/>
  <c r="K37" i="32"/>
  <c r="J38" i="32" s="1"/>
  <c r="I39" i="32" s="1"/>
  <c r="K49" i="32"/>
  <c r="J50" i="32" s="1"/>
  <c r="K56" i="32"/>
  <c r="K51" i="32"/>
  <c r="J52" i="32" s="1"/>
  <c r="I53" i="32" s="1"/>
  <c r="K54" i="32"/>
  <c r="J55" i="32" s="1"/>
  <c r="K47" i="32"/>
  <c r="K40" i="32"/>
  <c r="J40" i="32" s="1"/>
  <c r="I40" i="32" s="1"/>
  <c r="K52" i="32"/>
  <c r="J53" i="32" s="1"/>
  <c r="K34" i="32"/>
  <c r="J35" i="32" s="1"/>
  <c r="I36" i="32" s="1"/>
  <c r="G19" i="19"/>
  <c r="G20" i="19"/>
  <c r="N9" i="35" l="1"/>
  <c r="K10" i="35"/>
  <c r="N10" i="35" s="1"/>
  <c r="Q29" i="34"/>
  <c r="Q49" i="34" s="1"/>
  <c r="Q22" i="34"/>
  <c r="Q42" i="34" s="1"/>
  <c r="Q31" i="34"/>
  <c r="Q51" i="34" s="1"/>
  <c r="Q30" i="34"/>
  <c r="Q50" i="34" s="1"/>
  <c r="Q26" i="34"/>
  <c r="Q46" i="34" s="1"/>
  <c r="Q23" i="34"/>
  <c r="Q43" i="34" s="1"/>
  <c r="Q25" i="34"/>
  <c r="Q45" i="34" s="1"/>
  <c r="Q28" i="34"/>
  <c r="Q48" i="34" s="1"/>
  <c r="Q21" i="34"/>
  <c r="Q41" i="34" s="1"/>
  <c r="Q27" i="34"/>
  <c r="Q47" i="34" s="1"/>
  <c r="Q24" i="34"/>
  <c r="Q44" i="34" s="1"/>
  <c r="Q20" i="34"/>
  <c r="Q40" i="34" s="1"/>
  <c r="Q19" i="34"/>
  <c r="Q39" i="34" s="1"/>
  <c r="Q18" i="34"/>
  <c r="Q38" i="34" s="1"/>
  <c r="Q16" i="34"/>
  <c r="Q36" i="34" s="1"/>
  <c r="Q17" i="34"/>
  <c r="Q37" i="34" s="1"/>
  <c r="J41" i="33"/>
  <c r="J34" i="33"/>
  <c r="I35" i="33" s="1"/>
  <c r="I36" i="33"/>
  <c r="J33" i="33"/>
  <c r="J37" i="33"/>
  <c r="I38" i="33" s="1"/>
  <c r="J40" i="33"/>
  <c r="J39" i="33"/>
  <c r="I56" i="32"/>
  <c r="H40" i="32"/>
  <c r="J37" i="32"/>
  <c r="H34" i="32"/>
  <c r="G35" i="32" s="1"/>
  <c r="F36" i="32" s="1"/>
  <c r="J51" i="32"/>
  <c r="I52" i="32" s="1"/>
  <c r="H53" i="32" s="1"/>
  <c r="J34" i="32"/>
  <c r="I35" i="32" s="1"/>
  <c r="H36" i="32" s="1"/>
  <c r="I34" i="32"/>
  <c r="H35" i="32" s="1"/>
  <c r="G36" i="32" s="1"/>
  <c r="J48" i="32"/>
  <c r="I49" i="32" s="1"/>
  <c r="H50" i="32" s="1"/>
  <c r="I51" i="32"/>
  <c r="H52" i="32" s="1"/>
  <c r="G53" i="32" s="1"/>
  <c r="J56" i="32"/>
  <c r="J54" i="32"/>
  <c r="I55" i="32" s="1"/>
  <c r="H56" i="32" s="1"/>
  <c r="B26" i="19"/>
  <c r="G28" i="19" s="1"/>
  <c r="B27" i="19"/>
  <c r="B28" i="19"/>
  <c r="B30" i="19"/>
  <c r="G33" i="19"/>
  <c r="G34" i="19" s="1"/>
  <c r="P45" i="34" l="1"/>
  <c r="I34" i="33"/>
  <c r="H35" i="33" s="1"/>
  <c r="P38" i="34"/>
  <c r="P41" i="34"/>
  <c r="P49" i="34"/>
  <c r="P46" i="34"/>
  <c r="P39" i="34"/>
  <c r="P51" i="34"/>
  <c r="P42" i="34"/>
  <c r="P37" i="34"/>
  <c r="P48" i="34"/>
  <c r="P44" i="34"/>
  <c r="P43" i="34"/>
  <c r="P40" i="34"/>
  <c r="P47" i="34"/>
  <c r="P50" i="34"/>
  <c r="I41" i="33"/>
  <c r="I40" i="33"/>
  <c r="I39" i="33"/>
  <c r="H36" i="33"/>
  <c r="I37" i="33"/>
  <c r="H38" i="33" s="1"/>
  <c r="I54" i="32"/>
  <c r="I38" i="32"/>
  <c r="H39" i="32" s="1"/>
  <c r="G40" i="32" s="1"/>
  <c r="I37" i="32"/>
  <c r="H51" i="32"/>
  <c r="G52" i="32" s="1"/>
  <c r="F53" i="32" s="1"/>
  <c r="I26" i="19"/>
  <c r="I30" i="19"/>
  <c r="D15" i="28"/>
  <c r="F14" i="28"/>
  <c r="D14" i="28"/>
  <c r="J4" i="26"/>
  <c r="J10" i="26"/>
  <c r="J9" i="26"/>
  <c r="J11" i="26"/>
  <c r="C54" i="27"/>
  <c r="J38" i="27"/>
  <c r="C33" i="27"/>
  <c r="B33" i="27"/>
  <c r="L6" i="27"/>
  <c r="L7" i="27" s="1"/>
  <c r="J13" i="27" s="1"/>
  <c r="E6" i="27"/>
  <c r="C49" i="27" s="1"/>
  <c r="L5" i="27"/>
  <c r="J17" i="27" s="1"/>
  <c r="J18" i="27" s="1"/>
  <c r="E5" i="27"/>
  <c r="L6" i="26"/>
  <c r="E6" i="26"/>
  <c r="L5" i="26"/>
  <c r="J17" i="26" s="1"/>
  <c r="J18" i="26" s="1"/>
  <c r="E5" i="26"/>
  <c r="O39" i="34" l="1"/>
  <c r="O45" i="34"/>
  <c r="O46" i="34"/>
  <c r="O49" i="34"/>
  <c r="O41" i="34"/>
  <c r="O38" i="34"/>
  <c r="O42" i="34"/>
  <c r="H41" i="33"/>
  <c r="O43" i="34"/>
  <c r="O51" i="34"/>
  <c r="O48" i="34"/>
  <c r="O50" i="34"/>
  <c r="O47" i="34"/>
  <c r="O40" i="34"/>
  <c r="H40" i="33"/>
  <c r="O44" i="34"/>
  <c r="H39" i="33"/>
  <c r="G36" i="33"/>
  <c r="H37" i="33"/>
  <c r="G38" i="33" s="1"/>
  <c r="H55" i="32"/>
  <c r="G56" i="32" s="1"/>
  <c r="H54" i="32"/>
  <c r="H38" i="32"/>
  <c r="G39" i="32" s="1"/>
  <c r="F40" i="32" s="1"/>
  <c r="H37" i="32"/>
  <c r="G51" i="32"/>
  <c r="F52" i="32" s="1"/>
  <c r="E53" i="32" s="1"/>
  <c r="I31" i="19"/>
  <c r="K30" i="19"/>
  <c r="K26" i="19"/>
  <c r="I27" i="19"/>
  <c r="G38" i="19" s="1"/>
  <c r="E7" i="27"/>
  <c r="C13" i="27" s="1"/>
  <c r="C56" i="27"/>
  <c r="C59" i="27" s="1"/>
  <c r="C62" i="27" s="1"/>
  <c r="K36" i="27"/>
  <c r="C34" i="27"/>
  <c r="C39" i="27" s="1"/>
  <c r="L36" i="27"/>
  <c r="F5" i="27"/>
  <c r="F7" i="27" s="1"/>
  <c r="M6" i="27"/>
  <c r="M7" i="27" s="1"/>
  <c r="C35" i="27"/>
  <c r="C48" i="27"/>
  <c r="C53" i="27" s="1"/>
  <c r="J33" i="27" s="1"/>
  <c r="J37" i="27" s="1"/>
  <c r="C17" i="27"/>
  <c r="C18" i="27" s="1"/>
  <c r="L7" i="26"/>
  <c r="J13" i="26" s="1"/>
  <c r="E7" i="26"/>
  <c r="C13" i="26" s="1"/>
  <c r="F5" i="26"/>
  <c r="F7" i="26" s="1"/>
  <c r="M6" i="26"/>
  <c r="M7" i="26" s="1"/>
  <c r="C17" i="26"/>
  <c r="C18" i="26" s="1"/>
  <c r="N45" i="34" l="1"/>
  <c r="N39" i="34"/>
  <c r="N46" i="34"/>
  <c r="N49" i="34"/>
  <c r="N42" i="34"/>
  <c r="N43" i="34"/>
  <c r="G41" i="33"/>
  <c r="N51" i="34"/>
  <c r="G40" i="33"/>
  <c r="N50" i="34"/>
  <c r="N41" i="34"/>
  <c r="N40" i="34"/>
  <c r="N48" i="34"/>
  <c r="N47" i="34"/>
  <c r="N44" i="34"/>
  <c r="G39" i="33"/>
  <c r="G37" i="33"/>
  <c r="F38" i="33" s="1"/>
  <c r="G55" i="32"/>
  <c r="F56" i="32" s="1"/>
  <c r="G54" i="32"/>
  <c r="G38" i="32"/>
  <c r="F39" i="32" s="1"/>
  <c r="E40" i="32" s="1"/>
  <c r="G37" i="32"/>
  <c r="M24" i="19"/>
  <c r="Q24" i="19" s="1"/>
  <c r="M28" i="19"/>
  <c r="Q28" i="19" s="1"/>
  <c r="M29" i="19"/>
  <c r="M32" i="19"/>
  <c r="Q32" i="19" s="1"/>
  <c r="F15" i="28"/>
  <c r="E15" i="28"/>
  <c r="D16" i="28"/>
  <c r="J14" i="27"/>
  <c r="N7" i="27"/>
  <c r="K38" i="27"/>
  <c r="K37" i="27"/>
  <c r="K40" i="27" s="1"/>
  <c r="K41" i="27" s="1"/>
  <c r="C14" i="27"/>
  <c r="G7" i="27"/>
  <c r="C15" i="27" s="1"/>
  <c r="L38" i="27"/>
  <c r="L37" i="27"/>
  <c r="L40" i="27" s="1"/>
  <c r="C36" i="27"/>
  <c r="C60" i="27" s="1"/>
  <c r="C61" i="27" s="1"/>
  <c r="C64" i="27" s="1"/>
  <c r="C38" i="27"/>
  <c r="J39" i="27"/>
  <c r="K39" i="27" s="1"/>
  <c r="L39" i="27" s="1"/>
  <c r="J14" i="26"/>
  <c r="N7" i="26"/>
  <c r="J19" i="26" s="1"/>
  <c r="C14" i="26"/>
  <c r="G7" i="26"/>
  <c r="C15" i="26" s="1"/>
  <c r="M45" i="34" l="1"/>
  <c r="M46" i="34"/>
  <c r="M49" i="34"/>
  <c r="M42" i="34"/>
  <c r="F40" i="33"/>
  <c r="M43" i="34"/>
  <c r="F41" i="33"/>
  <c r="M51" i="34"/>
  <c r="M50" i="34"/>
  <c r="F37" i="33"/>
  <c r="E38" i="33" s="1"/>
  <c r="M41" i="34"/>
  <c r="M40" i="34"/>
  <c r="M48" i="34"/>
  <c r="M47" i="34"/>
  <c r="M44" i="34"/>
  <c r="F39" i="33"/>
  <c r="F38" i="32"/>
  <c r="E39" i="32" s="1"/>
  <c r="D40" i="32" s="1"/>
  <c r="F37" i="32"/>
  <c r="F55" i="32"/>
  <c r="E56" i="32" s="1"/>
  <c r="F54" i="32"/>
  <c r="O26" i="19"/>
  <c r="G37" i="19" s="1"/>
  <c r="E16" i="28"/>
  <c r="F16" i="28" s="1"/>
  <c r="F17" i="28" s="1"/>
  <c r="D17" i="28"/>
  <c r="K42" i="27"/>
  <c r="L41" i="27"/>
  <c r="L42" i="27" s="1"/>
  <c r="L44" i="27" s="1"/>
  <c r="J15" i="27"/>
  <c r="J19" i="27"/>
  <c r="J21" i="27" s="1"/>
  <c r="J23" i="27" s="1"/>
  <c r="J24" i="27" s="1"/>
  <c r="J25" i="27" s="1"/>
  <c r="C40" i="27"/>
  <c r="C32" i="27" s="1"/>
  <c r="J40" i="27"/>
  <c r="C19" i="27"/>
  <c r="C21" i="27" s="1"/>
  <c r="C23" i="27" s="1"/>
  <c r="C24" i="27" s="1"/>
  <c r="C25" i="27" s="1"/>
  <c r="J15" i="26"/>
  <c r="J21" i="26"/>
  <c r="J23" i="26" s="1"/>
  <c r="J24" i="26" s="1"/>
  <c r="J25" i="26" s="1"/>
  <c r="C19" i="26"/>
  <c r="C21" i="26" s="1"/>
  <c r="L45" i="34" l="1"/>
  <c r="L46" i="34"/>
  <c r="L42" i="34"/>
  <c r="E40" i="33"/>
  <c r="L49" i="34"/>
  <c r="E41" i="33"/>
  <c r="L43" i="34"/>
  <c r="L41" i="34"/>
  <c r="L51" i="34"/>
  <c r="L50" i="34"/>
  <c r="L48" i="34"/>
  <c r="L47" i="34"/>
  <c r="L44" i="34"/>
  <c r="E39" i="33"/>
  <c r="E55" i="32"/>
  <c r="D56" i="32" s="1"/>
  <c r="E54" i="32"/>
  <c r="E38" i="32"/>
  <c r="D39" i="32" s="1"/>
  <c r="C40" i="32" s="1"/>
  <c r="E37" i="32"/>
  <c r="D38" i="32" s="1"/>
  <c r="C39" i="32" s="1"/>
  <c r="B40" i="32" s="1"/>
  <c r="C23" i="26"/>
  <c r="C24" i="26" s="1"/>
  <c r="C25" i="26" s="1"/>
  <c r="B28" i="26"/>
  <c r="E17" i="28"/>
  <c r="E18" i="28" s="1"/>
  <c r="E19" i="28" s="1"/>
  <c r="A13" i="25"/>
  <c r="A12" i="25"/>
  <c r="A11" i="25"/>
  <c r="A10" i="25"/>
  <c r="A9" i="25"/>
  <c r="A8" i="25"/>
  <c r="A7" i="25"/>
  <c r="A6" i="25"/>
  <c r="A5" i="25"/>
  <c r="A4" i="25"/>
  <c r="G9" i="24"/>
  <c r="A13" i="24"/>
  <c r="A12" i="24"/>
  <c r="A11" i="24"/>
  <c r="A10" i="24"/>
  <c r="A9" i="24"/>
  <c r="A8" i="24"/>
  <c r="A7" i="24"/>
  <c r="A6" i="24"/>
  <c r="A5" i="24"/>
  <c r="A4" i="24"/>
  <c r="D9" i="22"/>
  <c r="D10" i="22"/>
  <c r="D11" i="22"/>
  <c r="D12" i="22"/>
  <c r="D8" i="22"/>
  <c r="D16" i="22"/>
  <c r="C13" i="22"/>
  <c r="D13" i="22" s="1"/>
  <c r="E23" i="20"/>
  <c r="F20" i="20"/>
  <c r="K6" i="21"/>
  <c r="J7" i="21"/>
  <c r="K7" i="21" s="1"/>
  <c r="AD32" i="21"/>
  <c r="AD2" i="21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K43" i="20"/>
  <c r="J40" i="20"/>
  <c r="J41" i="20" s="1"/>
  <c r="J42" i="20" s="1"/>
  <c r="D37" i="20"/>
  <c r="A37" i="20"/>
  <c r="D36" i="20"/>
  <c r="A36" i="20"/>
  <c r="D35" i="20"/>
  <c r="A35" i="20"/>
  <c r="D34" i="20"/>
  <c r="A34" i="20"/>
  <c r="D33" i="20"/>
  <c r="A33" i="20"/>
  <c r="D32" i="20"/>
  <c r="E42" i="20" s="1"/>
  <c r="A32" i="20"/>
  <c r="A31" i="20"/>
  <c r="A30" i="20"/>
  <c r="A29" i="20"/>
  <c r="K18" i="20"/>
  <c r="E17" i="20"/>
  <c r="D17" i="20"/>
  <c r="C17" i="20"/>
  <c r="J15" i="20"/>
  <c r="J16" i="20" s="1"/>
  <c r="J17" i="20" s="1"/>
  <c r="K17" i="20" s="1"/>
  <c r="K42" i="20" s="1"/>
  <c r="K14" i="20"/>
  <c r="K39" i="20" s="1"/>
  <c r="K13" i="20"/>
  <c r="K38" i="20" s="1"/>
  <c r="K12" i="20"/>
  <c r="K37" i="20" s="1"/>
  <c r="A12" i="20"/>
  <c r="K11" i="20"/>
  <c r="K36" i="20" s="1"/>
  <c r="A11" i="20"/>
  <c r="K10" i="20"/>
  <c r="K35" i="20" s="1"/>
  <c r="A10" i="20"/>
  <c r="A9" i="20"/>
  <c r="A8" i="20"/>
  <c r="G7" i="20"/>
  <c r="G8" i="20" s="1"/>
  <c r="G10" i="20" s="1"/>
  <c r="A7" i="20"/>
  <c r="A6" i="20"/>
  <c r="A5" i="20"/>
  <c r="A4" i="20"/>
  <c r="K43" i="34" l="1"/>
  <c r="K46" i="34"/>
  <c r="D41" i="33"/>
  <c r="K42" i="34"/>
  <c r="K49" i="34"/>
  <c r="K51" i="34"/>
  <c r="K50" i="34"/>
  <c r="K48" i="34"/>
  <c r="K47" i="34"/>
  <c r="K45" i="34"/>
  <c r="K44" i="34"/>
  <c r="D40" i="33"/>
  <c r="D39" i="33"/>
  <c r="D55" i="32"/>
  <c r="C56" i="32" s="1"/>
  <c r="D54" i="32"/>
  <c r="C55" i="32" s="1"/>
  <c r="B56" i="32" s="1"/>
  <c r="K15" i="20"/>
  <c r="K40" i="20" s="1"/>
  <c r="F18" i="28"/>
  <c r="F19" i="28" s="1"/>
  <c r="F21" i="28" s="1"/>
  <c r="G10" i="24"/>
  <c r="G12" i="24" s="1"/>
  <c r="C14" i="22"/>
  <c r="C19" i="20"/>
  <c r="C20" i="20" s="1"/>
  <c r="D42" i="20"/>
  <c r="C42" i="20"/>
  <c r="C44" i="20" s="1"/>
  <c r="C45" i="20" s="1"/>
  <c r="J8" i="21"/>
  <c r="C22" i="20"/>
  <c r="C23" i="20" s="1"/>
  <c r="G9" i="20"/>
  <c r="G12" i="20" s="1"/>
  <c r="C57" i="20" s="1"/>
  <c r="K16" i="20"/>
  <c r="K41" i="20" s="1"/>
  <c r="G32" i="20"/>
  <c r="J46" i="34" l="1"/>
  <c r="J43" i="34"/>
  <c r="C41" i="33"/>
  <c r="J49" i="34"/>
  <c r="J51" i="34"/>
  <c r="J50" i="34"/>
  <c r="J45" i="34"/>
  <c r="J44" i="34"/>
  <c r="J48" i="34"/>
  <c r="J47" i="34"/>
  <c r="C40" i="33"/>
  <c r="C15" i="22"/>
  <c r="D15" i="22" s="1"/>
  <c r="D14" i="22"/>
  <c r="C47" i="20"/>
  <c r="C48" i="20" s="1"/>
  <c r="C25" i="20"/>
  <c r="J9" i="21"/>
  <c r="K8" i="21"/>
  <c r="G33" i="20"/>
  <c r="G35" i="20" s="1"/>
  <c r="G34" i="20"/>
  <c r="I46" i="34" l="1"/>
  <c r="B41" i="33"/>
  <c r="I49" i="34"/>
  <c r="I51" i="34"/>
  <c r="I48" i="34"/>
  <c r="I50" i="34"/>
  <c r="I47" i="34"/>
  <c r="I45" i="34"/>
  <c r="I44" i="34"/>
  <c r="G37" i="20"/>
  <c r="C50" i="20" s="1"/>
  <c r="J10" i="21"/>
  <c r="K9" i="21"/>
  <c r="H46" i="34" l="1"/>
  <c r="H50" i="34"/>
  <c r="H49" i="34"/>
  <c r="H48" i="34"/>
  <c r="H45" i="34"/>
  <c r="H51" i="34"/>
  <c r="H47" i="34"/>
  <c r="J11" i="21"/>
  <c r="K10" i="21"/>
  <c r="G15" i="19"/>
  <c r="G16" i="19" s="1"/>
  <c r="G10" i="19"/>
  <c r="I12" i="19" s="1"/>
  <c r="I13" i="19" s="1"/>
  <c r="F29" i="18"/>
  <c r="F30" i="18" s="1"/>
  <c r="F25" i="18"/>
  <c r="H27" i="18" s="1"/>
  <c r="J29" i="18" s="1"/>
  <c r="N29" i="18" s="1"/>
  <c r="F13" i="18"/>
  <c r="F14" i="18" s="1"/>
  <c r="F9" i="18"/>
  <c r="H11" i="18" s="1"/>
  <c r="J13" i="18" s="1"/>
  <c r="N13" i="18" s="1"/>
  <c r="F14" i="17"/>
  <c r="F13" i="17"/>
  <c r="H11" i="17"/>
  <c r="K11" i="17" s="1"/>
  <c r="F9" i="17"/>
  <c r="H7" i="17"/>
  <c r="K7" i="17" s="1"/>
  <c r="K7" i="16"/>
  <c r="F9" i="16"/>
  <c r="H11" i="16"/>
  <c r="K11" i="16" s="1"/>
  <c r="H7" i="16"/>
  <c r="F13" i="16"/>
  <c r="F14" i="16" s="1"/>
  <c r="G46" i="34" l="1"/>
  <c r="G51" i="34"/>
  <c r="G50" i="34"/>
  <c r="G49" i="34"/>
  <c r="G48" i="34"/>
  <c r="G47" i="34"/>
  <c r="J12" i="21"/>
  <c r="K11" i="21"/>
  <c r="I8" i="19"/>
  <c r="I9" i="19" s="1"/>
  <c r="K12" i="19"/>
  <c r="H28" i="18"/>
  <c r="H12" i="18"/>
  <c r="J9" i="18"/>
  <c r="N9" i="18" s="1"/>
  <c r="H23" i="18"/>
  <c r="J25" i="18"/>
  <c r="N25" i="18" s="1"/>
  <c r="H7" i="18"/>
  <c r="J9" i="17"/>
  <c r="F16" i="17" s="1"/>
  <c r="J9" i="16"/>
  <c r="B104" i="14"/>
  <c r="B103" i="14"/>
  <c r="H94" i="14"/>
  <c r="I95" i="14" s="1"/>
  <c r="G93" i="14"/>
  <c r="H93" i="14" s="1"/>
  <c r="I93" i="14" s="1"/>
  <c r="J93" i="14" s="1"/>
  <c r="K93" i="14" s="1"/>
  <c r="L93" i="14" s="1"/>
  <c r="M93" i="14" s="1"/>
  <c r="N93" i="14" s="1"/>
  <c r="O93" i="14" s="1"/>
  <c r="P93" i="14" s="1"/>
  <c r="Q93" i="14" s="1"/>
  <c r="G83" i="14"/>
  <c r="G84" i="14" s="1"/>
  <c r="G78" i="14"/>
  <c r="I80" i="14" s="1"/>
  <c r="G64" i="14"/>
  <c r="G65" i="14" s="1"/>
  <c r="I62" i="14"/>
  <c r="K64" i="14" s="1"/>
  <c r="O64" i="14" s="1"/>
  <c r="G60" i="14"/>
  <c r="I58" i="14"/>
  <c r="G46" i="14"/>
  <c r="G47" i="14" s="1"/>
  <c r="I44" i="14"/>
  <c r="K46" i="14" s="1"/>
  <c r="O46" i="14" s="1"/>
  <c r="G42" i="14"/>
  <c r="I40" i="14"/>
  <c r="G30" i="14"/>
  <c r="G31" i="14" s="1"/>
  <c r="I28" i="14"/>
  <c r="L28" i="14" s="1"/>
  <c r="G26" i="14"/>
  <c r="I24" i="14" s="1"/>
  <c r="L24" i="14" s="1"/>
  <c r="G14" i="14"/>
  <c r="G15" i="14" s="1"/>
  <c r="G10" i="14"/>
  <c r="I12" i="14" s="1"/>
  <c r="P11" i="14" s="1"/>
  <c r="F51" i="34" l="1"/>
  <c r="F50" i="34"/>
  <c r="F49" i="34"/>
  <c r="F48" i="34"/>
  <c r="F47" i="34"/>
  <c r="I8" i="14"/>
  <c r="K26" i="14"/>
  <c r="G34" i="14" s="1"/>
  <c r="I45" i="14"/>
  <c r="I63" i="14"/>
  <c r="K42" i="14"/>
  <c r="O42" i="14" s="1"/>
  <c r="M53" i="14" s="1"/>
  <c r="K60" i="14"/>
  <c r="O60" i="14" s="1"/>
  <c r="M71" i="14" s="1"/>
  <c r="J13" i="21"/>
  <c r="K12" i="21"/>
  <c r="K8" i="19"/>
  <c r="M6" i="19" s="1"/>
  <c r="Q6" i="19" s="1"/>
  <c r="M14" i="19"/>
  <c r="Q14" i="19" s="1"/>
  <c r="M11" i="19"/>
  <c r="H24" i="18"/>
  <c r="F34" i="18" s="1"/>
  <c r="J21" i="18"/>
  <c r="N21" i="18" s="1"/>
  <c r="L27" i="18"/>
  <c r="L11" i="18"/>
  <c r="H8" i="18"/>
  <c r="F18" i="18" s="1"/>
  <c r="J5" i="18"/>
  <c r="N5" i="18" s="1"/>
  <c r="Q107" i="14"/>
  <c r="Q120" i="14"/>
  <c r="I81" i="14"/>
  <c r="K80" i="14"/>
  <c r="L12" i="14"/>
  <c r="P27" i="14"/>
  <c r="P28" i="14" s="1"/>
  <c r="M34" i="14"/>
  <c r="I94" i="14"/>
  <c r="J94" i="14" s="1"/>
  <c r="K94" i="14" s="1"/>
  <c r="L94" i="14" s="1"/>
  <c r="M94" i="14" s="1"/>
  <c r="N94" i="14" s="1"/>
  <c r="O94" i="14" s="1"/>
  <c r="P94" i="14" s="1"/>
  <c r="Q94" i="14" s="1"/>
  <c r="P24" i="14"/>
  <c r="G35" i="14"/>
  <c r="G69" i="14"/>
  <c r="J96" i="14"/>
  <c r="J95" i="14"/>
  <c r="K95" i="14" s="1"/>
  <c r="L95" i="14" s="1"/>
  <c r="M95" i="14" s="1"/>
  <c r="N95" i="14" s="1"/>
  <c r="O95" i="14" s="1"/>
  <c r="P95" i="14" s="1"/>
  <c r="Q95" i="14" s="1"/>
  <c r="P23" i="14"/>
  <c r="P12" i="14"/>
  <c r="I41" i="14"/>
  <c r="G51" i="14" s="1"/>
  <c r="K38" i="14"/>
  <c r="O38" i="14" s="1"/>
  <c r="M44" i="14"/>
  <c r="I59" i="14"/>
  <c r="K56" i="14"/>
  <c r="O56" i="14" s="1"/>
  <c r="M62" i="14"/>
  <c r="I76" i="14"/>
  <c r="E51" i="34" l="1"/>
  <c r="E49" i="34"/>
  <c r="E50" i="34"/>
  <c r="E48" i="34"/>
  <c r="L8" i="14"/>
  <c r="P7" i="14"/>
  <c r="J14" i="21"/>
  <c r="K13" i="21"/>
  <c r="M10" i="19"/>
  <c r="Q10" i="19" s="1"/>
  <c r="O8" i="19" s="1"/>
  <c r="O12" i="19"/>
  <c r="L7" i="18"/>
  <c r="L23" i="18"/>
  <c r="F16" i="16"/>
  <c r="M70" i="14"/>
  <c r="M58" i="14"/>
  <c r="M79" i="14"/>
  <c r="M82" i="14"/>
  <c r="Q82" i="14" s="1"/>
  <c r="Q122" i="14"/>
  <c r="Q109" i="14"/>
  <c r="Q121" i="14"/>
  <c r="P120" i="14" s="1"/>
  <c r="Q108" i="14"/>
  <c r="P107" i="14" s="1"/>
  <c r="I77" i="14"/>
  <c r="G88" i="14" s="1"/>
  <c r="K76" i="14"/>
  <c r="M52" i="14"/>
  <c r="M40" i="14"/>
  <c r="K97" i="14"/>
  <c r="K96" i="14"/>
  <c r="L96" i="14" s="1"/>
  <c r="M96" i="14" s="1"/>
  <c r="N96" i="14" s="1"/>
  <c r="O96" i="14" s="1"/>
  <c r="P96" i="14" s="1"/>
  <c r="Q96" i="14" s="1"/>
  <c r="P25" i="14"/>
  <c r="P29" i="14" s="1"/>
  <c r="D49" i="34" l="1"/>
  <c r="D50" i="34"/>
  <c r="D51" i="34"/>
  <c r="P108" i="14"/>
  <c r="O107" i="14" s="1"/>
  <c r="P121" i="14"/>
  <c r="O120" i="14" s="1"/>
  <c r="K10" i="14"/>
  <c r="P8" i="14"/>
  <c r="P9" i="14" s="1"/>
  <c r="P13" i="14" s="1"/>
  <c r="M18" i="14"/>
  <c r="J15" i="21"/>
  <c r="K14" i="21"/>
  <c r="F17" i="18"/>
  <c r="F33" i="18"/>
  <c r="Q123" i="14"/>
  <c r="P122" i="14" s="1"/>
  <c r="O121" i="14" s="1"/>
  <c r="N120" i="14" s="1"/>
  <c r="Q110" i="14"/>
  <c r="P109" i="14" s="1"/>
  <c r="O108" i="14" s="1"/>
  <c r="N107" i="14" s="1"/>
  <c r="M50" i="14"/>
  <c r="G50" i="14"/>
  <c r="M68" i="14"/>
  <c r="G68" i="14"/>
  <c r="M74" i="14"/>
  <c r="Q74" i="14" s="1"/>
  <c r="M78" i="14"/>
  <c r="Q78" i="14" s="1"/>
  <c r="L98" i="14"/>
  <c r="L97" i="14"/>
  <c r="M97" i="14" s="1"/>
  <c r="N97" i="14" s="1"/>
  <c r="O97" i="14" s="1"/>
  <c r="P97" i="14" s="1"/>
  <c r="Q97" i="14" s="1"/>
  <c r="C50" i="34" l="1"/>
  <c r="C51" i="34"/>
  <c r="G18" i="14"/>
  <c r="G19" i="14"/>
  <c r="J16" i="21"/>
  <c r="K15" i="21"/>
  <c r="O80" i="14"/>
  <c r="M89" i="14"/>
  <c r="M88" i="14"/>
  <c r="O76" i="14"/>
  <c r="Q124" i="14"/>
  <c r="P123" i="14" s="1"/>
  <c r="O122" i="14" s="1"/>
  <c r="N121" i="14" s="1"/>
  <c r="M120" i="14" s="1"/>
  <c r="Q111" i="14"/>
  <c r="P110" i="14" s="1"/>
  <c r="O109" i="14" s="1"/>
  <c r="N108" i="14" s="1"/>
  <c r="M107" i="14" s="1"/>
  <c r="M98" i="14"/>
  <c r="N98" i="14" s="1"/>
  <c r="O98" i="14" s="1"/>
  <c r="P98" i="14" s="1"/>
  <c r="Q98" i="14" s="1"/>
  <c r="M99" i="14"/>
  <c r="B51" i="34" l="1"/>
  <c r="J17" i="21"/>
  <c r="K16" i="21"/>
  <c r="Q112" i="14"/>
  <c r="P111" i="14" s="1"/>
  <c r="O110" i="14" s="1"/>
  <c r="N109" i="14" s="1"/>
  <c r="M108" i="14" s="1"/>
  <c r="L107" i="14" s="1"/>
  <c r="Q125" i="14"/>
  <c r="P124" i="14" s="1"/>
  <c r="O123" i="14" s="1"/>
  <c r="N122" i="14" s="1"/>
  <c r="M121" i="14" s="1"/>
  <c r="L120" i="14" s="1"/>
  <c r="N100" i="14"/>
  <c r="N99" i="14"/>
  <c r="O99" i="14" s="1"/>
  <c r="P99" i="14" s="1"/>
  <c r="Q99" i="14" s="1"/>
  <c r="M87" i="14"/>
  <c r="G87" i="14"/>
  <c r="J18" i="21" l="1"/>
  <c r="K17" i="21"/>
  <c r="Q126" i="14"/>
  <c r="P125" i="14" s="1"/>
  <c r="O124" i="14" s="1"/>
  <c r="N123" i="14" s="1"/>
  <c r="M122" i="14" s="1"/>
  <c r="L121" i="14" s="1"/>
  <c r="K120" i="14" s="1"/>
  <c r="Q113" i="14"/>
  <c r="P112" i="14" s="1"/>
  <c r="O111" i="14" s="1"/>
  <c r="N110" i="14" s="1"/>
  <c r="M109" i="14" s="1"/>
  <c r="L108" i="14" s="1"/>
  <c r="K107" i="14" s="1"/>
  <c r="O100" i="14"/>
  <c r="P100" i="14" s="1"/>
  <c r="Q100" i="14" s="1"/>
  <c r="O101" i="14"/>
  <c r="L6" i="21" l="1"/>
  <c r="K18" i="21"/>
  <c r="P101" i="14"/>
  <c r="Q101" i="14" s="1"/>
  <c r="P102" i="14"/>
  <c r="Q127" i="14"/>
  <c r="P126" i="14" s="1"/>
  <c r="O125" i="14" s="1"/>
  <c r="N124" i="14" s="1"/>
  <c r="M123" i="14" s="1"/>
  <c r="L122" i="14" s="1"/>
  <c r="K121" i="14" s="1"/>
  <c r="J120" i="14" s="1"/>
  <c r="Q114" i="14"/>
  <c r="P113" i="14" s="1"/>
  <c r="O112" i="14" s="1"/>
  <c r="N111" i="14" s="1"/>
  <c r="M110" i="14" s="1"/>
  <c r="L109" i="14" s="1"/>
  <c r="K108" i="14" s="1"/>
  <c r="J107" i="14" s="1"/>
  <c r="L7" i="21" l="1"/>
  <c r="M6" i="21"/>
  <c r="Q103" i="14"/>
  <c r="Q102" i="14"/>
  <c r="Q115" i="14"/>
  <c r="P114" i="14" s="1"/>
  <c r="O113" i="14" s="1"/>
  <c r="N112" i="14" s="1"/>
  <c r="M111" i="14" s="1"/>
  <c r="L110" i="14" s="1"/>
  <c r="K109" i="14" s="1"/>
  <c r="J108" i="14" s="1"/>
  <c r="I107" i="14" s="1"/>
  <c r="Q128" i="14"/>
  <c r="P127" i="14" s="1"/>
  <c r="O126" i="14" s="1"/>
  <c r="N125" i="14" s="1"/>
  <c r="M124" i="14" s="1"/>
  <c r="L123" i="14" s="1"/>
  <c r="K122" i="14" s="1"/>
  <c r="J121" i="14" s="1"/>
  <c r="I120" i="14" s="1"/>
  <c r="L8" i="21" l="1"/>
  <c r="M7" i="21"/>
  <c r="Q129" i="14"/>
  <c r="P128" i="14" s="1"/>
  <c r="O127" i="14" s="1"/>
  <c r="N126" i="14" s="1"/>
  <c r="M125" i="14" s="1"/>
  <c r="L124" i="14" s="1"/>
  <c r="K123" i="14" s="1"/>
  <c r="J122" i="14" s="1"/>
  <c r="I121" i="14" s="1"/>
  <c r="H120" i="14" s="1"/>
  <c r="Q116" i="14"/>
  <c r="P115" i="14" s="1"/>
  <c r="O114" i="14" s="1"/>
  <c r="N113" i="14" s="1"/>
  <c r="M112" i="14" s="1"/>
  <c r="L111" i="14" s="1"/>
  <c r="K110" i="14" s="1"/>
  <c r="J109" i="14" s="1"/>
  <c r="I108" i="14" s="1"/>
  <c r="H107" i="14" s="1"/>
  <c r="Q130" i="14"/>
  <c r="Q117" i="14"/>
  <c r="P116" i="14" l="1"/>
  <c r="O115" i="14" s="1"/>
  <c r="N114" i="14" s="1"/>
  <c r="M113" i="14" s="1"/>
  <c r="L112" i="14" s="1"/>
  <c r="K111" i="14" s="1"/>
  <c r="J110" i="14" s="1"/>
  <c r="I109" i="14" s="1"/>
  <c r="H108" i="14" s="1"/>
  <c r="G107" i="14" s="1"/>
  <c r="P129" i="14"/>
  <c r="O128" i="14" s="1"/>
  <c r="N127" i="14" s="1"/>
  <c r="M126" i="14" s="1"/>
  <c r="L125" i="14" s="1"/>
  <c r="K124" i="14" s="1"/>
  <c r="J123" i="14" s="1"/>
  <c r="I122" i="14" s="1"/>
  <c r="H121" i="14" s="1"/>
  <c r="G120" i="14" s="1"/>
  <c r="L9" i="21"/>
  <c r="M8" i="21"/>
  <c r="H22" i="1"/>
  <c r="F22" i="1"/>
  <c r="D22" i="1"/>
  <c r="D23" i="1" s="1"/>
  <c r="D24" i="1" s="1"/>
  <c r="D27" i="1" s="1"/>
  <c r="D29" i="1" s="1"/>
  <c r="D31" i="1" s="1"/>
  <c r="D32" i="1" s="1"/>
  <c r="D33" i="1" s="1"/>
  <c r="D34" i="1" s="1"/>
  <c r="E22" i="1"/>
  <c r="C22" i="1"/>
  <c r="S27" i="1"/>
  <c r="S28" i="1" s="1"/>
  <c r="S29" i="1" s="1"/>
  <c r="S30" i="1" s="1"/>
  <c r="S31" i="1" s="1"/>
  <c r="S32" i="1" s="1"/>
  <c r="S33" i="1" s="1"/>
  <c r="S25" i="1"/>
  <c r="S26" i="1" s="1"/>
  <c r="S24" i="1"/>
  <c r="K23" i="1"/>
  <c r="T23" i="1" s="1"/>
  <c r="F23" i="1"/>
  <c r="F24" i="1" s="1"/>
  <c r="F27" i="1" s="1"/>
  <c r="H23" i="1"/>
  <c r="H24" i="1" s="1"/>
  <c r="S24" i="13"/>
  <c r="S25" i="13" s="1"/>
  <c r="S26" i="13" s="1"/>
  <c r="S27" i="13" s="1"/>
  <c r="S28" i="13" s="1"/>
  <c r="S29" i="13" s="1"/>
  <c r="S30" i="13" s="1"/>
  <c r="S31" i="13" s="1"/>
  <c r="S32" i="13" s="1"/>
  <c r="S33" i="13" s="1"/>
  <c r="K23" i="13"/>
  <c r="T23" i="13" s="1"/>
  <c r="H22" i="13"/>
  <c r="H23" i="13" s="1"/>
  <c r="H24" i="13" s="1"/>
  <c r="H27" i="13" s="1"/>
  <c r="F22" i="13"/>
  <c r="E22" i="13"/>
  <c r="E23" i="13" s="1"/>
  <c r="E24" i="13" s="1"/>
  <c r="E27" i="13" s="1"/>
  <c r="E25" i="13" s="1"/>
  <c r="E28" i="13" s="1"/>
  <c r="E26" i="13" s="1"/>
  <c r="D22" i="13"/>
  <c r="D23" i="13" s="1"/>
  <c r="D24" i="13" s="1"/>
  <c r="D27" i="13" s="1"/>
  <c r="D25" i="13" s="1"/>
  <c r="D28" i="13" s="1"/>
  <c r="D26" i="13" s="1"/>
  <c r="C22" i="13"/>
  <c r="F20" i="12"/>
  <c r="F21" i="12" s="1"/>
  <c r="F22" i="12" s="1"/>
  <c r="D20" i="12"/>
  <c r="E20" i="12"/>
  <c r="C20" i="12"/>
  <c r="C21" i="12" s="1"/>
  <c r="S22" i="12"/>
  <c r="S23" i="12" s="1"/>
  <c r="S24" i="12" s="1"/>
  <c r="S25" i="12" s="1"/>
  <c r="S26" i="12" s="1"/>
  <c r="S27" i="12" s="1"/>
  <c r="S21" i="12"/>
  <c r="I21" i="12"/>
  <c r="I22" i="12" s="1"/>
  <c r="T20" i="12"/>
  <c r="E21" i="12"/>
  <c r="E22" i="12" s="1"/>
  <c r="E23" i="12" s="1"/>
  <c r="D21" i="12"/>
  <c r="D22" i="12" s="1"/>
  <c r="D23" i="12" s="1"/>
  <c r="S21" i="11"/>
  <c r="S22" i="11" s="1"/>
  <c r="S23" i="11" s="1"/>
  <c r="S24" i="11" s="1"/>
  <c r="S25" i="11" s="1"/>
  <c r="S26" i="11" s="1"/>
  <c r="S27" i="11" s="1"/>
  <c r="T22" i="11"/>
  <c r="T20" i="11"/>
  <c r="F20" i="11"/>
  <c r="F21" i="11" s="1"/>
  <c r="D20" i="11"/>
  <c r="D21" i="11" s="1"/>
  <c r="D22" i="11" s="1"/>
  <c r="D23" i="11" s="1"/>
  <c r="I21" i="11"/>
  <c r="I22" i="11" s="1"/>
  <c r="C21" i="11"/>
  <c r="C22" i="11" s="1"/>
  <c r="C23" i="11" s="1"/>
  <c r="E20" i="11"/>
  <c r="E21" i="11" s="1"/>
  <c r="E22" i="11" s="1"/>
  <c r="E23" i="11" s="1"/>
  <c r="C20" i="11"/>
  <c r="K20" i="11" s="1"/>
  <c r="U20" i="11" s="1"/>
  <c r="S21" i="10"/>
  <c r="S20" i="10"/>
  <c r="R21" i="10"/>
  <c r="R22" i="10" s="1"/>
  <c r="R23" i="10" s="1"/>
  <c r="R24" i="10" s="1"/>
  <c r="R25" i="10" s="1"/>
  <c r="R26" i="10" s="1"/>
  <c r="R27" i="10" s="1"/>
  <c r="F20" i="10"/>
  <c r="F21" i="10" s="1"/>
  <c r="E20" i="10"/>
  <c r="E21" i="10" s="1"/>
  <c r="E22" i="10" s="1"/>
  <c r="E23" i="10" s="1"/>
  <c r="D20" i="10"/>
  <c r="C20" i="10"/>
  <c r="C21" i="10" s="1"/>
  <c r="C22" i="10" s="1"/>
  <c r="C23" i="10" s="1"/>
  <c r="I21" i="10"/>
  <c r="I22" i="10" s="1"/>
  <c r="S22" i="10" s="1"/>
  <c r="D21" i="10"/>
  <c r="D22" i="10" s="1"/>
  <c r="D23" i="10" s="1"/>
  <c r="N1" i="9"/>
  <c r="R21" i="9"/>
  <c r="R22" i="9" s="1"/>
  <c r="R23" i="9" s="1"/>
  <c r="R24" i="9" s="1"/>
  <c r="R25" i="9" s="1"/>
  <c r="R26" i="9" s="1"/>
  <c r="R27" i="9" s="1"/>
  <c r="S20" i="9"/>
  <c r="I23" i="12" l="1"/>
  <c r="K23" i="11"/>
  <c r="U23" i="11" s="1"/>
  <c r="K21" i="10"/>
  <c r="T21" i="10" s="1"/>
  <c r="K20" i="10"/>
  <c r="T20" i="10" s="1"/>
  <c r="K20" i="12"/>
  <c r="K24" i="13"/>
  <c r="E30" i="13"/>
  <c r="E23" i="1"/>
  <c r="E24" i="1" s="1"/>
  <c r="E27" i="1" s="1"/>
  <c r="E29" i="1" s="1"/>
  <c r="E31" i="1" s="1"/>
  <c r="E32" i="1" s="1"/>
  <c r="E33" i="1" s="1"/>
  <c r="E34" i="1" s="1"/>
  <c r="K22" i="10"/>
  <c r="T22" i="10" s="1"/>
  <c r="K21" i="11"/>
  <c r="U21" i="11" s="1"/>
  <c r="T21" i="12"/>
  <c r="K21" i="12"/>
  <c r="D30" i="13"/>
  <c r="K22" i="11"/>
  <c r="U22" i="11" s="1"/>
  <c r="T21" i="11"/>
  <c r="L10" i="21"/>
  <c r="M9" i="21"/>
  <c r="I22" i="1"/>
  <c r="E25" i="1"/>
  <c r="E28" i="1" s="1"/>
  <c r="I24" i="1"/>
  <c r="G22" i="1"/>
  <c r="G23" i="1" s="1"/>
  <c r="G24" i="1" s="1"/>
  <c r="G27" i="1" s="1"/>
  <c r="G25" i="1" s="1"/>
  <c r="D25" i="1"/>
  <c r="D28" i="1" s="1"/>
  <c r="H27" i="1"/>
  <c r="F29" i="1"/>
  <c r="F31" i="1" s="1"/>
  <c r="F32" i="1" s="1"/>
  <c r="F33" i="1" s="1"/>
  <c r="F34" i="1" s="1"/>
  <c r="F25" i="1"/>
  <c r="F28" i="1" s="1"/>
  <c r="I23" i="1"/>
  <c r="C23" i="1"/>
  <c r="K24" i="1"/>
  <c r="H25" i="13"/>
  <c r="I22" i="13"/>
  <c r="G22" i="13"/>
  <c r="G23" i="13" s="1"/>
  <c r="G24" i="13" s="1"/>
  <c r="G27" i="13" s="1"/>
  <c r="F23" i="13"/>
  <c r="I23" i="13" s="1"/>
  <c r="C23" i="13"/>
  <c r="E29" i="13"/>
  <c r="E31" i="13" s="1"/>
  <c r="E32" i="13" s="1"/>
  <c r="E33" i="13" s="1"/>
  <c r="E34" i="13" s="1"/>
  <c r="D29" i="13"/>
  <c r="U20" i="12"/>
  <c r="D25" i="12"/>
  <c r="D26" i="12" s="1"/>
  <c r="D27" i="12" s="1"/>
  <c r="D24" i="12"/>
  <c r="E25" i="12"/>
  <c r="E26" i="12" s="1"/>
  <c r="E27" i="12" s="1"/>
  <c r="E24" i="12"/>
  <c r="F23" i="12"/>
  <c r="G22" i="12"/>
  <c r="I25" i="12"/>
  <c r="T23" i="12"/>
  <c r="C22" i="12"/>
  <c r="K22" i="12" s="1"/>
  <c r="G21" i="12"/>
  <c r="T22" i="12"/>
  <c r="G20" i="12"/>
  <c r="C25" i="11"/>
  <c r="C24" i="11"/>
  <c r="E25" i="11"/>
  <c r="E26" i="11" s="1"/>
  <c r="E27" i="11" s="1"/>
  <c r="E24" i="11"/>
  <c r="D25" i="11"/>
  <c r="D26" i="11" s="1"/>
  <c r="D27" i="11" s="1"/>
  <c r="D24" i="11"/>
  <c r="F22" i="11"/>
  <c r="G21" i="11"/>
  <c r="I23" i="11"/>
  <c r="T23" i="11" s="1"/>
  <c r="G20" i="11"/>
  <c r="L20" i="11" s="1"/>
  <c r="V20" i="11" s="1"/>
  <c r="G20" i="10"/>
  <c r="D25" i="10"/>
  <c r="D26" i="10" s="1"/>
  <c r="D27" i="10" s="1"/>
  <c r="D24" i="10"/>
  <c r="E24" i="10"/>
  <c r="E25" i="10"/>
  <c r="E26" i="10" s="1"/>
  <c r="E27" i="10" s="1"/>
  <c r="C25" i="10"/>
  <c r="C24" i="10"/>
  <c r="I23" i="10"/>
  <c r="F22" i="10"/>
  <c r="G21" i="10"/>
  <c r="C24" i="1" l="1"/>
  <c r="M23" i="1"/>
  <c r="S23" i="10"/>
  <c r="C26" i="10"/>
  <c r="C26" i="11"/>
  <c r="K25" i="13"/>
  <c r="T24" i="13"/>
  <c r="K23" i="10"/>
  <c r="T23" i="10" s="1"/>
  <c r="M22" i="1"/>
  <c r="L11" i="21"/>
  <c r="M10" i="21"/>
  <c r="K25" i="1"/>
  <c r="T24" i="1"/>
  <c r="F30" i="1"/>
  <c r="F26" i="1"/>
  <c r="N22" i="1"/>
  <c r="P22" i="1" s="1"/>
  <c r="I27" i="1"/>
  <c r="H25" i="1"/>
  <c r="E26" i="1"/>
  <c r="E30" i="1"/>
  <c r="G28" i="1"/>
  <c r="G26" i="1" s="1"/>
  <c r="G30" i="1" s="1"/>
  <c r="G29" i="1"/>
  <c r="G31" i="1" s="1"/>
  <c r="G32" i="1" s="1"/>
  <c r="G33" i="1" s="1"/>
  <c r="G34" i="1" s="1"/>
  <c r="D30" i="1"/>
  <c r="D26" i="1"/>
  <c r="H28" i="13"/>
  <c r="H26" i="13" s="1"/>
  <c r="G25" i="13"/>
  <c r="G28" i="13" s="1"/>
  <c r="G26" i="13" s="1"/>
  <c r="G30" i="13" s="1"/>
  <c r="H29" i="13"/>
  <c r="H31" i="13" s="1"/>
  <c r="H32" i="13" s="1"/>
  <c r="H33" i="13" s="1"/>
  <c r="H34" i="13" s="1"/>
  <c r="F24" i="13"/>
  <c r="I24" i="13" s="1"/>
  <c r="M22" i="13"/>
  <c r="N22" i="13" s="1"/>
  <c r="P22" i="13" s="1"/>
  <c r="D31" i="13"/>
  <c r="D32" i="13" s="1"/>
  <c r="D33" i="13" s="1"/>
  <c r="D34" i="13" s="1"/>
  <c r="C24" i="13"/>
  <c r="M23" i="13"/>
  <c r="L20" i="12"/>
  <c r="N22" i="12" s="1"/>
  <c r="N20" i="12"/>
  <c r="I26" i="12"/>
  <c r="T25" i="12"/>
  <c r="U21" i="12"/>
  <c r="L21" i="12"/>
  <c r="V21" i="12" s="1"/>
  <c r="C23" i="12"/>
  <c r="K23" i="12" s="1"/>
  <c r="F24" i="12"/>
  <c r="G24" i="12" s="1"/>
  <c r="F25" i="12"/>
  <c r="G23" i="12"/>
  <c r="F23" i="11"/>
  <c r="G22" i="11"/>
  <c r="L22" i="11" s="1"/>
  <c r="V22" i="11" s="1"/>
  <c r="N21" i="11"/>
  <c r="N23" i="11"/>
  <c r="N22" i="11"/>
  <c r="N20" i="11"/>
  <c r="L21" i="11"/>
  <c r="V21" i="11" s="1"/>
  <c r="I25" i="11"/>
  <c r="T25" i="11" s="1"/>
  <c r="L20" i="10"/>
  <c r="I25" i="10"/>
  <c r="S25" i="10" s="1"/>
  <c r="F23" i="10"/>
  <c r="G22" i="10"/>
  <c r="L22" i="10" s="1"/>
  <c r="U22" i="10" s="1"/>
  <c r="L21" i="10"/>
  <c r="U21" i="10" s="1"/>
  <c r="I24" i="12" l="1"/>
  <c r="V20" i="12"/>
  <c r="N23" i="13"/>
  <c r="U23" i="13"/>
  <c r="C27" i="10"/>
  <c r="K26" i="10"/>
  <c r="T26" i="10" s="1"/>
  <c r="C27" i="11"/>
  <c r="K27" i="13"/>
  <c r="T25" i="13"/>
  <c r="K25" i="11"/>
  <c r="U25" i="11" s="1"/>
  <c r="N23" i="10"/>
  <c r="U20" i="10"/>
  <c r="N21" i="10"/>
  <c r="N22" i="10"/>
  <c r="F27" i="13"/>
  <c r="H30" i="13"/>
  <c r="K25" i="10"/>
  <c r="T25" i="10" s="1"/>
  <c r="C27" i="1"/>
  <c r="M24" i="1"/>
  <c r="U24" i="1" s="1"/>
  <c r="L12" i="21"/>
  <c r="M11" i="21"/>
  <c r="N23" i="1"/>
  <c r="U23" i="1"/>
  <c r="H28" i="1"/>
  <c r="H29" i="1"/>
  <c r="I25" i="1"/>
  <c r="K27" i="1"/>
  <c r="T25" i="1"/>
  <c r="G29" i="13"/>
  <c r="G31" i="13" s="1"/>
  <c r="G32" i="13" s="1"/>
  <c r="G33" i="13" s="1"/>
  <c r="G34" i="13" s="1"/>
  <c r="I27" i="13"/>
  <c r="F25" i="13"/>
  <c r="C27" i="13"/>
  <c r="C25" i="13" s="1"/>
  <c r="M24" i="13"/>
  <c r="F29" i="13"/>
  <c r="I29" i="13" s="1"/>
  <c r="N21" i="12"/>
  <c r="N23" i="12"/>
  <c r="C24" i="12"/>
  <c r="C25" i="12"/>
  <c r="K25" i="12" s="1"/>
  <c r="U22" i="12"/>
  <c r="L22" i="12"/>
  <c r="V22" i="12" s="1"/>
  <c r="I27" i="12"/>
  <c r="T26" i="12"/>
  <c r="G25" i="12"/>
  <c r="F26" i="12"/>
  <c r="F25" i="11"/>
  <c r="F24" i="11"/>
  <c r="G24" i="11" s="1"/>
  <c r="G23" i="11"/>
  <c r="L23" i="11" s="1"/>
  <c r="V23" i="11" s="1"/>
  <c r="I26" i="11"/>
  <c r="T26" i="11" s="1"/>
  <c r="I26" i="10"/>
  <c r="S26" i="10" s="1"/>
  <c r="F25" i="10"/>
  <c r="F24" i="10"/>
  <c r="G24" i="10" s="1"/>
  <c r="G23" i="10"/>
  <c r="L23" i="10" s="1"/>
  <c r="N20" i="10"/>
  <c r="T27" i="12" l="1"/>
  <c r="N24" i="13"/>
  <c r="U24" i="13"/>
  <c r="N24" i="1"/>
  <c r="K26" i="11"/>
  <c r="U26" i="11" s="1"/>
  <c r="M27" i="1"/>
  <c r="C25" i="1"/>
  <c r="C29" i="1"/>
  <c r="K28" i="13"/>
  <c r="T27" i="13"/>
  <c r="U23" i="10"/>
  <c r="I24" i="10"/>
  <c r="S24" i="10" s="1"/>
  <c r="K27" i="11"/>
  <c r="U27" i="11" s="1"/>
  <c r="P23" i="13"/>
  <c r="V23" i="13"/>
  <c r="L13" i="21"/>
  <c r="M12" i="21"/>
  <c r="T27" i="1"/>
  <c r="K28" i="1"/>
  <c r="I29" i="1"/>
  <c r="H31" i="1"/>
  <c r="V24" i="1"/>
  <c r="P24" i="1"/>
  <c r="I28" i="1"/>
  <c r="H26" i="1"/>
  <c r="V23" i="1"/>
  <c r="P23" i="1"/>
  <c r="F28" i="13"/>
  <c r="I25" i="13"/>
  <c r="C28" i="13"/>
  <c r="M25" i="13"/>
  <c r="M27" i="13"/>
  <c r="C29" i="13"/>
  <c r="F31" i="13"/>
  <c r="C26" i="12"/>
  <c r="K26" i="12" s="1"/>
  <c r="U23" i="12"/>
  <c r="L23" i="12"/>
  <c r="V23" i="12" s="1"/>
  <c r="F27" i="12"/>
  <c r="G27" i="12" s="1"/>
  <c r="G26" i="12"/>
  <c r="I27" i="11"/>
  <c r="T27" i="11" s="1"/>
  <c r="F26" i="11"/>
  <c r="G25" i="11"/>
  <c r="L25" i="11" s="1"/>
  <c r="V25" i="11" s="1"/>
  <c r="F26" i="10"/>
  <c r="G25" i="10"/>
  <c r="L25" i="10" s="1"/>
  <c r="U25" i="10" s="1"/>
  <c r="I27" i="10"/>
  <c r="S27" i="10" s="1"/>
  <c r="F20" i="9"/>
  <c r="F21" i="9" s="1"/>
  <c r="F22" i="9" s="1"/>
  <c r="F23" i="9" s="1"/>
  <c r="E20" i="9"/>
  <c r="E21" i="9" s="1"/>
  <c r="D20" i="9"/>
  <c r="D21" i="9" s="1"/>
  <c r="C20" i="9"/>
  <c r="C21" i="9" s="1"/>
  <c r="I21" i="9"/>
  <c r="O1" i="7"/>
  <c r="C22" i="7" s="1"/>
  <c r="I22" i="7" s="1"/>
  <c r="K22" i="7"/>
  <c r="F22" i="7"/>
  <c r="F23" i="7" s="1"/>
  <c r="F24" i="7" s="1"/>
  <c r="F25" i="7" s="1"/>
  <c r="F26" i="7" s="1"/>
  <c r="H23" i="7"/>
  <c r="H24" i="7" s="1"/>
  <c r="H25" i="7" s="1"/>
  <c r="H26" i="7" s="1"/>
  <c r="K26" i="7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D22" i="7"/>
  <c r="D23" i="7" s="1"/>
  <c r="J23" i="7" s="1"/>
  <c r="L7" i="6"/>
  <c r="L7" i="3"/>
  <c r="E21" i="3" s="1"/>
  <c r="D22" i="3"/>
  <c r="D18" i="3"/>
  <c r="D15" i="3"/>
  <c r="D21" i="3" s="1"/>
  <c r="N1" i="6"/>
  <c r="L5" i="6" s="1"/>
  <c r="N5" i="6" s="1"/>
  <c r="E18" i="6"/>
  <c r="E19" i="6" s="1"/>
  <c r="E20" i="6" s="1"/>
  <c r="E21" i="6" s="1"/>
  <c r="E22" i="6" s="1"/>
  <c r="D18" i="6"/>
  <c r="D19" i="6" s="1"/>
  <c r="K6" i="6"/>
  <c r="L5" i="3"/>
  <c r="N5" i="3" s="1"/>
  <c r="K6" i="3"/>
  <c r="F16" i="3"/>
  <c r="T22" i="5"/>
  <c r="T23" i="5" s="1"/>
  <c r="T25" i="5" s="1"/>
  <c r="T26" i="5" s="1"/>
  <c r="T27" i="5" s="1"/>
  <c r="T29" i="5" s="1"/>
  <c r="T30" i="5" s="1"/>
  <c r="T31" i="5" s="1"/>
  <c r="H28" i="4"/>
  <c r="F22" i="5"/>
  <c r="F23" i="5" s="1"/>
  <c r="D16" i="5"/>
  <c r="D31" i="5" s="1"/>
  <c r="U21" i="5"/>
  <c r="D15" i="5"/>
  <c r="D15" i="4"/>
  <c r="D27" i="4" s="1"/>
  <c r="I28" i="4"/>
  <c r="Q28" i="4"/>
  <c r="C28" i="4"/>
  <c r="Q27" i="4"/>
  <c r="Q26" i="4"/>
  <c r="C26" i="4"/>
  <c r="I26" i="4" s="1"/>
  <c r="H26" i="4" s="1"/>
  <c r="Q25" i="4"/>
  <c r="Q24" i="4"/>
  <c r="C24" i="4"/>
  <c r="I24" i="4" s="1"/>
  <c r="Q23" i="4"/>
  <c r="Q22" i="4"/>
  <c r="C22" i="4"/>
  <c r="I22" i="4" s="1"/>
  <c r="Q21" i="4"/>
  <c r="Q27" i="2"/>
  <c r="Q28" i="2"/>
  <c r="D28" i="2"/>
  <c r="Q22" i="2"/>
  <c r="Q23" i="2"/>
  <c r="Q24" i="2"/>
  <c r="Q25" i="2"/>
  <c r="Q26" i="2"/>
  <c r="Q21" i="2"/>
  <c r="D15" i="2"/>
  <c r="D22" i="2" s="1"/>
  <c r="D14" i="2"/>
  <c r="C22" i="2" s="1"/>
  <c r="N25" i="13" l="1"/>
  <c r="V25" i="13" s="1"/>
  <c r="U25" i="13"/>
  <c r="P24" i="13"/>
  <c r="V24" i="13"/>
  <c r="D19" i="3"/>
  <c r="D23" i="3"/>
  <c r="M28" i="13"/>
  <c r="U28" i="13" s="1"/>
  <c r="C30" i="13"/>
  <c r="C26" i="13"/>
  <c r="K29" i="13"/>
  <c r="T28" i="13"/>
  <c r="D27" i="2"/>
  <c r="D16" i="3"/>
  <c r="J16" i="3" s="1"/>
  <c r="D20" i="3"/>
  <c r="J22" i="7"/>
  <c r="L22" i="7" s="1"/>
  <c r="M22" i="7" s="1"/>
  <c r="N22" i="7" s="1"/>
  <c r="C31" i="1"/>
  <c r="M29" i="1"/>
  <c r="K24" i="7"/>
  <c r="K23" i="7"/>
  <c r="L23" i="7" s="1"/>
  <c r="I22" i="9"/>
  <c r="S22" i="9" s="1"/>
  <c r="S21" i="9"/>
  <c r="D17" i="3"/>
  <c r="J17" i="3" s="1"/>
  <c r="K25" i="7"/>
  <c r="N27" i="13"/>
  <c r="U27" i="13"/>
  <c r="I28" i="13"/>
  <c r="F30" i="13"/>
  <c r="I30" i="13" s="1"/>
  <c r="F26" i="13"/>
  <c r="I26" i="13" s="1"/>
  <c r="C28" i="1"/>
  <c r="M25" i="1"/>
  <c r="K27" i="10"/>
  <c r="T27" i="10" s="1"/>
  <c r="L14" i="21"/>
  <c r="M13" i="21"/>
  <c r="H30" i="1"/>
  <c r="I30" i="1" s="1"/>
  <c r="I26" i="1"/>
  <c r="H32" i="1"/>
  <c r="I31" i="1"/>
  <c r="K29" i="1"/>
  <c r="T28" i="1"/>
  <c r="U27" i="1"/>
  <c r="N27" i="1"/>
  <c r="N28" i="13"/>
  <c r="I31" i="13"/>
  <c r="F32" i="13"/>
  <c r="C31" i="13"/>
  <c r="C32" i="13" s="1"/>
  <c r="M29" i="13"/>
  <c r="C27" i="12"/>
  <c r="K27" i="12" s="1"/>
  <c r="L25" i="12"/>
  <c r="V25" i="12" s="1"/>
  <c r="U25" i="12"/>
  <c r="G26" i="11"/>
  <c r="L26" i="11" s="1"/>
  <c r="V26" i="11" s="1"/>
  <c r="F27" i="11"/>
  <c r="G27" i="11" s="1"/>
  <c r="F27" i="10"/>
  <c r="G27" i="10" s="1"/>
  <c r="G26" i="10"/>
  <c r="L26" i="10" s="1"/>
  <c r="U26" i="10" s="1"/>
  <c r="F25" i="9"/>
  <c r="F26" i="9" s="1"/>
  <c r="F27" i="9" s="1"/>
  <c r="F24" i="9"/>
  <c r="K21" i="9"/>
  <c r="T21" i="9" s="1"/>
  <c r="K20" i="9"/>
  <c r="T20" i="9" s="1"/>
  <c r="G21" i="9"/>
  <c r="D22" i="9"/>
  <c r="G20" i="9"/>
  <c r="C22" i="9"/>
  <c r="E22" i="9"/>
  <c r="I23" i="9"/>
  <c r="S23" i="9" s="1"/>
  <c r="O22" i="7"/>
  <c r="H27" i="7"/>
  <c r="K27" i="7" s="1"/>
  <c r="F27" i="7"/>
  <c r="C23" i="7"/>
  <c r="D24" i="7"/>
  <c r="J24" i="7" s="1"/>
  <c r="D20" i="6"/>
  <c r="J19" i="6"/>
  <c r="K19" i="6"/>
  <c r="C18" i="6"/>
  <c r="C19" i="6" s="1"/>
  <c r="N7" i="3"/>
  <c r="C15" i="3"/>
  <c r="N7" i="6"/>
  <c r="O9" i="6" s="1"/>
  <c r="E22" i="3"/>
  <c r="E23" i="3"/>
  <c r="O9" i="3"/>
  <c r="E15" i="3"/>
  <c r="J15" i="3"/>
  <c r="F17" i="3"/>
  <c r="E16" i="3"/>
  <c r="E17" i="3"/>
  <c r="E18" i="3"/>
  <c r="E19" i="3"/>
  <c r="E20" i="3"/>
  <c r="D29" i="5"/>
  <c r="J14" i="5"/>
  <c r="C25" i="5"/>
  <c r="C27" i="5"/>
  <c r="C31" i="5"/>
  <c r="C22" i="5"/>
  <c r="K14" i="5"/>
  <c r="F25" i="5"/>
  <c r="F26" i="5" s="1"/>
  <c r="F24" i="5" s="1"/>
  <c r="J24" i="5" s="1"/>
  <c r="K24" i="5" s="1"/>
  <c r="L24" i="5" s="1"/>
  <c r="U23" i="5"/>
  <c r="U22" i="5"/>
  <c r="C30" i="5"/>
  <c r="D22" i="5"/>
  <c r="D25" i="5"/>
  <c r="D27" i="5"/>
  <c r="D30" i="5"/>
  <c r="C21" i="5"/>
  <c r="J21" i="5" s="1"/>
  <c r="C23" i="5"/>
  <c r="J23" i="5" s="1"/>
  <c r="C26" i="5"/>
  <c r="C29" i="5"/>
  <c r="D21" i="5"/>
  <c r="D23" i="5"/>
  <c r="D26" i="5"/>
  <c r="R24" i="4"/>
  <c r="H24" i="4"/>
  <c r="R28" i="4"/>
  <c r="R22" i="4"/>
  <c r="H22" i="4"/>
  <c r="R26" i="4"/>
  <c r="D24" i="4"/>
  <c r="D28" i="4"/>
  <c r="L28" i="4" s="1"/>
  <c r="C21" i="4"/>
  <c r="C23" i="4"/>
  <c r="I23" i="4" s="1"/>
  <c r="C25" i="4"/>
  <c r="I25" i="4" s="1"/>
  <c r="H25" i="4" s="1"/>
  <c r="C27" i="4"/>
  <c r="I27" i="4" s="1"/>
  <c r="H27" i="4" s="1"/>
  <c r="D22" i="4"/>
  <c r="D26" i="4"/>
  <c r="D21" i="4"/>
  <c r="H15" i="4" s="1"/>
  <c r="D23" i="4"/>
  <c r="D25" i="4"/>
  <c r="C28" i="2"/>
  <c r="L28" i="2" s="1"/>
  <c r="C27" i="2"/>
  <c r="L22" i="2"/>
  <c r="C21" i="2"/>
  <c r="D24" i="2"/>
  <c r="C25" i="2"/>
  <c r="D21" i="2"/>
  <c r="H15" i="2" s="1"/>
  <c r="D23" i="2"/>
  <c r="D25" i="2"/>
  <c r="C24" i="2"/>
  <c r="D26" i="2"/>
  <c r="I22" i="2"/>
  <c r="R22" i="2" s="1"/>
  <c r="C23" i="2"/>
  <c r="L23" i="2" s="1"/>
  <c r="H14" i="2"/>
  <c r="C26" i="2"/>
  <c r="L26" i="2" s="1"/>
  <c r="U25" i="1" l="1"/>
  <c r="N25" i="1"/>
  <c r="I21" i="4"/>
  <c r="H21" i="4" s="1"/>
  <c r="H14" i="4"/>
  <c r="M28" i="1"/>
  <c r="C30" i="1"/>
  <c r="C26" i="1"/>
  <c r="N29" i="13"/>
  <c r="V29" i="13" s="1"/>
  <c r="U29" i="13"/>
  <c r="O28" i="13"/>
  <c r="V28" i="13"/>
  <c r="C32" i="1"/>
  <c r="L25" i="4"/>
  <c r="I28" i="2"/>
  <c r="R28" i="2" s="1"/>
  <c r="L23" i="4"/>
  <c r="V27" i="13"/>
  <c r="K26" i="13"/>
  <c r="L27" i="4"/>
  <c r="L24" i="7"/>
  <c r="K31" i="13"/>
  <c r="T29" i="13"/>
  <c r="K30" i="13"/>
  <c r="L15" i="21"/>
  <c r="M14" i="21"/>
  <c r="H33" i="1"/>
  <c r="I32" i="1"/>
  <c r="U28" i="1"/>
  <c r="N28" i="1"/>
  <c r="V27" i="1"/>
  <c r="K26" i="1"/>
  <c r="K31" i="1"/>
  <c r="M31" i="1" s="1"/>
  <c r="T29" i="1"/>
  <c r="I32" i="13"/>
  <c r="F33" i="13"/>
  <c r="C33" i="13"/>
  <c r="U26" i="12"/>
  <c r="L26" i="12"/>
  <c r="V26" i="12" s="1"/>
  <c r="U27" i="12"/>
  <c r="L27" i="12"/>
  <c r="L27" i="11"/>
  <c r="V27" i="11" s="1"/>
  <c r="L27" i="10"/>
  <c r="L21" i="9"/>
  <c r="U21" i="9" s="1"/>
  <c r="L20" i="9"/>
  <c r="U20" i="9" s="1"/>
  <c r="K22" i="9"/>
  <c r="T22" i="9" s="1"/>
  <c r="E23" i="9"/>
  <c r="N21" i="9"/>
  <c r="N23" i="9"/>
  <c r="N20" i="9"/>
  <c r="N22" i="9"/>
  <c r="G22" i="9"/>
  <c r="D23" i="9"/>
  <c r="I25" i="9"/>
  <c r="S25" i="9" s="1"/>
  <c r="C23" i="9"/>
  <c r="I23" i="7"/>
  <c r="M23" i="7" s="1"/>
  <c r="N23" i="7" s="1"/>
  <c r="O23" i="7"/>
  <c r="H28" i="7"/>
  <c r="K28" i="7" s="1"/>
  <c r="F28" i="7"/>
  <c r="C24" i="7"/>
  <c r="D25" i="7"/>
  <c r="N20" i="6"/>
  <c r="N19" i="6"/>
  <c r="N22" i="6"/>
  <c r="N21" i="6"/>
  <c r="I19" i="6"/>
  <c r="L19" i="6" s="1"/>
  <c r="M19" i="6" s="1"/>
  <c r="C20" i="6"/>
  <c r="D21" i="6"/>
  <c r="J20" i="6"/>
  <c r="K20" i="6" s="1"/>
  <c r="C16" i="3"/>
  <c r="I15" i="3"/>
  <c r="K15" i="3"/>
  <c r="N18" i="6"/>
  <c r="K16" i="3"/>
  <c r="K18" i="3"/>
  <c r="K17" i="3"/>
  <c r="N18" i="3"/>
  <c r="N22" i="3"/>
  <c r="N19" i="3"/>
  <c r="N23" i="3"/>
  <c r="N16" i="3"/>
  <c r="N20" i="3"/>
  <c r="N15" i="3"/>
  <c r="N17" i="3"/>
  <c r="N21" i="3"/>
  <c r="F18" i="3"/>
  <c r="J18" i="3" s="1"/>
  <c r="N31" i="5"/>
  <c r="N26" i="5"/>
  <c r="N21" i="5"/>
  <c r="N30" i="5"/>
  <c r="N25" i="5"/>
  <c r="N29" i="5"/>
  <c r="N23" i="5"/>
  <c r="N27" i="5"/>
  <c r="N22" i="5"/>
  <c r="J25" i="5"/>
  <c r="V25" i="5" s="1"/>
  <c r="J26" i="5"/>
  <c r="J22" i="5"/>
  <c r="V22" i="5" s="1"/>
  <c r="M31" i="5"/>
  <c r="U25" i="5"/>
  <c r="J15" i="5"/>
  <c r="M22" i="5"/>
  <c r="M27" i="5"/>
  <c r="U26" i="5"/>
  <c r="F27" i="5"/>
  <c r="J27" i="5" s="1"/>
  <c r="M25" i="5"/>
  <c r="M30" i="5"/>
  <c r="M29" i="5"/>
  <c r="M23" i="5"/>
  <c r="M26" i="5"/>
  <c r="M21" i="5"/>
  <c r="J22" i="4"/>
  <c r="L22" i="4"/>
  <c r="L21" i="4"/>
  <c r="J24" i="4"/>
  <c r="L24" i="4"/>
  <c r="J26" i="4"/>
  <c r="K26" i="4" s="1"/>
  <c r="L26" i="4"/>
  <c r="J28" i="4"/>
  <c r="K28" i="4" s="1"/>
  <c r="S22" i="4"/>
  <c r="K22" i="4"/>
  <c r="K24" i="4"/>
  <c r="S24" i="4"/>
  <c r="I27" i="2"/>
  <c r="R27" i="2" s="1"/>
  <c r="L27" i="2"/>
  <c r="L24" i="2"/>
  <c r="L25" i="2"/>
  <c r="H28" i="2"/>
  <c r="J28" i="2"/>
  <c r="I21" i="2"/>
  <c r="R21" i="2" s="1"/>
  <c r="L21" i="2"/>
  <c r="H22" i="2"/>
  <c r="J22" i="2"/>
  <c r="S22" i="2" s="1"/>
  <c r="I23" i="2"/>
  <c r="R23" i="2" s="1"/>
  <c r="K32" i="13" l="1"/>
  <c r="T31" i="13"/>
  <c r="M27" i="10"/>
  <c r="U27" i="10"/>
  <c r="M26" i="10"/>
  <c r="M26" i="1"/>
  <c r="T30" i="13"/>
  <c r="M30" i="13"/>
  <c r="C33" i="1"/>
  <c r="M32" i="1"/>
  <c r="V25" i="1"/>
  <c r="P25" i="1"/>
  <c r="K28" i="2"/>
  <c r="S28" i="2"/>
  <c r="S26" i="4"/>
  <c r="D26" i="7"/>
  <c r="J26" i="7" s="1"/>
  <c r="L26" i="7" s="1"/>
  <c r="J25" i="7"/>
  <c r="L25" i="7" s="1"/>
  <c r="M31" i="13"/>
  <c r="T26" i="13"/>
  <c r="M26" i="13"/>
  <c r="L16" i="21"/>
  <c r="M15" i="21"/>
  <c r="N29" i="1"/>
  <c r="U29" i="1"/>
  <c r="T26" i="1"/>
  <c r="V28" i="1"/>
  <c r="O28" i="1"/>
  <c r="T31" i="1"/>
  <c r="K32" i="1"/>
  <c r="I33" i="1"/>
  <c r="H34" i="1"/>
  <c r="I34" i="1" s="1"/>
  <c r="C34" i="13"/>
  <c r="F34" i="13"/>
  <c r="I34" i="13" s="1"/>
  <c r="I33" i="13"/>
  <c r="V27" i="12"/>
  <c r="M27" i="12"/>
  <c r="M26" i="12"/>
  <c r="M25" i="12"/>
  <c r="K24" i="12"/>
  <c r="M25" i="11"/>
  <c r="M27" i="11"/>
  <c r="M26" i="11"/>
  <c r="I24" i="11"/>
  <c r="M25" i="10"/>
  <c r="K24" i="10"/>
  <c r="T24" i="10" s="1"/>
  <c r="E25" i="9"/>
  <c r="E26" i="9" s="1"/>
  <c r="E27" i="9" s="1"/>
  <c r="E24" i="9"/>
  <c r="K23" i="9"/>
  <c r="T23" i="9" s="1"/>
  <c r="C24" i="9"/>
  <c r="D25" i="9"/>
  <c r="G25" i="9" s="1"/>
  <c r="D24" i="9"/>
  <c r="G24" i="9" s="1"/>
  <c r="L22" i="9"/>
  <c r="U22" i="9" s="1"/>
  <c r="G23" i="9"/>
  <c r="D26" i="9"/>
  <c r="C25" i="9"/>
  <c r="I26" i="9"/>
  <c r="S26" i="9" s="1"/>
  <c r="I24" i="7"/>
  <c r="M24" i="7" s="1"/>
  <c r="N24" i="7" s="1"/>
  <c r="O24" i="7"/>
  <c r="D27" i="7"/>
  <c r="J27" i="7" s="1"/>
  <c r="L27" i="7" s="1"/>
  <c r="P23" i="7"/>
  <c r="H29" i="7"/>
  <c r="K29" i="7" s="1"/>
  <c r="P22" i="7"/>
  <c r="F29" i="7"/>
  <c r="C25" i="7"/>
  <c r="O25" i="7" s="1"/>
  <c r="O19" i="6"/>
  <c r="J21" i="6"/>
  <c r="K21" i="6" s="1"/>
  <c r="D22" i="6"/>
  <c r="I20" i="6"/>
  <c r="L20" i="6" s="1"/>
  <c r="M20" i="6" s="1"/>
  <c r="O20" i="6" s="1"/>
  <c r="C21" i="6"/>
  <c r="L15" i="3"/>
  <c r="M15" i="3" s="1"/>
  <c r="O15" i="3" s="1"/>
  <c r="I16" i="3"/>
  <c r="L16" i="3" s="1"/>
  <c r="M16" i="3" s="1"/>
  <c r="O16" i="3" s="1"/>
  <c r="C17" i="3"/>
  <c r="F19" i="3"/>
  <c r="J19" i="3" s="1"/>
  <c r="K19" i="3" s="1"/>
  <c r="K22" i="5"/>
  <c r="W22" i="5" s="1"/>
  <c r="K25" i="5"/>
  <c r="L25" i="5" s="1"/>
  <c r="F29" i="5"/>
  <c r="J29" i="5" s="1"/>
  <c r="U27" i="5"/>
  <c r="V21" i="5"/>
  <c r="K21" i="5"/>
  <c r="V23" i="5"/>
  <c r="K23" i="5"/>
  <c r="V26" i="5"/>
  <c r="K26" i="5"/>
  <c r="S28" i="4"/>
  <c r="R21" i="4"/>
  <c r="J21" i="4"/>
  <c r="R27" i="4"/>
  <c r="J27" i="4"/>
  <c r="R23" i="4"/>
  <c r="J23" i="4"/>
  <c r="H23" i="4"/>
  <c r="R25" i="4"/>
  <c r="J25" i="4"/>
  <c r="J27" i="2"/>
  <c r="H27" i="2"/>
  <c r="H21" i="2"/>
  <c r="J21" i="2"/>
  <c r="S21" i="2" s="1"/>
  <c r="K22" i="2"/>
  <c r="H23" i="2"/>
  <c r="J23" i="2"/>
  <c r="S23" i="2" s="1"/>
  <c r="I24" i="2"/>
  <c r="R24" i="2" s="1"/>
  <c r="L22" i="5" l="1"/>
  <c r="K27" i="2"/>
  <c r="S27" i="2"/>
  <c r="K25" i="9"/>
  <c r="T25" i="9" s="1"/>
  <c r="C34" i="1"/>
  <c r="N31" i="13"/>
  <c r="V31" i="13" s="1"/>
  <c r="U31" i="13"/>
  <c r="K24" i="11"/>
  <c r="U24" i="11" s="1"/>
  <c r="T24" i="11"/>
  <c r="N26" i="13"/>
  <c r="V26" i="13" s="1"/>
  <c r="U26" i="13"/>
  <c r="N30" i="13"/>
  <c r="V30" i="13" s="1"/>
  <c r="U30" i="13"/>
  <c r="K33" i="13"/>
  <c r="T32" i="13"/>
  <c r="M32" i="13"/>
  <c r="L17" i="21"/>
  <c r="M16" i="21"/>
  <c r="N26" i="1"/>
  <c r="V26" i="1" s="1"/>
  <c r="U26" i="1"/>
  <c r="T32" i="1"/>
  <c r="K33" i="1"/>
  <c r="M33" i="1" s="1"/>
  <c r="N31" i="1"/>
  <c r="U31" i="1"/>
  <c r="V29" i="1"/>
  <c r="K30" i="1"/>
  <c r="M30" i="1" s="1"/>
  <c r="T24" i="12"/>
  <c r="L23" i="9"/>
  <c r="U23" i="9" s="1"/>
  <c r="L25" i="9"/>
  <c r="U25" i="9" s="1"/>
  <c r="G26" i="9"/>
  <c r="D27" i="9"/>
  <c r="I27" i="9"/>
  <c r="S27" i="9" s="1"/>
  <c r="C26" i="9"/>
  <c r="K26" i="9" s="1"/>
  <c r="T26" i="9" s="1"/>
  <c r="P24" i="7"/>
  <c r="I25" i="7"/>
  <c r="M25" i="7" s="1"/>
  <c r="N25" i="7" s="1"/>
  <c r="P25" i="7" s="1"/>
  <c r="C26" i="7"/>
  <c r="O26" i="7" s="1"/>
  <c r="D28" i="7"/>
  <c r="J28" i="7" s="1"/>
  <c r="L28" i="7" s="1"/>
  <c r="H30" i="7"/>
  <c r="K30" i="7" s="1"/>
  <c r="F30" i="7"/>
  <c r="C22" i="6"/>
  <c r="I22" i="6" s="1"/>
  <c r="I21" i="6"/>
  <c r="L21" i="6" s="1"/>
  <c r="M21" i="6" s="1"/>
  <c r="O21" i="6" s="1"/>
  <c r="J22" i="6"/>
  <c r="K22" i="6" s="1"/>
  <c r="I17" i="3"/>
  <c r="L17" i="3" s="1"/>
  <c r="M17" i="3" s="1"/>
  <c r="O17" i="3" s="1"/>
  <c r="C18" i="3"/>
  <c r="F20" i="3"/>
  <c r="W25" i="5"/>
  <c r="V27" i="5"/>
  <c r="K27" i="5"/>
  <c r="F30" i="5"/>
  <c r="U29" i="5"/>
  <c r="W26" i="5"/>
  <c r="L26" i="5"/>
  <c r="W21" i="5"/>
  <c r="L21" i="5"/>
  <c r="W23" i="5"/>
  <c r="L23" i="5"/>
  <c r="S23" i="4"/>
  <c r="K23" i="4"/>
  <c r="S25" i="4"/>
  <c r="K25" i="4"/>
  <c r="S21" i="4"/>
  <c r="K21" i="4"/>
  <c r="S27" i="4"/>
  <c r="K27" i="4"/>
  <c r="K21" i="2"/>
  <c r="K23" i="2"/>
  <c r="H24" i="2"/>
  <c r="J24" i="2"/>
  <c r="S24" i="2" s="1"/>
  <c r="I25" i="2"/>
  <c r="R25" i="2" s="1"/>
  <c r="F21" i="3" l="1"/>
  <c r="J20" i="3"/>
  <c r="K20" i="3" s="1"/>
  <c r="V31" i="1"/>
  <c r="P31" i="1"/>
  <c r="N32" i="13"/>
  <c r="U32" i="13"/>
  <c r="L22" i="6"/>
  <c r="M22" i="6" s="1"/>
  <c r="O22" i="6" s="1"/>
  <c r="K34" i="13"/>
  <c r="M34" i="13" s="1"/>
  <c r="N34" i="13" s="1"/>
  <c r="P34" i="13" s="1"/>
  <c r="T33" i="13"/>
  <c r="M33" i="13"/>
  <c r="L18" i="21"/>
  <c r="M17" i="21"/>
  <c r="U32" i="1"/>
  <c r="N32" i="1"/>
  <c r="T30" i="1"/>
  <c r="K34" i="1"/>
  <c r="T33" i="1"/>
  <c r="U24" i="12"/>
  <c r="L24" i="12"/>
  <c r="V24" i="12" s="1"/>
  <c r="L24" i="11"/>
  <c r="V24" i="11" s="1"/>
  <c r="L24" i="10"/>
  <c r="U24" i="10" s="1"/>
  <c r="L26" i="9"/>
  <c r="U26" i="9" s="1"/>
  <c r="G27" i="9"/>
  <c r="C27" i="9"/>
  <c r="K27" i="9" s="1"/>
  <c r="T27" i="9" s="1"/>
  <c r="C27" i="7"/>
  <c r="O27" i="7" s="1"/>
  <c r="I26" i="7"/>
  <c r="D29" i="7"/>
  <c r="J29" i="7" s="1"/>
  <c r="L29" i="7" s="1"/>
  <c r="H31" i="7"/>
  <c r="K31" i="7" s="1"/>
  <c r="F31" i="7"/>
  <c r="C19" i="3"/>
  <c r="I18" i="3"/>
  <c r="L18" i="3" s="1"/>
  <c r="M18" i="3" s="1"/>
  <c r="O18" i="3" s="1"/>
  <c r="I18" i="6"/>
  <c r="J18" i="6"/>
  <c r="K18" i="6" s="1"/>
  <c r="F31" i="5"/>
  <c r="J30" i="5"/>
  <c r="U30" i="5"/>
  <c r="W27" i="5"/>
  <c r="L27" i="5"/>
  <c r="V29" i="5"/>
  <c r="K29" i="5"/>
  <c r="K24" i="2"/>
  <c r="H25" i="2"/>
  <c r="J25" i="2"/>
  <c r="S25" i="2" s="1"/>
  <c r="I26" i="2"/>
  <c r="R26" i="2" s="1"/>
  <c r="P32" i="13" l="1"/>
  <c r="V32" i="13"/>
  <c r="N34" i="1"/>
  <c r="P34" i="1" s="1"/>
  <c r="M34" i="1"/>
  <c r="U33" i="13"/>
  <c r="N33" i="13"/>
  <c r="F22" i="3"/>
  <c r="J21" i="3"/>
  <c r="K21" i="3" s="1"/>
  <c r="N6" i="21"/>
  <c r="M18" i="21"/>
  <c r="U33" i="1"/>
  <c r="N33" i="1"/>
  <c r="V32" i="1"/>
  <c r="P32" i="1"/>
  <c r="N30" i="1"/>
  <c r="V30" i="1" s="1"/>
  <c r="U30" i="1"/>
  <c r="L27" i="9"/>
  <c r="M25" i="9"/>
  <c r="M27" i="9"/>
  <c r="M26" i="7"/>
  <c r="N26" i="7" s="1"/>
  <c r="P26" i="7" s="1"/>
  <c r="D30" i="7"/>
  <c r="J30" i="7" s="1"/>
  <c r="L30" i="7" s="1"/>
  <c r="C28" i="7"/>
  <c r="O28" i="7" s="1"/>
  <c r="I27" i="7"/>
  <c r="C20" i="3"/>
  <c r="I19" i="3"/>
  <c r="L19" i="3" s="1"/>
  <c r="M19" i="3" s="1"/>
  <c r="O19" i="3" s="1"/>
  <c r="L18" i="6"/>
  <c r="M18" i="6" s="1"/>
  <c r="O18" i="6" s="1"/>
  <c r="U31" i="5"/>
  <c r="J31" i="5"/>
  <c r="W29" i="5"/>
  <c r="L29" i="5"/>
  <c r="V30" i="5"/>
  <c r="K30" i="5"/>
  <c r="K25" i="2"/>
  <c r="H26" i="2"/>
  <c r="J26" i="2"/>
  <c r="S26" i="2" s="1"/>
  <c r="P33" i="13" l="1"/>
  <c r="V33" i="13"/>
  <c r="U27" i="9"/>
  <c r="I24" i="9"/>
  <c r="F23" i="3"/>
  <c r="J23" i="3" s="1"/>
  <c r="K23" i="3" s="1"/>
  <c r="J22" i="3"/>
  <c r="K22" i="3" s="1"/>
  <c r="M26" i="9"/>
  <c r="N7" i="21"/>
  <c r="O6" i="21"/>
  <c r="V33" i="1"/>
  <c r="P33" i="1"/>
  <c r="M27" i="7"/>
  <c r="N27" i="7" s="1"/>
  <c r="P27" i="7" s="1"/>
  <c r="C29" i="7"/>
  <c r="O29" i="7" s="1"/>
  <c r="I28" i="7"/>
  <c r="D31" i="7"/>
  <c r="J31" i="7" s="1"/>
  <c r="L31" i="7" s="1"/>
  <c r="C21" i="3"/>
  <c r="I20" i="3"/>
  <c r="L20" i="3" s="1"/>
  <c r="M20" i="3" s="1"/>
  <c r="O20" i="3" s="1"/>
  <c r="V31" i="5"/>
  <c r="K31" i="5"/>
  <c r="W30" i="5"/>
  <c r="L30" i="5"/>
  <c r="K26" i="2"/>
  <c r="S24" i="9" l="1"/>
  <c r="K24" i="9"/>
  <c r="N8" i="21"/>
  <c r="O7" i="21"/>
  <c r="M28" i="7"/>
  <c r="N28" i="7" s="1"/>
  <c r="P28" i="7" s="1"/>
  <c r="C30" i="7"/>
  <c r="O30" i="7" s="1"/>
  <c r="I29" i="7"/>
  <c r="C22" i="3"/>
  <c r="I21" i="3"/>
  <c r="L21" i="3" s="1"/>
  <c r="M21" i="3" s="1"/>
  <c r="O21" i="3" s="1"/>
  <c r="L31" i="5"/>
  <c r="W31" i="5"/>
  <c r="L24" i="9" l="1"/>
  <c r="U24" i="9" s="1"/>
  <c r="T24" i="9"/>
  <c r="N9" i="21"/>
  <c r="O8" i="21"/>
  <c r="M29" i="7"/>
  <c r="N29" i="7" s="1"/>
  <c r="P29" i="7" s="1"/>
  <c r="C31" i="7"/>
  <c r="I30" i="7"/>
  <c r="I22" i="3"/>
  <c r="L22" i="3" s="1"/>
  <c r="M22" i="3" s="1"/>
  <c r="O22" i="3" s="1"/>
  <c r="C23" i="3"/>
  <c r="I23" i="3" s="1"/>
  <c r="L23" i="3" s="1"/>
  <c r="M23" i="3" s="1"/>
  <c r="O23" i="3" s="1"/>
  <c r="N10" i="21" l="1"/>
  <c r="O9" i="21"/>
  <c r="I31" i="7"/>
  <c r="O31" i="7"/>
  <c r="M30" i="7"/>
  <c r="N30" i="7" s="1"/>
  <c r="P30" i="7" s="1"/>
  <c r="N11" i="21" l="1"/>
  <c r="O10" i="21"/>
  <c r="M31" i="7"/>
  <c r="N31" i="7" s="1"/>
  <c r="P31" i="7" s="1"/>
  <c r="N12" i="21" l="1"/>
  <c r="O11" i="21"/>
  <c r="N13" i="21" l="1"/>
  <c r="O12" i="21"/>
  <c r="N14" i="21" l="1"/>
  <c r="O13" i="21"/>
  <c r="N15" i="21" l="1"/>
  <c r="O14" i="21"/>
  <c r="N16" i="21" l="1"/>
  <c r="O15" i="21"/>
  <c r="N17" i="21" l="1"/>
  <c r="O16" i="21"/>
  <c r="N18" i="21" l="1"/>
  <c r="O17" i="21"/>
  <c r="P6" i="21" l="1"/>
  <c r="O18" i="21"/>
  <c r="P7" i="21" l="1"/>
  <c r="Q6" i="21"/>
  <c r="P8" i="21" l="1"/>
  <c r="Q7" i="21"/>
  <c r="P9" i="21" l="1"/>
  <c r="Q8" i="21"/>
  <c r="P10" i="21" l="1"/>
  <c r="Q9" i="21"/>
  <c r="P11" i="21" l="1"/>
  <c r="Q10" i="21"/>
  <c r="P12" i="21" l="1"/>
  <c r="Q11" i="21"/>
  <c r="P13" i="21" l="1"/>
  <c r="Q12" i="21"/>
  <c r="P14" i="21" l="1"/>
  <c r="Q13" i="21"/>
  <c r="P15" i="21" l="1"/>
  <c r="Q14" i="21"/>
  <c r="P16" i="21" l="1"/>
  <c r="Q15" i="21"/>
  <c r="P17" i="21" l="1"/>
  <c r="Q16" i="21"/>
  <c r="P18" i="21" l="1"/>
  <c r="Q17" i="21"/>
  <c r="R6" i="21" l="1"/>
  <c r="Q18" i="21"/>
  <c r="R7" i="21" l="1"/>
  <c r="S6" i="21"/>
  <c r="R8" i="21" l="1"/>
  <c r="S7" i="21"/>
  <c r="R9" i="21" l="1"/>
  <c r="S8" i="21"/>
  <c r="R10" i="21" l="1"/>
  <c r="S9" i="21"/>
  <c r="R11" i="21" l="1"/>
  <c r="S10" i="21"/>
  <c r="R12" i="21" l="1"/>
  <c r="S11" i="21"/>
  <c r="R13" i="21" l="1"/>
  <c r="S12" i="21"/>
  <c r="R14" i="21" l="1"/>
  <c r="S13" i="21"/>
  <c r="R15" i="21" l="1"/>
  <c r="S14" i="21"/>
  <c r="R16" i="21" l="1"/>
  <c r="S15" i="21"/>
  <c r="R17" i="21" l="1"/>
  <c r="S16" i="21"/>
  <c r="R18" i="21" l="1"/>
  <c r="S18" i="21" s="1"/>
  <c r="S1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mhaugh</author>
  </authors>
  <commentList>
    <comment ref="I2" authorId="0" shapeId="0" xr:uid="{BEF20059-EAF4-4E65-BA56-141980F25A1B}">
      <text>
        <r>
          <rPr>
            <sz val="8"/>
            <color indexed="81"/>
            <rFont val="Tahoma"/>
            <family val="2"/>
          </rPr>
          <t xml:space="preserve">1 for a call, -1 for a put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mhaugh</author>
  </authors>
  <commentList>
    <comment ref="F2" authorId="0" shapeId="0" xr:uid="{03BDFA29-81D8-4409-9AAD-0F7C424DDB6F}">
      <text>
        <r>
          <rPr>
            <sz val="8"/>
            <color indexed="81"/>
            <rFont val="Tahoma"/>
            <family val="2"/>
          </rPr>
          <t xml:space="preserve">1 for a call, -1 for a put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mhaugh</author>
  </authors>
  <commentList>
    <comment ref="F2" authorId="0" shapeId="0" xr:uid="{84936557-63BE-4549-A927-CEFB144A5BB9}">
      <text>
        <r>
          <rPr>
            <sz val="8"/>
            <color indexed="81"/>
            <rFont val="Tahoma"/>
            <family val="2"/>
          </rPr>
          <t xml:space="preserve">1 for a call, -1 for a put
</t>
        </r>
      </text>
    </comment>
  </commentList>
</comments>
</file>

<file path=xl/sharedStrings.xml><?xml version="1.0" encoding="utf-8"?>
<sst xmlns="http://schemas.openxmlformats.org/spreadsheetml/2006/main" count="2014" uniqueCount="711">
  <si>
    <t>X</t>
  </si>
  <si>
    <t>Stock Price
 (S)</t>
  </si>
  <si>
    <t>Exercise Price 
(X)</t>
  </si>
  <si>
    <t>HPR (%)</t>
  </si>
  <si>
    <t>Break Even =</t>
  </si>
  <si>
    <t>BE</t>
  </si>
  <si>
    <t>Payoff</t>
  </si>
  <si>
    <t>Profit</t>
  </si>
  <si>
    <t>Unlimited</t>
  </si>
  <si>
    <t>Exercise Price
(X)</t>
  </si>
  <si>
    <t>MARCH</t>
  </si>
  <si>
    <t>APRIL</t>
  </si>
  <si>
    <t>MAY</t>
  </si>
  <si>
    <t>Exercise
Y/N?</t>
  </si>
  <si>
    <t>Buy May</t>
  </si>
  <si>
    <t>Break
Even
Stock</t>
  </si>
  <si>
    <t>Max Gain =</t>
  </si>
  <si>
    <t>OUTPUT</t>
  </si>
  <si>
    <t>INPUT</t>
  </si>
  <si>
    <t>FB</t>
  </si>
  <si>
    <t>Figure 13.1</t>
  </si>
  <si>
    <t>ACTION</t>
  </si>
  <si>
    <t>WHAT IF
SCENARIO</t>
  </si>
  <si>
    <t>Premium
Per Share
(p)</t>
  </si>
  <si>
    <t>p</t>
  </si>
  <si>
    <t>S</t>
  </si>
  <si>
    <t>O</t>
  </si>
  <si>
    <r>
      <t>Profit
(</t>
    </r>
    <r>
      <rPr>
        <b/>
        <sz val="11"/>
        <color theme="1"/>
        <rFont val="Calibri"/>
        <family val="2"/>
      </rPr>
      <t>π)</t>
    </r>
  </si>
  <si>
    <r>
      <t>Payoff (O)</t>
    </r>
    <r>
      <rPr>
        <b/>
        <sz val="6"/>
        <color theme="1"/>
        <rFont val="Calibri"/>
        <family val="2"/>
        <scheme val="minor"/>
      </rPr>
      <t xml:space="preserve">
</t>
    </r>
  </si>
  <si>
    <t>O =
max (0,S-X)</t>
  </si>
  <si>
    <t>(π) = 
O - p</t>
  </si>
  <si>
    <t>HPR % = 
π / p</t>
  </si>
  <si>
    <t>X + p</t>
  </si>
  <si>
    <t>Out-of-the-money Option</t>
  </si>
  <si>
    <t>Figure 13.2</t>
  </si>
  <si>
    <t>On-the-money Option</t>
  </si>
  <si>
    <t>In-of-the-money Option</t>
  </si>
  <si>
    <t>Max Loss =</t>
  </si>
  <si>
    <t>1.   UNCOVERED (NAKED) OPTION STRATEGIES - Buying a Call Option</t>
  </si>
  <si>
    <r>
      <rPr>
        <sz val="11"/>
        <color theme="1"/>
        <rFont val="Calibri"/>
        <family val="2"/>
        <scheme val="minor"/>
      </rPr>
      <t>Buy Call @ Exercise</t>
    </r>
    <r>
      <rPr>
        <sz val="16"/>
        <color theme="1"/>
        <rFont val="Calibri"/>
        <family val="2"/>
        <scheme val="minor"/>
      </rPr>
      <t xml:space="preserve"> (X) </t>
    </r>
    <r>
      <rPr>
        <sz val="11"/>
        <color theme="1"/>
        <rFont val="Calibri"/>
        <family val="2"/>
        <scheme val="minor"/>
      </rPr>
      <t>=</t>
    </r>
  </si>
  <si>
    <r>
      <t xml:space="preserve"> Pay Premium</t>
    </r>
    <r>
      <rPr>
        <b/>
        <sz val="11"/>
        <color theme="1"/>
        <rFont val="Calibri"/>
        <family val="2"/>
        <scheme val="minor"/>
      </rPr>
      <t xml:space="preserve">  (p)  </t>
    </r>
    <r>
      <rPr>
        <sz val="11"/>
        <color theme="1"/>
        <rFont val="Calibri"/>
        <family val="2"/>
        <scheme val="minor"/>
      </rPr>
      <t>=</t>
    </r>
  </si>
  <si>
    <t>DO NOT INCLUDE THESE IN THE TEXT BOOK</t>
  </si>
  <si>
    <t>O =
max (0,X-S)</t>
  </si>
  <si>
    <t>2.   UNCOVERED (NAKED) OPTION STRATEGIES - Buying a Put Option</t>
  </si>
  <si>
    <r>
      <rPr>
        <sz val="11"/>
        <color theme="1"/>
        <rFont val="Calibri"/>
        <family val="2"/>
        <scheme val="minor"/>
      </rPr>
      <t>Buy Put @ Exercise</t>
    </r>
    <r>
      <rPr>
        <sz val="16"/>
        <color theme="1"/>
        <rFont val="Calibri"/>
        <family val="2"/>
        <scheme val="minor"/>
      </rPr>
      <t xml:space="preserve"> (X) </t>
    </r>
    <r>
      <rPr>
        <sz val="11"/>
        <color theme="1"/>
        <rFont val="Calibri"/>
        <family val="2"/>
        <scheme val="minor"/>
      </rPr>
      <t>=</t>
    </r>
  </si>
  <si>
    <t>PUTS</t>
  </si>
  <si>
    <t>CALLS</t>
  </si>
  <si>
    <t xml:space="preserve"> X - Premium at S=0</t>
  </si>
  <si>
    <t>3.   UNCOVERED (NAKED) OPTION STRATEGIES - Buying Straddles</t>
  </si>
  <si>
    <t>Strategy: Buying a Call and Put at the same X</t>
  </si>
  <si>
    <r>
      <rPr>
        <sz val="11"/>
        <color theme="1"/>
        <rFont val="Calibri"/>
        <family val="2"/>
        <scheme val="minor"/>
      </rPr>
      <t xml:space="preserve">Buy Call &amp; Put @ </t>
    </r>
    <r>
      <rPr>
        <sz val="16"/>
        <color theme="1"/>
        <rFont val="Calibri"/>
        <family val="2"/>
        <scheme val="minor"/>
      </rPr>
      <t xml:space="preserve">(X) </t>
    </r>
    <r>
      <rPr>
        <sz val="11"/>
        <color theme="1"/>
        <rFont val="Calibri"/>
        <family val="2"/>
        <scheme val="minor"/>
      </rPr>
      <t>=</t>
    </r>
  </si>
  <si>
    <r>
      <t xml:space="preserve"> Pay both Total Prem.</t>
    </r>
    <r>
      <rPr>
        <b/>
        <sz val="11"/>
        <color theme="1"/>
        <rFont val="Calibri"/>
        <family val="2"/>
        <scheme val="minor"/>
      </rPr>
      <t xml:space="preserve"> (p)  </t>
    </r>
    <r>
      <rPr>
        <sz val="11"/>
        <color theme="1"/>
        <rFont val="Calibri"/>
        <family val="2"/>
        <scheme val="minor"/>
      </rPr>
      <t>=</t>
    </r>
  </si>
  <si>
    <t>O =
(S-X) or (X-S)</t>
  </si>
  <si>
    <t>Break
Even
Stock 1</t>
  </si>
  <si>
    <t>Break
Even
Stock 2</t>
  </si>
  <si>
    <t>X  -p</t>
  </si>
  <si>
    <t>Figure 13.3</t>
  </si>
  <si>
    <t>(10.65+9.20)</t>
  </si>
  <si>
    <t>Yes</t>
  </si>
  <si>
    <t>No</t>
  </si>
  <si>
    <t>Two Break Evens =</t>
  </si>
  <si>
    <t xml:space="preserve">Buy the Stock = </t>
  </si>
  <si>
    <t xml:space="preserve">Buy Put at X = </t>
  </si>
  <si>
    <r>
      <t>Pay Prem.</t>
    </r>
    <r>
      <rPr>
        <b/>
        <sz val="11"/>
        <color theme="1"/>
        <rFont val="Calibri"/>
        <family val="2"/>
        <scheme val="minor"/>
      </rPr>
      <t xml:space="preserve"> (p)  </t>
    </r>
    <r>
      <rPr>
        <sz val="11"/>
        <color theme="1"/>
        <rFont val="Calibri"/>
        <family val="2"/>
        <scheme val="minor"/>
      </rPr>
      <t xml:space="preserve">=         </t>
    </r>
  </si>
  <si>
    <t>Exercise
(X)</t>
  </si>
  <si>
    <t>Strategy:   Buying or holding the Stock and Buying Put Option at X</t>
  </si>
  <si>
    <t>Stock
Capital
Gain/
(Loss)</t>
  </si>
  <si>
    <t>Net 
Profit</t>
  </si>
  <si>
    <t>HPR%</t>
  </si>
  <si>
    <t>(Feb 20)</t>
  </si>
  <si>
    <t>I</t>
  </si>
  <si>
    <t>CG = S -So</t>
  </si>
  <si>
    <t>Investment
(I)</t>
  </si>
  <si>
    <t>Buy Stock &amp; May Puts</t>
  </si>
  <si>
    <t>Put Option Payoff
(Hedging)</t>
  </si>
  <si>
    <t>Profit from the Option
per share</t>
  </si>
  <si>
    <t>Net 
Profit
per share</t>
  </si>
  <si>
    <t>Initial 
Investment</t>
  </si>
  <si>
    <t>π - p</t>
  </si>
  <si>
    <t>(π - p + CG)</t>
  </si>
  <si>
    <t>(π - p + CG) x Sh</t>
  </si>
  <si>
    <t xml:space="preserve"> NP / I</t>
  </si>
  <si>
    <t>Stock Purchase per share</t>
  </si>
  <si>
    <t>Paid
Premium
Per Share
(p)</t>
  </si>
  <si>
    <t>So</t>
  </si>
  <si>
    <t>Figure 13.4</t>
  </si>
  <si>
    <t>Net Profit
 (Total $)
(NP)</t>
  </si>
  <si>
    <t>STOCK 
INVEST</t>
  </si>
  <si>
    <t>OPTION SECURITY</t>
  </si>
  <si>
    <t>BOTH STOCKS AND OPTIONS</t>
  </si>
  <si>
    <t>Market Price
Stock Price
 (S)</t>
  </si>
  <si>
    <t>STRATEGY</t>
  </si>
  <si>
    <t>Number
of
Shares</t>
  </si>
  <si>
    <t>Stock (S)/
Premium (p)</t>
  </si>
  <si>
    <t xml:space="preserve">Total Initial Investment = </t>
  </si>
  <si>
    <t>2.  COVERED  OPTION STRATEGIES - Covered Calls</t>
  </si>
  <si>
    <r>
      <t xml:space="preserve">Sell Call at </t>
    </r>
    <r>
      <rPr>
        <b/>
        <sz val="11"/>
        <color theme="1"/>
        <rFont val="Calibri"/>
        <family val="2"/>
        <scheme val="minor"/>
      </rPr>
      <t>(X)</t>
    </r>
    <r>
      <rPr>
        <sz val="11"/>
        <color theme="1"/>
        <rFont val="Calibri"/>
        <family val="2"/>
        <scheme val="minor"/>
      </rPr>
      <t xml:space="preserve"> = </t>
    </r>
  </si>
  <si>
    <r>
      <t>Own the Stock (</t>
    </r>
    <r>
      <rPr>
        <b/>
        <sz val="11"/>
        <color theme="1"/>
        <rFont val="Calibri"/>
        <family val="2"/>
        <scheme val="minor"/>
      </rPr>
      <t>So</t>
    </r>
    <r>
      <rPr>
        <sz val="11"/>
        <color theme="1"/>
        <rFont val="Calibri"/>
        <family val="2"/>
        <scheme val="minor"/>
      </rPr>
      <t xml:space="preserve">) = </t>
    </r>
  </si>
  <si>
    <t>Strategy:   Holding the Stock and Selling Call Option at X</t>
  </si>
  <si>
    <t>Buy Stock &amp; Sell May Calls</t>
  </si>
  <si>
    <t>Market Price</t>
  </si>
  <si>
    <t>Received
Premium
Per Share
(p)</t>
  </si>
  <si>
    <t xml:space="preserve">Current Price Facebook (FB) So = </t>
  </si>
  <si>
    <t>Call
Option Payoff
(Hedging)</t>
  </si>
  <si>
    <t>Figure 13.5</t>
  </si>
  <si>
    <t>Figure 13.6</t>
  </si>
  <si>
    <t>3. COVERED OPTION STRATEGIES- Collars</t>
  </si>
  <si>
    <t>Collars Strategy:</t>
  </si>
  <si>
    <t xml:space="preserve"> Own Stock, Buy Put, Sell Calls (combination of Protective Puts and Covered Calls) - the intention is to minimize or eliminate the premium</t>
  </si>
  <si>
    <t xml:space="preserve">Action: </t>
  </si>
  <si>
    <t xml:space="preserve"> Own 100 shares of Facebook (current price at $163)</t>
  </si>
  <si>
    <t xml:space="preserve">Collars 150 Puts/180 Calls May </t>
  </si>
  <si>
    <t>p1</t>
  </si>
  <si>
    <t>p2</t>
  </si>
  <si>
    <t>X puts</t>
  </si>
  <si>
    <t>X calls</t>
  </si>
  <si>
    <t>Exercise Call Price 
(X1)</t>
  </si>
  <si>
    <t>Exercise Put Price 
(X2)</t>
  </si>
  <si>
    <t>Net 
Premium Paid
Per Share
(p)</t>
  </si>
  <si>
    <t>Market Price
M2M</t>
  </si>
  <si>
    <t>Sell (Write) the May 180 Calls - receive $4.45 premium</t>
  </si>
  <si>
    <t>Buy the May 150 Puts -pay $4.45 premium</t>
  </si>
  <si>
    <t>O1</t>
  </si>
  <si>
    <t>O2</t>
  </si>
  <si>
    <t xml:space="preserve">Put
Option Payoff
</t>
  </si>
  <si>
    <t xml:space="preserve">Call
Option Payoff
</t>
  </si>
  <si>
    <t>Net Profit
 (Total $)
(NP)
100 shares</t>
  </si>
  <si>
    <t>Based on original February 20 Date</t>
  </si>
  <si>
    <t xml:space="preserve">Current Price FaceBook (FB) So = </t>
  </si>
  <si>
    <t>VERTICAL AND HORIZONTAL SPREADS</t>
  </si>
  <si>
    <t xml:space="preserve">  (TIME SPREADS)</t>
  </si>
  <si>
    <t xml:space="preserve">VERTICAL </t>
  </si>
  <si>
    <t>SPREADS</t>
  </si>
  <si>
    <t>(MONEY SPREADS)</t>
  </si>
  <si>
    <t xml:space="preserve"> HORIZONTAL
SPREAD</t>
  </si>
  <si>
    <t>Figure 13.7</t>
  </si>
  <si>
    <t xml:space="preserve">Action Example: </t>
  </si>
  <si>
    <t>Buy the Low Exercise Call Price and sell the high Call Exercise Price at the same expiration date (Vertical Spread)</t>
  </si>
  <si>
    <t>Buy the May Call 155  -pay $17.75 premium</t>
  </si>
  <si>
    <t>Low X</t>
  </si>
  <si>
    <t>High X</t>
  </si>
  <si>
    <t>Buy Exercise
Call 
(X1)</t>
  </si>
  <si>
    <t>Sell Exercise
Call 
(X2)</t>
  </si>
  <si>
    <t>Premium Paid
Per Share
(p1)</t>
  </si>
  <si>
    <t xml:space="preserve">Net 
Premium Paid
Per Share
</t>
  </si>
  <si>
    <t>Premium Received
Per Share
(p2)</t>
  </si>
  <si>
    <t>Buy Low and Sell High Call</t>
  </si>
  <si>
    <t>Net Payoff</t>
  </si>
  <si>
    <t>Maximum Profit</t>
  </si>
  <si>
    <t>Maximum
Loss</t>
  </si>
  <si>
    <t>S - X1 + X2</t>
  </si>
  <si>
    <t>Figure 13.8</t>
  </si>
  <si>
    <t xml:space="preserve"> Breakeven</t>
  </si>
  <si>
    <t>2. ADVANCED OPTION STRATEGIES- Put Bear Spreads</t>
  </si>
  <si>
    <t>Buy the High Exercise Put Price and sell the Low Put Exercise Price at the same expiration date (Vertical Spread)</t>
  </si>
  <si>
    <t>Buy the Apr 170 Puts -pay $10.75 premium</t>
  </si>
  <si>
    <t>Buy High and Sell Low Put</t>
  </si>
  <si>
    <t>Buy Exercise
Put 
(X1)</t>
  </si>
  <si>
    <t>Sell the Apr 160 Puts - receive $6.00 premium</t>
  </si>
  <si>
    <t>Sell the May 165 Calls - receive $10.65 premium</t>
  </si>
  <si>
    <t>X1 - X2 -S</t>
  </si>
  <si>
    <t>Figure 13.9</t>
  </si>
  <si>
    <t>Maximum Loss</t>
  </si>
  <si>
    <t>Maximum
Profit</t>
  </si>
  <si>
    <t>Sell the March 165 Puts - receive $7.00 premium</t>
  </si>
  <si>
    <t>Buy Exercise
Puts 
(X1)</t>
  </si>
  <si>
    <t>Sell Exercise
Puts 
(X2)</t>
  </si>
  <si>
    <t xml:space="preserve">Net 
Premium Received
Per Share
</t>
  </si>
  <si>
    <t>Figure 13.10</t>
  </si>
  <si>
    <t>Buy the March 155 Puts  -pay $4.10 premium</t>
  </si>
  <si>
    <t>Buy the Low Exercise Put Price and sell the high Exercise Put Price at the same expiration date (Vertical Spread)</t>
  </si>
  <si>
    <t>Buy the high Exercise Call Price and sell the low Exercise Call Price at the same expiration date (Vertical Spread)</t>
  </si>
  <si>
    <t>Buy the April 175 Calls  -pay $4.25 premium</t>
  </si>
  <si>
    <t>Sell the April 165 Calls - receive $9.00 premium</t>
  </si>
  <si>
    <t>Buy Exercise
Call
(X1)</t>
  </si>
  <si>
    <t>BuyHigh and Sell Low Call</t>
  </si>
  <si>
    <t>Buy Low and Sell High Put</t>
  </si>
  <si>
    <t>Buy the Low Exercise Call Price, Buy the High Exercise Price and sell the average Call Exercise Price twice at the same expiration date (Vertical Spread)</t>
  </si>
  <si>
    <t>2 x p3</t>
  </si>
  <si>
    <t>Buy Low, High  and Sell Avg Call</t>
  </si>
  <si>
    <t>Buy Exercise
Call 
(X2)</t>
  </si>
  <si>
    <t>Sell
Exercise
Call 
(X2)</t>
  </si>
  <si>
    <t>Low X1</t>
  </si>
  <si>
    <t>High X2</t>
  </si>
  <si>
    <t>2 x Avg X3</t>
  </si>
  <si>
    <t>Premium Paid
Per Share
(p2)</t>
  </si>
  <si>
    <t>Premium Received
Per Share
(p3)</t>
  </si>
  <si>
    <t>Buy the May Call 150  -pay $23 premium</t>
  </si>
  <si>
    <t>Buy the May 180 Calls - pay $4.45 premium</t>
  </si>
  <si>
    <t>Sell the May 165 Calls  - receive $10.65 premium</t>
  </si>
  <si>
    <t>Figure 13.12</t>
  </si>
  <si>
    <t>Buy the Low Exercise Put Price, Buy the High Exercise Put Price and sell the average Put Exercise Price twice at the same expiration date (Vertical Spread)</t>
  </si>
  <si>
    <t>Buy the Apr 175 Puts - pay $14.30 premium</t>
  </si>
  <si>
    <t>Buy the Apr 155 Puts  -pay $4.90 premium</t>
  </si>
  <si>
    <t>Sell the Apr 165 Puts  - receive $8.00 premium</t>
  </si>
  <si>
    <t>Buy Low, High  and Sell Avg Put</t>
  </si>
  <si>
    <t>X1 + X2 - S</t>
  </si>
  <si>
    <t>Figure 13.13</t>
  </si>
  <si>
    <t>One and Two-PERIOD BINOMIAL OPTION PRICING MODEL</t>
  </si>
  <si>
    <t>FORMULAS</t>
  </si>
  <si>
    <t>Example I - Single Period (Call Option)</t>
  </si>
  <si>
    <t>Method 2 (Probability Method)</t>
  </si>
  <si>
    <t>Method 1 (Leverage 6-Step Method)</t>
  </si>
  <si>
    <t>Su = S . u</t>
  </si>
  <si>
    <t>PERIOD 0</t>
  </si>
  <si>
    <t>PERIOD 1</t>
  </si>
  <si>
    <t>Sd = S . d</t>
  </si>
  <si>
    <t>S =</t>
  </si>
  <si>
    <t>Step 1</t>
  </si>
  <si>
    <t>Su - Sd =</t>
  </si>
  <si>
    <t>u =</t>
  </si>
  <si>
    <t>Su=</t>
  </si>
  <si>
    <t>Cu=</t>
  </si>
  <si>
    <t>Step 2</t>
  </si>
  <si>
    <t>Cu - Cd =</t>
  </si>
  <si>
    <t>d =</t>
  </si>
  <si>
    <t>Step 3</t>
  </si>
  <si>
    <t>h =</t>
  </si>
  <si>
    <t>Cu = Max (0, Su - X)</t>
  </si>
  <si>
    <t>X =</t>
  </si>
  <si>
    <t xml:space="preserve"> S =</t>
  </si>
  <si>
    <t>Cd = Max (0, Sd - X)</t>
  </si>
  <si>
    <t>i =</t>
  </si>
  <si>
    <t>Step 4</t>
  </si>
  <si>
    <t>PV (Sd) =</t>
  </si>
  <si>
    <t>Freq=</t>
  </si>
  <si>
    <t>Sd =</t>
  </si>
  <si>
    <t>Cd=</t>
  </si>
  <si>
    <t>Step 5</t>
  </si>
  <si>
    <t>S-PV(Sd)=</t>
  </si>
  <si>
    <t>p = [(i+1) - d )] / (u - d)</t>
  </si>
  <si>
    <t>Periods=</t>
  </si>
  <si>
    <t>Step 6</t>
  </si>
  <si>
    <t>h(S-Pv(Sd)=</t>
  </si>
  <si>
    <t>p =</t>
  </si>
  <si>
    <t>1-p=</t>
  </si>
  <si>
    <t>C= [ (p . Cu) + [(1-p) Cd)] ] / [(1+i)^Freq</t>
  </si>
  <si>
    <t>C(E)=</t>
  </si>
  <si>
    <t>European Option Premium</t>
  </si>
  <si>
    <t>h=</t>
  </si>
  <si>
    <r>
      <t xml:space="preserve">Hedge Ratio </t>
    </r>
    <r>
      <rPr>
        <sz val="8"/>
        <color theme="1"/>
        <rFont val="Calibri"/>
        <family val="2"/>
        <scheme val="minor"/>
      </rPr>
      <t>(Buy Shares / Write Calls)</t>
    </r>
  </si>
  <si>
    <t>C(A)=</t>
  </si>
  <si>
    <t>American Option Premium</t>
  </si>
  <si>
    <t>(Covered Calls Strategy)</t>
  </si>
  <si>
    <t>Example II - Single Period (Put Option)</t>
  </si>
  <si>
    <t>Pu=</t>
  </si>
  <si>
    <t>Sd - Su =</t>
  </si>
  <si>
    <t>Pu = Max (0, X-Su)</t>
  </si>
  <si>
    <t>Pd = Max (0, X-Sd)</t>
  </si>
  <si>
    <t>PV (Su) =</t>
  </si>
  <si>
    <t>Pd=</t>
  </si>
  <si>
    <t>PV(Su)-S=</t>
  </si>
  <si>
    <t>h(Pv(Su)-S=</t>
  </si>
  <si>
    <t>P= [ (p . Pu) + [(1-p) Pd)] ] / [(1+i)^Freq</t>
  </si>
  <si>
    <t>P(E)=</t>
  </si>
  <si>
    <r>
      <t xml:space="preserve">Hedge Ratio </t>
    </r>
    <r>
      <rPr>
        <sz val="8"/>
        <color theme="1"/>
        <rFont val="Calibri"/>
        <family val="2"/>
        <scheme val="minor"/>
      </rPr>
      <t>(Buy Shares / Buy Puts)</t>
    </r>
  </si>
  <si>
    <t>P(A)=</t>
  </si>
  <si>
    <t>(Protective Put Strategy)</t>
  </si>
  <si>
    <t>Example III  2-Period - Call option</t>
  </si>
  <si>
    <t>PERIOD 2</t>
  </si>
  <si>
    <t>Su^2=</t>
  </si>
  <si>
    <t xml:space="preserve"> Cu^2=</t>
  </si>
  <si>
    <t>(Payoff)</t>
  </si>
  <si>
    <t>Su^2 = S  . u^2</t>
  </si>
  <si>
    <t>C1=</t>
  </si>
  <si>
    <t>Sd^2 = S  . d^2</t>
  </si>
  <si>
    <t>Cu^2 = Max (0, Su^2 - X)</t>
  </si>
  <si>
    <t>Cud=</t>
  </si>
  <si>
    <t>Cd^2 = Max (0, Sd^2 - X)</t>
  </si>
  <si>
    <t>Cud = Max (0, Sud - X)</t>
  </si>
  <si>
    <t>C2=</t>
  </si>
  <si>
    <t>C1= [ (p . Cu^2) + [(1-p) Cud)] ] / [(1+i)^Freq]</t>
  </si>
  <si>
    <t>Sd^2=</t>
  </si>
  <si>
    <t xml:space="preserve"> Cd^2=</t>
  </si>
  <si>
    <t>C2= [ (p . Cud) + [(1-p) Cd^2)] ] / [(1+i)^Freq]</t>
  </si>
  <si>
    <t>C= [ (p . C1) + [(1-p) C2)] ] / [(1+i)^Freq]</t>
  </si>
  <si>
    <t>hu=</t>
  </si>
  <si>
    <t>hd=</t>
  </si>
  <si>
    <t>Example IV 2-Period - Put Option</t>
  </si>
  <si>
    <t xml:space="preserve"> Pu^2=</t>
  </si>
  <si>
    <t>Pu^2 = Max (0, X - Su^2)</t>
  </si>
  <si>
    <t>Pud=</t>
  </si>
  <si>
    <t>Pd^2 = Max (0, X - Sd^2)</t>
  </si>
  <si>
    <t>Pud = Max (0, X - Sud )</t>
  </si>
  <si>
    <t>P1= [ (p . Pu^2) + [(1-p) Pud)] ] / [(1+i)^Freq]</t>
  </si>
  <si>
    <t xml:space="preserve"> Pd^2=</t>
  </si>
  <si>
    <t>P2= [ (p . Pud) + [(1-p) Pd^2)] ] / [(1+i)^Freq]</t>
  </si>
  <si>
    <t>P= [ (p . P1) + [(1-p) P2)] ] / [(1+i)^Freq]</t>
  </si>
  <si>
    <t>Example V 2-Period - Call Option w/ Div</t>
  </si>
  <si>
    <t>PERIOD 1(x-div)</t>
  </si>
  <si>
    <r>
      <t>x-dividend = Su (1-</t>
    </r>
    <r>
      <rPr>
        <b/>
        <sz val="11"/>
        <color theme="1"/>
        <rFont val="Arial"/>
        <family val="2"/>
      </rPr>
      <t>δ)</t>
    </r>
  </si>
  <si>
    <t>x-dividend</t>
  </si>
  <si>
    <r>
      <t>x-dividend = Sd (1-</t>
    </r>
    <r>
      <rPr>
        <b/>
        <sz val="11"/>
        <color theme="1"/>
        <rFont val="Arial"/>
        <family val="2"/>
      </rPr>
      <t>δ)</t>
    </r>
  </si>
  <si>
    <r>
      <t>Div (</t>
    </r>
    <r>
      <rPr>
        <b/>
        <sz val="11"/>
        <color theme="1"/>
        <rFont val="Calibri"/>
        <family val="2"/>
      </rPr>
      <t>δ)=</t>
    </r>
  </si>
  <si>
    <t>(at 1st Stage)</t>
  </si>
  <si>
    <t>Multi-Stage Call and Put European Options</t>
  </si>
  <si>
    <t>STOCK PRICES (UP / DOWN)</t>
  </si>
  <si>
    <t>Period</t>
  </si>
  <si>
    <r>
      <t>Su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</si>
  <si>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</si>
  <si>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</t>
  </si>
  <si>
    <r>
      <t>Su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</si>
  <si>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</si>
  <si>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4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</si>
  <si>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5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</si>
  <si>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</si>
  <si>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7</t>
    </r>
  </si>
  <si>
    <t>Stages=</t>
  </si>
  <si>
    <r>
      <t>Su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8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</si>
  <si>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9</t>
    </r>
  </si>
  <si>
    <t>p=</t>
  </si>
  <si>
    <r>
      <t>Sd</t>
    </r>
    <r>
      <rPr>
        <vertAlign val="superscript"/>
        <sz val="11"/>
        <color theme="1"/>
        <rFont val="Calibri"/>
        <family val="2"/>
        <scheme val="minor"/>
      </rPr>
      <t>10</t>
    </r>
  </si>
  <si>
    <t>Call Option Premiums</t>
  </si>
  <si>
    <r>
      <t>Cu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</si>
  <si>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</si>
  <si>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</si>
  <si>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</si>
  <si>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4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</si>
  <si>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5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</si>
  <si>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</si>
  <si>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7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</si>
  <si>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8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</si>
  <si>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9</t>
    </r>
  </si>
  <si>
    <r>
      <t>Cd</t>
    </r>
    <r>
      <rPr>
        <vertAlign val="superscript"/>
        <sz val="11"/>
        <color theme="1"/>
        <rFont val="Calibri"/>
        <family val="2"/>
        <scheme val="minor"/>
      </rPr>
      <t>10</t>
    </r>
  </si>
  <si>
    <t>Out Option Premiums</t>
  </si>
  <si>
    <r>
      <t>Pu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</si>
  <si>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</si>
  <si>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</si>
  <si>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</si>
  <si>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</si>
  <si>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5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</si>
  <si>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</si>
  <si>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7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</si>
  <si>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8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</si>
  <si>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9</t>
    </r>
  </si>
  <si>
    <r>
      <t>Pd</t>
    </r>
    <r>
      <rPr>
        <vertAlign val="superscript"/>
        <sz val="11"/>
        <color theme="1"/>
        <rFont val="Calibri"/>
        <family val="2"/>
        <scheme val="minor"/>
      </rPr>
      <t>10</t>
    </r>
  </si>
  <si>
    <t>B</t>
  </si>
  <si>
    <t>?</t>
  </si>
  <si>
    <t>Head (H) =</t>
  </si>
  <si>
    <t>Tail (T) =</t>
  </si>
  <si>
    <t>Figure 13.14</t>
  </si>
  <si>
    <t>Figure 13.15</t>
  </si>
  <si>
    <t>Win (W) =</t>
  </si>
  <si>
    <t>Loss (L) =</t>
  </si>
  <si>
    <t>Bet (B) =</t>
  </si>
  <si>
    <t>B = 1/2 W + 1/2 L</t>
  </si>
  <si>
    <t xml:space="preserve"> 6 =</t>
  </si>
  <si>
    <t xml:space="preserve">1, 2, 3, 4, 5 </t>
  </si>
  <si>
    <t>B = 1/6 W + 5/6 L</t>
  </si>
  <si>
    <t>Calculating the Fair Bet based on Probability of Winning on Cointoss:</t>
  </si>
  <si>
    <t>Calculating the Fair Bet based on Probability of Winning getting a "6" in one toss of a dice:</t>
  </si>
  <si>
    <t>Probability (p)</t>
  </si>
  <si>
    <t>Payoff (O)</t>
  </si>
  <si>
    <t>B = (p) W + (1-p) L</t>
  </si>
  <si>
    <t>C =</t>
  </si>
  <si>
    <t>p = [(1+i) - d )] / (u - d)</t>
  </si>
  <si>
    <t>C= [ (p . Cu) + [(1-p) Cd)] ] / [(1+i)^t</t>
  </si>
  <si>
    <t>Current Stock (S)=</t>
  </si>
  <si>
    <t>Up (u) =</t>
  </si>
  <si>
    <t>Down (d) =</t>
  </si>
  <si>
    <t>Exercise Price (X) =</t>
  </si>
  <si>
    <t>Risk Free Rate (i) =</t>
  </si>
  <si>
    <t>Time in Years (t) =</t>
  </si>
  <si>
    <t>Periods =</t>
  </si>
  <si>
    <t>ONE -PERIOD BINOMIAL OPTION PRICING MODEL - Calculatig the Call Option Premium</t>
  </si>
  <si>
    <t>ONE -PERIOD BINOMIAL OPTION PRICING MODEL - Calculating the Put Option Premium</t>
  </si>
  <si>
    <t>C=</t>
  </si>
  <si>
    <t>P=</t>
  </si>
  <si>
    <t>TWO-PERIOD BINOMIAL OPTION PRICING MODEL - Call and Put Options</t>
  </si>
  <si>
    <t>CALL OPTION</t>
  </si>
  <si>
    <t>PUT OPTION</t>
  </si>
  <si>
    <t>Figure 13.18</t>
  </si>
  <si>
    <t xml:space="preserve">Using Dividend Yield % </t>
  </si>
  <si>
    <t>Using Dividend Yield $</t>
  </si>
  <si>
    <t>Annual=</t>
  </si>
  <si>
    <t>x-dividend = Su  - Div $</t>
  </si>
  <si>
    <t>x-dividend = Sd  - Div $</t>
  </si>
  <si>
    <t>Div $ =</t>
  </si>
  <si>
    <t>TWO-PERIOD BINOMIAL OPTION PRICING MODEL WITH DIVIDENDS- Call Options</t>
  </si>
  <si>
    <t>(at 1st Period)</t>
  </si>
  <si>
    <t>Cu= [ (p . Cu^2) + [(1-p) Cud)] ] / [(1+i)^Freq]</t>
  </si>
  <si>
    <t>Cd= [ (p . Cud) + [(1-p) Cd^2)] ] / [(1+i)^Freq]</t>
  </si>
  <si>
    <t>Pu= [ (p . Pu^2) + [(1-p) Pud)] ] / [(1+i)^Freq]</t>
  </si>
  <si>
    <t>Pd= [ (p . Pud) + [(1-p) Pd^2)] ] / [(1+i)^Freq]</t>
  </si>
  <si>
    <r>
      <rPr>
        <b/>
        <sz val="11"/>
        <color theme="1"/>
        <rFont val="Calibri"/>
        <family val="2"/>
        <scheme val="minor"/>
      </rPr>
      <t>Frequency:</t>
    </r>
    <r>
      <rPr>
        <sz val="11"/>
        <color theme="1"/>
        <rFont val="Calibri"/>
        <family val="2"/>
        <scheme val="minor"/>
      </rPr>
      <t xml:space="preserve"> 
( Annual =1, 
Semiannual = 2, 
Quarterly=4)</t>
    </r>
  </si>
  <si>
    <t>Frequency=</t>
  </si>
  <si>
    <t>Cd =</t>
  </si>
  <si>
    <t>Cu =</t>
  </si>
  <si>
    <t>BLACK-SCHOLES OPTION VALUATION METHOD B/S - CALL OPTION</t>
  </si>
  <si>
    <t>A</t>
  </si>
  <si>
    <t>C</t>
  </si>
  <si>
    <t>D</t>
  </si>
  <si>
    <t>E</t>
  </si>
  <si>
    <t>F</t>
  </si>
  <si>
    <t>G</t>
  </si>
  <si>
    <t>Compound at e</t>
  </si>
  <si>
    <t>Face Value</t>
  </si>
  <si>
    <t>Interest</t>
  </si>
  <si>
    <t>Standard Deviation  (σ) =</t>
  </si>
  <si>
    <t>d1 =</t>
  </si>
  <si>
    <t>Years</t>
  </si>
  <si>
    <t>Expiration (in years)  (T) =</t>
  </si>
  <si>
    <t>d2 =</t>
  </si>
  <si>
    <t>Risk-Free Rate (Annual) (i) =</t>
  </si>
  <si>
    <t>N(d1) =</t>
  </si>
  <si>
    <t>Description</t>
  </si>
  <si>
    <t>Compound</t>
  </si>
  <si>
    <t>FV</t>
  </si>
  <si>
    <t>Stock Price (S ) =</t>
  </si>
  <si>
    <t>N(d2) =</t>
  </si>
  <si>
    <t>Annual</t>
  </si>
  <si>
    <t/>
  </si>
  <si>
    <t>Semi</t>
  </si>
  <si>
    <t>Dividend Yield (annual) (δ) =</t>
  </si>
  <si>
    <t>Quarterly</t>
  </si>
  <si>
    <t>Monthly</t>
  </si>
  <si>
    <t>Daily</t>
  </si>
  <si>
    <t>LONG CALCULATION (Break Down Approach)</t>
  </si>
  <si>
    <t>Hourly</t>
  </si>
  <si>
    <t>D1 =</t>
  </si>
  <si>
    <t xml:space="preserve"> Ln ( S / X )</t>
  </si>
  <si>
    <t xml:space="preserve">  ( i-δ+σ^2 /2 )</t>
  </si>
  <si>
    <t>σ√t</t>
  </si>
  <si>
    <t>By Minute</t>
  </si>
  <si>
    <t>By Second</t>
  </si>
  <si>
    <t>Infinite</t>
  </si>
  <si>
    <t>e</t>
  </si>
  <si>
    <t>N (d1) =</t>
  </si>
  <si>
    <t>PV calculation using e</t>
  </si>
  <si>
    <t>D2=</t>
  </si>
  <si>
    <t>e = PV x (1+i)^t</t>
  </si>
  <si>
    <t>N (d2) =</t>
  </si>
  <si>
    <t>PV = e / (1+i)^t</t>
  </si>
  <si>
    <t>PV = e ^-it</t>
  </si>
  <si>
    <t>2.  BLACK-SCHOLES OPTION VALUATION METHOD B/S - PUT OPTION</t>
  </si>
  <si>
    <t>P =</t>
  </si>
  <si>
    <t>3. PUT-CALL PARITY</t>
  </si>
  <si>
    <t>C - P = S - X .e^ -it</t>
  </si>
  <si>
    <t>P = X.e^-it - S + C</t>
  </si>
  <si>
    <t xml:space="preserve">P = </t>
  </si>
  <si>
    <t>-x</t>
  </si>
  <si>
    <t>x</t>
  </si>
  <si>
    <t>2x</t>
  </si>
  <si>
    <t>3x</t>
  </si>
  <si>
    <t>Distribution</t>
  </si>
  <si>
    <t>4x</t>
  </si>
  <si>
    <t>Figure 13.19</t>
  </si>
  <si>
    <t xml:space="preserve">    μ</t>
  </si>
  <si>
    <t>μ - σ       μ + σ    μ + 2σ</t>
  </si>
  <si>
    <t xml:space="preserve">μ - 2σ   </t>
  </si>
  <si>
    <t>NORMAL DISTRIBUTION TABLE</t>
  </si>
  <si>
    <t>d</t>
  </si>
  <si>
    <t>N(d)</t>
  </si>
  <si>
    <t>COMPOUND INTEREST USING e</t>
  </si>
  <si>
    <t>Interest =</t>
  </si>
  <si>
    <t>Years =</t>
  </si>
  <si>
    <t>Present Value =</t>
  </si>
  <si>
    <t>Future Value
Compunded</t>
  </si>
  <si>
    <t>Figure 13.20</t>
  </si>
  <si>
    <t>Compound 
per year
Freguency (f)</t>
  </si>
  <si>
    <t xml:space="preserve">CALL OPTION </t>
  </si>
  <si>
    <t>=NORMSDIST(G8)</t>
  </si>
  <si>
    <t>h</t>
  </si>
  <si>
    <t>H</t>
  </si>
  <si>
    <t>BLACK-SCHOLES VALUATION</t>
  </si>
  <si>
    <t>Figure 13.21</t>
  </si>
  <si>
    <t xml:space="preserve">PUT OPTION </t>
  </si>
  <si>
    <t>=D11*EXP(-D9*D8)*(1-G10)-D10*EXP(-D12*D8)*(1-G9)</t>
  </si>
  <si>
    <t>Figure 13.22</t>
  </si>
  <si>
    <t>Parameters</t>
  </si>
  <si>
    <t>Current Stock Price</t>
  </si>
  <si>
    <t>Current
 Stock 
Price</t>
  </si>
  <si>
    <t>Current Price (So)=</t>
  </si>
  <si>
    <t>Up factor (u) =</t>
  </si>
  <si>
    <t>Down factor (d) =</t>
  </si>
  <si>
    <t>Ranges (Su - Sd) and (Cu-Cd) =</t>
  </si>
  <si>
    <t>Ranges (Su - Sd) and (Cd-Cu) =</t>
  </si>
  <si>
    <t xml:space="preserve">Exercise Option = </t>
  </si>
  <si>
    <t>Exercise time =</t>
  </si>
  <si>
    <t>year</t>
  </si>
  <si>
    <t>Interest Rate =</t>
  </si>
  <si>
    <t>Premium =</t>
  </si>
  <si>
    <t>Distance to BE ($) =</t>
  </si>
  <si>
    <t>Distance to BE (%) =</t>
  </si>
  <si>
    <t>B. USING THE HEDGE RATIO APPROACH - Method 1</t>
  </si>
  <si>
    <t>Mispriced Security: Arbritrage Opportunity</t>
  </si>
  <si>
    <t xml:space="preserve">One share = </t>
  </si>
  <si>
    <t>Calls</t>
  </si>
  <si>
    <t xml:space="preserve">Assume Call option is mispriced at = </t>
  </si>
  <si>
    <t>Using the Hedge ratio you get to the following strategy=</t>
  </si>
  <si>
    <t>Value  d x 100 =</t>
  </si>
  <si>
    <t>value u x 100</t>
  </si>
  <si>
    <t>Initial</t>
  </si>
  <si>
    <t>At S1 =</t>
  </si>
  <si>
    <t>Range</t>
  </si>
  <si>
    <t>Sequence</t>
  </si>
  <si>
    <t>Strategy</t>
  </si>
  <si>
    <t>CF</t>
  </si>
  <si>
    <t>FIRST</t>
  </si>
  <si>
    <t>Write 3 Calls  at cost =</t>
  </si>
  <si>
    <t>SECOND</t>
  </si>
  <si>
    <t>Buy one share =</t>
  </si>
  <si>
    <t>THIRD</t>
  </si>
  <si>
    <t>Borrow the difference at 10% =</t>
  </si>
  <si>
    <t>The Ratio (Range / Call payoff)</t>
  </si>
  <si>
    <t>Total</t>
  </si>
  <si>
    <t xml:space="preserve"> Present Value=</t>
  </si>
  <si>
    <t>Hedge Ratio Formula:</t>
  </si>
  <si>
    <t>Per option profit</t>
  </si>
  <si>
    <t xml:space="preserve">(H) = (Cu - Cd) / (uSo - dSo) </t>
  </si>
  <si>
    <t xml:space="preserve">Note : Exactly the amount that the option is mispriced $6.50 - $6.06 = </t>
  </si>
  <si>
    <t>Cu and Cd call option going up or down</t>
  </si>
  <si>
    <t>uSo, dSo are the stock prices in the two states</t>
  </si>
  <si>
    <t>uSo =</t>
  </si>
  <si>
    <t>dSo =</t>
  </si>
  <si>
    <t>Exercise Price =</t>
  </si>
  <si>
    <t>Stock Price Range =</t>
  </si>
  <si>
    <t>Option Price Range =</t>
  </si>
  <si>
    <t xml:space="preserve">Hedge Ratio (H) = </t>
  </si>
  <si>
    <t>Portfolio Hedging</t>
  </si>
  <si>
    <t>Share per option</t>
  </si>
  <si>
    <t>Written option would have an end-of-year value with certainty =</t>
  </si>
  <si>
    <t>PV=</t>
  </si>
  <si>
    <t xml:space="preserve">Set Value of the hedged position equal to the PV of certain payoff = </t>
  </si>
  <si>
    <t>Call's Value</t>
  </si>
  <si>
    <t>BINOMIAL OPTION PRICING MODEL</t>
  </si>
  <si>
    <t>LEVERAGE (BORROWING) METHOD - Call option</t>
  </si>
  <si>
    <t>LEVERAGE (BORROWING) METHOD - Put Option</t>
  </si>
  <si>
    <t>Stock
 x 
(Su) and (Sd)</t>
  </si>
  <si>
    <t>Increase / Decrease Factors
(u and d)</t>
  </si>
  <si>
    <r>
      <rPr>
        <b/>
        <u/>
        <sz val="10"/>
        <rFont val="Arial"/>
        <family val="2"/>
      </rPr>
      <t>Step 2:</t>
    </r>
    <r>
      <rPr>
        <sz val="10"/>
        <rFont val="Arial"/>
        <family val="2"/>
      </rPr>
      <t xml:space="preserve">  (Cu - Cd) =</t>
    </r>
  </si>
  <si>
    <r>
      <rPr>
        <b/>
        <u/>
        <sz val="10"/>
        <rFont val="Arial"/>
        <family val="2"/>
      </rPr>
      <t>Step 3: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h = ( Cu - Cd) / (Su - Sd) =</t>
    </r>
  </si>
  <si>
    <r>
      <rPr>
        <b/>
        <u/>
        <sz val="10"/>
        <rFont val="Arial"/>
        <family val="2"/>
      </rPr>
      <t xml:space="preserve">Step 4: </t>
    </r>
    <r>
      <rPr>
        <sz val="10"/>
        <rFont val="Arial"/>
        <family val="2"/>
      </rPr>
      <t xml:space="preserve"> (PV of Sd)</t>
    </r>
  </si>
  <si>
    <r>
      <rPr>
        <b/>
        <u/>
        <sz val="10"/>
        <rFont val="Arial"/>
        <family val="2"/>
      </rPr>
      <t>Step 1:</t>
    </r>
    <r>
      <rPr>
        <sz val="10"/>
        <rFont val="Arial"/>
        <family val="2"/>
      </rPr>
      <t xml:space="preserve">  (Su - Sd) =</t>
    </r>
  </si>
  <si>
    <r>
      <rPr>
        <b/>
        <u/>
        <sz val="10"/>
        <rFont val="Arial"/>
        <family val="2"/>
      </rPr>
      <t>Step 5:</t>
    </r>
    <r>
      <rPr>
        <sz val="10"/>
        <rFont val="Arial"/>
        <family val="2"/>
      </rPr>
      <t xml:space="preserve">  (So - PV(Sd))</t>
    </r>
  </si>
  <si>
    <r>
      <rPr>
        <b/>
        <u/>
        <sz val="10"/>
        <rFont val="Arial"/>
        <family val="2"/>
      </rPr>
      <t>Step 6:</t>
    </r>
    <r>
      <rPr>
        <sz val="10"/>
        <rFont val="Arial"/>
        <family val="2"/>
      </rPr>
      <t xml:space="preserve">  ([So - PV(Sd)] x h) =</t>
    </r>
  </si>
  <si>
    <t>annual compounding</t>
  </si>
  <si>
    <t>Call Option Payoff 
(Cu) and (Cd)</t>
  </si>
  <si>
    <t>Put Option Payoff 
(Pu) and (Pd)</t>
  </si>
  <si>
    <r>
      <rPr>
        <b/>
        <u/>
        <sz val="10"/>
        <rFont val="Arial"/>
        <family val="2"/>
      </rPr>
      <t>Step 2:</t>
    </r>
    <r>
      <rPr>
        <sz val="10"/>
        <rFont val="Arial"/>
        <family val="2"/>
      </rPr>
      <t xml:space="preserve">  (Pu - Pd) =</t>
    </r>
  </si>
  <si>
    <r>
      <rPr>
        <b/>
        <u/>
        <sz val="10"/>
        <rFont val="Arial"/>
        <family val="2"/>
      </rPr>
      <t>Step 3: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h = ( Pu - Pd) / (Su - Sd) =</t>
    </r>
  </si>
  <si>
    <r>
      <rPr>
        <b/>
        <u/>
        <sz val="10"/>
        <rFont val="Arial"/>
        <family val="2"/>
      </rPr>
      <t xml:space="preserve">Step 4: </t>
    </r>
    <r>
      <rPr>
        <sz val="10"/>
        <rFont val="Arial"/>
        <family val="2"/>
      </rPr>
      <t xml:space="preserve"> (PV of Su)</t>
    </r>
  </si>
  <si>
    <r>
      <rPr>
        <b/>
        <u/>
        <sz val="10"/>
        <rFont val="Arial"/>
        <family val="2"/>
      </rPr>
      <t>Step 5:</t>
    </r>
    <r>
      <rPr>
        <sz val="10"/>
        <rFont val="Arial"/>
        <family val="2"/>
      </rPr>
      <t xml:space="preserve">  (So - PV(Su))</t>
    </r>
  </si>
  <si>
    <r>
      <rPr>
        <b/>
        <u/>
        <sz val="10"/>
        <rFont val="Arial"/>
        <family val="2"/>
      </rPr>
      <t>Step 6:</t>
    </r>
    <r>
      <rPr>
        <sz val="10"/>
        <rFont val="Arial"/>
        <family val="2"/>
      </rPr>
      <t xml:space="preserve">  ([PV(Su) - S0] x h) =</t>
    </r>
  </si>
  <si>
    <t>Range between Upper and Lower Stock</t>
  </si>
  <si>
    <t>Range between Upper and Lower Payoff</t>
  </si>
  <si>
    <t>Present Value of the Stock - Borrowing)</t>
  </si>
  <si>
    <t xml:space="preserve"> Hedge Ratio (Buy 1 Stock / Sell 3 Calls)</t>
  </si>
  <si>
    <t>Intrinsic Value times the hedge ratio</t>
  </si>
  <si>
    <t xml:space="preserve"> Hedge Ratio (Buy 2 Stocks / Buy 3 Puts)</t>
  </si>
  <si>
    <t>Intrinsic Value (S - Expected X)</t>
  </si>
  <si>
    <t>Intrinsic Value (Expected X-S)</t>
  </si>
  <si>
    <t xml:space="preserve"> Stock Price + Premium</t>
  </si>
  <si>
    <t xml:space="preserve"> Stock Price - Premium</t>
  </si>
  <si>
    <t xml:space="preserve"> Break Even $116.06  - Current Stock $100</t>
  </si>
  <si>
    <t xml:space="preserve"> Break Even / Stock Price - 1</t>
  </si>
  <si>
    <t xml:space="preserve"> Break Even $96.36  - Current Stock $100</t>
  </si>
  <si>
    <t>Figure 13.23</t>
  </si>
  <si>
    <t>CALL-PUT PARITY ERROR CHECK</t>
  </si>
  <si>
    <t>Write 3 Calls  ($5.25 x 3) at cost =</t>
  </si>
  <si>
    <t>Buy one share ($100 x 1)=</t>
  </si>
  <si>
    <t>Borrow the difference at 5% =</t>
  </si>
  <si>
    <t>At Stock</t>
  </si>
  <si>
    <t xml:space="preserve">Note : Exactly the amount that the option is mispriced $5.25 - $4.76 = </t>
  </si>
  <si>
    <t>Per option profit =</t>
  </si>
  <si>
    <t>Figure 13.24</t>
  </si>
  <si>
    <t>Assume Call option is mispriced at</t>
  </si>
  <si>
    <t xml:space="preserve">Current Stock Price </t>
  </si>
  <si>
    <t>Using the Hedge ratio you get to the following strategy</t>
  </si>
  <si>
    <t>Exerecise Price</t>
  </si>
  <si>
    <t>Borrowing Interest Rate</t>
  </si>
  <si>
    <t>Time to expiration (years)</t>
  </si>
  <si>
    <t>Calculated the Call option price using BOPM =</t>
  </si>
  <si>
    <t>1. ADVANCED OPTION STRATEGIES- Bull Call Spreads</t>
  </si>
  <si>
    <t>3. ADVANCED OPTION STRATEGIES- Bull Put Spreads</t>
  </si>
  <si>
    <t>Bull Put Strategy:</t>
  </si>
  <si>
    <t>Bull Call Strategy:</t>
  </si>
  <si>
    <t>Bear Put Strategy:</t>
  </si>
  <si>
    <t>4. ADVANCED OPTION STRATEGIES- Bear Call Spreads</t>
  </si>
  <si>
    <t>Bear Call Strategy:</t>
  </si>
  <si>
    <t>Long Butterfly Call Strategy:</t>
  </si>
  <si>
    <t>6. ADVANCED OPTION STRATEGIES-Long Butterfly Put Spreads</t>
  </si>
  <si>
    <t>Long Butterfly Put Strategy:</t>
  </si>
  <si>
    <t>1.  COVERED OPTION STRATEGIES - Protective Puts</t>
  </si>
  <si>
    <t>(Feb)</t>
  </si>
  <si>
    <t>5. ADVANCED OPTION STRATEGIES - Long Butterfly Call Spreads</t>
  </si>
  <si>
    <t>Buy</t>
  </si>
  <si>
    <t>Premium</t>
  </si>
  <si>
    <t>Stock</t>
  </si>
  <si>
    <t>Current Stock: $166</t>
  </si>
  <si>
    <t>Payoff for Call Option = max (0,S-X)</t>
  </si>
  <si>
    <t>Payoff for Put Option = max (0, X-S)</t>
  </si>
  <si>
    <t>Profit = Payoff - Premium</t>
  </si>
  <si>
    <t>BE for Call Option = X + premium</t>
  </si>
  <si>
    <t>BE for Put Option = X - Premium</t>
  </si>
  <si>
    <t>HPR% = Profit / Premium</t>
  </si>
  <si>
    <t>Straddle is buying call and put option same X at the same date</t>
  </si>
  <si>
    <t>BULL CALL SPREAD</t>
  </si>
  <si>
    <t>BEAR PUT SPREAD</t>
  </si>
  <si>
    <t>BULL PUT SPREAD</t>
  </si>
  <si>
    <t>BEAR CALL SPREAD</t>
  </si>
  <si>
    <t>Sell</t>
  </si>
  <si>
    <t>Fig. 13.17</t>
  </si>
  <si>
    <t>Lattice Parameters</t>
  </si>
  <si>
    <t>Option Parameters</t>
  </si>
  <si>
    <t>Initial Price</t>
  </si>
  <si>
    <t>Strike</t>
  </si>
  <si>
    <t>T (years)</t>
  </si>
  <si>
    <t>volatility</t>
  </si>
  <si>
    <t># Periods</t>
  </si>
  <si>
    <t>R</t>
  </si>
  <si>
    <t>u</t>
  </si>
  <si>
    <t>q</t>
  </si>
  <si>
    <t>1-q</t>
  </si>
  <si>
    <t>Stock-Lattice</t>
  </si>
  <si>
    <t>t = 0</t>
  </si>
  <si>
    <t>t = 1</t>
  </si>
  <si>
    <t>t = 2</t>
  </si>
  <si>
    <t>t = 3</t>
  </si>
  <si>
    <t>Option-Lattice</t>
  </si>
  <si>
    <t>Futures Parameters</t>
  </si>
  <si>
    <t>Expiration</t>
  </si>
  <si>
    <t>Call / Put</t>
  </si>
  <si>
    <t>Type</t>
  </si>
  <si>
    <t>European</t>
  </si>
  <si>
    <t>r</t>
  </si>
  <si>
    <t>Div-Yield</t>
  </si>
  <si>
    <t>t = 4</t>
  </si>
  <si>
    <t>t = 5</t>
  </si>
  <si>
    <t>t = 6</t>
  </si>
  <si>
    <t>t = 7</t>
  </si>
  <si>
    <t>t = 8</t>
  </si>
  <si>
    <t>t = 9</t>
  </si>
  <si>
    <t>t = 10</t>
  </si>
  <si>
    <t>Futures-Lattice</t>
  </si>
  <si>
    <t>Share</t>
  </si>
  <si>
    <t>European Option Payoff</t>
  </si>
  <si>
    <t>PRACTICE SHEET</t>
  </si>
  <si>
    <t>Max
Gain</t>
  </si>
  <si>
    <t>Max
Loss</t>
  </si>
  <si>
    <t>ACTION
Buy (long)
Sell (Short)</t>
  </si>
  <si>
    <t>TYPE</t>
  </si>
  <si>
    <t>BUY</t>
  </si>
  <si>
    <t>SELL</t>
  </si>
  <si>
    <t>March Call</t>
  </si>
  <si>
    <t>April Call</t>
  </si>
  <si>
    <t>March Put</t>
  </si>
  <si>
    <t>May Put</t>
  </si>
  <si>
    <t>May Call</t>
  </si>
  <si>
    <t>April Put</t>
  </si>
  <si>
    <t>unlimited</t>
  </si>
  <si>
    <t>N/A</t>
  </si>
  <si>
    <t>May Straddle</t>
  </si>
  <si>
    <t>Apr Straddle</t>
  </si>
  <si>
    <t>190.95/149.05</t>
  </si>
  <si>
    <t>193.55/155.45</t>
  </si>
  <si>
    <t>Spreads</t>
  </si>
  <si>
    <t xml:space="preserve"> Buy High/Sell Low</t>
  </si>
  <si>
    <t>Buy Low/Sell High</t>
  </si>
  <si>
    <t>Buy High/Sell Low</t>
  </si>
  <si>
    <t>LONG (BUY)</t>
  </si>
  <si>
    <t>Buy Low</t>
  </si>
  <si>
    <t>Buy High</t>
  </si>
  <si>
    <t>Sell the Average</t>
  </si>
  <si>
    <t>BUTTERFLY CALL MAY SPREAD (150/170)</t>
  </si>
  <si>
    <t>SHORT (SELL)</t>
  </si>
  <si>
    <t>BUTTERFLY CALL MAY SPREAD (150/180)</t>
  </si>
  <si>
    <t>Sell Low</t>
  </si>
  <si>
    <t xml:space="preserve">Sell High </t>
  </si>
  <si>
    <t>Buy the Average</t>
  </si>
  <si>
    <t>HORIZONTAL SPREADS</t>
  </si>
  <si>
    <t xml:space="preserve"> THE SAME X AT 2 DIFFRETN DATES</t>
  </si>
  <si>
    <t>VERTICAL SPREADS</t>
  </si>
  <si>
    <t>THE SAME DATE AT DIFFERENT X</t>
  </si>
  <si>
    <t>Buy low / sell high Call</t>
  </si>
  <si>
    <t>Buy High / Sell Low Put</t>
  </si>
  <si>
    <t>Buy Low/Sell high Put</t>
  </si>
  <si>
    <t>Buy High / Sell Low Call</t>
  </si>
  <si>
    <t xml:space="preserve">  Buy low/Sell High</t>
  </si>
  <si>
    <t>BUY (LONG) BUTTERFLY SPREADS</t>
  </si>
  <si>
    <t>Buy high</t>
  </si>
  <si>
    <t>Sell Avg</t>
  </si>
  <si>
    <t>SELL (SHORT) BUTTERFLY SPREADS</t>
  </si>
  <si>
    <t>Sell High</t>
  </si>
  <si>
    <t>Buy Average</t>
  </si>
  <si>
    <t>VARIABLES</t>
  </si>
  <si>
    <t>CALL</t>
  </si>
  <si>
    <t>PUT</t>
  </si>
  <si>
    <t>Yahoo</t>
  </si>
  <si>
    <t>Date</t>
  </si>
  <si>
    <t>Stock
Price</t>
  </si>
  <si>
    <t>Call 
Price
Premium</t>
  </si>
  <si>
    <t>Put 
Price
Premium</t>
  </si>
  <si>
    <t>Daily Stand. Dev=</t>
  </si>
  <si>
    <t>Close</t>
  </si>
  <si>
    <t>Change</t>
  </si>
  <si>
    <t>Open</t>
  </si>
  <si>
    <t>High</t>
  </si>
  <si>
    <t>Low</t>
  </si>
  <si>
    <t>Adj Close</t>
  </si>
  <si>
    <t>Volume</t>
  </si>
  <si>
    <t>YAHOO INFO - MONTHLY INFO</t>
  </si>
  <si>
    <r>
      <rPr>
        <b/>
        <sz val="11"/>
        <color rgb="FFFF0000"/>
        <rFont val="Calibri"/>
        <family val="2"/>
        <scheme val="minor"/>
      </rPr>
      <t>BULL</t>
    </r>
    <r>
      <rPr>
        <b/>
        <sz val="11"/>
        <rFont val="Calibri"/>
        <family val="2"/>
        <scheme val="minor"/>
      </rPr>
      <t xml:space="preserve"> MARCH CALL SPREAD 150/160</t>
    </r>
  </si>
  <si>
    <r>
      <rPr>
        <b/>
        <sz val="11"/>
        <color rgb="FFFF0000"/>
        <rFont val="Calibri"/>
        <family val="2"/>
        <scheme val="minor"/>
      </rPr>
      <t>BEAR</t>
    </r>
    <r>
      <rPr>
        <b/>
        <sz val="11"/>
        <rFont val="Calibri"/>
        <family val="2"/>
        <scheme val="minor"/>
      </rPr>
      <t xml:space="preserve"> MAY PUT SPREAD 150/180</t>
    </r>
  </si>
  <si>
    <r>
      <rPr>
        <b/>
        <sz val="11"/>
        <color rgb="FFFF0000"/>
        <rFont val="Calibri"/>
        <family val="2"/>
        <scheme val="minor"/>
      </rPr>
      <t xml:space="preserve">BULL </t>
    </r>
    <r>
      <rPr>
        <b/>
        <sz val="11"/>
        <rFont val="Calibri"/>
        <family val="2"/>
        <scheme val="minor"/>
      </rPr>
      <t>APRIL PUT SPREAD 155/165</t>
    </r>
  </si>
  <si>
    <t>NA</t>
  </si>
  <si>
    <r>
      <rPr>
        <b/>
        <sz val="11"/>
        <color rgb="FFFF0000"/>
        <rFont val="Calibri"/>
        <family val="2"/>
        <scheme val="minor"/>
      </rPr>
      <t>BEAR</t>
    </r>
    <r>
      <rPr>
        <b/>
        <sz val="11"/>
        <rFont val="Calibri"/>
        <family val="2"/>
        <scheme val="minor"/>
      </rPr>
      <t xml:space="preserve"> MAY CALL SPREAD 155/180</t>
    </r>
  </si>
  <si>
    <t>=+D10*EXP(-D12*D8)*G9-D11*EXP(-D9*D8)*G10</t>
  </si>
  <si>
    <t>=NORMSDIST(G7)</t>
  </si>
  <si>
    <t>=+G7-D7*SQRT(D8)</t>
  </si>
  <si>
    <t>=(LN(D10/D11)+(D9-D12+(D7^2)/2)*D8)/(D7*SQRT(D8))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</si>
</sst>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\ 0.00"/>
    <numFmt numFmtId="167" formatCode="0.00\x"/>
    <numFmt numFmtId="168" formatCode="_(* #,##0.000_);_(* \(#,##0.000\);_(* &quot;-&quot;??_);_(@_)"/>
    <numFmt numFmtId="169" formatCode="0.0000"/>
    <numFmt numFmtId="170" formatCode="0.000"/>
    <numFmt numFmtId="171" formatCode="_(* #,##0_);_(* \(#,##0\);_(* &quot;-&quot;??_);_(@_)"/>
    <numFmt numFmtId="172" formatCode="_(* #,##0.0000000_);_(* \(#,##0.0000000\);_(* &quot;-&quot;??_);_(@_)"/>
    <numFmt numFmtId="173" formatCode="0.00000"/>
    <numFmt numFmtId="174" formatCode="0.0\x"/>
    <numFmt numFmtId="175" formatCode="&quot;$&quot;0.00"/>
    <numFmt numFmtId="176" formatCode="General_)"/>
    <numFmt numFmtId="177" formatCode="0.0"/>
    <numFmt numFmtId="178" formatCode="0.000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0"/>
      <color theme="0"/>
      <name val="Calibri"/>
      <family val="2"/>
      <scheme val="minor"/>
    </font>
    <font>
      <b/>
      <sz val="16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color indexed="81"/>
      <name val="Tahoma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176" fontId="43" fillId="0" borderId="0"/>
    <xf numFmtId="9" fontId="10" fillId="0" borderId="0" applyFont="0" applyFill="0" applyBorder="0" applyAlignment="0" applyProtection="0"/>
    <xf numFmtId="0" fontId="43" fillId="0" borderId="0"/>
  </cellStyleXfs>
  <cellXfs count="768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/>
    <xf numFmtId="0" fontId="5" fillId="0" borderId="0" xfId="0" applyFont="1" applyAlignment="1">
      <alignment horizontal="right"/>
    </xf>
    <xf numFmtId="44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horizontal="center"/>
    </xf>
    <xf numFmtId="0" fontId="8" fillId="3" borderId="0" xfId="0" applyFont="1" applyFill="1"/>
    <xf numFmtId="0" fontId="4" fillId="3" borderId="0" xfId="0" applyFont="1" applyFill="1"/>
    <xf numFmtId="0" fontId="0" fillId="5" borderId="0" xfId="0" applyFill="1"/>
    <xf numFmtId="0" fontId="10" fillId="0" borderId="0" xfId="0" applyFont="1"/>
    <xf numFmtId="0" fontId="0" fillId="0" borderId="2" xfId="0" applyBorder="1" applyAlignment="1">
      <alignment horizontal="center"/>
    </xf>
    <xf numFmtId="2" fontId="0" fillId="6" borderId="6" xfId="3" applyNumberFormat="1" applyFont="1" applyFill="1" applyBorder="1" applyAlignment="1">
      <alignment horizontal="center"/>
    </xf>
    <xf numFmtId="2" fontId="0" fillId="6" borderId="1" xfId="3" applyNumberFormat="1" applyFont="1" applyFill="1" applyBorder="1" applyAlignment="1">
      <alignment horizontal="center"/>
    </xf>
    <xf numFmtId="2" fontId="0" fillId="6" borderId="7" xfId="3" applyNumberFormat="1" applyFont="1" applyFill="1" applyBorder="1" applyAlignment="1">
      <alignment horizontal="center"/>
    </xf>
    <xf numFmtId="2" fontId="0" fillId="7" borderId="6" xfId="3" applyNumberFormat="1" applyFont="1" applyFill="1" applyBorder="1" applyAlignment="1">
      <alignment horizontal="center"/>
    </xf>
    <xf numFmtId="2" fontId="0" fillId="7" borderId="1" xfId="3" applyNumberFormat="1" applyFont="1" applyFill="1" applyBorder="1" applyAlignment="1">
      <alignment horizontal="center"/>
    </xf>
    <xf numFmtId="2" fontId="0" fillId="7" borderId="7" xfId="3" applyNumberFormat="1" applyFont="1" applyFill="1" applyBorder="1" applyAlignment="1">
      <alignment horizontal="center"/>
    </xf>
    <xf numFmtId="2" fontId="0" fillId="6" borderId="12" xfId="3" applyNumberFormat="1" applyFont="1" applyFill="1" applyBorder="1" applyAlignment="1">
      <alignment horizontal="center"/>
    </xf>
    <xf numFmtId="2" fontId="0" fillId="6" borderId="13" xfId="3" applyNumberFormat="1" applyFont="1" applyFill="1" applyBorder="1" applyAlignment="1">
      <alignment horizontal="center"/>
    </xf>
    <xf numFmtId="2" fontId="0" fillId="6" borderId="14" xfId="3" applyNumberFormat="1" applyFont="1" applyFill="1" applyBorder="1" applyAlignment="1">
      <alignment horizontal="center"/>
    </xf>
    <xf numFmtId="2" fontId="0" fillId="7" borderId="12" xfId="3" applyNumberFormat="1" applyFont="1" applyFill="1" applyBorder="1" applyAlignment="1">
      <alignment horizontal="center"/>
    </xf>
    <xf numFmtId="2" fontId="0" fillId="7" borderId="13" xfId="3" applyNumberFormat="1" applyFont="1" applyFill="1" applyBorder="1" applyAlignment="1">
      <alignment horizontal="center"/>
    </xf>
    <xf numFmtId="2" fontId="0" fillId="7" borderId="14" xfId="3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44" fontId="0" fillId="0" borderId="1" xfId="2" applyNumberFormat="1" applyFont="1" applyBorder="1"/>
    <xf numFmtId="44" fontId="0" fillId="8" borderId="1" xfId="0" applyNumberFormat="1" applyFill="1" applyBorder="1" applyAlignment="1">
      <alignment horizontal="center" vertical="center"/>
    </xf>
    <xf numFmtId="44" fontId="0" fillId="8" borderId="1" xfId="0" applyNumberFormat="1" applyFill="1" applyBorder="1"/>
    <xf numFmtId="165" fontId="0" fillId="8" borderId="1" xfId="2" applyNumberFormat="1" applyFont="1" applyFill="1" applyBorder="1" applyAlignment="1">
      <alignment horizontal="center"/>
    </xf>
    <xf numFmtId="44" fontId="0" fillId="8" borderId="1" xfId="2" applyNumberFormat="1" applyFont="1" applyFill="1" applyBorder="1"/>
    <xf numFmtId="44" fontId="0" fillId="9" borderId="1" xfId="0" applyNumberFormat="1" applyFill="1" applyBorder="1" applyAlignment="1">
      <alignment horizontal="center" vertical="center"/>
    </xf>
    <xf numFmtId="44" fontId="0" fillId="9" borderId="1" xfId="0" applyNumberFormat="1" applyFill="1" applyBorder="1"/>
    <xf numFmtId="165" fontId="0" fillId="9" borderId="1" xfId="2" applyNumberFormat="1" applyFont="1" applyFill="1" applyBorder="1" applyAlignment="1">
      <alignment horizontal="center"/>
    </xf>
    <xf numFmtId="44" fontId="0" fillId="9" borderId="1" xfId="2" applyNumberFormat="1" applyFont="1" applyFill="1" applyBorder="1"/>
    <xf numFmtId="44" fontId="9" fillId="8" borderId="1" xfId="1" applyFont="1" applyFill="1" applyBorder="1"/>
    <xf numFmtId="44" fontId="9" fillId="0" borderId="1" xfId="1" applyFont="1" applyBorder="1"/>
    <xf numFmtId="44" fontId="9" fillId="9" borderId="1" xfId="1" applyFont="1" applyFill="1" applyBorder="1"/>
    <xf numFmtId="2" fontId="0" fillId="2" borderId="7" xfId="3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/>
    </xf>
    <xf numFmtId="0" fontId="4" fillId="5" borderId="0" xfId="0" applyFont="1" applyFill="1"/>
    <xf numFmtId="0" fontId="3" fillId="0" borderId="0" xfId="0" applyFont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0" xfId="0" applyFont="1"/>
    <xf numFmtId="44" fontId="9" fillId="0" borderId="1" xfId="1" applyFont="1" applyFill="1" applyBorder="1"/>
    <xf numFmtId="165" fontId="0" fillId="0" borderId="1" xfId="2" applyNumberFormat="1" applyFont="1" applyFill="1" applyBorder="1" applyAlignment="1">
      <alignment horizontal="center"/>
    </xf>
    <xf numFmtId="44" fontId="0" fillId="0" borderId="1" xfId="2" applyNumberFormat="1" applyFont="1" applyFill="1" applyBorder="1"/>
    <xf numFmtId="0" fontId="0" fillId="2" borderId="2" xfId="0" applyFill="1" applyBorder="1" applyAlignment="1">
      <alignment horizontal="center"/>
    </xf>
    <xf numFmtId="165" fontId="9" fillId="9" borderId="1" xfId="2" applyNumberFormat="1" applyFont="1" applyFill="1" applyBorder="1" applyAlignment="1">
      <alignment horizontal="center"/>
    </xf>
    <xf numFmtId="165" fontId="0" fillId="8" borderId="1" xfId="2" applyNumberFormat="1" applyFont="1" applyFill="1" applyBorder="1" applyAlignment="1">
      <alignment horizontal="center" vertical="center"/>
    </xf>
    <xf numFmtId="44" fontId="9" fillId="9" borderId="1" xfId="1" applyFont="1" applyFill="1" applyBorder="1" applyAlignment="1">
      <alignment horizontal="center"/>
    </xf>
    <xf numFmtId="2" fontId="0" fillId="2" borderId="6" xfId="3" applyNumberFormat="1" applyFont="1" applyFill="1" applyBorder="1" applyAlignment="1">
      <alignment horizontal="center"/>
    </xf>
    <xf numFmtId="0" fontId="11" fillId="1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0" xfId="0" applyFill="1" applyBorder="1" applyAlignment="1">
      <alignment horizontal="center"/>
    </xf>
    <xf numFmtId="44" fontId="0" fillId="0" borderId="0" xfId="1" applyFont="1" applyBorder="1"/>
    <xf numFmtId="44" fontId="9" fillId="0" borderId="0" xfId="1" applyFont="1" applyFill="1" applyBorder="1"/>
    <xf numFmtId="44" fontId="0" fillId="0" borderId="0" xfId="0" applyNumberFormat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/>
    </xf>
    <xf numFmtId="44" fontId="0" fillId="0" borderId="0" xfId="2" applyNumberFormat="1" applyFont="1" applyFill="1" applyBorder="1"/>
    <xf numFmtId="0" fontId="3" fillId="2" borderId="23" xfId="0" applyFont="1" applyFill="1" applyBorder="1" applyAlignment="1">
      <alignment horizontal="center" vertical="center"/>
    </xf>
    <xf numFmtId="2" fontId="0" fillId="7" borderId="23" xfId="3" applyNumberFormat="1" applyFont="1" applyFill="1" applyBorder="1" applyAlignment="1">
      <alignment horizontal="center"/>
    </xf>
    <xf numFmtId="2" fontId="0" fillId="7" borderId="22" xfId="3" applyNumberFormat="1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8" fontId="14" fillId="3" borderId="0" xfId="0" applyNumberFormat="1" applyFont="1" applyFill="1" applyAlignment="1">
      <alignment horizontal="center" vertical="center"/>
    </xf>
    <xf numFmtId="16" fontId="14" fillId="3" borderId="0" xfId="0" quotePrefix="1" applyNumberFormat="1" applyFont="1" applyFill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quotePrefix="1" applyAlignment="1">
      <alignment vertical="top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28" xfId="0" applyBorder="1" applyAlignment="1">
      <alignment vertical="center"/>
    </xf>
    <xf numFmtId="164" fontId="9" fillId="0" borderId="1" xfId="1" applyNumberFormat="1" applyFont="1" applyFill="1" applyBorder="1"/>
    <xf numFmtId="0" fontId="3" fillId="2" borderId="28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3" xfId="0" applyBorder="1" applyAlignment="1">
      <alignment vertical="center"/>
    </xf>
    <xf numFmtId="44" fontId="0" fillId="0" borderId="13" xfId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1" quotePrefix="1" applyNumberFormat="1" applyFont="1" applyBorder="1" applyAlignment="1">
      <alignment vertical="center"/>
    </xf>
    <xf numFmtId="164" fontId="3" fillId="0" borderId="39" xfId="1" quotePrefix="1" applyNumberFormat="1" applyFont="1" applyBorder="1" applyAlignment="1">
      <alignment vertical="center"/>
    </xf>
    <xf numFmtId="0" fontId="3" fillId="12" borderId="2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9" fillId="0" borderId="6" xfId="1" applyFont="1" applyFill="1" applyBorder="1"/>
    <xf numFmtId="10" fontId="9" fillId="0" borderId="7" xfId="2" applyNumberFormat="1" applyFont="1" applyFill="1" applyBorder="1"/>
    <xf numFmtId="44" fontId="9" fillId="0" borderId="12" xfId="1" applyFont="1" applyFill="1" applyBorder="1"/>
    <xf numFmtId="44" fontId="9" fillId="0" borderId="13" xfId="1" applyFont="1" applyFill="1" applyBorder="1"/>
    <xf numFmtId="164" fontId="9" fillId="0" borderId="13" xfId="1" applyNumberFormat="1" applyFont="1" applyFill="1" applyBorder="1"/>
    <xf numFmtId="10" fontId="9" fillId="0" borderId="14" xfId="2" applyNumberFormat="1" applyFont="1" applyFill="1" applyBorder="1"/>
    <xf numFmtId="0" fontId="3" fillId="2" borderId="23" xfId="0" applyFont="1" applyFill="1" applyBorder="1" applyAlignment="1">
      <alignment horizontal="center" vertical="center" wrapText="1"/>
    </xf>
    <xf numFmtId="44" fontId="9" fillId="0" borderId="23" xfId="1" applyFont="1" applyFill="1" applyBorder="1"/>
    <xf numFmtId="0" fontId="3" fillId="12" borderId="41" xfId="0" applyFont="1" applyFill="1" applyBorder="1" applyAlignment="1">
      <alignment horizontal="center" vertical="center" wrapText="1"/>
    </xf>
    <xf numFmtId="44" fontId="9" fillId="0" borderId="20" xfId="1" applyFont="1" applyFill="1" applyBorder="1" applyAlignment="1">
      <alignment horizontal="center"/>
    </xf>
    <xf numFmtId="44" fontId="9" fillId="0" borderId="7" xfId="1" applyFont="1" applyFill="1" applyBorder="1"/>
    <xf numFmtId="44" fontId="9" fillId="0" borderId="14" xfId="1" applyFont="1" applyFill="1" applyBorder="1"/>
    <xf numFmtId="0" fontId="3" fillId="13" borderId="40" xfId="0" applyFont="1" applyFill="1" applyBorder="1" applyAlignment="1">
      <alignment horizontal="center" wrapText="1"/>
    </xf>
    <xf numFmtId="0" fontId="3" fillId="13" borderId="16" xfId="0" applyFont="1" applyFill="1" applyBorder="1" applyAlignment="1">
      <alignment horizontal="center" wrapText="1"/>
    </xf>
    <xf numFmtId="0" fontId="3" fillId="12" borderId="25" xfId="0" applyFont="1" applyFill="1" applyBorder="1" applyAlignment="1">
      <alignment horizontal="center" vertical="center" wrapText="1"/>
    </xf>
    <xf numFmtId="44" fontId="0" fillId="0" borderId="6" xfId="1" applyFont="1" applyBorder="1"/>
    <xf numFmtId="44" fontId="0" fillId="0" borderId="7" xfId="0" applyNumberFormat="1" applyBorder="1" applyAlignment="1">
      <alignment horizontal="center"/>
    </xf>
    <xf numFmtId="0" fontId="3" fillId="12" borderId="41" xfId="0" applyFont="1" applyFill="1" applyBorder="1" applyAlignment="1">
      <alignment horizontal="center" vertical="center"/>
    </xf>
    <xf numFmtId="44" fontId="0" fillId="0" borderId="20" xfId="1" applyFont="1" applyBorder="1"/>
    <xf numFmtId="44" fontId="12" fillId="0" borderId="20" xfId="1" applyFont="1" applyBorder="1"/>
    <xf numFmtId="0" fontId="0" fillId="0" borderId="40" xfId="0" applyBorder="1"/>
    <xf numFmtId="0" fontId="3" fillId="12" borderId="6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44" fontId="12" fillId="4" borderId="20" xfId="1" applyFont="1" applyFill="1" applyBorder="1"/>
    <xf numFmtId="44" fontId="0" fillId="4" borderId="6" xfId="1" applyFont="1" applyFill="1" applyBorder="1"/>
    <xf numFmtId="44" fontId="0" fillId="4" borderId="7" xfId="0" applyNumberFormat="1" applyFill="1" applyBorder="1" applyAlignment="1">
      <alignment horizontal="center"/>
    </xf>
    <xf numFmtId="0" fontId="0" fillId="4" borderId="0" xfId="0" applyFill="1"/>
    <xf numFmtId="44" fontId="9" fillId="4" borderId="20" xfId="1" applyFont="1" applyFill="1" applyBorder="1" applyAlignment="1">
      <alignment horizontal="center"/>
    </xf>
    <xf numFmtId="44" fontId="9" fillId="4" borderId="6" xfId="1" applyFont="1" applyFill="1" applyBorder="1"/>
    <xf numFmtId="44" fontId="9" fillId="4" borderId="7" xfId="1" applyFont="1" applyFill="1" applyBorder="1"/>
    <xf numFmtId="44" fontId="9" fillId="4" borderId="1" xfId="1" applyFont="1" applyFill="1" applyBorder="1"/>
    <xf numFmtId="164" fontId="9" fillId="4" borderId="1" xfId="1" applyNumberFormat="1" applyFont="1" applyFill="1" applyBorder="1"/>
    <xf numFmtId="10" fontId="9" fillId="4" borderId="7" xfId="2" applyNumberFormat="1" applyFont="1" applyFill="1" applyBorder="1"/>
    <xf numFmtId="44" fontId="12" fillId="4" borderId="21" xfId="1" applyFont="1" applyFill="1" applyBorder="1"/>
    <xf numFmtId="44" fontId="0" fillId="4" borderId="21" xfId="1" applyFont="1" applyFill="1" applyBorder="1"/>
    <xf numFmtId="44" fontId="0" fillId="4" borderId="12" xfId="1" applyFont="1" applyFill="1" applyBorder="1"/>
    <xf numFmtId="44" fontId="0" fillId="4" borderId="14" xfId="0" applyNumberFormat="1" applyFill="1" applyBorder="1" applyAlignment="1">
      <alignment horizontal="center"/>
    </xf>
    <xf numFmtId="44" fontId="9" fillId="4" borderId="21" xfId="1" applyFont="1" applyFill="1" applyBorder="1" applyAlignment="1">
      <alignment horizontal="center"/>
    </xf>
    <xf numFmtId="44" fontId="9" fillId="4" borderId="12" xfId="1" applyFont="1" applyFill="1" applyBorder="1"/>
    <xf numFmtId="44" fontId="9" fillId="4" borderId="14" xfId="1" applyFont="1" applyFill="1" applyBorder="1"/>
    <xf numFmtId="44" fontId="9" fillId="4" borderId="13" xfId="1" applyFont="1" applyFill="1" applyBorder="1"/>
    <xf numFmtId="164" fontId="9" fillId="4" borderId="13" xfId="1" applyNumberFormat="1" applyFont="1" applyFill="1" applyBorder="1"/>
    <xf numFmtId="10" fontId="9" fillId="4" borderId="14" xfId="2" applyNumberFormat="1" applyFont="1" applyFill="1" applyBorder="1"/>
    <xf numFmtId="0" fontId="0" fillId="0" borderId="35" xfId="0" applyBorder="1"/>
    <xf numFmtId="0" fontId="3" fillId="13" borderId="9" xfId="0" applyFont="1" applyFill="1" applyBorder="1" applyAlignment="1">
      <alignment horizontal="center" vertical="center" wrapText="1"/>
    </xf>
    <xf numFmtId="0" fontId="3" fillId="12" borderId="44" xfId="0" applyFont="1" applyFill="1" applyBorder="1" applyAlignment="1">
      <alignment horizontal="center" vertical="center"/>
    </xf>
    <xf numFmtId="44" fontId="12" fillId="0" borderId="20" xfId="1" applyFont="1" applyFill="1" applyBorder="1"/>
    <xf numFmtId="44" fontId="0" fillId="0" borderId="6" xfId="1" applyFont="1" applyFill="1" applyBorder="1"/>
    <xf numFmtId="44" fontId="12" fillId="0" borderId="21" xfId="1" applyFont="1" applyFill="1" applyBorder="1"/>
    <xf numFmtId="44" fontId="0" fillId="0" borderId="12" xfId="1" applyFont="1" applyFill="1" applyBorder="1"/>
    <xf numFmtId="44" fontId="0" fillId="0" borderId="14" xfId="0" applyNumberFormat="1" applyBorder="1" applyAlignment="1">
      <alignment horizontal="center"/>
    </xf>
    <xf numFmtId="0" fontId="0" fillId="0" borderId="4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8" fontId="0" fillId="0" borderId="31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8" fontId="0" fillId="0" borderId="20" xfId="1" applyNumberFormat="1" applyFont="1" applyFill="1" applyBorder="1"/>
    <xf numFmtId="8" fontId="0" fillId="4" borderId="20" xfId="1" applyNumberFormat="1" applyFont="1" applyFill="1" applyBorder="1"/>
    <xf numFmtId="0" fontId="0" fillId="2" borderId="21" xfId="0" applyFill="1" applyBorder="1" applyAlignment="1">
      <alignment horizontal="center"/>
    </xf>
    <xf numFmtId="2" fontId="0" fillId="2" borderId="14" xfId="3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12" borderId="42" xfId="0" applyFont="1" applyFill="1" applyBorder="1" applyAlignment="1">
      <alignment horizontal="center" vertical="center"/>
    </xf>
    <xf numFmtId="8" fontId="0" fillId="0" borderId="21" xfId="1" applyNumberFormat="1" applyFont="1" applyFill="1" applyBorder="1"/>
    <xf numFmtId="166" fontId="9" fillId="0" borderId="28" xfId="1" applyNumberFormat="1" applyFont="1" applyFill="1" applyBorder="1" applyAlignment="1">
      <alignment horizontal="center"/>
    </xf>
    <xf numFmtId="0" fontId="3" fillId="12" borderId="44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shrinkToFit="1"/>
    </xf>
    <xf numFmtId="44" fontId="0" fillId="0" borderId="1" xfId="1" applyFont="1" applyFill="1" applyBorder="1"/>
    <xf numFmtId="44" fontId="0" fillId="0" borderId="1" xfId="0" applyNumberFormat="1" applyBorder="1" applyAlignment="1">
      <alignment horizontal="center"/>
    </xf>
    <xf numFmtId="44" fontId="0" fillId="0" borderId="13" xfId="1" applyFont="1" applyFill="1" applyBorder="1"/>
    <xf numFmtId="44" fontId="9" fillId="0" borderId="28" xfId="1" applyFont="1" applyFill="1" applyBorder="1" applyAlignment="1">
      <alignment horizontal="center"/>
    </xf>
    <xf numFmtId="0" fontId="3" fillId="12" borderId="23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166" fontId="9" fillId="0" borderId="38" xfId="1" applyNumberFormat="1" applyFont="1" applyFill="1" applyBorder="1" applyAlignment="1">
      <alignment horizontal="center"/>
    </xf>
    <xf numFmtId="44" fontId="9" fillId="0" borderId="38" xfId="1" applyFont="1" applyFill="1" applyBorder="1" applyAlignment="1">
      <alignment horizontal="center"/>
    </xf>
    <xf numFmtId="44" fontId="9" fillId="0" borderId="22" xfId="1" applyFont="1" applyFill="1" applyBorder="1"/>
    <xf numFmtId="0" fontId="3" fillId="12" borderId="24" xfId="0" applyFont="1" applyFill="1" applyBorder="1" applyAlignment="1">
      <alignment horizontal="center" vertical="center" shrinkToFit="1"/>
    </xf>
    <xf numFmtId="0" fontId="0" fillId="14" borderId="20" xfId="0" applyFill="1" applyBorder="1" applyAlignment="1">
      <alignment horizontal="center"/>
    </xf>
    <xf numFmtId="0" fontId="0" fillId="14" borderId="0" xfId="0" applyFill="1"/>
    <xf numFmtId="2" fontId="0" fillId="14" borderId="1" xfId="3" applyNumberFormat="1" applyFont="1" applyFill="1" applyBorder="1" applyAlignment="1">
      <alignment horizontal="center"/>
    </xf>
    <xf numFmtId="2" fontId="0" fillId="14" borderId="7" xfId="3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/>
    </xf>
    <xf numFmtId="2" fontId="0" fillId="0" borderId="6" xfId="3" applyNumberFormat="1" applyFont="1" applyFill="1" applyBorder="1" applyAlignment="1">
      <alignment horizontal="center"/>
    </xf>
    <xf numFmtId="2" fontId="0" fillId="0" borderId="7" xfId="3" applyNumberFormat="1" applyFont="1" applyFill="1" applyBorder="1" applyAlignment="1">
      <alignment horizontal="center"/>
    </xf>
    <xf numFmtId="2" fontId="0" fillId="0" borderId="12" xfId="3" applyNumberFormat="1" applyFont="1" applyFill="1" applyBorder="1" applyAlignment="1">
      <alignment horizontal="center"/>
    </xf>
    <xf numFmtId="2" fontId="0" fillId="0" borderId="14" xfId="3" applyNumberFormat="1" applyFont="1" applyFill="1" applyBorder="1" applyAlignment="1">
      <alignment horizontal="center"/>
    </xf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14" borderId="20" xfId="0" applyFont="1" applyFill="1" applyBorder="1" applyAlignment="1">
      <alignment horizontal="center"/>
    </xf>
    <xf numFmtId="0" fontId="3" fillId="14" borderId="0" xfId="0" applyFont="1" applyFill="1"/>
    <xf numFmtId="2" fontId="3" fillId="14" borderId="6" xfId="3" applyNumberFormat="1" applyFont="1" applyFill="1" applyBorder="1" applyAlignment="1">
      <alignment horizontal="center"/>
    </xf>
    <xf numFmtId="2" fontId="3" fillId="14" borderId="1" xfId="3" applyNumberFormat="1" applyFont="1" applyFill="1" applyBorder="1" applyAlignment="1">
      <alignment horizontal="center"/>
    </xf>
    <xf numFmtId="2" fontId="3" fillId="14" borderId="7" xfId="3" applyNumberFormat="1" applyFont="1" applyFill="1" applyBorder="1" applyAlignment="1">
      <alignment horizontal="center"/>
    </xf>
    <xf numFmtId="2" fontId="3" fillId="15" borderId="1" xfId="3" applyNumberFormat="1" applyFont="1" applyFill="1" applyBorder="1" applyAlignment="1">
      <alignment horizontal="center"/>
    </xf>
    <xf numFmtId="2" fontId="3" fillId="15" borderId="13" xfId="3" applyNumberFormat="1" applyFont="1" applyFill="1" applyBorder="1" applyAlignment="1">
      <alignment horizontal="center"/>
    </xf>
    <xf numFmtId="44" fontId="12" fillId="0" borderId="28" xfId="1" applyFont="1" applyFill="1" applyBorder="1"/>
    <xf numFmtId="44" fontId="12" fillId="0" borderId="6" xfId="1" applyFont="1" applyFill="1" applyBorder="1"/>
    <xf numFmtId="44" fontId="9" fillId="0" borderId="1" xfId="1" applyFont="1" applyFill="1" applyBorder="1" applyAlignment="1"/>
    <xf numFmtId="44" fontId="9" fillId="0" borderId="7" xfId="1" applyFont="1" applyFill="1" applyBorder="1" applyAlignment="1"/>
    <xf numFmtId="0" fontId="3" fillId="2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 wrapText="1"/>
    </xf>
    <xf numFmtId="0" fontId="3" fillId="12" borderId="4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166" fontId="9" fillId="0" borderId="20" xfId="1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 shrinkToFit="1"/>
    </xf>
    <xf numFmtId="44" fontId="0" fillId="14" borderId="1" xfId="1" applyFont="1" applyFill="1" applyBorder="1"/>
    <xf numFmtId="44" fontId="0" fillId="14" borderId="1" xfId="0" applyNumberFormat="1" applyFill="1" applyBorder="1" applyAlignment="1">
      <alignment horizontal="center"/>
    </xf>
    <xf numFmtId="166" fontId="9" fillId="14" borderId="20" xfId="1" applyNumberFormat="1" applyFont="1" applyFill="1" applyBorder="1" applyAlignment="1">
      <alignment horizontal="center"/>
    </xf>
    <xf numFmtId="44" fontId="9" fillId="14" borderId="1" xfId="1" applyFont="1" applyFill="1" applyBorder="1" applyAlignment="1"/>
    <xf numFmtId="166" fontId="0" fillId="0" borderId="0" xfId="0" applyNumberFormat="1"/>
    <xf numFmtId="2" fontId="0" fillId="2" borderId="1" xfId="3" applyNumberFormat="1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shrinkToFit="1"/>
    </xf>
    <xf numFmtId="0" fontId="3" fillId="12" borderId="31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0" fillId="14" borderId="21" xfId="0" applyFill="1" applyBorder="1" applyAlignment="1">
      <alignment horizontal="center"/>
    </xf>
    <xf numFmtId="2" fontId="0" fillId="14" borderId="14" xfId="3" applyNumberFormat="1" applyFont="1" applyFill="1" applyBorder="1" applyAlignment="1">
      <alignment horizontal="center"/>
    </xf>
    <xf numFmtId="44" fontId="12" fillId="14" borderId="28" xfId="1" applyFont="1" applyFill="1" applyBorder="1"/>
    <xf numFmtId="44" fontId="9" fillId="14" borderId="7" xfId="1" applyFont="1" applyFill="1" applyBorder="1" applyAlignment="1"/>
    <xf numFmtId="0" fontId="0" fillId="14" borderId="0" xfId="0" applyFill="1" applyAlignment="1">
      <alignment horizontal="center"/>
    </xf>
    <xf numFmtId="0" fontId="19" fillId="0" borderId="0" xfId="0" applyFont="1" applyAlignment="1">
      <alignment horizontal="left"/>
    </xf>
    <xf numFmtId="43" fontId="3" fillId="0" borderId="0" xfId="3" applyFont="1"/>
    <xf numFmtId="0" fontId="20" fillId="3" borderId="0" xfId="0" applyFont="1" applyFill="1" applyAlignment="1">
      <alignment horizontal="right"/>
    </xf>
    <xf numFmtId="0" fontId="21" fillId="3" borderId="0" xfId="0" applyFont="1" applyFill="1"/>
    <xf numFmtId="0" fontId="20" fillId="3" borderId="0" xfId="0" applyFont="1" applyFill="1"/>
    <xf numFmtId="43" fontId="20" fillId="3" borderId="0" xfId="3" applyFont="1" applyFill="1"/>
    <xf numFmtId="0" fontId="7" fillId="16" borderId="0" xfId="0" applyFont="1" applyFill="1" applyAlignment="1">
      <alignment horizontal="left"/>
    </xf>
    <xf numFmtId="0" fontId="0" fillId="16" borderId="0" xfId="0" applyFill="1"/>
    <xf numFmtId="43" fontId="2" fillId="17" borderId="16" xfId="3" applyFont="1" applyFill="1" applyBorder="1"/>
    <xf numFmtId="0" fontId="2" fillId="17" borderId="15" xfId="0" applyFont="1" applyFill="1" applyBorder="1"/>
    <xf numFmtId="43" fontId="2" fillId="17" borderId="15" xfId="3" applyFont="1" applyFill="1" applyBorder="1"/>
    <xf numFmtId="43" fontId="2" fillId="17" borderId="17" xfId="3" applyFont="1" applyFill="1" applyBorder="1"/>
    <xf numFmtId="43" fontId="2" fillId="17" borderId="18" xfId="3" applyFont="1" applyFill="1" applyBorder="1"/>
    <xf numFmtId="0" fontId="0" fillId="18" borderId="0" xfId="0" applyFill="1"/>
    <xf numFmtId="0" fontId="3" fillId="18" borderId="0" xfId="0" applyFont="1" applyFill="1"/>
    <xf numFmtId="0" fontId="0" fillId="16" borderId="0" xfId="0" applyFill="1" applyAlignment="1">
      <alignment horizontal="right"/>
    </xf>
    <xf numFmtId="43" fontId="2" fillId="3" borderId="15" xfId="3" applyFont="1" applyFill="1" applyBorder="1"/>
    <xf numFmtId="0" fontId="2" fillId="3" borderId="15" xfId="0" applyFont="1" applyFill="1" applyBorder="1"/>
    <xf numFmtId="0" fontId="3" fillId="16" borderId="0" xfId="0" applyFont="1" applyFill="1" applyAlignment="1">
      <alignment horizontal="right"/>
    </xf>
    <xf numFmtId="44" fontId="22" fillId="16" borderId="0" xfId="1" applyFont="1" applyFill="1"/>
    <xf numFmtId="44" fontId="3" fillId="16" borderId="0" xfId="1" applyFont="1" applyFill="1"/>
    <xf numFmtId="43" fontId="3" fillId="9" borderId="0" xfId="3" applyFont="1" applyFill="1"/>
    <xf numFmtId="0" fontId="0" fillId="9" borderId="0" xfId="0" applyFill="1"/>
    <xf numFmtId="43" fontId="3" fillId="9" borderId="24" xfId="3" applyFont="1" applyFill="1" applyBorder="1"/>
    <xf numFmtId="43" fontId="3" fillId="9" borderId="0" xfId="3" applyFont="1" applyFill="1" applyBorder="1" applyAlignment="1">
      <alignment horizontal="right"/>
    </xf>
    <xf numFmtId="43" fontId="3" fillId="9" borderId="0" xfId="3" applyFont="1" applyFill="1" applyBorder="1"/>
    <xf numFmtId="43" fontId="3" fillId="9" borderId="25" xfId="3" applyFont="1" applyFill="1" applyBorder="1"/>
    <xf numFmtId="167" fontId="3" fillId="3" borderId="0" xfId="0" applyNumberFormat="1" applyFont="1" applyFill="1"/>
    <xf numFmtId="167" fontId="22" fillId="16" borderId="0" xfId="0" applyNumberFormat="1" applyFont="1" applyFill="1"/>
    <xf numFmtId="167" fontId="3" fillId="16" borderId="0" xfId="0" applyNumberFormat="1" applyFont="1" applyFill="1"/>
    <xf numFmtId="43" fontId="3" fillId="9" borderId="0" xfId="3" applyFont="1" applyFill="1" applyAlignment="1">
      <alignment horizontal="right"/>
    </xf>
    <xf numFmtId="43" fontId="3" fillId="9" borderId="8" xfId="3" applyFont="1" applyFill="1" applyBorder="1"/>
    <xf numFmtId="43" fontId="3" fillId="19" borderId="0" xfId="3" applyFont="1" applyFill="1"/>
    <xf numFmtId="44" fontId="3" fillId="3" borderId="0" xfId="1" applyFont="1" applyFill="1"/>
    <xf numFmtId="43" fontId="3" fillId="2" borderId="8" xfId="3" applyFont="1" applyFill="1" applyBorder="1"/>
    <xf numFmtId="10" fontId="3" fillId="3" borderId="0" xfId="0" applyNumberFormat="1" applyFont="1" applyFill="1"/>
    <xf numFmtId="0" fontId="3" fillId="9" borderId="34" xfId="0" applyFont="1" applyFill="1" applyBorder="1"/>
    <xf numFmtId="43" fontId="3" fillId="9" borderId="39" xfId="3" applyFont="1" applyFill="1" applyBorder="1"/>
    <xf numFmtId="43" fontId="3" fillId="2" borderId="0" xfId="3" applyFont="1" applyFill="1" applyBorder="1"/>
    <xf numFmtId="10" fontId="22" fillId="16" borderId="0" xfId="0" applyNumberFormat="1" applyFont="1" applyFill="1"/>
    <xf numFmtId="10" fontId="3" fillId="16" borderId="0" xfId="0" applyNumberFormat="1" applyFont="1" applyFill="1"/>
    <xf numFmtId="0" fontId="3" fillId="3" borderId="0" xfId="0" applyFont="1" applyFill="1"/>
    <xf numFmtId="0" fontId="22" fillId="16" borderId="0" xfId="0" applyFont="1" applyFill="1" applyAlignment="1">
      <alignment horizontal="center"/>
    </xf>
    <xf numFmtId="0" fontId="3" fillId="16" borderId="0" xfId="0" applyFont="1" applyFill="1"/>
    <xf numFmtId="0" fontId="11" fillId="3" borderId="0" xfId="0" applyFont="1" applyFill="1"/>
    <xf numFmtId="0" fontId="11" fillId="16" borderId="0" xfId="0" applyFont="1" applyFill="1" applyAlignment="1">
      <alignment horizontal="right"/>
    </xf>
    <xf numFmtId="0" fontId="11" fillId="16" borderId="0" xfId="0" applyFont="1" applyFill="1"/>
    <xf numFmtId="0" fontId="3" fillId="2" borderId="1" xfId="0" applyFont="1" applyFill="1" applyBorder="1" applyAlignment="1">
      <alignment horizontal="right"/>
    </xf>
    <xf numFmtId="43" fontId="3" fillId="2" borderId="1" xfId="3" applyFont="1" applyFill="1" applyBorder="1"/>
    <xf numFmtId="43" fontId="3" fillId="9" borderId="26" xfId="3" applyFont="1" applyFill="1" applyBorder="1"/>
    <xf numFmtId="43" fontId="3" fillId="9" borderId="32" xfId="3" applyFont="1" applyFill="1" applyBorder="1"/>
    <xf numFmtId="43" fontId="3" fillId="9" borderId="27" xfId="3" applyFont="1" applyFill="1" applyBorder="1"/>
    <xf numFmtId="0" fontId="3" fillId="2" borderId="34" xfId="0" applyFont="1" applyFill="1" applyBorder="1" applyAlignment="1">
      <alignment horizontal="right"/>
    </xf>
    <xf numFmtId="43" fontId="3" fillId="2" borderId="39" xfId="0" applyNumberFormat="1" applyFont="1" applyFill="1" applyBorder="1"/>
    <xf numFmtId="168" fontId="3" fillId="2" borderId="39" xfId="0" applyNumberFormat="1" applyFont="1" applyFill="1" applyBorder="1"/>
    <xf numFmtId="43" fontId="1" fillId="0" borderId="0" xfId="3" quotePrefix="1" applyFont="1"/>
    <xf numFmtId="0" fontId="0" fillId="0" borderId="0" xfId="0" quotePrefix="1" applyAlignment="1">
      <alignment horizontal="right"/>
    </xf>
    <xf numFmtId="43" fontId="0" fillId="0" borderId="0" xfId="3" applyFont="1" applyAlignment="1">
      <alignment horizontal="right"/>
    </xf>
    <xf numFmtId="43" fontId="0" fillId="0" borderId="0" xfId="3" quotePrefix="1" applyFont="1"/>
    <xf numFmtId="43" fontId="3" fillId="9" borderId="49" xfId="3" applyFont="1" applyFill="1" applyBorder="1"/>
    <xf numFmtId="43" fontId="23" fillId="9" borderId="0" xfId="3" quotePrefix="1" applyFont="1" applyFill="1" applyAlignment="1">
      <alignment horizontal="center" vertical="top"/>
    </xf>
    <xf numFmtId="39" fontId="3" fillId="19" borderId="0" xfId="3" applyNumberFormat="1" applyFont="1" applyFill="1"/>
    <xf numFmtId="0" fontId="3" fillId="9" borderId="1" xfId="0" applyFont="1" applyFill="1" applyBorder="1" applyAlignment="1">
      <alignment horizontal="right"/>
    </xf>
    <xf numFmtId="43" fontId="3" fillId="9" borderId="1" xfId="3" applyFont="1" applyFill="1" applyBorder="1"/>
    <xf numFmtId="43" fontId="3" fillId="2" borderId="39" xfId="3" applyFont="1" applyFill="1" applyBorder="1"/>
    <xf numFmtId="39" fontId="3" fillId="2" borderId="39" xfId="3" applyNumberFormat="1" applyFont="1" applyFill="1" applyBorder="1"/>
    <xf numFmtId="0" fontId="3" fillId="2" borderId="34" xfId="0" applyFont="1" applyFill="1" applyBorder="1"/>
    <xf numFmtId="43" fontId="3" fillId="2" borderId="39" xfId="3" quotePrefix="1" applyFont="1" applyFill="1" applyBorder="1" applyAlignment="1">
      <alignment horizontal="right"/>
    </xf>
    <xf numFmtId="0" fontId="4" fillId="3" borderId="15" xfId="0" applyFont="1" applyFill="1" applyBorder="1"/>
    <xf numFmtId="44" fontId="3" fillId="3" borderId="0" xfId="0" applyNumberFormat="1" applyFont="1" applyFill="1"/>
    <xf numFmtId="0" fontId="25" fillId="16" borderId="0" xfId="0" applyFont="1" applyFill="1"/>
    <xf numFmtId="44" fontId="3" fillId="16" borderId="0" xfId="0" applyNumberFormat="1" applyFont="1" applyFill="1"/>
    <xf numFmtId="169" fontId="11" fillId="3" borderId="0" xfId="0" applyNumberFormat="1" applyFont="1" applyFill="1"/>
    <xf numFmtId="169" fontId="11" fillId="16" borderId="0" xfId="0" applyNumberFormat="1" applyFont="1" applyFill="1"/>
    <xf numFmtId="0" fontId="3" fillId="2" borderId="0" xfId="0" applyFont="1" applyFill="1"/>
    <xf numFmtId="0" fontId="0" fillId="2" borderId="0" xfId="0" applyFill="1"/>
    <xf numFmtId="43" fontId="3" fillId="2" borderId="0" xfId="3" applyFont="1" applyFill="1"/>
    <xf numFmtId="43" fontId="3" fillId="14" borderId="0" xfId="3" applyFont="1" applyFill="1" applyAlignment="1">
      <alignment horizontal="right"/>
    </xf>
    <xf numFmtId="43" fontId="3" fillId="14" borderId="0" xfId="3" applyFont="1" applyFill="1"/>
    <xf numFmtId="0" fontId="3" fillId="16" borderId="0" xfId="0" quotePrefix="1" applyFont="1" applyFill="1" applyAlignment="1">
      <alignment horizontal="right"/>
    </xf>
    <xf numFmtId="43" fontId="0" fillId="2" borderId="0" xfId="0" applyNumberFormat="1" applyFill="1"/>
    <xf numFmtId="43" fontId="3" fillId="0" borderId="0" xfId="3" applyFont="1" applyFill="1"/>
    <xf numFmtId="43" fontId="3" fillId="0" borderId="0" xfId="3" applyFont="1" applyFill="1" applyAlignment="1">
      <alignment horizontal="right" vertical="center"/>
    </xf>
    <xf numFmtId="43" fontId="3" fillId="0" borderId="0" xfId="3" applyFont="1" applyFill="1" applyAlignment="1">
      <alignment horizontal="center" vertical="center"/>
    </xf>
    <xf numFmtId="0" fontId="0" fillId="0" borderId="0" xfId="0" applyAlignment="1">
      <alignment vertical="center"/>
    </xf>
    <xf numFmtId="6" fontId="3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28" fillId="0" borderId="8" xfId="3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2" fontId="3" fillId="2" borderId="8" xfId="3" applyNumberFormat="1" applyFont="1" applyFill="1" applyBorder="1" applyAlignment="1">
      <alignment horizontal="center" vertical="center"/>
    </xf>
    <xf numFmtId="44" fontId="22" fillId="0" borderId="0" xfId="1" applyFont="1" applyFill="1" applyBorder="1"/>
    <xf numFmtId="10" fontId="22" fillId="0" borderId="0" xfId="0" applyNumberFormat="1" applyFont="1"/>
    <xf numFmtId="10" fontId="3" fillId="0" borderId="0" xfId="0" applyNumberFormat="1" applyFont="1"/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4" fontId="22" fillId="0" borderId="0" xfId="1" applyFont="1" applyFill="1" applyBorder="1" applyAlignment="1">
      <alignment horizontal="center"/>
    </xf>
    <xf numFmtId="167" fontId="22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44" fontId="22" fillId="0" borderId="0" xfId="1" applyFont="1" applyFill="1"/>
    <xf numFmtId="44" fontId="3" fillId="0" borderId="0" xfId="1" applyFont="1" applyFill="1"/>
    <xf numFmtId="167" fontId="22" fillId="0" borderId="0" xfId="0" applyNumberFormat="1" applyFont="1"/>
    <xf numFmtId="167" fontId="3" fillId="0" borderId="0" xfId="0" applyNumberFormat="1" applyFont="1"/>
    <xf numFmtId="0" fontId="11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20" fillId="0" borderId="0" xfId="0" applyFont="1"/>
    <xf numFmtId="43" fontId="20" fillId="0" borderId="0" xfId="3" applyFont="1" applyFill="1"/>
    <xf numFmtId="44" fontId="3" fillId="0" borderId="0" xfId="0" applyNumberFormat="1" applyFont="1"/>
    <xf numFmtId="169" fontId="11" fillId="0" borderId="0" xfId="0" applyNumberFormat="1" applyFont="1"/>
    <xf numFmtId="0" fontId="3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5" fillId="0" borderId="0" xfId="0" applyFont="1"/>
    <xf numFmtId="0" fontId="31" fillId="0" borderId="0" xfId="0" applyFont="1" applyAlignment="1">
      <alignment horizontal="left"/>
    </xf>
    <xf numFmtId="0" fontId="32" fillId="0" borderId="0" xfId="0" applyFont="1"/>
    <xf numFmtId="0" fontId="33" fillId="20" borderId="1" xfId="0" applyFont="1" applyFill="1" applyBorder="1" applyAlignment="1">
      <alignment horizontal="center"/>
    </xf>
    <xf numFmtId="0" fontId="34" fillId="20" borderId="33" xfId="0" applyFont="1" applyFill="1" applyBorder="1" applyAlignment="1">
      <alignment horizontal="center"/>
    </xf>
    <xf numFmtId="0" fontId="34" fillId="20" borderId="1" xfId="0" applyFont="1" applyFill="1" applyBorder="1" applyAlignment="1">
      <alignment horizontal="center"/>
    </xf>
    <xf numFmtId="0" fontId="34" fillId="20" borderId="23" xfId="0" applyFont="1" applyFill="1" applyBorder="1" applyAlignment="1">
      <alignment horizontal="center"/>
    </xf>
    <xf numFmtId="0" fontId="33" fillId="21" borderId="3" xfId="0" applyFont="1" applyFill="1" applyBorder="1"/>
    <xf numFmtId="0" fontId="0" fillId="21" borderId="4" xfId="0" applyFill="1" applyBorder="1"/>
    <xf numFmtId="0" fontId="0" fillId="21" borderId="5" xfId="0" applyFill="1" applyBorder="1"/>
    <xf numFmtId="0" fontId="0" fillId="20" borderId="50" xfId="0" applyFill="1" applyBorder="1"/>
    <xf numFmtId="0" fontId="0" fillId="0" borderId="50" xfId="0" applyBorder="1"/>
    <xf numFmtId="0" fontId="0" fillId="0" borderId="48" xfId="0" applyBorder="1"/>
    <xf numFmtId="0" fontId="0" fillId="21" borderId="24" xfId="0" applyFill="1" applyBorder="1"/>
    <xf numFmtId="0" fontId="0" fillId="21" borderId="0" xfId="0" applyFill="1"/>
    <xf numFmtId="0" fontId="0" fillId="21" borderId="25" xfId="0" applyFill="1" applyBorder="1"/>
    <xf numFmtId="0" fontId="33" fillId="22" borderId="15" xfId="0" applyFont="1" applyFill="1" applyBorder="1"/>
    <xf numFmtId="0" fontId="33" fillId="22" borderId="31" xfId="0" applyFont="1" applyFill="1" applyBorder="1"/>
    <xf numFmtId="0" fontId="0" fillId="22" borderId="15" xfId="0" applyFill="1" applyBorder="1"/>
    <xf numFmtId="0" fontId="33" fillId="22" borderId="51" xfId="0" applyFont="1" applyFill="1" applyBorder="1"/>
    <xf numFmtId="44" fontId="0" fillId="21" borderId="25" xfId="1" applyFont="1" applyFill="1" applyBorder="1"/>
    <xf numFmtId="9" fontId="0" fillId="21" borderId="25" xfId="0" applyNumberFormat="1" applyFill="1" applyBorder="1"/>
    <xf numFmtId="0" fontId="35" fillId="0" borderId="50" xfId="0" applyFont="1" applyBorder="1"/>
    <xf numFmtId="0" fontId="0" fillId="0" borderId="48" xfId="0" applyBorder="1" applyAlignment="1">
      <alignment horizontal="right"/>
    </xf>
    <xf numFmtId="170" fontId="0" fillId="0" borderId="50" xfId="0" quotePrefix="1" applyNumberFormat="1" applyBorder="1" applyAlignment="1">
      <alignment horizontal="center"/>
    </xf>
    <xf numFmtId="0" fontId="33" fillId="21" borderId="26" xfId="0" applyFont="1" applyFill="1" applyBorder="1"/>
    <xf numFmtId="0" fontId="33" fillId="21" borderId="32" xfId="0" applyFont="1" applyFill="1" applyBorder="1"/>
    <xf numFmtId="0" fontId="33" fillId="21" borderId="27" xfId="0" applyFont="1" applyFill="1" applyBorder="1" applyAlignment="1">
      <alignment horizontal="center"/>
    </xf>
    <xf numFmtId="171" fontId="0" fillId="21" borderId="0" xfId="3" applyNumberFormat="1" applyFont="1" applyFill="1" applyBorder="1"/>
    <xf numFmtId="172" fontId="0" fillId="21" borderId="25" xfId="0" applyNumberFormat="1" applyFill="1" applyBorder="1"/>
    <xf numFmtId="0" fontId="0" fillId="0" borderId="50" xfId="0" quotePrefix="1" applyBorder="1"/>
    <xf numFmtId="0" fontId="33" fillId="23" borderId="52" xfId="0" applyFont="1" applyFill="1" applyBorder="1" applyAlignment="1">
      <alignment horizontal="center"/>
    </xf>
    <xf numFmtId="169" fontId="33" fillId="23" borderId="37" xfId="0" quotePrefix="1" applyNumberFormat="1" applyFont="1" applyFill="1" applyBorder="1" applyAlignment="1">
      <alignment horizontal="center"/>
    </xf>
    <xf numFmtId="0" fontId="36" fillId="0" borderId="0" xfId="0" applyFont="1"/>
    <xf numFmtId="0" fontId="33" fillId="0" borderId="0" xfId="0" applyFont="1"/>
    <xf numFmtId="0" fontId="33" fillId="22" borderId="0" xfId="0" applyFont="1" applyFill="1"/>
    <xf numFmtId="0" fontId="33" fillId="22" borderId="15" xfId="0" applyFont="1" applyFill="1" applyBorder="1" applyAlignment="1">
      <alignment horizontal="center"/>
    </xf>
    <xf numFmtId="171" fontId="0" fillId="21" borderId="0" xfId="3" applyNumberFormat="1" applyFont="1" applyFill="1" applyBorder="1" applyAlignment="1">
      <alignment horizontal="right"/>
    </xf>
    <xf numFmtId="0" fontId="0" fillId="22" borderId="34" xfId="0" applyFill="1" applyBorder="1"/>
    <xf numFmtId="173" fontId="0" fillId="22" borderId="39" xfId="0" applyNumberFormat="1" applyFill="1" applyBorder="1"/>
    <xf numFmtId="0" fontId="0" fillId="21" borderId="26" xfId="0" applyFill="1" applyBorder="1"/>
    <xf numFmtId="0" fontId="0" fillId="21" borderId="32" xfId="0" applyFill="1" applyBorder="1"/>
    <xf numFmtId="0" fontId="0" fillId="21" borderId="27" xfId="0" applyFill="1" applyBorder="1"/>
    <xf numFmtId="173" fontId="0" fillId="0" borderId="0" xfId="0" applyNumberFormat="1"/>
    <xf numFmtId="0" fontId="33" fillId="21" borderId="34" xfId="0" applyFont="1" applyFill="1" applyBorder="1"/>
    <xf numFmtId="0" fontId="0" fillId="21" borderId="39" xfId="0" applyFill="1" applyBorder="1"/>
    <xf numFmtId="0" fontId="37" fillId="21" borderId="24" xfId="0" quotePrefix="1" applyFont="1" applyFill="1" applyBorder="1"/>
    <xf numFmtId="0" fontId="37" fillId="21" borderId="24" xfId="0" applyFont="1" applyFill="1" applyBorder="1"/>
    <xf numFmtId="2" fontId="33" fillId="22" borderId="39" xfId="0" applyNumberFormat="1" applyFont="1" applyFill="1" applyBorder="1"/>
    <xf numFmtId="0" fontId="0" fillId="0" borderId="32" xfId="0" applyBorder="1"/>
    <xf numFmtId="0" fontId="0" fillId="22" borderId="39" xfId="0" applyFill="1" applyBorder="1"/>
    <xf numFmtId="169" fontId="33" fillId="22" borderId="39" xfId="0" applyNumberFormat="1" applyFont="1" applyFill="1" applyBorder="1"/>
    <xf numFmtId="0" fontId="33" fillId="22" borderId="34" xfId="0" applyFont="1" applyFill="1" applyBorder="1"/>
    <xf numFmtId="10" fontId="0" fillId="0" borderId="0" xfId="0" applyNumberFormat="1"/>
    <xf numFmtId="10" fontId="0" fillId="0" borderId="0" xfId="2" applyNumberFormat="1" applyFont="1"/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170" fontId="0" fillId="0" borderId="0" xfId="3" applyNumberFormat="1" applyFont="1" applyBorder="1"/>
    <xf numFmtId="0" fontId="12" fillId="0" borderId="0" xfId="0" applyFont="1"/>
    <xf numFmtId="170" fontId="12" fillId="0" borderId="1" xfId="3" applyNumberFormat="1" applyFont="1" applyBorder="1" applyAlignment="1">
      <alignment horizontal="center" vertical="center"/>
    </xf>
    <xf numFmtId="0" fontId="12" fillId="0" borderId="53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quotePrefix="1" applyFont="1" applyFill="1" applyBorder="1" applyAlignment="1">
      <alignment horizontal="center"/>
    </xf>
    <xf numFmtId="0" fontId="0" fillId="0" borderId="1" xfId="0" applyBorder="1"/>
    <xf numFmtId="171" fontId="0" fillId="0" borderId="1" xfId="3" applyNumberFormat="1" applyFont="1" applyFill="1" applyBorder="1"/>
    <xf numFmtId="172" fontId="0" fillId="0" borderId="1" xfId="0" applyNumberFormat="1" applyBorder="1"/>
    <xf numFmtId="171" fontId="0" fillId="0" borderId="1" xfId="3" applyNumberFormat="1" applyFont="1" applyFill="1" applyBorder="1" applyAlignment="1">
      <alignment horizontal="right"/>
    </xf>
    <xf numFmtId="44" fontId="0" fillId="0" borderId="0" xfId="1" applyFont="1" applyFill="1" applyBorder="1"/>
    <xf numFmtId="9" fontId="0" fillId="0" borderId="0" xfId="0" applyNumberForma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/>
    </xf>
    <xf numFmtId="0" fontId="33" fillId="24" borderId="23" xfId="0" applyFont="1" applyFill="1" applyBorder="1" applyAlignment="1">
      <alignment horizontal="center"/>
    </xf>
    <xf numFmtId="170" fontId="0" fillId="0" borderId="0" xfId="0" quotePrefix="1" applyNumberFormat="1" applyAlignment="1">
      <alignment horizontal="center"/>
    </xf>
    <xf numFmtId="0" fontId="33" fillId="23" borderId="0" xfId="0" applyFont="1" applyFill="1" applyAlignment="1">
      <alignment horizontal="center"/>
    </xf>
    <xf numFmtId="169" fontId="33" fillId="23" borderId="0" xfId="0" quotePrefix="1" applyNumberFormat="1" applyFont="1" applyFill="1" applyAlignment="1">
      <alignment horizontal="center"/>
    </xf>
    <xf numFmtId="0" fontId="0" fillId="24" borderId="1" xfId="0" applyFill="1" applyBorder="1" applyAlignment="1">
      <alignment horizontal="center"/>
    </xf>
    <xf numFmtId="170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69" fontId="33" fillId="23" borderId="0" xfId="0" quotePrefix="1" applyNumberFormat="1" applyFont="1" applyFill="1" applyAlignment="1">
      <alignment horizontal="left"/>
    </xf>
    <xf numFmtId="0" fontId="33" fillId="2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/>
    <xf numFmtId="0" fontId="34" fillId="0" borderId="0" xfId="0" applyFont="1"/>
    <xf numFmtId="0" fontId="40" fillId="0" borderId="0" xfId="0" applyFont="1"/>
    <xf numFmtId="0" fontId="33" fillId="22" borderId="54" xfId="0" applyFont="1" applyFill="1" applyBorder="1"/>
    <xf numFmtId="0" fontId="33" fillId="22" borderId="54" xfId="0" applyFont="1" applyFill="1" applyBorder="1" applyAlignment="1">
      <alignment horizontal="center" wrapText="1"/>
    </xf>
    <xf numFmtId="0" fontId="33" fillId="22" borderId="55" xfId="0" applyFont="1" applyFill="1" applyBorder="1" applyAlignment="1">
      <alignment horizontal="center" wrapText="1"/>
    </xf>
    <xf numFmtId="174" fontId="0" fillId="0" borderId="0" xfId="0" applyNumberFormat="1" applyAlignment="1">
      <alignment horizontal="center"/>
    </xf>
    <xf numFmtId="44" fontId="0" fillId="0" borderId="50" xfId="0" applyNumberFormat="1" applyBorder="1"/>
    <xf numFmtId="44" fontId="0" fillId="0" borderId="15" xfId="1" applyFont="1" applyBorder="1"/>
    <xf numFmtId="44" fontId="0" fillId="0" borderId="56" xfId="0" applyNumberFormat="1" applyBorder="1"/>
    <xf numFmtId="12" fontId="33" fillId="0" borderId="55" xfId="0" applyNumberFormat="1" applyFont="1" applyBorder="1" applyAlignment="1">
      <alignment horizontal="center"/>
    </xf>
    <xf numFmtId="44" fontId="0" fillId="0" borderId="55" xfId="0" applyNumberFormat="1" applyBorder="1"/>
    <xf numFmtId="9" fontId="10" fillId="0" borderId="0" xfId="0" applyNumberFormat="1" applyFont="1"/>
    <xf numFmtId="12" fontId="0" fillId="0" borderId="0" xfId="0" applyNumberFormat="1"/>
    <xf numFmtId="0" fontId="33" fillId="2" borderId="34" xfId="0" applyFont="1" applyFill="1" applyBorder="1"/>
    <xf numFmtId="44" fontId="33" fillId="2" borderId="39" xfId="0" applyNumberFormat="1" applyFont="1" applyFill="1" applyBorder="1"/>
    <xf numFmtId="0" fontId="33" fillId="23" borderId="34" xfId="0" applyFont="1" applyFill="1" applyBorder="1"/>
    <xf numFmtId="44" fontId="33" fillId="23" borderId="39" xfId="0" applyNumberFormat="1" applyFont="1" applyFill="1" applyBorder="1"/>
    <xf numFmtId="175" fontId="33" fillId="0" borderId="0" xfId="0" applyNumberFormat="1" applyFont="1"/>
    <xf numFmtId="0" fontId="0" fillId="0" borderId="3" xfId="0" applyBorder="1"/>
    <xf numFmtId="174" fontId="10" fillId="0" borderId="4" xfId="0" applyNumberFormat="1" applyFont="1" applyBorder="1"/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right"/>
    </xf>
    <xf numFmtId="44" fontId="35" fillId="0" borderId="4" xfId="1" applyFont="1" applyBorder="1"/>
    <xf numFmtId="0" fontId="0" fillId="0" borderId="24" xfId="0" applyBorder="1"/>
    <xf numFmtId="0" fontId="0" fillId="0" borderId="25" xfId="0" applyBorder="1"/>
    <xf numFmtId="174" fontId="0" fillId="0" borderId="0" xfId="0" applyNumberFormat="1"/>
    <xf numFmtId="0" fontId="33" fillId="22" borderId="24" xfId="0" applyFont="1" applyFill="1" applyBorder="1" applyAlignment="1">
      <alignment horizontal="center"/>
    </xf>
    <xf numFmtId="0" fontId="33" fillId="22" borderId="25" xfId="0" applyFont="1" applyFill="1" applyBorder="1" applyAlignment="1">
      <alignment horizontal="center"/>
    </xf>
    <xf numFmtId="0" fontId="33" fillId="22" borderId="44" xfId="0" applyFont="1" applyFill="1" applyBorder="1" applyAlignment="1">
      <alignment horizontal="left"/>
    </xf>
    <xf numFmtId="44" fontId="33" fillId="22" borderId="15" xfId="0" applyNumberFormat="1" applyFont="1" applyFill="1" applyBorder="1" applyAlignment="1">
      <alignment horizontal="center"/>
    </xf>
    <xf numFmtId="44" fontId="33" fillId="22" borderId="45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25" xfId="1" applyFont="1" applyBorder="1"/>
    <xf numFmtId="44" fontId="0" fillId="0" borderId="15" xfId="0" applyNumberFormat="1" applyBorder="1"/>
    <xf numFmtId="44" fontId="0" fillId="0" borderId="45" xfId="1" applyFont="1" applyBorder="1"/>
    <xf numFmtId="12" fontId="0" fillId="0" borderId="54" xfId="0" applyNumberFormat="1" applyBorder="1"/>
    <xf numFmtId="44" fontId="33" fillId="22" borderId="54" xfId="0" applyNumberFormat="1" applyFont="1" applyFill="1" applyBorder="1"/>
    <xf numFmtId="44" fontId="33" fillId="22" borderId="57" xfId="0" applyNumberFormat="1" applyFont="1" applyFill="1" applyBorder="1"/>
    <xf numFmtId="0" fontId="36" fillId="22" borderId="3" xfId="0" applyFont="1" applyFill="1" applyBorder="1" applyAlignment="1">
      <alignment horizontal="centerContinuous" vertical="center"/>
    </xf>
    <xf numFmtId="0" fontId="33" fillId="22" borderId="5" xfId="0" applyFont="1" applyFill="1" applyBorder="1" applyAlignment="1">
      <alignment horizontal="centerContinuous" vertical="center"/>
    </xf>
    <xf numFmtId="0" fontId="33" fillId="22" borderId="26" xfId="0" applyFont="1" applyFill="1" applyBorder="1" applyAlignment="1">
      <alignment horizontal="centerContinuous" vertical="center"/>
    </xf>
    <xf numFmtId="0" fontId="33" fillId="22" borderId="27" xfId="0" applyFont="1" applyFill="1" applyBorder="1" applyAlignment="1">
      <alignment horizontal="centerContinuous" vertical="center"/>
    </xf>
    <xf numFmtId="44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4" xfId="0" applyBorder="1" applyAlignment="1">
      <alignment horizontal="right"/>
    </xf>
    <xf numFmtId="0" fontId="33" fillId="0" borderId="24" xfId="0" applyFont="1" applyBorder="1" applyAlignment="1">
      <alignment horizontal="right"/>
    </xf>
    <xf numFmtId="12" fontId="33" fillId="22" borderId="54" xfId="0" applyNumberFormat="1" applyFont="1" applyFill="1" applyBorder="1" applyAlignment="1">
      <alignment horizontal="center"/>
    </xf>
    <xf numFmtId="0" fontId="33" fillId="0" borderId="24" xfId="0" applyFont="1" applyBorder="1" applyAlignment="1">
      <alignment horizontal="left"/>
    </xf>
    <xf numFmtId="0" fontId="0" fillId="0" borderId="24" xfId="0" applyBorder="1" applyAlignment="1">
      <alignment wrapText="1"/>
    </xf>
    <xf numFmtId="0" fontId="41" fillId="0" borderId="0" xfId="0" applyFont="1"/>
    <xf numFmtId="0" fontId="10" fillId="0" borderId="0" xfId="0" applyFont="1" applyAlignment="1">
      <alignment horizontal="left"/>
    </xf>
    <xf numFmtId="44" fontId="3" fillId="0" borderId="0" xfId="1" applyFont="1"/>
    <xf numFmtId="9" fontId="33" fillId="0" borderId="0" xfId="0" applyNumberFormat="1" applyFont="1"/>
    <xf numFmtId="12" fontId="3" fillId="0" borderId="0" xfId="0" applyNumberFormat="1" applyFont="1"/>
    <xf numFmtId="10" fontId="3" fillId="0" borderId="0" xfId="2" applyNumberFormat="1" applyFont="1"/>
    <xf numFmtId="44" fontId="3" fillId="0" borderId="0" xfId="1" applyFont="1" applyAlignment="1">
      <alignment horizontal="right"/>
    </xf>
    <xf numFmtId="9" fontId="3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12" fontId="3" fillId="0" borderId="0" xfId="0" applyNumberFormat="1" applyFont="1" applyAlignment="1">
      <alignment horizontal="right"/>
    </xf>
    <xf numFmtId="44" fontId="33" fillId="2" borderId="39" xfId="0" applyNumberFormat="1" applyFont="1" applyFill="1" applyBorder="1" applyAlignment="1">
      <alignment horizontal="right"/>
    </xf>
    <xf numFmtId="44" fontId="33" fillId="23" borderId="39" xfId="0" applyNumberFormat="1" applyFont="1" applyFill="1" applyBorder="1" applyAlignment="1">
      <alignment horizontal="right"/>
    </xf>
    <xf numFmtId="10" fontId="3" fillId="0" borderId="0" xfId="2" applyNumberFormat="1" applyFont="1" applyAlignment="1">
      <alignment horizontal="right"/>
    </xf>
    <xf numFmtId="0" fontId="3" fillId="2" borderId="40" xfId="0" applyFont="1" applyFill="1" applyBorder="1"/>
    <xf numFmtId="0" fontId="33" fillId="22" borderId="15" xfId="0" applyFont="1" applyFill="1" applyBorder="1" applyAlignment="1">
      <alignment horizontal="left"/>
    </xf>
    <xf numFmtId="0" fontId="33" fillId="22" borderId="0" xfId="0" applyFont="1" applyFill="1" applyAlignment="1">
      <alignment horizontal="center" vertical="center"/>
    </xf>
    <xf numFmtId="166" fontId="33" fillId="22" borderId="15" xfId="0" applyNumberFormat="1" applyFont="1" applyFill="1" applyBorder="1" applyAlignment="1">
      <alignment horizontal="center" vertical="center"/>
    </xf>
    <xf numFmtId="44" fontId="10" fillId="0" borderId="0" xfId="1" applyFont="1" applyBorder="1"/>
    <xf numFmtId="12" fontId="9" fillId="0" borderId="0" xfId="0" applyNumberFormat="1" applyFont="1"/>
    <xf numFmtId="165" fontId="9" fillId="0" borderId="0" xfId="2" applyNumberFormat="1" applyFont="1" applyBorder="1"/>
    <xf numFmtId="171" fontId="10" fillId="0" borderId="0" xfId="3" applyNumberFormat="1" applyFont="1" applyFill="1" applyBorder="1"/>
    <xf numFmtId="44" fontId="33" fillId="0" borderId="0" xfId="1" applyFont="1" applyBorder="1"/>
    <xf numFmtId="44" fontId="0" fillId="4" borderId="1" xfId="1" applyFont="1" applyFill="1" applyBorder="1"/>
    <xf numFmtId="44" fontId="0" fillId="4" borderId="1" xfId="0" applyNumberFormat="1" applyFill="1" applyBorder="1"/>
    <xf numFmtId="44" fontId="9" fillId="4" borderId="1" xfId="1" applyFont="1" applyFill="1" applyBorder="1" applyAlignment="1">
      <alignment horizontal="center"/>
    </xf>
    <xf numFmtId="165" fontId="9" fillId="4" borderId="1" xfId="2" applyNumberFormat="1" applyFont="1" applyFill="1" applyBorder="1" applyAlignment="1">
      <alignment horizontal="center"/>
    </xf>
    <xf numFmtId="44" fontId="18" fillId="4" borderId="6" xfId="1" applyFont="1" applyFill="1" applyBorder="1"/>
    <xf numFmtId="44" fontId="3" fillId="4" borderId="1" xfId="1" applyFont="1" applyFill="1" applyBorder="1"/>
    <xf numFmtId="44" fontId="3" fillId="4" borderId="1" xfId="0" applyNumberFormat="1" applyFont="1" applyFill="1" applyBorder="1" applyAlignment="1">
      <alignment horizontal="center"/>
    </xf>
    <xf numFmtId="44" fontId="3" fillId="4" borderId="7" xfId="0" applyNumberFormat="1" applyFont="1" applyFill="1" applyBorder="1" applyAlignment="1">
      <alignment horizontal="center"/>
    </xf>
    <xf numFmtId="0" fontId="3" fillId="4" borderId="0" xfId="0" applyFont="1" applyFill="1"/>
    <xf numFmtId="166" fontId="11" fillId="4" borderId="20" xfId="1" applyNumberFormat="1" applyFont="1" applyFill="1" applyBorder="1" applyAlignment="1">
      <alignment horizontal="center"/>
    </xf>
    <xf numFmtId="44" fontId="11" fillId="4" borderId="1" xfId="1" applyFont="1" applyFill="1" applyBorder="1" applyAlignment="1"/>
    <xf numFmtId="44" fontId="12" fillId="4" borderId="6" xfId="1" applyFont="1" applyFill="1" applyBorder="1"/>
    <xf numFmtId="44" fontId="12" fillId="4" borderId="28" xfId="1" applyFont="1" applyFill="1" applyBorder="1"/>
    <xf numFmtId="44" fontId="0" fillId="4" borderId="1" xfId="0" applyNumberFormat="1" applyFill="1" applyBorder="1" applyAlignment="1">
      <alignment horizontal="center"/>
    </xf>
    <xf numFmtId="166" fontId="9" fillId="4" borderId="20" xfId="1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4" fontId="9" fillId="4" borderId="1" xfId="1" applyFont="1" applyFill="1" applyBorder="1" applyAlignment="1"/>
    <xf numFmtId="44" fontId="9" fillId="4" borderId="7" xfId="1" applyFont="1" applyFill="1" applyBorder="1" applyAlignment="1"/>
    <xf numFmtId="166" fontId="3" fillId="0" borderId="21" xfId="0" applyNumberFormat="1" applyFont="1" applyBorder="1" applyAlignment="1">
      <alignment horizontal="center"/>
    </xf>
    <xf numFmtId="10" fontId="3" fillId="9" borderId="0" xfId="3" applyNumberFormat="1" applyFont="1" applyFill="1"/>
    <xf numFmtId="2" fontId="0" fillId="0" borderId="0" xfId="0" applyNumberFormat="1"/>
    <xf numFmtId="2" fontId="0" fillId="25" borderId="6" xfId="3" applyNumberFormat="1" applyFont="1" applyFill="1" applyBorder="1" applyAlignment="1">
      <alignment horizontal="center"/>
    </xf>
    <xf numFmtId="2" fontId="0" fillId="25" borderId="1" xfId="3" applyNumberFormat="1" applyFont="1" applyFill="1" applyBorder="1" applyAlignment="1">
      <alignment horizontal="center"/>
    </xf>
    <xf numFmtId="2" fontId="0" fillId="25" borderId="7" xfId="3" applyNumberFormat="1" applyFont="1" applyFill="1" applyBorder="1" applyAlignment="1">
      <alignment horizontal="center"/>
    </xf>
    <xf numFmtId="43" fontId="0" fillId="0" borderId="0" xfId="3" applyFont="1"/>
    <xf numFmtId="43" fontId="0" fillId="0" borderId="0" xfId="0" applyNumberFormat="1"/>
    <xf numFmtId="10" fontId="0" fillId="0" borderId="0" xfId="2" applyNumberFormat="1" applyFont="1" applyAlignment="1">
      <alignment horizontal="center"/>
    </xf>
    <xf numFmtId="0" fontId="5" fillId="0" borderId="0" xfId="0" applyFont="1"/>
    <xf numFmtId="0" fontId="10" fillId="0" borderId="0" xfId="4"/>
    <xf numFmtId="0" fontId="42" fillId="0" borderId="0" xfId="4" applyFont="1"/>
    <xf numFmtId="0" fontId="43" fillId="6" borderId="19" xfId="4" applyFont="1" applyFill="1" applyBorder="1" applyAlignment="1">
      <alignment horizontal="center"/>
    </xf>
    <xf numFmtId="0" fontId="10" fillId="0" borderId="5" xfId="4" applyBorder="1" applyAlignment="1">
      <alignment horizontal="center"/>
    </xf>
    <xf numFmtId="0" fontId="33" fillId="6" borderId="38" xfId="4" applyFont="1" applyFill="1" applyBorder="1"/>
    <xf numFmtId="0" fontId="10" fillId="0" borderId="21" xfId="4" applyBorder="1" applyAlignment="1">
      <alignment horizontal="center"/>
    </xf>
    <xf numFmtId="176" fontId="43" fillId="6" borderId="41" xfId="5" applyFill="1" applyBorder="1" applyAlignment="1">
      <alignment horizontal="center"/>
    </xf>
    <xf numFmtId="2" fontId="0" fillId="0" borderId="25" xfId="6" applyNumberFormat="1" applyFont="1" applyBorder="1" applyAlignment="1">
      <alignment horizontal="center"/>
    </xf>
    <xf numFmtId="2" fontId="42" fillId="0" borderId="0" xfId="4" applyNumberFormat="1" applyFont="1"/>
    <xf numFmtId="165" fontId="0" fillId="0" borderId="25" xfId="6" applyNumberFormat="1" applyFont="1" applyBorder="1" applyAlignment="1">
      <alignment horizontal="center"/>
    </xf>
    <xf numFmtId="0" fontId="10" fillId="0" borderId="41" xfId="4" applyBorder="1" applyAlignment="1">
      <alignment horizontal="center"/>
    </xf>
    <xf numFmtId="10" fontId="42" fillId="0" borderId="0" xfId="4" applyNumberFormat="1" applyFont="1"/>
    <xf numFmtId="176" fontId="43" fillId="26" borderId="3" xfId="5" applyFill="1" applyBorder="1" applyAlignment="1">
      <alignment horizontal="center"/>
    </xf>
    <xf numFmtId="173" fontId="10" fillId="0" borderId="19" xfId="4" applyNumberFormat="1" applyBorder="1" applyAlignment="1">
      <alignment horizontal="center"/>
    </xf>
    <xf numFmtId="0" fontId="10" fillId="0" borderId="0" xfId="4" applyAlignment="1">
      <alignment horizontal="right"/>
    </xf>
    <xf numFmtId="176" fontId="43" fillId="26" borderId="24" xfId="5" applyFill="1" applyBorder="1" applyAlignment="1">
      <alignment horizontal="center"/>
    </xf>
    <xf numFmtId="173" fontId="10" fillId="0" borderId="41" xfId="4" applyNumberFormat="1" applyBorder="1" applyAlignment="1">
      <alignment horizontal="center"/>
    </xf>
    <xf numFmtId="10" fontId="10" fillId="0" borderId="41" xfId="6" applyNumberFormat="1" applyBorder="1" applyAlignment="1">
      <alignment horizontal="center"/>
    </xf>
    <xf numFmtId="0" fontId="10" fillId="26" borderId="26" xfId="4" applyFill="1" applyBorder="1" applyAlignment="1">
      <alignment horizontal="center"/>
    </xf>
    <xf numFmtId="10" fontId="10" fillId="0" borderId="49" xfId="6" applyNumberFormat="1" applyBorder="1" applyAlignment="1">
      <alignment horizontal="center"/>
    </xf>
    <xf numFmtId="1" fontId="43" fillId="0" borderId="0" xfId="5" applyNumberFormat="1"/>
    <xf numFmtId="177" fontId="10" fillId="0" borderId="0" xfId="4" applyNumberFormat="1" applyAlignment="1">
      <alignment horizontal="center"/>
    </xf>
    <xf numFmtId="177" fontId="10" fillId="0" borderId="60" xfId="4" applyNumberFormat="1" applyBorder="1" applyAlignment="1">
      <alignment horizontal="center"/>
    </xf>
    <xf numFmtId="177" fontId="10" fillId="0" borderId="61" xfId="4" applyNumberFormat="1" applyBorder="1" applyAlignment="1">
      <alignment horizontal="center"/>
    </xf>
    <xf numFmtId="2" fontId="10" fillId="0" borderId="62" xfId="4" applyNumberFormat="1" applyBorder="1" applyAlignment="1">
      <alignment horizontal="center"/>
    </xf>
    <xf numFmtId="2" fontId="10" fillId="0" borderId="0" xfId="4" applyNumberFormat="1" applyAlignment="1">
      <alignment horizontal="center"/>
    </xf>
    <xf numFmtId="2" fontId="10" fillId="0" borderId="63" xfId="4" applyNumberFormat="1" applyBorder="1" applyAlignment="1">
      <alignment horizontal="center"/>
    </xf>
    <xf numFmtId="177" fontId="33" fillId="0" borderId="0" xfId="4" applyNumberFormat="1" applyFont="1" applyAlignment="1">
      <alignment horizontal="center"/>
    </xf>
    <xf numFmtId="177" fontId="10" fillId="0" borderId="62" xfId="4" applyNumberFormat="1" applyBorder="1" applyAlignment="1">
      <alignment horizontal="center"/>
    </xf>
    <xf numFmtId="177" fontId="10" fillId="0" borderId="63" xfId="4" applyNumberFormat="1" applyBorder="1" applyAlignment="1">
      <alignment horizontal="center"/>
    </xf>
    <xf numFmtId="177" fontId="33" fillId="0" borderId="64" xfId="4" applyNumberFormat="1" applyFont="1" applyBorder="1" applyAlignment="1">
      <alignment horizontal="center"/>
    </xf>
    <xf numFmtId="177" fontId="33" fillId="0" borderId="65" xfId="4" applyNumberFormat="1" applyFont="1" applyBorder="1" applyAlignment="1">
      <alignment horizontal="center"/>
    </xf>
    <xf numFmtId="177" fontId="33" fillId="0" borderId="66" xfId="4" applyNumberFormat="1" applyFont="1" applyBorder="1" applyAlignment="1">
      <alignment horizontal="center"/>
    </xf>
    <xf numFmtId="177" fontId="10" fillId="28" borderId="0" xfId="4" applyNumberFormat="1" applyFill="1" applyAlignment="1">
      <alignment horizontal="center"/>
    </xf>
    <xf numFmtId="170" fontId="10" fillId="0" borderId="62" xfId="4" applyNumberFormat="1" applyBorder="1" applyAlignment="1">
      <alignment horizontal="center"/>
    </xf>
    <xf numFmtId="170" fontId="10" fillId="0" borderId="0" xfId="4" applyNumberFormat="1" applyAlignment="1">
      <alignment horizontal="center"/>
    </xf>
    <xf numFmtId="170" fontId="10" fillId="0" borderId="63" xfId="4" applyNumberFormat="1" applyBorder="1" applyAlignment="1">
      <alignment horizontal="center"/>
    </xf>
    <xf numFmtId="0" fontId="10" fillId="6" borderId="34" xfId="4" applyFill="1" applyBorder="1"/>
    <xf numFmtId="0" fontId="10" fillId="0" borderId="8" xfId="4" applyBorder="1" applyAlignment="1">
      <alignment horizontal="center"/>
    </xf>
    <xf numFmtId="0" fontId="10" fillId="6" borderId="3" xfId="4" applyFill="1" applyBorder="1"/>
    <xf numFmtId="0" fontId="10" fillId="0" borderId="19" xfId="4" applyBorder="1" applyAlignment="1">
      <alignment horizontal="center"/>
    </xf>
    <xf numFmtId="0" fontId="10" fillId="6" borderId="24" xfId="4" applyFill="1" applyBorder="1"/>
    <xf numFmtId="0" fontId="10" fillId="6" borderId="26" xfId="4" applyFill="1" applyBorder="1"/>
    <xf numFmtId="0" fontId="10" fillId="0" borderId="49" xfId="4" applyBorder="1"/>
    <xf numFmtId="10" fontId="0" fillId="0" borderId="25" xfId="6" applyNumberFormat="1" applyFont="1" applyBorder="1" applyAlignment="1">
      <alignment horizontal="center"/>
    </xf>
    <xf numFmtId="176" fontId="43" fillId="6" borderId="49" xfId="5" applyFill="1" applyBorder="1" applyAlignment="1">
      <alignment horizontal="center"/>
    </xf>
    <xf numFmtId="10" fontId="0" fillId="0" borderId="49" xfId="6" applyNumberFormat="1" applyFont="1" applyBorder="1" applyAlignment="1">
      <alignment horizontal="center"/>
    </xf>
    <xf numFmtId="0" fontId="43" fillId="0" borderId="0" xfId="7"/>
    <xf numFmtId="0" fontId="33" fillId="6" borderId="3" xfId="4" applyFont="1" applyFill="1" applyBorder="1"/>
    <xf numFmtId="0" fontId="33" fillId="6" borderId="26" xfId="4" applyFont="1" applyFill="1" applyBorder="1"/>
    <xf numFmtId="0" fontId="10" fillId="0" borderId="49" xfId="4" applyBorder="1" applyAlignment="1">
      <alignment horizontal="center"/>
    </xf>
    <xf numFmtId="0" fontId="42" fillId="0" borderId="0" xfId="7" applyFont="1"/>
    <xf numFmtId="0" fontId="43" fillId="0" borderId="0" xfId="7" applyAlignment="1">
      <alignment horizontal="right"/>
    </xf>
    <xf numFmtId="2" fontId="43" fillId="0" borderId="0" xfId="7" applyNumberFormat="1"/>
    <xf numFmtId="2" fontId="42" fillId="0" borderId="0" xfId="7" applyNumberFormat="1" applyFont="1"/>
    <xf numFmtId="0" fontId="42" fillId="0" borderId="0" xfId="7" quotePrefix="1" applyFont="1" applyAlignment="1">
      <alignment horizontal="left"/>
    </xf>
    <xf numFmtId="2" fontId="43" fillId="0" borderId="0" xfId="7" applyNumberFormat="1" applyAlignment="1">
      <alignment horizontal="right"/>
    </xf>
    <xf numFmtId="0" fontId="45" fillId="0" borderId="5" xfId="4" applyFont="1" applyBorder="1" applyAlignment="1">
      <alignment horizontal="center"/>
    </xf>
    <xf numFmtId="2" fontId="46" fillId="0" borderId="25" xfId="6" applyNumberFormat="1" applyFont="1" applyBorder="1" applyAlignment="1">
      <alignment horizontal="center"/>
    </xf>
    <xf numFmtId="0" fontId="45" fillId="0" borderId="49" xfId="4" applyFont="1" applyBorder="1" applyAlignment="1">
      <alignment horizontal="center"/>
    </xf>
    <xf numFmtId="165" fontId="46" fillId="0" borderId="25" xfId="6" applyNumberFormat="1" applyFont="1" applyBorder="1" applyAlignment="1">
      <alignment horizontal="center"/>
    </xf>
    <xf numFmtId="0" fontId="47" fillId="0" borderId="41" xfId="4" applyFont="1" applyBorder="1" applyAlignment="1">
      <alignment horizontal="center"/>
    </xf>
    <xf numFmtId="10" fontId="48" fillId="0" borderId="25" xfId="6" applyNumberFormat="1" applyFont="1" applyBorder="1" applyAlignment="1">
      <alignment horizontal="center"/>
    </xf>
    <xf numFmtId="10" fontId="46" fillId="0" borderId="49" xfId="6" applyNumberFormat="1" applyFont="1" applyBorder="1" applyAlignment="1">
      <alignment horizontal="center"/>
    </xf>
    <xf numFmtId="170" fontId="43" fillId="0" borderId="0" xfId="7" applyNumberFormat="1"/>
    <xf numFmtId="0" fontId="0" fillId="0" borderId="0" xfId="0" applyAlignment="1">
      <alignment horizontal="center" vertical="center"/>
    </xf>
    <xf numFmtId="0" fontId="30" fillId="0" borderId="0" xfId="0" applyFont="1"/>
    <xf numFmtId="0" fontId="0" fillId="0" borderId="15" xfId="0" applyBorder="1"/>
    <xf numFmtId="0" fontId="0" fillId="0" borderId="33" xfId="0" applyBorder="1"/>
    <xf numFmtId="0" fontId="49" fillId="10" borderId="19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43" fontId="15" fillId="3" borderId="0" xfId="3" applyFont="1" applyFill="1" applyAlignment="1">
      <alignment vertical="center"/>
    </xf>
    <xf numFmtId="10" fontId="15" fillId="3" borderId="0" xfId="2" applyNumberFormat="1" applyFont="1" applyFill="1" applyAlignment="1">
      <alignment horizontal="center" vertical="center"/>
    </xf>
    <xf numFmtId="0" fontId="0" fillId="0" borderId="15" xfId="0" applyBorder="1" applyAlignment="1">
      <alignment horizontal="right"/>
    </xf>
    <xf numFmtId="0" fontId="2" fillId="3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3" applyFont="1" applyFill="1" applyBorder="1" applyAlignment="1">
      <alignment horizontal="center" vertical="center"/>
    </xf>
    <xf numFmtId="10" fontId="3" fillId="2" borderId="15" xfId="2" applyNumberFormat="1" applyFont="1" applyFill="1" applyBorder="1" applyAlignment="1">
      <alignment horizontal="center" vertical="center"/>
    </xf>
    <xf numFmtId="10" fontId="3" fillId="2" borderId="15" xfId="2" applyNumberFormat="1" applyFont="1" applyFill="1" applyBorder="1" applyAlignment="1">
      <alignment horizontal="center" vertical="center" wrapText="1"/>
    </xf>
    <xf numFmtId="16" fontId="16" fillId="0" borderId="0" xfId="0" applyNumberFormat="1" applyFont="1"/>
    <xf numFmtId="0" fontId="16" fillId="0" borderId="0" xfId="0" applyFont="1"/>
    <xf numFmtId="171" fontId="0" fillId="0" borderId="15" xfId="3" applyNumberFormat="1" applyFont="1" applyBorder="1" applyAlignment="1">
      <alignment horizontal="center"/>
    </xf>
    <xf numFmtId="171" fontId="0" fillId="0" borderId="0" xfId="3" applyNumberFormat="1" applyFont="1"/>
    <xf numFmtId="171" fontId="0" fillId="0" borderId="33" xfId="3" applyNumberFormat="1" applyFont="1" applyBorder="1" applyAlignment="1">
      <alignment horizontal="center"/>
    </xf>
    <xf numFmtId="171" fontId="0" fillId="0" borderId="33" xfId="3" applyNumberFormat="1" applyFont="1" applyBorder="1" applyAlignment="1">
      <alignment horizontal="center" vertical="center"/>
    </xf>
    <xf numFmtId="43" fontId="0" fillId="0" borderId="15" xfId="3" applyFont="1" applyBorder="1"/>
    <xf numFmtId="43" fontId="0" fillId="0" borderId="33" xfId="3" applyFont="1" applyBorder="1"/>
    <xf numFmtId="43" fontId="0" fillId="0" borderId="33" xfId="3" applyFont="1" applyBorder="1" applyAlignment="1">
      <alignment vertical="center"/>
    </xf>
    <xf numFmtId="0" fontId="4" fillId="0" borderId="0" xfId="0" applyFont="1"/>
    <xf numFmtId="43" fontId="4" fillId="0" borderId="0" xfId="0" applyNumberFormat="1" applyFont="1"/>
    <xf numFmtId="0" fontId="4" fillId="0" borderId="53" xfId="0" applyFont="1" applyBorder="1"/>
    <xf numFmtId="43" fontId="4" fillId="0" borderId="53" xfId="0" applyNumberFormat="1" applyFont="1" applyBorder="1"/>
    <xf numFmtId="10" fontId="4" fillId="0" borderId="0" xfId="2" applyNumberFormat="1" applyFont="1" applyAlignment="1">
      <alignment horizontal="center"/>
    </xf>
    <xf numFmtId="43" fontId="4" fillId="0" borderId="53" xfId="3" applyFont="1" applyBorder="1"/>
    <xf numFmtId="10" fontId="4" fillId="0" borderId="53" xfId="2" applyNumberFormat="1" applyFont="1" applyBorder="1" applyAlignment="1">
      <alignment horizontal="center"/>
    </xf>
    <xf numFmtId="43" fontId="9" fillId="0" borderId="15" xfId="3" applyFont="1" applyBorder="1"/>
    <xf numFmtId="165" fontId="9" fillId="0" borderId="15" xfId="2" applyNumberFormat="1" applyFont="1" applyBorder="1" applyAlignment="1">
      <alignment horizontal="center"/>
    </xf>
    <xf numFmtId="171" fontId="9" fillId="0" borderId="15" xfId="3" applyNumberFormat="1" applyFont="1" applyBorder="1"/>
    <xf numFmtId="43" fontId="9" fillId="0" borderId="33" xfId="3" applyFont="1" applyBorder="1"/>
    <xf numFmtId="165" fontId="9" fillId="0" borderId="33" xfId="2" applyNumberFormat="1" applyFont="1" applyBorder="1" applyAlignment="1">
      <alignment horizontal="center"/>
    </xf>
    <xf numFmtId="43" fontId="9" fillId="0" borderId="33" xfId="3" applyFont="1" applyBorder="1" applyAlignment="1">
      <alignment vertical="center"/>
    </xf>
    <xf numFmtId="43" fontId="9" fillId="0" borderId="33" xfId="3" quotePrefix="1" applyFont="1" applyBorder="1" applyAlignment="1">
      <alignment vertical="center" shrinkToFit="1"/>
    </xf>
    <xf numFmtId="165" fontId="9" fillId="0" borderId="33" xfId="2" applyNumberFormat="1" applyFont="1" applyBorder="1" applyAlignment="1">
      <alignment horizontal="center" vertical="center"/>
    </xf>
    <xf numFmtId="171" fontId="9" fillId="0" borderId="33" xfId="3" applyNumberFormat="1" applyFont="1" applyBorder="1" applyAlignment="1">
      <alignment vertical="center"/>
    </xf>
    <xf numFmtId="0" fontId="52" fillId="0" borderId="0" xfId="0" applyFont="1"/>
    <xf numFmtId="0" fontId="9" fillId="0" borderId="0" xfId="0" applyFont="1"/>
    <xf numFmtId="43" fontId="9" fillId="0" borderId="0" xfId="0" applyNumberFormat="1" applyFont="1"/>
    <xf numFmtId="165" fontId="9" fillId="0" borderId="0" xfId="2" applyNumberFormat="1" applyFont="1"/>
    <xf numFmtId="0" fontId="9" fillId="0" borderId="53" xfId="0" applyFont="1" applyBorder="1"/>
    <xf numFmtId="0" fontId="11" fillId="0" borderId="53" xfId="0" applyFont="1" applyBorder="1"/>
    <xf numFmtId="43" fontId="9" fillId="0" borderId="53" xfId="0" applyNumberFormat="1" applyFont="1" applyBorder="1"/>
    <xf numFmtId="10" fontId="9" fillId="0" borderId="0" xfId="2" applyNumberFormat="1" applyFont="1"/>
    <xf numFmtId="43" fontId="9" fillId="0" borderId="0" xfId="3" applyFont="1"/>
    <xf numFmtId="10" fontId="9" fillId="0" borderId="0" xfId="2" applyNumberFormat="1" applyFont="1" applyAlignment="1">
      <alignment horizontal="center"/>
    </xf>
    <xf numFmtId="43" fontId="9" fillId="0" borderId="53" xfId="3" applyFont="1" applyBorder="1"/>
    <xf numFmtId="0" fontId="9" fillId="0" borderId="0" xfId="0" applyFont="1" applyAlignment="1">
      <alignment horizontal="center"/>
    </xf>
    <xf numFmtId="0" fontId="9" fillId="0" borderId="53" xfId="0" applyFont="1" applyBorder="1" applyAlignment="1">
      <alignment horizontal="center"/>
    </xf>
    <xf numFmtId="10" fontId="9" fillId="0" borderId="53" xfId="2" applyNumberFormat="1" applyFont="1" applyBorder="1" applyAlignment="1">
      <alignment horizontal="center"/>
    </xf>
    <xf numFmtId="0" fontId="34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78" fontId="35" fillId="0" borderId="0" xfId="0" applyNumberFormat="1" applyFont="1" applyAlignment="1">
      <alignment horizontal="center"/>
    </xf>
    <xf numFmtId="169" fontId="35" fillId="0" borderId="0" xfId="0" applyNumberFormat="1" applyFont="1" applyAlignment="1">
      <alignment horizontal="center"/>
    </xf>
    <xf numFmtId="10" fontId="35" fillId="0" borderId="0" xfId="2" applyNumberFormat="1" applyFont="1" applyAlignment="1">
      <alignment horizontal="center"/>
    </xf>
    <xf numFmtId="44" fontId="35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33" fillId="23" borderId="1" xfId="0" applyFont="1" applyFill="1" applyBorder="1" applyAlignment="1">
      <alignment horizontal="center"/>
    </xf>
    <xf numFmtId="169" fontId="33" fillId="23" borderId="1" xfId="0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14" fontId="0" fillId="0" borderId="0" xfId="0" applyNumberFormat="1"/>
    <xf numFmtId="44" fontId="35" fillId="0" borderId="0" xfId="1" applyFont="1" applyAlignment="1">
      <alignment horizontal="center"/>
    </xf>
    <xf numFmtId="178" fontId="3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2" fillId="3" borderId="53" xfId="0" applyFont="1" applyFill="1" applyBorder="1" applyAlignment="1">
      <alignment horizontal="center"/>
    </xf>
    <xf numFmtId="44" fontId="0" fillId="0" borderId="54" xfId="0" applyNumberFormat="1" applyBorder="1"/>
    <xf numFmtId="169" fontId="0" fillId="0" borderId="56" xfId="0" applyNumberFormat="1" applyBorder="1"/>
    <xf numFmtId="44" fontId="0" fillId="0" borderId="48" xfId="0" applyNumberFormat="1" applyBorder="1"/>
    <xf numFmtId="0" fontId="2" fillId="3" borderId="0" xfId="0" applyFont="1" applyFill="1" applyAlignment="1">
      <alignment horizontal="centerContinuous" vertical="center"/>
    </xf>
    <xf numFmtId="0" fontId="0" fillId="8" borderId="54" xfId="0" applyFill="1" applyBorder="1"/>
    <xf numFmtId="43" fontId="0" fillId="8" borderId="54" xfId="3" applyFont="1" applyFill="1" applyBorder="1"/>
    <xf numFmtId="171" fontId="2" fillId="3" borderId="0" xfId="3" applyNumberFormat="1" applyFont="1" applyFill="1" applyAlignment="1">
      <alignment horizontal="centerContinuous" vertical="center"/>
    </xf>
    <xf numFmtId="171" fontId="0" fillId="8" borderId="54" xfId="3" applyNumberFormat="1" applyFont="1" applyFill="1" applyBorder="1"/>
    <xf numFmtId="43" fontId="9" fillId="0" borderId="33" xfId="3" applyFont="1" applyBorder="1" applyAlignment="1">
      <alignment horizontal="center" vertical="center"/>
    </xf>
    <xf numFmtId="43" fontId="9" fillId="0" borderId="53" xfId="3" applyFont="1" applyBorder="1" applyAlignment="1">
      <alignment horizontal="center" vertical="center"/>
    </xf>
    <xf numFmtId="43" fontId="9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2" fontId="0" fillId="29" borderId="1" xfId="3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9" fillId="0" borderId="28" xfId="1" applyNumberFormat="1" applyFont="1" applyFill="1" applyBorder="1" applyAlignment="1">
      <alignment horizontal="center" wrapText="1"/>
    </xf>
    <xf numFmtId="166" fontId="0" fillId="0" borderId="29" xfId="0" applyNumberFormat="1" applyBorder="1" applyAlignment="1">
      <alignment horizontal="center" wrapText="1"/>
    </xf>
    <xf numFmtId="166" fontId="9" fillId="9" borderId="28" xfId="1" applyNumberFormat="1" applyFont="1" applyFill="1" applyBorder="1" applyAlignment="1">
      <alignment horizontal="center" wrapText="1"/>
    </xf>
    <xf numFmtId="166" fontId="9" fillId="4" borderId="28" xfId="1" applyNumberFormat="1" applyFont="1" applyFill="1" applyBorder="1" applyAlignment="1">
      <alignment horizontal="center" wrapText="1"/>
    </xf>
    <xf numFmtId="166" fontId="0" fillId="4" borderId="29" xfId="0" applyNumberForma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11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166" fontId="9" fillId="4" borderId="38" xfId="1" applyNumberFormat="1" applyFont="1" applyFill="1" applyBorder="1" applyAlignment="1">
      <alignment horizontal="center" wrapText="1"/>
    </xf>
    <xf numFmtId="166" fontId="0" fillId="4" borderId="46" xfId="0" applyNumberFormat="1" applyFill="1" applyBorder="1" applyAlignment="1">
      <alignment horizontal="center" wrapText="1"/>
    </xf>
    <xf numFmtId="0" fontId="3" fillId="12" borderId="44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3" fillId="2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wrapText="1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9" xfId="0" applyBorder="1"/>
    <xf numFmtId="0" fontId="3" fillId="13" borderId="9" xfId="0" applyFont="1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 wrapText="1"/>
    </xf>
    <xf numFmtId="0" fontId="0" fillId="13" borderId="10" xfId="0" applyFill="1" applyBorder="1" applyAlignment="1">
      <alignment vertical="center" wrapText="1"/>
    </xf>
    <xf numFmtId="0" fontId="0" fillId="13" borderId="11" xfId="0" applyFill="1" applyBorder="1" applyAlignment="1">
      <alignment vertical="center" wrapText="1"/>
    </xf>
    <xf numFmtId="164" fontId="0" fillId="0" borderId="31" xfId="1" quotePrefix="1" applyNumberFormat="1" applyFont="1" applyBorder="1" applyAlignment="1">
      <alignment vertical="center" wrapText="1"/>
    </xf>
    <xf numFmtId="0" fontId="0" fillId="0" borderId="43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wrapText="1"/>
    </xf>
    <xf numFmtId="164" fontId="0" fillId="0" borderId="13" xfId="1" quotePrefix="1" applyNumberFormat="1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3" fillId="1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0" fillId="0" borderId="18" xfId="0" applyBorder="1"/>
    <xf numFmtId="0" fontId="2" fillId="3" borderId="26" xfId="0" applyFont="1" applyFill="1" applyBorder="1" applyAlignment="1">
      <alignment horizontal="center" vertical="center"/>
    </xf>
    <xf numFmtId="0" fontId="0" fillId="0" borderId="32" xfId="0" applyBorder="1"/>
    <xf numFmtId="0" fontId="0" fillId="13" borderId="17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3" borderId="44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48" xfId="0" applyBorder="1" applyAlignment="1">
      <alignment wrapText="1"/>
    </xf>
    <xf numFmtId="0" fontId="0" fillId="0" borderId="35" xfId="0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29" fillId="0" borderId="34" xfId="3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7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30" fillId="0" borderId="0" xfId="0" applyFont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10" fillId="13" borderId="34" xfId="4" applyFill="1" applyBorder="1" applyAlignment="1">
      <alignment horizontal="center"/>
    </xf>
    <xf numFmtId="0" fontId="10" fillId="13" borderId="39" xfId="4" applyFill="1" applyBorder="1" applyAlignment="1">
      <alignment horizontal="center"/>
    </xf>
    <xf numFmtId="0" fontId="10" fillId="13" borderId="3" xfId="4" applyFill="1" applyBorder="1" applyAlignment="1">
      <alignment horizontal="center"/>
    </xf>
    <xf numFmtId="0" fontId="10" fillId="13" borderId="5" xfId="4" applyFill="1" applyBorder="1" applyAlignment="1">
      <alignment horizontal="center"/>
    </xf>
    <xf numFmtId="177" fontId="33" fillId="27" borderId="58" xfId="4" applyNumberFormat="1" applyFont="1" applyFill="1" applyBorder="1" applyAlignment="1">
      <alignment horizontal="center"/>
    </xf>
    <xf numFmtId="177" fontId="33" fillId="27" borderId="59" xfId="4" applyNumberFormat="1" applyFont="1" applyFill="1" applyBorder="1" applyAlignment="1">
      <alignment horizontal="center"/>
    </xf>
  </cellXfs>
  <cellStyles count="8">
    <cellStyle name="Comma" xfId="3" builtinId="3"/>
    <cellStyle name="Currency" xfId="1" builtinId="4"/>
    <cellStyle name="Normal" xfId="0" builtinId="0"/>
    <cellStyle name="Normal 2" xfId="4" xr:uid="{C7B8EFDA-3239-490E-830F-F23C7CBB3E6A}"/>
    <cellStyle name="Normal 2 2" xfId="7" xr:uid="{65EDAA79-7A35-448B-BE66-0FFB5E1953D4}"/>
    <cellStyle name="Normal_Call" xfId="5" xr:uid="{33F5AA2C-A582-428D-87D3-18C41C9873D7}"/>
    <cellStyle name="Percent" xfId="2" builtinId="5"/>
    <cellStyle name="Percent 2" xfId="6" xr:uid="{C500F9BD-0320-4B24-B80A-FEE39D215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BUY</a:t>
            </a:r>
            <a:r>
              <a:rPr lang="en-US" b="1" baseline="0">
                <a:solidFill>
                  <a:schemeClr val="tx1"/>
                </a:solidFill>
              </a:rPr>
              <a:t> FB MAY 165 CALLS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7481301610762993"/>
          <c:y val="2.49869818480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11778042983883"/>
          <c:y val="0.1399622641509434"/>
          <c:w val="0.83107114954550243"/>
          <c:h val="0.69861369424103437"/>
        </c:manualLayout>
      </c:layout>
      <c:lineChart>
        <c:grouping val="standard"/>
        <c:varyColors val="0"/>
        <c:ser>
          <c:idx val="0"/>
          <c:order val="0"/>
          <c:tx>
            <c:strRef>
              <c:f>'Figure 13.1'!$R$20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13.1'!$P$21:$Q$28</c:f>
              <c:multiLvlStrCache>
                <c:ptCount val="8"/>
                <c:lvl>
                  <c:pt idx="0">
                    <c:v> $155.00 </c:v>
                  </c:pt>
                  <c:pt idx="1">
                    <c:v> $160.00 </c:v>
                  </c:pt>
                  <c:pt idx="2">
                    <c:v> $165.00 </c:v>
                  </c:pt>
                  <c:pt idx="3">
                    <c:v> $170.00 </c:v>
                  </c:pt>
                  <c:pt idx="4">
                    <c:v> $175.00 </c:v>
                  </c:pt>
                  <c:pt idx="5">
                    <c:v> $180.00 </c:v>
                  </c:pt>
                  <c:pt idx="6">
                    <c:v> $185.00 </c:v>
                  </c:pt>
                  <c:pt idx="7">
                    <c:v> $190.00 </c:v>
                  </c:pt>
                </c:lvl>
                <c:lvl>
                  <c:pt idx="0">
                    <c:v>-15</c:v>
                  </c:pt>
                  <c:pt idx="1">
                    <c:v>-5</c:v>
                  </c:pt>
                  <c:pt idx="2">
                    <c:v>5</c:v>
                  </c:pt>
                  <c:pt idx="3">
                    <c:v>15</c:v>
                  </c:pt>
                  <c:pt idx="4">
                    <c:v>25</c:v>
                  </c:pt>
                  <c:pt idx="5">
                    <c:v>35</c:v>
                  </c:pt>
                  <c:pt idx="6">
                    <c:v>45</c:v>
                  </c:pt>
                  <c:pt idx="7">
                    <c:v>55</c:v>
                  </c:pt>
                </c:lvl>
              </c:multiLvlStrCache>
            </c:multiLvlStrRef>
          </c:cat>
          <c:val>
            <c:numRef>
              <c:f>'Figure 13.1'!$R$21:$R$28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A89-8617-67CFD8EA03E9}"/>
            </c:ext>
          </c:extLst>
        </c:ser>
        <c:ser>
          <c:idx val="1"/>
          <c:order val="1"/>
          <c:tx>
            <c:strRef>
              <c:f>'Figure 13.1'!$S$20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13.1'!$P$21:$Q$28</c:f>
              <c:multiLvlStrCache>
                <c:ptCount val="8"/>
                <c:lvl>
                  <c:pt idx="0">
                    <c:v> $155.00 </c:v>
                  </c:pt>
                  <c:pt idx="1">
                    <c:v> $160.00 </c:v>
                  </c:pt>
                  <c:pt idx="2">
                    <c:v> $165.00 </c:v>
                  </c:pt>
                  <c:pt idx="3">
                    <c:v> $170.00 </c:v>
                  </c:pt>
                  <c:pt idx="4">
                    <c:v> $175.00 </c:v>
                  </c:pt>
                  <c:pt idx="5">
                    <c:v> $180.00 </c:v>
                  </c:pt>
                  <c:pt idx="6">
                    <c:v> $185.00 </c:v>
                  </c:pt>
                  <c:pt idx="7">
                    <c:v> $190.00 </c:v>
                  </c:pt>
                </c:lvl>
                <c:lvl>
                  <c:pt idx="0">
                    <c:v>-15</c:v>
                  </c:pt>
                  <c:pt idx="1">
                    <c:v>-5</c:v>
                  </c:pt>
                  <c:pt idx="2">
                    <c:v>5</c:v>
                  </c:pt>
                  <c:pt idx="3">
                    <c:v>15</c:v>
                  </c:pt>
                  <c:pt idx="4">
                    <c:v>25</c:v>
                  </c:pt>
                  <c:pt idx="5">
                    <c:v>35</c:v>
                  </c:pt>
                  <c:pt idx="6">
                    <c:v>45</c:v>
                  </c:pt>
                  <c:pt idx="7">
                    <c:v>55</c:v>
                  </c:pt>
                </c:lvl>
              </c:multiLvlStrCache>
            </c:multiLvlStrRef>
          </c:cat>
          <c:val>
            <c:numRef>
              <c:f>'Figure 13.1'!$S$21:$S$28</c:f>
              <c:numCache>
                <c:formatCode>_("$"* #,##0.00_);_("$"* \(#,##0.00\);_("$"* "-"??_);_(@_)</c:formatCode>
                <c:ptCount val="8"/>
                <c:pt idx="0">
                  <c:v>-10.65</c:v>
                </c:pt>
                <c:pt idx="1">
                  <c:v>-10.65</c:v>
                </c:pt>
                <c:pt idx="2">
                  <c:v>-10.65</c:v>
                </c:pt>
                <c:pt idx="3">
                  <c:v>-5.65</c:v>
                </c:pt>
                <c:pt idx="4">
                  <c:v>-0.65000000000000036</c:v>
                </c:pt>
                <c:pt idx="5">
                  <c:v>4.3499999999999996</c:v>
                </c:pt>
                <c:pt idx="6">
                  <c:v>9.35</c:v>
                </c:pt>
                <c:pt idx="7">
                  <c:v>14.35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8-4A89-8617-67CFD8EA0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845544"/>
        <c:axId val="515836032"/>
      </c:lineChart>
      <c:catAx>
        <c:axId val="51584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36032"/>
        <c:crosses val="autoZero"/>
        <c:auto val="1"/>
        <c:lblAlgn val="ctr"/>
        <c:lblOffset val="100"/>
        <c:noMultiLvlLbl val="0"/>
      </c:catAx>
      <c:valAx>
        <c:axId val="51583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4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Normal Probability Distribution</a:t>
            </a:r>
          </a:p>
        </c:rich>
      </c:tx>
      <c:layout>
        <c:manualLayout>
          <c:xMode val="edge"/>
          <c:yMode val="edge"/>
          <c:x val="0.22420129094794544"/>
          <c:y val="7.593434369857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13.20'!$AD$1</c:f>
              <c:strCache>
                <c:ptCount val="1"/>
                <c:pt idx="0">
                  <c:v>Distribution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13.20'!$AC$2:$AC$32</c:f>
              <c:numCache>
                <c:formatCode>General</c:formatCode>
                <c:ptCount val="31"/>
                <c:pt idx="0">
                  <c:v>-3.75</c:v>
                </c:pt>
                <c:pt idx="1">
                  <c:v>-3.5</c:v>
                </c:pt>
                <c:pt idx="2">
                  <c:v>-3.25</c:v>
                </c:pt>
                <c:pt idx="3">
                  <c:v>-3</c:v>
                </c:pt>
                <c:pt idx="4">
                  <c:v>-2.75</c:v>
                </c:pt>
                <c:pt idx="5">
                  <c:v>-2.5</c:v>
                </c:pt>
                <c:pt idx="6">
                  <c:v>-2.25</c:v>
                </c:pt>
                <c:pt idx="7">
                  <c:v>-2</c:v>
                </c:pt>
                <c:pt idx="8">
                  <c:v>-1.75</c:v>
                </c:pt>
                <c:pt idx="9">
                  <c:v>-1.5</c:v>
                </c:pt>
                <c:pt idx="10">
                  <c:v>-1.25</c:v>
                </c:pt>
                <c:pt idx="11">
                  <c:v>-1</c:v>
                </c:pt>
                <c:pt idx="12">
                  <c:v>-0.75</c:v>
                </c:pt>
                <c:pt idx="13">
                  <c:v>-0.5</c:v>
                </c:pt>
                <c:pt idx="14">
                  <c:v>-0.25</c:v>
                </c:pt>
                <c:pt idx="15">
                  <c:v>0</c:v>
                </c:pt>
                <c:pt idx="16">
                  <c:v>0.25</c:v>
                </c:pt>
                <c:pt idx="17">
                  <c:v>0.5</c:v>
                </c:pt>
                <c:pt idx="18">
                  <c:v>0.75</c:v>
                </c:pt>
                <c:pt idx="19">
                  <c:v>1</c:v>
                </c:pt>
                <c:pt idx="20">
                  <c:v>1.5</c:v>
                </c:pt>
                <c:pt idx="21">
                  <c:v>1.75</c:v>
                </c:pt>
                <c:pt idx="22">
                  <c:v>2</c:v>
                </c:pt>
                <c:pt idx="23">
                  <c:v>2.25</c:v>
                </c:pt>
                <c:pt idx="24">
                  <c:v>2.5</c:v>
                </c:pt>
                <c:pt idx="25">
                  <c:v>2.75</c:v>
                </c:pt>
                <c:pt idx="26">
                  <c:v>3</c:v>
                </c:pt>
                <c:pt idx="27">
                  <c:v>3.25</c:v>
                </c:pt>
                <c:pt idx="28">
                  <c:v>3.5</c:v>
                </c:pt>
                <c:pt idx="29">
                  <c:v>3.75</c:v>
                </c:pt>
                <c:pt idx="30">
                  <c:v>4</c:v>
                </c:pt>
              </c:numCache>
            </c:numRef>
          </c:cat>
          <c:val>
            <c:numRef>
              <c:f>'Figure 13.20'!$AD$2:$AD$32</c:f>
              <c:numCache>
                <c:formatCode>General</c:formatCode>
                <c:ptCount val="31"/>
                <c:pt idx="0">
                  <c:v>3.5259568236744541E-4</c:v>
                </c:pt>
                <c:pt idx="1">
                  <c:v>8.7268269504576015E-4</c:v>
                </c:pt>
                <c:pt idx="2">
                  <c:v>2.0290480572997681E-3</c:v>
                </c:pt>
                <c:pt idx="3">
                  <c:v>4.4318484119380075E-3</c:v>
                </c:pt>
                <c:pt idx="4">
                  <c:v>9.0935625015910529E-3</c:v>
                </c:pt>
                <c:pt idx="5">
                  <c:v>1.752830049356854E-2</c:v>
                </c:pt>
                <c:pt idx="6">
                  <c:v>3.1739651835667418E-2</c:v>
                </c:pt>
                <c:pt idx="7">
                  <c:v>5.3990966513188063E-2</c:v>
                </c:pt>
                <c:pt idx="8">
                  <c:v>8.6277318826511532E-2</c:v>
                </c:pt>
                <c:pt idx="9">
                  <c:v>0.12951759566589174</c:v>
                </c:pt>
                <c:pt idx="10">
                  <c:v>0.18264908538902191</c:v>
                </c:pt>
                <c:pt idx="11">
                  <c:v>0.24197072451914337</c:v>
                </c:pt>
                <c:pt idx="12">
                  <c:v>0.30113743215480443</c:v>
                </c:pt>
                <c:pt idx="13">
                  <c:v>0.35206532676429952</c:v>
                </c:pt>
                <c:pt idx="14">
                  <c:v>0.38666811680284924</c:v>
                </c:pt>
                <c:pt idx="15">
                  <c:v>0.3989422804014327</c:v>
                </c:pt>
                <c:pt idx="16">
                  <c:v>0.38666811680284924</c:v>
                </c:pt>
                <c:pt idx="17">
                  <c:v>0.35206532676429952</c:v>
                </c:pt>
                <c:pt idx="18">
                  <c:v>0.30113743215480443</c:v>
                </c:pt>
                <c:pt idx="19">
                  <c:v>0.24197072451914337</c:v>
                </c:pt>
                <c:pt idx="20">
                  <c:v>0.12951759566589174</c:v>
                </c:pt>
                <c:pt idx="21">
                  <c:v>8.6277318826511532E-2</c:v>
                </c:pt>
                <c:pt idx="22">
                  <c:v>5.3990966513188063E-2</c:v>
                </c:pt>
                <c:pt idx="23">
                  <c:v>3.1739651835667418E-2</c:v>
                </c:pt>
                <c:pt idx="24">
                  <c:v>1.752830049356854E-2</c:v>
                </c:pt>
                <c:pt idx="25">
                  <c:v>9.0935625015910529E-3</c:v>
                </c:pt>
                <c:pt idx="26">
                  <c:v>4.4318484119380075E-3</c:v>
                </c:pt>
                <c:pt idx="27">
                  <c:v>2.0290480572997681E-3</c:v>
                </c:pt>
                <c:pt idx="28">
                  <c:v>8.7268269504576015E-4</c:v>
                </c:pt>
                <c:pt idx="29">
                  <c:v>3.5259568236744541E-4</c:v>
                </c:pt>
                <c:pt idx="30">
                  <c:v>1.3383022576488537E-4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7-4C22-A519-211AC3D1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143184"/>
        <c:axId val="648151056"/>
      </c:lineChart>
      <c:catAx>
        <c:axId val="64814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51056"/>
        <c:crosses val="autoZero"/>
        <c:auto val="1"/>
        <c:lblAlgn val="ctr"/>
        <c:lblOffset val="100"/>
        <c:noMultiLvlLbl val="0"/>
      </c:catAx>
      <c:valAx>
        <c:axId val="6481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4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BUY MAR</a:t>
            </a:r>
            <a:r>
              <a:rPr lang="en-US" b="1" baseline="0">
                <a:solidFill>
                  <a:schemeClr val="tx1"/>
                </a:solidFill>
              </a:rPr>
              <a:t>  170 PUTS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13.2'!$R$20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13.2'!$P$21:$Q$28</c:f>
              <c:multiLvlStrCache>
                <c:ptCount val="8"/>
                <c:lvl>
                  <c:pt idx="0">
                    <c:v> $155.00 </c:v>
                  </c:pt>
                  <c:pt idx="1">
                    <c:v> $160.00 </c:v>
                  </c:pt>
                  <c:pt idx="2">
                    <c:v> $165.00 </c:v>
                  </c:pt>
                  <c:pt idx="3">
                    <c:v> $170.00 </c:v>
                  </c:pt>
                  <c:pt idx="4">
                    <c:v> $175.00 </c:v>
                  </c:pt>
                  <c:pt idx="5">
                    <c:v> $180.00 </c:v>
                  </c:pt>
                  <c:pt idx="6">
                    <c:v> $185.00 </c:v>
                  </c:pt>
                  <c:pt idx="7">
                    <c:v> $190.00 </c:v>
                  </c:pt>
                </c:lvl>
                <c:lvl>
                  <c:pt idx="0">
                    <c:v>-40</c:v>
                  </c:pt>
                  <c:pt idx="1">
                    <c:v>-30</c:v>
                  </c:pt>
                  <c:pt idx="2">
                    <c:v>-10</c:v>
                  </c:pt>
                  <c:pt idx="3">
                    <c:v>0</c:v>
                  </c:pt>
                  <c:pt idx="4">
                    <c:v>10</c:v>
                  </c:pt>
                  <c:pt idx="5">
                    <c:v>20</c:v>
                  </c:pt>
                  <c:pt idx="6">
                    <c:v>30</c:v>
                  </c:pt>
                  <c:pt idx="7">
                    <c:v>40</c:v>
                  </c:pt>
                </c:lvl>
              </c:multiLvlStrCache>
            </c:multiLvlStrRef>
          </c:cat>
          <c:val>
            <c:numRef>
              <c:f>'Figure 13.2'!$R$21:$R$28</c:f>
              <c:numCache>
                <c:formatCode>_("$"* #,##0.00_);_("$"* \(#,##0.00\);_("$"* "-"??_);_(@_)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2-4254-B724-0FFAA9400A3E}"/>
            </c:ext>
          </c:extLst>
        </c:ser>
        <c:ser>
          <c:idx val="1"/>
          <c:order val="1"/>
          <c:tx>
            <c:strRef>
              <c:f>'Figure 13.2'!$S$20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13.2'!$P$21:$Q$28</c:f>
              <c:multiLvlStrCache>
                <c:ptCount val="8"/>
                <c:lvl>
                  <c:pt idx="0">
                    <c:v> $155.00 </c:v>
                  </c:pt>
                  <c:pt idx="1">
                    <c:v> $160.00 </c:v>
                  </c:pt>
                  <c:pt idx="2">
                    <c:v> $165.00 </c:v>
                  </c:pt>
                  <c:pt idx="3">
                    <c:v> $170.00 </c:v>
                  </c:pt>
                  <c:pt idx="4">
                    <c:v> $175.00 </c:v>
                  </c:pt>
                  <c:pt idx="5">
                    <c:v> $180.00 </c:v>
                  </c:pt>
                  <c:pt idx="6">
                    <c:v> $185.00 </c:v>
                  </c:pt>
                  <c:pt idx="7">
                    <c:v> $190.00 </c:v>
                  </c:pt>
                </c:lvl>
                <c:lvl>
                  <c:pt idx="0">
                    <c:v>-40</c:v>
                  </c:pt>
                  <c:pt idx="1">
                    <c:v>-30</c:v>
                  </c:pt>
                  <c:pt idx="2">
                    <c:v>-10</c:v>
                  </c:pt>
                  <c:pt idx="3">
                    <c:v>0</c:v>
                  </c:pt>
                  <c:pt idx="4">
                    <c:v>10</c:v>
                  </c:pt>
                  <c:pt idx="5">
                    <c:v>20</c:v>
                  </c:pt>
                  <c:pt idx="6">
                    <c:v>30</c:v>
                  </c:pt>
                  <c:pt idx="7">
                    <c:v>40</c:v>
                  </c:pt>
                </c:lvl>
              </c:multiLvlStrCache>
            </c:multiLvlStrRef>
          </c:cat>
          <c:val>
            <c:numRef>
              <c:f>'Figure 13.2'!$S$21:$S$28</c:f>
              <c:numCache>
                <c:formatCode>_("$"* #,##0.00_);_("$"* \(#,##0.00\);_("$"* "-"??_);_(@_)</c:formatCode>
                <c:ptCount val="8"/>
                <c:pt idx="0">
                  <c:v>5.6</c:v>
                </c:pt>
                <c:pt idx="1">
                  <c:v>0.59999999999999964</c:v>
                </c:pt>
                <c:pt idx="2">
                  <c:v>-4.4000000000000004</c:v>
                </c:pt>
                <c:pt idx="3">
                  <c:v>-9.4</c:v>
                </c:pt>
                <c:pt idx="4">
                  <c:v>-9.4</c:v>
                </c:pt>
                <c:pt idx="5">
                  <c:v>-9.4</c:v>
                </c:pt>
                <c:pt idx="6">
                  <c:v>-9.4</c:v>
                </c:pt>
                <c:pt idx="7">
                  <c:v>-9.4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2-4254-B724-0FFAA9400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354280"/>
        <c:axId val="702346080"/>
      </c:lineChart>
      <c:catAx>
        <c:axId val="70235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346080"/>
        <c:crosses val="autoZero"/>
        <c:auto val="1"/>
        <c:lblAlgn val="ctr"/>
        <c:lblOffset val="100"/>
        <c:noMultiLvlLbl val="0"/>
      </c:catAx>
      <c:valAx>
        <c:axId val="7023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35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BUY</a:t>
            </a:r>
            <a:r>
              <a:rPr lang="en-US" b="1" baseline="0">
                <a:solidFill>
                  <a:sysClr val="windowText" lastClr="000000"/>
                </a:solidFill>
              </a:rPr>
              <a:t> FB MAY 165 STRADDLE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8106537660883951"/>
          <c:y val="2.29995173723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13.3'!$V$20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13.3'!$T$21:$U$31</c:f>
              <c:multiLvlStrCache>
                <c:ptCount val="11"/>
                <c:lvl>
                  <c:pt idx="0">
                    <c:v> $125.00 </c:v>
                  </c:pt>
                  <c:pt idx="1">
                    <c:v> $135.00 </c:v>
                  </c:pt>
                  <c:pt idx="2">
                    <c:v> $145.00 </c:v>
                  </c:pt>
                  <c:pt idx="4">
                    <c:v> $155.00 </c:v>
                  </c:pt>
                  <c:pt idx="5">
                    <c:v> $165.00 </c:v>
                  </c:pt>
                  <c:pt idx="6">
                    <c:v> $175.00 </c:v>
                  </c:pt>
                  <c:pt idx="8">
                    <c:v> $185.00 </c:v>
                  </c:pt>
                  <c:pt idx="9">
                    <c:v> $195.00 </c:v>
                  </c:pt>
                  <c:pt idx="10">
                    <c:v> $205.00 </c:v>
                  </c:pt>
                </c:lvl>
                <c:lvl>
                  <c:pt idx="0">
                    <c:v>-40</c:v>
                  </c:pt>
                  <c:pt idx="1">
                    <c:v>-30</c:v>
                  </c:pt>
                  <c:pt idx="2">
                    <c:v>-20</c:v>
                  </c:pt>
                  <c:pt idx="4">
                    <c:v>-10</c:v>
                  </c:pt>
                  <c:pt idx="5">
                    <c:v>0</c:v>
                  </c:pt>
                  <c:pt idx="6">
                    <c:v>10</c:v>
                  </c:pt>
                  <c:pt idx="8">
                    <c:v>20</c:v>
                  </c:pt>
                  <c:pt idx="9">
                    <c:v>30</c:v>
                  </c:pt>
                  <c:pt idx="10">
                    <c:v>40</c:v>
                  </c:pt>
                </c:lvl>
              </c:multiLvlStrCache>
            </c:multiLvlStrRef>
          </c:cat>
          <c:val>
            <c:numRef>
              <c:f>'Figure 13.3'!$V$21:$V$31</c:f>
              <c:numCache>
                <c:formatCode>_("$"* #,##0.00_);_("$"* \(#,##0.00\);_("$"* "-"??_);_(@_)</c:formatCode>
                <c:ptCount val="11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8">
                  <c:v>20</c:v>
                </c:pt>
                <c:pt idx="9">
                  <c:v>30</c:v>
                </c:pt>
                <c:pt idx="1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B-4C35-B67C-315B8CF251ED}"/>
            </c:ext>
          </c:extLst>
        </c:ser>
        <c:ser>
          <c:idx val="1"/>
          <c:order val="1"/>
          <c:tx>
            <c:strRef>
              <c:f>'Figure 13.3'!$W$20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13.3'!$T$21:$U$31</c:f>
              <c:multiLvlStrCache>
                <c:ptCount val="11"/>
                <c:lvl>
                  <c:pt idx="0">
                    <c:v> $125.00 </c:v>
                  </c:pt>
                  <c:pt idx="1">
                    <c:v> $135.00 </c:v>
                  </c:pt>
                  <c:pt idx="2">
                    <c:v> $145.00 </c:v>
                  </c:pt>
                  <c:pt idx="4">
                    <c:v> $155.00 </c:v>
                  </c:pt>
                  <c:pt idx="5">
                    <c:v> $165.00 </c:v>
                  </c:pt>
                  <c:pt idx="6">
                    <c:v> $175.00 </c:v>
                  </c:pt>
                  <c:pt idx="8">
                    <c:v> $185.00 </c:v>
                  </c:pt>
                  <c:pt idx="9">
                    <c:v> $195.00 </c:v>
                  </c:pt>
                  <c:pt idx="10">
                    <c:v> $205.00 </c:v>
                  </c:pt>
                </c:lvl>
                <c:lvl>
                  <c:pt idx="0">
                    <c:v>-40</c:v>
                  </c:pt>
                  <c:pt idx="1">
                    <c:v>-30</c:v>
                  </c:pt>
                  <c:pt idx="2">
                    <c:v>-20</c:v>
                  </c:pt>
                  <c:pt idx="4">
                    <c:v>-10</c:v>
                  </c:pt>
                  <c:pt idx="5">
                    <c:v>0</c:v>
                  </c:pt>
                  <c:pt idx="6">
                    <c:v>10</c:v>
                  </c:pt>
                  <c:pt idx="8">
                    <c:v>20</c:v>
                  </c:pt>
                  <c:pt idx="9">
                    <c:v>30</c:v>
                  </c:pt>
                  <c:pt idx="10">
                    <c:v>40</c:v>
                  </c:pt>
                </c:lvl>
              </c:multiLvlStrCache>
            </c:multiLvlStrRef>
          </c:cat>
          <c:val>
            <c:numRef>
              <c:f>'Figure 13.3'!$W$21:$W$31</c:f>
              <c:numCache>
                <c:formatCode>_("$"* #,##0.00_);_("$"* \(#,##0.00\);_("$"* "-"??_);_(@_)</c:formatCode>
                <c:ptCount val="11"/>
                <c:pt idx="0">
                  <c:v>20.149999999999999</c:v>
                </c:pt>
                <c:pt idx="1">
                  <c:v>10.149999999999999</c:v>
                </c:pt>
                <c:pt idx="2">
                  <c:v>0.14999999999999858</c:v>
                </c:pt>
                <c:pt idx="4">
                  <c:v>-9.8500000000000014</c:v>
                </c:pt>
                <c:pt idx="5">
                  <c:v>-19.850000000000001</c:v>
                </c:pt>
                <c:pt idx="6">
                  <c:v>-9.8500000000000014</c:v>
                </c:pt>
                <c:pt idx="8">
                  <c:v>0.14999999999999858</c:v>
                </c:pt>
                <c:pt idx="9">
                  <c:v>10.149999999999999</c:v>
                </c:pt>
                <c:pt idx="10">
                  <c:v>20.149999999999999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B-4C35-B67C-315B8CF25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344704"/>
        <c:axId val="510346016"/>
      </c:lineChart>
      <c:catAx>
        <c:axId val="5103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46016"/>
        <c:crosses val="autoZero"/>
        <c:auto val="1"/>
        <c:lblAlgn val="ctr"/>
        <c:lblOffset val="100"/>
        <c:noMultiLvlLbl val="0"/>
      </c:catAx>
      <c:valAx>
        <c:axId val="51034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4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Bull Call Spreads FB May 155/165 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13.8'!$T$19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13.8'!$R$20:$S$27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$ 162.10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-$ 10.00</c:v>
                  </c:pt>
                  <c:pt idx="1">
                    <c:v>-$ 8.00</c:v>
                  </c:pt>
                  <c:pt idx="2">
                    <c:v>-$ 6.00</c:v>
                  </c:pt>
                  <c:pt idx="3">
                    <c:v>-$ 4.00</c:v>
                  </c:pt>
                  <c:pt idx="4">
                    <c:v>-$ 2.00</c:v>
                  </c:pt>
                  <c:pt idx="5">
                    <c:v>$ 0.00</c:v>
                  </c:pt>
                  <c:pt idx="6">
                    <c:v>$ 2.00</c:v>
                  </c:pt>
                  <c:pt idx="7">
                    <c:v>$ 4.00</c:v>
                  </c:pt>
                </c:lvl>
              </c:multiLvlStrCache>
            </c:multiLvlStrRef>
          </c:cat>
          <c:val>
            <c:numRef>
              <c:f>'Figure 13.8'!$T$20:$T$27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7.0999999999999943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E-4254-AD7A-05D7E4758233}"/>
            </c:ext>
          </c:extLst>
        </c:ser>
        <c:ser>
          <c:idx val="1"/>
          <c:order val="1"/>
          <c:tx>
            <c:strRef>
              <c:f>'Figure 13.8'!$U$19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13.8'!$R$20:$S$27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$ 162.10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-$ 10.00</c:v>
                  </c:pt>
                  <c:pt idx="1">
                    <c:v>-$ 8.00</c:v>
                  </c:pt>
                  <c:pt idx="2">
                    <c:v>-$ 6.00</c:v>
                  </c:pt>
                  <c:pt idx="3">
                    <c:v>-$ 4.00</c:v>
                  </c:pt>
                  <c:pt idx="4">
                    <c:v>-$ 2.00</c:v>
                  </c:pt>
                  <c:pt idx="5">
                    <c:v>$ 0.00</c:v>
                  </c:pt>
                  <c:pt idx="6">
                    <c:v>$ 2.00</c:v>
                  </c:pt>
                  <c:pt idx="7">
                    <c:v>$ 4.00</c:v>
                  </c:pt>
                </c:lvl>
              </c:multiLvlStrCache>
            </c:multiLvlStrRef>
          </c:cat>
          <c:val>
            <c:numRef>
              <c:f>'Figure 13.8'!$U$20:$U$27</c:f>
              <c:numCache>
                <c:formatCode>_("$"* #,##0.00_);_("$"* \(#,##0.00\);_("$"* "-"??_);_(@_)</c:formatCode>
                <c:ptCount val="8"/>
                <c:pt idx="0">
                  <c:v>-7.1</c:v>
                </c:pt>
                <c:pt idx="1">
                  <c:v>-7.1</c:v>
                </c:pt>
                <c:pt idx="2">
                  <c:v>-7.1</c:v>
                </c:pt>
                <c:pt idx="3">
                  <c:v>-2.0999999999999996</c:v>
                </c:pt>
                <c:pt idx="4">
                  <c:v>0</c:v>
                </c:pt>
                <c:pt idx="5">
                  <c:v>2.9000000000000004</c:v>
                </c:pt>
                <c:pt idx="6">
                  <c:v>2.9000000000000004</c:v>
                </c:pt>
                <c:pt idx="7">
                  <c:v>2.9000000000000004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E-4254-AD7A-05D7E4758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516944"/>
        <c:axId val="2067509400"/>
      </c:lineChart>
      <c:catAx>
        <c:axId val="20675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509400"/>
        <c:crosses val="autoZero"/>
        <c:auto val="1"/>
        <c:lblAlgn val="ctr"/>
        <c:lblOffset val="100"/>
        <c:noMultiLvlLbl val="0"/>
      </c:catAx>
      <c:valAx>
        <c:axId val="206750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51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Bear Put Spread</a:t>
            </a:r>
            <a:r>
              <a:rPr lang="en-US" b="1" baseline="0">
                <a:solidFill>
                  <a:sysClr val="windowText" lastClr="000000"/>
                </a:solidFill>
              </a:rPr>
              <a:t> FB Apr 160/170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13.9'!$T$19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13.9'!$R$20:$S$27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$ 165.25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-8</c:v>
                  </c:pt>
                  <c:pt idx="1">
                    <c:v>-6</c:v>
                  </c:pt>
                  <c:pt idx="2">
                    <c:v>-4</c:v>
                  </c:pt>
                  <c:pt idx="3">
                    <c:v>-2</c:v>
                  </c:pt>
                  <c:pt idx="4">
                    <c:v>0</c:v>
                  </c:pt>
                  <c:pt idx="5">
                    <c:v>2</c:v>
                  </c:pt>
                  <c:pt idx="6">
                    <c:v>4</c:v>
                  </c:pt>
                  <c:pt idx="7">
                    <c:v>6</c:v>
                  </c:pt>
                </c:lvl>
              </c:multiLvlStrCache>
            </c:multiLvlStrRef>
          </c:cat>
          <c:val>
            <c:numRef>
              <c:f>'Figure 13.9'!$T$20:$T$27</c:f>
              <c:numCache>
                <c:formatCode>_("$"* #,##0.00_);_("$"* \(#,##0.00\);_("$"* "-"??_);_(@_)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4.75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8E-4014-8AA9-A0F8FA4ED01C}"/>
            </c:ext>
          </c:extLst>
        </c:ser>
        <c:ser>
          <c:idx val="1"/>
          <c:order val="1"/>
          <c:tx>
            <c:strRef>
              <c:f>'Figure 13.9'!$U$19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13.9'!$R$20:$S$27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$ 165.25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-8</c:v>
                  </c:pt>
                  <c:pt idx="1">
                    <c:v>-6</c:v>
                  </c:pt>
                  <c:pt idx="2">
                    <c:v>-4</c:v>
                  </c:pt>
                  <c:pt idx="3">
                    <c:v>-2</c:v>
                  </c:pt>
                  <c:pt idx="4">
                    <c:v>0</c:v>
                  </c:pt>
                  <c:pt idx="5">
                    <c:v>2</c:v>
                  </c:pt>
                  <c:pt idx="6">
                    <c:v>4</c:v>
                  </c:pt>
                  <c:pt idx="7">
                    <c:v>6</c:v>
                  </c:pt>
                </c:lvl>
              </c:multiLvlStrCache>
            </c:multiLvlStrRef>
          </c:cat>
          <c:val>
            <c:numRef>
              <c:f>'Figure 13.9'!$U$20:$U$27</c:f>
              <c:numCache>
                <c:formatCode>_("$"* #,##0.00_);_("$"* \(#,##0.00\);_("$"* "-"??_);_(@_)</c:formatCode>
                <c:ptCount val="8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0</c:v>
                </c:pt>
                <c:pt idx="5">
                  <c:v>-4.75</c:v>
                </c:pt>
                <c:pt idx="6">
                  <c:v>-4.75</c:v>
                </c:pt>
                <c:pt idx="7">
                  <c:v>-4.75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E-4014-8AA9-A0F8FA4ED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437016"/>
        <c:axId val="349442264"/>
      </c:lineChart>
      <c:catAx>
        <c:axId val="34943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2264"/>
        <c:crosses val="autoZero"/>
        <c:auto val="1"/>
        <c:lblAlgn val="ctr"/>
        <c:lblOffset val="100"/>
        <c:noMultiLvlLbl val="0"/>
      </c:catAx>
      <c:valAx>
        <c:axId val="34944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37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Bull</a:t>
            </a:r>
            <a:r>
              <a:rPr lang="en-US" b="1" baseline="0">
                <a:solidFill>
                  <a:schemeClr val="tx1"/>
                </a:solidFill>
              </a:rPr>
              <a:t> Put Spread FB March 155/165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13.10'!$U$19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13.10'!$S$20:$T$27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$ 162.10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</c:lvl>
              </c:multiLvlStrCache>
            </c:multiLvlStrRef>
          </c:cat>
          <c:val>
            <c:numRef>
              <c:f>'Figure 13.10'!$U$20:$U$27</c:f>
              <c:numCache>
                <c:formatCode>_("$"* #,##0.00_);_("$"* \(#,##0.00\);_("$"* "-"??_);_(@_)</c:formatCode>
                <c:ptCount val="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-5</c:v>
                </c:pt>
                <c:pt idx="4">
                  <c:v>-2.9000000000000057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8-456D-9F84-1F0C30984442}"/>
            </c:ext>
          </c:extLst>
        </c:ser>
        <c:ser>
          <c:idx val="1"/>
          <c:order val="1"/>
          <c:tx>
            <c:strRef>
              <c:f>'Figure 13.10'!$V$19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13.10'!$S$20:$T$27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$ 162.10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</c:lvl>
              </c:multiLvlStrCache>
            </c:multiLvlStrRef>
          </c:cat>
          <c:val>
            <c:numRef>
              <c:f>'Figure 13.10'!$V$20:$V$27</c:f>
              <c:numCache>
                <c:formatCode>_("$"* #,##0.00_);_("$"* \(#,##0.00\);_("$"* "-"??_);_(@_)</c:formatCode>
                <c:ptCount val="8"/>
                <c:pt idx="0">
                  <c:v>-7.1</c:v>
                </c:pt>
                <c:pt idx="1">
                  <c:v>-7.1</c:v>
                </c:pt>
                <c:pt idx="2">
                  <c:v>-7.1</c:v>
                </c:pt>
                <c:pt idx="3">
                  <c:v>-2.0999999999999996</c:v>
                </c:pt>
                <c:pt idx="4">
                  <c:v>-5.3290705182007514E-15</c:v>
                </c:pt>
                <c:pt idx="5">
                  <c:v>2.9000000000000004</c:v>
                </c:pt>
                <c:pt idx="6">
                  <c:v>2.9000000000000004</c:v>
                </c:pt>
                <c:pt idx="7">
                  <c:v>2.9000000000000004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8-456D-9F84-1F0C30984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366744"/>
        <c:axId val="702368712"/>
      </c:lineChart>
      <c:catAx>
        <c:axId val="70236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368712"/>
        <c:crosses val="autoZero"/>
        <c:auto val="1"/>
        <c:lblAlgn val="ctr"/>
        <c:lblOffset val="100"/>
        <c:noMultiLvlLbl val="0"/>
      </c:catAx>
      <c:valAx>
        <c:axId val="70236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36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Bear Call Spreads FB April 165/175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13.11'!$U$19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13.11'!$S$20:$T$27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$ 169.75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</c:lvl>
              </c:multiLvlStrCache>
            </c:multiLvlStrRef>
          </c:cat>
          <c:val>
            <c:numRef>
              <c:f>'Figure 13.11'!$U$20:$U$27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-4.75</c:v>
                </c:pt>
                <c:pt idx="5">
                  <c:v>-5</c:v>
                </c:pt>
                <c:pt idx="6">
                  <c:v>-10</c:v>
                </c:pt>
                <c:pt idx="7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4-4BFB-BFE1-5F31C41DFF79}"/>
            </c:ext>
          </c:extLst>
        </c:ser>
        <c:ser>
          <c:idx val="1"/>
          <c:order val="1"/>
          <c:tx>
            <c:strRef>
              <c:f>'Figure 13.11'!$V$19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13.11'!$S$20:$T$27</c:f>
              <c:multiLvlStrCache>
                <c:ptCount val="8"/>
                <c:lvl>
                  <c:pt idx="0">
                    <c:v>$ 130.00</c:v>
                  </c:pt>
                  <c:pt idx="1">
                    <c:v>$ 140.00</c:v>
                  </c:pt>
                  <c:pt idx="2">
                    <c:v>$ 150.00</c:v>
                  </c:pt>
                  <c:pt idx="3">
                    <c:v>$ 160.00</c:v>
                  </c:pt>
                  <c:pt idx="4">
                    <c:v>$ 169.75</c:v>
                  </c:pt>
                  <c:pt idx="5">
                    <c:v>$ 170.00</c:v>
                  </c:pt>
                  <c:pt idx="6">
                    <c:v>$ 180.00</c:v>
                  </c:pt>
                  <c:pt idx="7">
                    <c:v>$ 190.00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</c:lvl>
              </c:multiLvlStrCache>
            </c:multiLvlStrRef>
          </c:cat>
          <c:val>
            <c:numRef>
              <c:f>'Figure 13.11'!$V$20:$V$27</c:f>
              <c:numCache>
                <c:formatCode>_("$"* #,##0.00_);_("$"* \(#,##0.00\);_("$"* "-"??_);_(@_)</c:formatCode>
                <c:ptCount val="8"/>
                <c:pt idx="0">
                  <c:v>4.75</c:v>
                </c:pt>
                <c:pt idx="1">
                  <c:v>4.75</c:v>
                </c:pt>
                <c:pt idx="2">
                  <c:v>4.75</c:v>
                </c:pt>
                <c:pt idx="3">
                  <c:v>4.75</c:v>
                </c:pt>
                <c:pt idx="4">
                  <c:v>0</c:v>
                </c:pt>
                <c:pt idx="5">
                  <c:v>-0.25</c:v>
                </c:pt>
                <c:pt idx="6">
                  <c:v>-5.25</c:v>
                </c:pt>
                <c:pt idx="7">
                  <c:v>-5.25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4-4BFB-BFE1-5F31C41DF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367072"/>
        <c:axId val="702369696"/>
      </c:lineChart>
      <c:catAx>
        <c:axId val="70236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369696"/>
        <c:crosses val="autoZero"/>
        <c:auto val="1"/>
        <c:lblAlgn val="ctr"/>
        <c:lblOffset val="100"/>
        <c:noMultiLvlLbl val="0"/>
      </c:catAx>
      <c:valAx>
        <c:axId val="7023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36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Long</a:t>
            </a:r>
            <a:r>
              <a:rPr lang="en-US" b="1" baseline="0">
                <a:solidFill>
                  <a:schemeClr val="tx1"/>
                </a:solidFill>
              </a:rPr>
              <a:t> Butterfly Call Spread FB May 150/180 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13.12'!$U$22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13.12'!$S$23:$T$33</c:f>
              <c:multiLvlStrCache>
                <c:ptCount val="11"/>
                <c:lvl>
                  <c:pt idx="0">
                    <c:v>$ 145.00</c:v>
                  </c:pt>
                  <c:pt idx="1">
                    <c:v>$ 150.00</c:v>
                  </c:pt>
                  <c:pt idx="2">
                    <c:v>$ 155.00</c:v>
                  </c:pt>
                  <c:pt idx="3">
                    <c:v>$ 156.15</c:v>
                  </c:pt>
                  <c:pt idx="4">
                    <c:v>$ 160.00</c:v>
                  </c:pt>
                  <c:pt idx="5">
                    <c:v>$ 165.00</c:v>
                  </c:pt>
                  <c:pt idx="6">
                    <c:v>$ 170.00</c:v>
                  </c:pt>
                  <c:pt idx="7">
                    <c:v>$ 173.85</c:v>
                  </c:pt>
                  <c:pt idx="8">
                    <c:v>$ 175.00</c:v>
                  </c:pt>
                  <c:pt idx="9">
                    <c:v>$ 180.00</c:v>
                  </c:pt>
                  <c:pt idx="10">
                    <c:v>$ 185.00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  <c:pt idx="8">
                    <c:v>6</c:v>
                  </c:pt>
                  <c:pt idx="9">
                    <c:v>8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'Figure 13.12'!$U$23:$U$33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6.1500000000000057</c:v>
                </c:pt>
                <c:pt idx="4">
                  <c:v>10</c:v>
                </c:pt>
                <c:pt idx="5">
                  <c:v>15</c:v>
                </c:pt>
                <c:pt idx="6">
                  <c:v>10</c:v>
                </c:pt>
                <c:pt idx="7">
                  <c:v>6.1500000000000057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8-4020-9E9A-6C1301F83F2B}"/>
            </c:ext>
          </c:extLst>
        </c:ser>
        <c:ser>
          <c:idx val="1"/>
          <c:order val="1"/>
          <c:tx>
            <c:strRef>
              <c:f>'Figure 13.12'!$V$22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13.12'!$S$23:$T$33</c:f>
              <c:multiLvlStrCache>
                <c:ptCount val="11"/>
                <c:lvl>
                  <c:pt idx="0">
                    <c:v>$ 145.00</c:v>
                  </c:pt>
                  <c:pt idx="1">
                    <c:v>$ 150.00</c:v>
                  </c:pt>
                  <c:pt idx="2">
                    <c:v>$ 155.00</c:v>
                  </c:pt>
                  <c:pt idx="3">
                    <c:v>$ 156.15</c:v>
                  </c:pt>
                  <c:pt idx="4">
                    <c:v>$ 160.00</c:v>
                  </c:pt>
                  <c:pt idx="5">
                    <c:v>$ 165.00</c:v>
                  </c:pt>
                  <c:pt idx="6">
                    <c:v>$ 170.00</c:v>
                  </c:pt>
                  <c:pt idx="7">
                    <c:v>$ 173.85</c:v>
                  </c:pt>
                  <c:pt idx="8">
                    <c:v>$ 175.00</c:v>
                  </c:pt>
                  <c:pt idx="9">
                    <c:v>$ 180.00</c:v>
                  </c:pt>
                  <c:pt idx="10">
                    <c:v>$ 185.00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  <c:pt idx="8">
                    <c:v>6</c:v>
                  </c:pt>
                  <c:pt idx="9">
                    <c:v>8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'Figure 13.12'!$V$23:$V$33</c:f>
              <c:numCache>
                <c:formatCode>_("$"* #,##0.00_);_("$"* \(#,##0.00\);_("$"* "-"??_);_(@_)</c:formatCode>
                <c:ptCount val="11"/>
                <c:pt idx="0">
                  <c:v>-6.1499999999999986</c:v>
                </c:pt>
                <c:pt idx="1">
                  <c:v>-6.1499999999999986</c:v>
                </c:pt>
                <c:pt idx="2">
                  <c:v>-1.1499999999999986</c:v>
                </c:pt>
                <c:pt idx="3">
                  <c:v>7.1054273576010019E-15</c:v>
                </c:pt>
                <c:pt idx="4">
                  <c:v>3.8500000000000014</c:v>
                </c:pt>
                <c:pt idx="5">
                  <c:v>8.8500000000000014</c:v>
                </c:pt>
                <c:pt idx="6">
                  <c:v>3.8500000000000014</c:v>
                </c:pt>
                <c:pt idx="7">
                  <c:v>7.1054273576010019E-15</c:v>
                </c:pt>
                <c:pt idx="8">
                  <c:v>-1.1499999999999986</c:v>
                </c:pt>
                <c:pt idx="9">
                  <c:v>-6.1499999999999986</c:v>
                </c:pt>
                <c:pt idx="10">
                  <c:v>-6.1499999999999986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8-4020-9E9A-6C1301F83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461944"/>
        <c:axId val="349459648"/>
      </c:lineChart>
      <c:catAx>
        <c:axId val="34946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59648"/>
        <c:crosses val="autoZero"/>
        <c:auto val="1"/>
        <c:lblAlgn val="ctr"/>
        <c:lblOffset val="100"/>
        <c:noMultiLvlLbl val="0"/>
      </c:catAx>
      <c:valAx>
        <c:axId val="3494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Long</a:t>
            </a:r>
            <a:r>
              <a:rPr lang="en-US" b="1" baseline="0">
                <a:solidFill>
                  <a:schemeClr val="tx1"/>
                </a:solidFill>
              </a:rPr>
              <a:t> Butterfly Put Spread FB May 150/180 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13.13'!$U$22</c:f>
              <c:strCache>
                <c:ptCount val="1"/>
                <c:pt idx="0">
                  <c:v>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13.13'!$S$23:$T$33</c:f>
              <c:multiLvlStrCache>
                <c:ptCount val="11"/>
                <c:lvl>
                  <c:pt idx="0">
                    <c:v>$ 145.00</c:v>
                  </c:pt>
                  <c:pt idx="1">
                    <c:v>$ 150.00</c:v>
                  </c:pt>
                  <c:pt idx="2">
                    <c:v>$ 155.00</c:v>
                  </c:pt>
                  <c:pt idx="3">
                    <c:v>$ 158.20</c:v>
                  </c:pt>
                  <c:pt idx="4">
                    <c:v>$ 160.00</c:v>
                  </c:pt>
                  <c:pt idx="5">
                    <c:v>$ 165.00</c:v>
                  </c:pt>
                  <c:pt idx="6">
                    <c:v>$ 170.00</c:v>
                  </c:pt>
                  <c:pt idx="7">
                    <c:v>$ 171.80</c:v>
                  </c:pt>
                  <c:pt idx="8">
                    <c:v>$ 175.00</c:v>
                  </c:pt>
                  <c:pt idx="9">
                    <c:v>$ 180.00</c:v>
                  </c:pt>
                  <c:pt idx="10">
                    <c:v>$ 185.00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  <c:pt idx="8">
                    <c:v>6</c:v>
                  </c:pt>
                  <c:pt idx="9">
                    <c:v>8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'Figure 13.13'!$U$23:$U$33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3.1999999999999886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3.1999999999999886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3-4C8B-AE67-47B6D3C33C3C}"/>
            </c:ext>
          </c:extLst>
        </c:ser>
        <c:ser>
          <c:idx val="1"/>
          <c:order val="1"/>
          <c:tx>
            <c:strRef>
              <c:f>'Figure 13.13'!$V$22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'Figure 13.13'!$S$23:$T$33</c:f>
              <c:multiLvlStrCache>
                <c:ptCount val="11"/>
                <c:lvl>
                  <c:pt idx="0">
                    <c:v>$ 145.00</c:v>
                  </c:pt>
                  <c:pt idx="1">
                    <c:v>$ 150.00</c:v>
                  </c:pt>
                  <c:pt idx="2">
                    <c:v>$ 155.00</c:v>
                  </c:pt>
                  <c:pt idx="3">
                    <c:v>$ 158.20</c:v>
                  </c:pt>
                  <c:pt idx="4">
                    <c:v>$ 160.00</c:v>
                  </c:pt>
                  <c:pt idx="5">
                    <c:v>$ 165.00</c:v>
                  </c:pt>
                  <c:pt idx="6">
                    <c:v>$ 170.00</c:v>
                  </c:pt>
                  <c:pt idx="7">
                    <c:v>$ 171.80</c:v>
                  </c:pt>
                  <c:pt idx="8">
                    <c:v>$ 175.00</c:v>
                  </c:pt>
                  <c:pt idx="9">
                    <c:v>$ 180.00</c:v>
                  </c:pt>
                  <c:pt idx="10">
                    <c:v>$ 185.00</c:v>
                  </c:pt>
                </c:lvl>
                <c:lvl>
                  <c:pt idx="0">
                    <c:v>-10</c:v>
                  </c:pt>
                  <c:pt idx="1">
                    <c:v>-8</c:v>
                  </c:pt>
                  <c:pt idx="2">
                    <c:v>-6</c:v>
                  </c:pt>
                  <c:pt idx="3">
                    <c:v>-4</c:v>
                  </c:pt>
                  <c:pt idx="4">
                    <c:v>-2</c:v>
                  </c:pt>
                  <c:pt idx="5">
                    <c:v>0</c:v>
                  </c:pt>
                  <c:pt idx="6">
                    <c:v>2</c:v>
                  </c:pt>
                  <c:pt idx="7">
                    <c:v>4</c:v>
                  </c:pt>
                  <c:pt idx="8">
                    <c:v>6</c:v>
                  </c:pt>
                  <c:pt idx="9">
                    <c:v>8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'Figure 13.13'!$V$23:$V$33</c:f>
              <c:numCache>
                <c:formatCode>_("$"* #,##0.00_);_("$"* \(#,##0.00\);_("$"* "-"??_);_(@_)</c:formatCode>
                <c:ptCount val="11"/>
                <c:pt idx="0">
                  <c:v>-3.2000000000000011</c:v>
                </c:pt>
                <c:pt idx="1">
                  <c:v>-3.2000000000000011</c:v>
                </c:pt>
                <c:pt idx="2">
                  <c:v>-3.2000000000000011</c:v>
                </c:pt>
                <c:pt idx="3">
                  <c:v>-1.2434497875801753E-14</c:v>
                </c:pt>
                <c:pt idx="4">
                  <c:v>1.7999999999999989</c:v>
                </c:pt>
                <c:pt idx="5">
                  <c:v>6.7999999999999989</c:v>
                </c:pt>
                <c:pt idx="6">
                  <c:v>1.7999999999999989</c:v>
                </c:pt>
                <c:pt idx="7">
                  <c:v>-1.2434497875801753E-14</c:v>
                </c:pt>
                <c:pt idx="8">
                  <c:v>-3.2000000000000011</c:v>
                </c:pt>
                <c:pt idx="9">
                  <c:v>-3.2000000000000011</c:v>
                </c:pt>
                <c:pt idx="10">
                  <c:v>-3.2000000000000011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3-4C8B-AE67-47B6D3C33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461944"/>
        <c:axId val="349459648"/>
      </c:lineChart>
      <c:catAx>
        <c:axId val="34946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59648"/>
        <c:crosses val="autoZero"/>
        <c:auto val="1"/>
        <c:lblAlgn val="ctr"/>
        <c:lblOffset val="100"/>
        <c:noMultiLvlLbl val="0"/>
      </c:catAx>
      <c:valAx>
        <c:axId val="3494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ustomXml" Target="../ink/ink3.xml"/><Relationship Id="rId2" Type="http://schemas.openxmlformats.org/officeDocument/2006/relationships/image" Target="../media/image2.png"/><Relationship Id="rId1" Type="http://schemas.openxmlformats.org/officeDocument/2006/relationships/customXml" Target="../ink/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381529</xdr:colOff>
      <xdr:row>2</xdr:row>
      <xdr:rowOff>29634</xdr:rowOff>
    </xdr:from>
    <xdr:to>
      <xdr:col>11</xdr:col>
      <xdr:colOff>857249</xdr:colOff>
      <xdr:row>10</xdr:row>
      <xdr:rowOff>342900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74538E-D4E3-465F-BBCC-EDC605012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96307</xdr:colOff>
      <xdr:row>3</xdr:row>
      <xdr:rowOff>209550</xdr:rowOff>
    </xdr:from>
    <xdr:to>
      <xdr:col>10</xdr:col>
      <xdr:colOff>106891</xdr:colOff>
      <xdr:row>10</xdr:row>
      <xdr:rowOff>198966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12A3C0B-286F-42E7-98F4-74D76C293298}"/>
            </a:ext>
          </a:extLst>
        </xdr:cNvPr>
        <xdr:cNvCxnSpPr/>
      </xdr:nvCxnSpPr>
      <xdr:spPr>
        <a:xfrm>
          <a:off x="6325657" y="914400"/>
          <a:ext cx="10584" cy="2732616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3</xdr:row>
      <xdr:rowOff>236009</xdr:rowOff>
    </xdr:from>
    <xdr:to>
      <xdr:col>10</xdr:col>
      <xdr:colOff>503767</xdr:colOff>
      <xdr:row>3</xdr:row>
      <xdr:rowOff>552450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9C59442-0120-46DE-A8BD-BBE16884236C}"/>
            </a:ext>
          </a:extLst>
        </xdr:cNvPr>
        <xdr:cNvSpPr txBox="1"/>
      </xdr:nvSpPr>
      <xdr:spPr>
        <a:xfrm>
          <a:off x="5895975" y="940859"/>
          <a:ext cx="837142" cy="3164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</a:t>
          </a:r>
          <a:r>
            <a:rPr lang="en-US" sz="1100" b="1" baseline="0">
              <a:solidFill>
                <a:srgbClr val="FF0000"/>
              </a:solidFill>
            </a:rPr>
            <a:t> $175.65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135466</xdr:colOff>
      <xdr:row>5</xdr:row>
      <xdr:rowOff>27517</xdr:rowOff>
    </xdr:from>
    <xdr:to>
      <xdr:col>11</xdr:col>
      <xdr:colOff>802216</xdr:colOff>
      <xdr:row>5</xdr:row>
      <xdr:rowOff>237066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00F7BBE-E0D0-4177-9C38-CC4611BF2964}"/>
            </a:ext>
          </a:extLst>
        </xdr:cNvPr>
        <xdr:cNvSpPr txBox="1"/>
      </xdr:nvSpPr>
      <xdr:spPr>
        <a:xfrm>
          <a:off x="7164916" y="1713442"/>
          <a:ext cx="6667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  <xdr:twoCellAnchor>
    <xdr:from>
      <xdr:col>11</xdr:col>
      <xdr:colOff>47625</xdr:colOff>
      <xdr:row>3</xdr:row>
      <xdr:rowOff>276225</xdr:rowOff>
    </xdr:from>
    <xdr:to>
      <xdr:col>11</xdr:col>
      <xdr:colOff>714374</xdr:colOff>
      <xdr:row>3</xdr:row>
      <xdr:rowOff>485773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EB8FBC5-859D-4F03-B9CC-BA81BA938F7D}"/>
            </a:ext>
          </a:extLst>
        </xdr:cNvPr>
        <xdr:cNvSpPr txBox="1"/>
      </xdr:nvSpPr>
      <xdr:spPr>
        <a:xfrm>
          <a:off x="7077075" y="981075"/>
          <a:ext cx="666749" cy="2095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178860</xdr:colOff>
      <xdr:row>1</xdr:row>
      <xdr:rowOff>112713</xdr:rowOff>
    </xdr:from>
    <xdr:to>
      <xdr:col>15</xdr:col>
      <xdr:colOff>571501</xdr:colOff>
      <xdr:row>11</xdr:row>
      <xdr:rowOff>29635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411E9E-BCCF-4C7C-92BE-A2ECC3C16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581025</xdr:colOff>
      <xdr:row>3</xdr:row>
      <xdr:rowOff>238125</xdr:rowOff>
    </xdr:from>
    <xdr:to>
      <xdr:col>13</xdr:col>
      <xdr:colOff>581025</xdr:colOff>
      <xdr:row>10</xdr:row>
      <xdr:rowOff>134408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F8E7918-FE3B-4F14-89C2-B1EBB1A6D7F7}"/>
            </a:ext>
          </a:extLst>
        </xdr:cNvPr>
        <xdr:cNvCxnSpPr/>
      </xdr:nvCxnSpPr>
      <xdr:spPr>
        <a:xfrm>
          <a:off x="9602258" y="867833"/>
          <a:ext cx="0" cy="2026708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542925</xdr:colOff>
      <xdr:row>3</xdr:row>
      <xdr:rowOff>247650</xdr:rowOff>
    </xdr:from>
    <xdr:to>
      <xdr:col>11</xdr:col>
      <xdr:colOff>542925</xdr:colOff>
      <xdr:row>10</xdr:row>
      <xdr:rowOff>143933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F04EA83-A747-49FE-A2DF-A7CBEA08986E}"/>
            </a:ext>
          </a:extLst>
        </xdr:cNvPr>
        <xdr:cNvCxnSpPr/>
      </xdr:nvCxnSpPr>
      <xdr:spPr>
        <a:xfrm>
          <a:off x="8211608" y="874183"/>
          <a:ext cx="0" cy="2030942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247650</xdr:rowOff>
    </xdr:from>
    <xdr:to>
      <xdr:col>12</xdr:col>
      <xdr:colOff>315384</xdr:colOff>
      <xdr:row>3</xdr:row>
      <xdr:rowOff>486832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5912A6-3287-47CF-BF7B-B9AADE7692C6}"/>
            </a:ext>
          </a:extLst>
        </xdr:cNvPr>
        <xdr:cNvSpPr txBox="1"/>
      </xdr:nvSpPr>
      <xdr:spPr>
        <a:xfrm>
          <a:off x="7716308" y="874183"/>
          <a:ext cx="835026" cy="2402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$158.20</a:t>
          </a:r>
        </a:p>
      </xdr:txBody>
    </xdr:sp>
    <xdr:clientData/>
  </xdr:twoCellAnchor>
  <xdr:twoCellAnchor>
    <xdr:from>
      <xdr:col>13</xdr:col>
      <xdr:colOff>133350</xdr:colOff>
      <xdr:row>3</xdr:row>
      <xdr:rowOff>257175</xdr:rowOff>
    </xdr:from>
    <xdr:to>
      <xdr:col>14</xdr:col>
      <xdr:colOff>248709</xdr:colOff>
      <xdr:row>3</xdr:row>
      <xdr:rowOff>496357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432902E-7DA5-4036-B155-11084BBBC050}"/>
            </a:ext>
          </a:extLst>
        </xdr:cNvPr>
        <xdr:cNvSpPr txBox="1"/>
      </xdr:nvSpPr>
      <xdr:spPr>
        <a:xfrm>
          <a:off x="9151408" y="884767"/>
          <a:ext cx="839259" cy="240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$171.80</a:t>
          </a:r>
        </a:p>
      </xdr:txBody>
    </xdr:sp>
    <xdr:clientData/>
  </xdr:twoCellAnchor>
  <xdr:twoCellAnchor>
    <xdr:from>
      <xdr:col>9</xdr:col>
      <xdr:colOff>66675</xdr:colOff>
      <xdr:row>6</xdr:row>
      <xdr:rowOff>180975</xdr:rowOff>
    </xdr:from>
    <xdr:to>
      <xdr:col>10</xdr:col>
      <xdr:colOff>554566</xdr:colOff>
      <xdr:row>7</xdr:row>
      <xdr:rowOff>135466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74984A7-3F0C-4118-9C49-F3D3BFD2082C}"/>
            </a:ext>
          </a:extLst>
        </xdr:cNvPr>
        <xdr:cNvSpPr txBox="1"/>
      </xdr:nvSpPr>
      <xdr:spPr>
        <a:xfrm>
          <a:off x="6952192" y="1913467"/>
          <a:ext cx="667807" cy="2106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  <xdr:twoCellAnchor>
    <xdr:from>
      <xdr:col>12</xdr:col>
      <xdr:colOff>371475</xdr:colOff>
      <xdr:row>6</xdr:row>
      <xdr:rowOff>209550</xdr:rowOff>
    </xdr:from>
    <xdr:to>
      <xdr:col>13</xdr:col>
      <xdr:colOff>259291</xdr:colOff>
      <xdr:row>7</xdr:row>
      <xdr:rowOff>161924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4879B3C-DCF8-47AF-A13C-EBDD6F802727}"/>
            </a:ext>
          </a:extLst>
        </xdr:cNvPr>
        <xdr:cNvSpPr txBox="1"/>
      </xdr:nvSpPr>
      <xdr:spPr>
        <a:xfrm>
          <a:off x="8609542" y="1940983"/>
          <a:ext cx="668866" cy="212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9526</xdr:rowOff>
    </xdr:from>
    <xdr:to>
      <xdr:col>4</xdr:col>
      <xdr:colOff>0</xdr:colOff>
      <xdr:row>8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23BB69E-9CB2-4E32-A6EB-681EB1A6754E}"/>
            </a:ext>
          </a:extLst>
        </xdr:cNvPr>
        <xdr:cNvCxnSpPr/>
      </xdr:nvCxnSpPr>
      <xdr:spPr>
        <a:xfrm flipV="1">
          <a:off x="4104217" y="1934634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9</xdr:row>
      <xdr:rowOff>0</xdr:rowOff>
    </xdr:from>
    <xdr:to>
      <xdr:col>4</xdr:col>
      <xdr:colOff>38100</xdr:colOff>
      <xdr:row>10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CD376EF-62D0-4436-AB30-3B611C7C9C41}"/>
            </a:ext>
          </a:extLst>
        </xdr:cNvPr>
        <xdr:cNvCxnSpPr/>
      </xdr:nvCxnSpPr>
      <xdr:spPr>
        <a:xfrm>
          <a:off x="4103158" y="2305050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6</xdr:row>
      <xdr:rowOff>178859</xdr:rowOff>
    </xdr:from>
    <xdr:to>
      <xdr:col>5</xdr:col>
      <xdr:colOff>342900</xdr:colOff>
      <xdr:row>6</xdr:row>
      <xdr:rowOff>190500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28E6EEA-BC8F-4BBF-89B2-96468967A1A7}"/>
            </a:ext>
          </a:extLst>
        </xdr:cNvPr>
        <xdr:cNvCxnSpPr/>
      </xdr:nvCxnSpPr>
      <xdr:spPr>
        <a:xfrm>
          <a:off x="3200400" y="1379009"/>
          <a:ext cx="314325" cy="1164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16933</xdr:colOff>
      <xdr:row>10</xdr:row>
      <xdr:rowOff>179919</xdr:rowOff>
    </xdr:from>
    <xdr:to>
      <xdr:col>5</xdr:col>
      <xdr:colOff>342900</xdr:colOff>
      <xdr:row>10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4BCAE4B-A61E-48A8-AAF8-BC2FC6702E7A}"/>
            </a:ext>
          </a:extLst>
        </xdr:cNvPr>
        <xdr:cNvCxnSpPr/>
      </xdr:nvCxnSpPr>
      <xdr:spPr>
        <a:xfrm>
          <a:off x="3188758" y="2408769"/>
          <a:ext cx="325967" cy="105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7</xdr:row>
      <xdr:rowOff>9526</xdr:rowOff>
    </xdr:from>
    <xdr:to>
      <xdr:col>11</xdr:col>
      <xdr:colOff>0</xdr:colOff>
      <xdr:row>8</xdr:row>
      <xdr:rowOff>19050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0434AAD-8ED8-4D32-A705-589C0825D6BD}"/>
            </a:ext>
          </a:extLst>
        </xdr:cNvPr>
        <xdr:cNvCxnSpPr/>
      </xdr:nvCxnSpPr>
      <xdr:spPr>
        <a:xfrm flipV="1">
          <a:off x="2589742" y="1353609"/>
          <a:ext cx="648758" cy="2254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9</xdr:row>
      <xdr:rowOff>0</xdr:rowOff>
    </xdr:from>
    <xdr:to>
      <xdr:col>11</xdr:col>
      <xdr:colOff>38100</xdr:colOff>
      <xdr:row>10</xdr:row>
      <xdr:rowOff>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9DEA0FCF-6A56-4EB7-B983-AB4B1A69DBED}"/>
            </a:ext>
          </a:extLst>
        </xdr:cNvPr>
        <xdr:cNvCxnSpPr/>
      </xdr:nvCxnSpPr>
      <xdr:spPr>
        <a:xfrm>
          <a:off x="2588683" y="1885950"/>
          <a:ext cx="687917" cy="1619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6</xdr:row>
      <xdr:rowOff>178859</xdr:rowOff>
    </xdr:from>
    <xdr:to>
      <xdr:col>12</xdr:col>
      <xdr:colOff>333375</xdr:colOff>
      <xdr:row>6</xdr:row>
      <xdr:rowOff>180975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D5C7683D-EA58-469A-AA50-F78CF799CC3A}"/>
            </a:ext>
          </a:extLst>
        </xdr:cNvPr>
        <xdr:cNvCxnSpPr/>
      </xdr:nvCxnSpPr>
      <xdr:spPr>
        <a:xfrm>
          <a:off x="7553325" y="1379009"/>
          <a:ext cx="304800" cy="211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16933</xdr:colOff>
      <xdr:row>10</xdr:row>
      <xdr:rowOff>179919</xdr:rowOff>
    </xdr:from>
    <xdr:to>
      <xdr:col>12</xdr:col>
      <xdr:colOff>333375</xdr:colOff>
      <xdr:row>10</xdr:row>
      <xdr:rowOff>180975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175DCD01-4E01-4FB8-A3DC-7D3D3E11EE26}"/>
            </a:ext>
          </a:extLst>
        </xdr:cNvPr>
        <xdr:cNvCxnSpPr/>
      </xdr:nvCxnSpPr>
      <xdr:spPr>
        <a:xfrm>
          <a:off x="7541683" y="2408769"/>
          <a:ext cx="316442" cy="105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7</xdr:row>
      <xdr:rowOff>9526</xdr:rowOff>
    </xdr:from>
    <xdr:to>
      <xdr:col>7</xdr:col>
      <xdr:colOff>0</xdr:colOff>
      <xdr:row>8</xdr:row>
      <xdr:rowOff>19050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202C99B-416F-421E-8816-AD14D611CAA4}"/>
            </a:ext>
          </a:extLst>
        </xdr:cNvPr>
        <xdr:cNvCxnSpPr/>
      </xdr:nvCxnSpPr>
      <xdr:spPr>
        <a:xfrm flipV="1">
          <a:off x="4104217" y="1934634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9</xdr:row>
      <xdr:rowOff>0</xdr:rowOff>
    </xdr:from>
    <xdr:to>
      <xdr:col>7</xdr:col>
      <xdr:colOff>38100</xdr:colOff>
      <xdr:row>10</xdr:row>
      <xdr:rowOff>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033B312C-729C-462C-BFFD-C2C22D29D10F}"/>
            </a:ext>
          </a:extLst>
        </xdr:cNvPr>
        <xdr:cNvCxnSpPr/>
      </xdr:nvCxnSpPr>
      <xdr:spPr>
        <a:xfrm>
          <a:off x="4103158" y="2305050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26459</xdr:colOff>
      <xdr:row>6</xdr:row>
      <xdr:rowOff>113241</xdr:rowOff>
    </xdr:from>
    <xdr:to>
      <xdr:col>9</xdr:col>
      <xdr:colOff>257175</xdr:colOff>
      <xdr:row>6</xdr:row>
      <xdr:rowOff>114300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297FAB32-31CB-4992-A3A6-A02D12A6262C}"/>
            </a:ext>
          </a:extLst>
        </xdr:cNvPr>
        <xdr:cNvCxnSpPr/>
      </xdr:nvCxnSpPr>
      <xdr:spPr>
        <a:xfrm>
          <a:off x="4436534" y="1351491"/>
          <a:ext cx="649816" cy="105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10</xdr:row>
      <xdr:rowOff>123825</xdr:rowOff>
    </xdr:from>
    <xdr:to>
      <xdr:col>9</xdr:col>
      <xdr:colOff>259291</xdr:colOff>
      <xdr:row>10</xdr:row>
      <xdr:rowOff>124884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46717AF9-77FE-4274-9C0E-975543086EE8}"/>
            </a:ext>
          </a:extLst>
        </xdr:cNvPr>
        <xdr:cNvCxnSpPr/>
      </xdr:nvCxnSpPr>
      <xdr:spPr>
        <a:xfrm>
          <a:off x="4438650" y="2124075"/>
          <a:ext cx="649816" cy="105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7</xdr:row>
      <xdr:rowOff>9526</xdr:rowOff>
    </xdr:from>
    <xdr:to>
      <xdr:col>7</xdr:col>
      <xdr:colOff>0</xdr:colOff>
      <xdr:row>8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A1A253D-58EC-4DC8-A943-E8019B7CED58}"/>
            </a:ext>
          </a:extLst>
        </xdr:cNvPr>
        <xdr:cNvCxnSpPr/>
      </xdr:nvCxnSpPr>
      <xdr:spPr>
        <a:xfrm flipV="1">
          <a:off x="3246967" y="1439334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9</xdr:row>
      <xdr:rowOff>0</xdr:rowOff>
    </xdr:from>
    <xdr:to>
      <xdr:col>7</xdr:col>
      <xdr:colOff>38100</xdr:colOff>
      <xdr:row>10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96EF7E2-911B-4DE1-A67C-D4BB05B84641}"/>
            </a:ext>
          </a:extLst>
        </xdr:cNvPr>
        <xdr:cNvCxnSpPr/>
      </xdr:nvCxnSpPr>
      <xdr:spPr>
        <a:xfrm>
          <a:off x="3245908" y="1809750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26459</xdr:colOff>
      <xdr:row>6</xdr:row>
      <xdr:rowOff>113241</xdr:rowOff>
    </xdr:from>
    <xdr:to>
      <xdr:col>9</xdr:col>
      <xdr:colOff>257175</xdr:colOff>
      <xdr:row>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7FB01B3-8E1F-4EF3-BD37-4A78DFED2920}"/>
            </a:ext>
          </a:extLst>
        </xdr:cNvPr>
        <xdr:cNvCxnSpPr/>
      </xdr:nvCxnSpPr>
      <xdr:spPr>
        <a:xfrm>
          <a:off x="4573059" y="1351491"/>
          <a:ext cx="645583" cy="105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10</xdr:row>
      <xdr:rowOff>123825</xdr:rowOff>
    </xdr:from>
    <xdr:to>
      <xdr:col>9</xdr:col>
      <xdr:colOff>259291</xdr:colOff>
      <xdr:row>10</xdr:row>
      <xdr:rowOff>124884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762D11D-EC8D-4778-A19B-55B97C890756}"/>
            </a:ext>
          </a:extLst>
        </xdr:cNvPr>
        <xdr:cNvCxnSpPr/>
      </xdr:nvCxnSpPr>
      <xdr:spPr>
        <a:xfrm>
          <a:off x="4570942" y="2125133"/>
          <a:ext cx="649816" cy="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7</xdr:row>
      <xdr:rowOff>9526</xdr:rowOff>
    </xdr:from>
    <xdr:to>
      <xdr:col>7</xdr:col>
      <xdr:colOff>0</xdr:colOff>
      <xdr:row>8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08B5075-4EA8-4D06-A2EE-7F51FCB6D81E}"/>
            </a:ext>
          </a:extLst>
        </xdr:cNvPr>
        <xdr:cNvCxnSpPr/>
      </xdr:nvCxnSpPr>
      <xdr:spPr>
        <a:xfrm flipV="1">
          <a:off x="4104217" y="85926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9</xdr:row>
      <xdr:rowOff>0</xdr:rowOff>
    </xdr:from>
    <xdr:to>
      <xdr:col>7</xdr:col>
      <xdr:colOff>38100</xdr:colOff>
      <xdr:row>10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7257604-A16D-4D6D-835A-7A87DCE44D93}"/>
            </a:ext>
          </a:extLst>
        </xdr:cNvPr>
        <xdr:cNvCxnSpPr/>
      </xdr:nvCxnSpPr>
      <xdr:spPr>
        <a:xfrm>
          <a:off x="4103158" y="89630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4</xdr:row>
      <xdr:rowOff>104775</xdr:rowOff>
    </xdr:from>
    <xdr:to>
      <xdr:col>10</xdr:col>
      <xdr:colOff>514350</xdr:colOff>
      <xdr:row>8</xdr:row>
      <xdr:rowOff>95250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D87EA994-7658-459C-99D4-F6B9A5799F3E}"/>
            </a:ext>
          </a:extLst>
        </xdr:cNvPr>
        <xdr:cNvSpPr/>
      </xdr:nvSpPr>
      <xdr:spPr>
        <a:xfrm>
          <a:off x="6875992" y="7885642"/>
          <a:ext cx="332316" cy="9800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9525</xdr:colOff>
      <xdr:row>6</xdr:row>
      <xdr:rowOff>9524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29C7A88-7A9D-4963-9BF4-726C527C8B19}"/>
            </a:ext>
          </a:extLst>
        </xdr:cNvPr>
        <xdr:cNvCxnSpPr/>
      </xdr:nvCxnSpPr>
      <xdr:spPr>
        <a:xfrm flipV="1">
          <a:off x="5400675" y="8048625"/>
          <a:ext cx="658283" cy="2772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180975</xdr:rowOff>
    </xdr:from>
    <xdr:to>
      <xdr:col>9</xdr:col>
      <xdr:colOff>66675</xdr:colOff>
      <xdr:row>11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55C2BD8-D248-4314-9870-D4F4028C4F27}"/>
            </a:ext>
          </a:extLst>
        </xdr:cNvPr>
        <xdr:cNvCxnSpPr/>
      </xdr:nvCxnSpPr>
      <xdr:spPr>
        <a:xfrm>
          <a:off x="5411258" y="9333442"/>
          <a:ext cx="702734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190500</xdr:rowOff>
    </xdr:from>
    <xdr:to>
      <xdr:col>9</xdr:col>
      <xdr:colOff>9525</xdr:colOff>
      <xdr:row>9</xdr:row>
      <xdr:rowOff>200024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3ED25F9-5A07-4238-8500-9FD5AB5DD325}"/>
            </a:ext>
          </a:extLst>
        </xdr:cNvPr>
        <xdr:cNvCxnSpPr/>
      </xdr:nvCxnSpPr>
      <xdr:spPr>
        <a:xfrm flipV="1">
          <a:off x="5400675" y="8963025"/>
          <a:ext cx="658283" cy="191557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57150</xdr:colOff>
      <xdr:row>8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D153534-CD2B-49A8-9EFC-48B717152361}"/>
            </a:ext>
          </a:extLst>
        </xdr:cNvPr>
        <xdr:cNvCxnSpPr/>
      </xdr:nvCxnSpPr>
      <xdr:spPr>
        <a:xfrm>
          <a:off x="5400675" y="8582025"/>
          <a:ext cx="702733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8</xdr:row>
      <xdr:rowOff>161925</xdr:rowOff>
    </xdr:from>
    <xdr:to>
      <xdr:col>10</xdr:col>
      <xdr:colOff>523875</xdr:colOff>
      <xdr:row>12</xdr:row>
      <xdr:rowOff>152400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FBE1C62-169F-4624-BF14-1951AD7BC48E}"/>
            </a:ext>
          </a:extLst>
        </xdr:cNvPr>
        <xdr:cNvSpPr/>
      </xdr:nvSpPr>
      <xdr:spPr>
        <a:xfrm>
          <a:off x="6886575" y="893550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</xdr:row>
      <xdr:rowOff>152400</xdr:rowOff>
    </xdr:from>
    <xdr:to>
      <xdr:col>12</xdr:col>
      <xdr:colOff>9525</xdr:colOff>
      <xdr:row>4</xdr:row>
      <xdr:rowOff>161925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AE736FA-457D-477E-ABE6-10FF9351CF24}"/>
            </a:ext>
          </a:extLst>
        </xdr:cNvPr>
        <xdr:cNvCxnSpPr/>
      </xdr:nvCxnSpPr>
      <xdr:spPr>
        <a:xfrm flipV="1">
          <a:off x="7410450" y="7934325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95250</xdr:rowOff>
    </xdr:from>
    <xdr:to>
      <xdr:col>12</xdr:col>
      <xdr:colOff>9525</xdr:colOff>
      <xdr:row>8</xdr:row>
      <xdr:rowOff>104775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C0DB3A6-1781-4579-BF28-D5378F5A0860}"/>
            </a:ext>
          </a:extLst>
        </xdr:cNvPr>
        <xdr:cNvCxnSpPr/>
      </xdr:nvCxnSpPr>
      <xdr:spPr>
        <a:xfrm flipV="1">
          <a:off x="7410450" y="8865658"/>
          <a:ext cx="6582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</xdr:row>
      <xdr:rowOff>104775</xdr:rowOff>
    </xdr:from>
    <xdr:to>
      <xdr:col>12</xdr:col>
      <xdr:colOff>9525</xdr:colOff>
      <xdr:row>12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CA91AA4-BABC-4599-9245-033026C1E1B0}"/>
            </a:ext>
          </a:extLst>
        </xdr:cNvPr>
        <xdr:cNvCxnSpPr/>
      </xdr:nvCxnSpPr>
      <xdr:spPr>
        <a:xfrm flipV="1">
          <a:off x="7410450" y="9638242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23</xdr:row>
      <xdr:rowOff>9526</xdr:rowOff>
    </xdr:from>
    <xdr:to>
      <xdr:col>7</xdr:col>
      <xdr:colOff>0</xdr:colOff>
      <xdr:row>24</xdr:row>
      <xdr:rowOff>19050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98235A58-3198-4C7A-B981-29DABDE0C794}"/>
            </a:ext>
          </a:extLst>
        </xdr:cNvPr>
        <xdr:cNvCxnSpPr/>
      </xdr:nvCxnSpPr>
      <xdr:spPr>
        <a:xfrm flipV="1">
          <a:off x="4104217" y="1200255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25</xdr:row>
      <xdr:rowOff>0</xdr:rowOff>
    </xdr:from>
    <xdr:to>
      <xdr:col>7</xdr:col>
      <xdr:colOff>38100</xdr:colOff>
      <xdr:row>26</xdr:row>
      <xdr:rowOff>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8DE64226-96B2-4A4A-BEAA-D99C80B8896A}"/>
            </a:ext>
          </a:extLst>
        </xdr:cNvPr>
        <xdr:cNvCxnSpPr/>
      </xdr:nvCxnSpPr>
      <xdr:spPr>
        <a:xfrm>
          <a:off x="4103158" y="1237297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20</xdr:row>
      <xdr:rowOff>104775</xdr:rowOff>
    </xdr:from>
    <xdr:to>
      <xdr:col>10</xdr:col>
      <xdr:colOff>514350</xdr:colOff>
      <xdr:row>24</xdr:row>
      <xdr:rowOff>95250</xdr:rowOff>
    </xdr:to>
    <xdr:sp macro="" textlink="">
      <xdr:nvSpPr>
        <xdr:cNvPr id="37" name="Right Brace 36">
          <a:extLst>
            <a:ext uri="{FF2B5EF4-FFF2-40B4-BE49-F238E27FC236}">
              <a16:creationId xmlns:a16="http://schemas.microsoft.com/office/drawing/2014/main" id="{00620E52-3A40-4A4B-A284-B9AD91D54483}"/>
            </a:ext>
          </a:extLst>
        </xdr:cNvPr>
        <xdr:cNvSpPr/>
      </xdr:nvSpPr>
      <xdr:spPr>
        <a:xfrm>
          <a:off x="6875992" y="11524192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9525</xdr:colOff>
      <xdr:row>22</xdr:row>
      <xdr:rowOff>9524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C7F96BA-7AEC-41C8-A14B-D439834D95A1}"/>
            </a:ext>
          </a:extLst>
        </xdr:cNvPr>
        <xdr:cNvCxnSpPr/>
      </xdr:nvCxnSpPr>
      <xdr:spPr>
        <a:xfrm flipV="1">
          <a:off x="5400675" y="1161097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26</xdr:row>
      <xdr:rowOff>180975</xdr:rowOff>
    </xdr:from>
    <xdr:to>
      <xdr:col>9</xdr:col>
      <xdr:colOff>66675</xdr:colOff>
      <xdr:row>27</xdr:row>
      <xdr:rowOff>180975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264E6CE2-F83C-43E6-8369-502FB717A483}"/>
            </a:ext>
          </a:extLst>
        </xdr:cNvPr>
        <xdr:cNvCxnSpPr/>
      </xdr:nvCxnSpPr>
      <xdr:spPr>
        <a:xfrm>
          <a:off x="5411258" y="12743392"/>
          <a:ext cx="702734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</xdr:row>
      <xdr:rowOff>190500</xdr:rowOff>
    </xdr:from>
    <xdr:to>
      <xdr:col>9</xdr:col>
      <xdr:colOff>9525</xdr:colOff>
      <xdr:row>25</xdr:row>
      <xdr:rowOff>200024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F35D39E-C934-4C2D-83F3-AE69D5E97E5F}"/>
            </a:ext>
          </a:extLst>
        </xdr:cNvPr>
        <xdr:cNvCxnSpPr/>
      </xdr:nvCxnSpPr>
      <xdr:spPr>
        <a:xfrm flipV="1">
          <a:off x="5400675" y="12372975"/>
          <a:ext cx="658283" cy="191557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9</xdr:col>
      <xdr:colOff>57150</xdr:colOff>
      <xdr:row>24</xdr:row>
      <xdr:rowOff>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2A75C0B7-D9E9-4530-9532-13941A089185}"/>
            </a:ext>
          </a:extLst>
        </xdr:cNvPr>
        <xdr:cNvCxnSpPr/>
      </xdr:nvCxnSpPr>
      <xdr:spPr>
        <a:xfrm>
          <a:off x="5400675" y="11991975"/>
          <a:ext cx="702733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24</xdr:row>
      <xdr:rowOff>161925</xdr:rowOff>
    </xdr:from>
    <xdr:to>
      <xdr:col>10</xdr:col>
      <xdr:colOff>523875</xdr:colOff>
      <xdr:row>28</xdr:row>
      <xdr:rowOff>152400</xdr:rowOff>
    </xdr:to>
    <xdr:sp macro="" textlink="">
      <xdr:nvSpPr>
        <xdr:cNvPr id="42" name="Right Brace 41">
          <a:extLst>
            <a:ext uri="{FF2B5EF4-FFF2-40B4-BE49-F238E27FC236}">
              <a16:creationId xmlns:a16="http://schemas.microsoft.com/office/drawing/2014/main" id="{EE46E763-4F11-4BE0-93E0-0B8D106F1496}"/>
            </a:ext>
          </a:extLst>
        </xdr:cNvPr>
        <xdr:cNvSpPr/>
      </xdr:nvSpPr>
      <xdr:spPr>
        <a:xfrm>
          <a:off x="6886575" y="1234545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20</xdr:row>
      <xdr:rowOff>152400</xdr:rowOff>
    </xdr:from>
    <xdr:to>
      <xdr:col>12</xdr:col>
      <xdr:colOff>9525</xdr:colOff>
      <xdr:row>20</xdr:row>
      <xdr:rowOff>161925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DF7D45F-C744-4F3F-AEF6-DE8F766107AA}"/>
            </a:ext>
          </a:extLst>
        </xdr:cNvPr>
        <xdr:cNvCxnSpPr/>
      </xdr:nvCxnSpPr>
      <xdr:spPr>
        <a:xfrm flipV="1">
          <a:off x="7410450" y="11572875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95250</xdr:rowOff>
    </xdr:from>
    <xdr:to>
      <xdr:col>12</xdr:col>
      <xdr:colOff>9525</xdr:colOff>
      <xdr:row>24</xdr:row>
      <xdr:rowOff>104775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62C851EE-742B-445D-8E1F-BBE591637981}"/>
            </a:ext>
          </a:extLst>
        </xdr:cNvPr>
        <xdr:cNvCxnSpPr/>
      </xdr:nvCxnSpPr>
      <xdr:spPr>
        <a:xfrm flipV="1">
          <a:off x="7410450" y="12275608"/>
          <a:ext cx="6582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104775</xdr:rowOff>
    </xdr:from>
    <xdr:to>
      <xdr:col>12</xdr:col>
      <xdr:colOff>9525</xdr:colOff>
      <xdr:row>28</xdr:row>
      <xdr:rowOff>114300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E7789A29-BF18-4C79-B1A2-D11AB9F0A9AD}"/>
            </a:ext>
          </a:extLst>
        </xdr:cNvPr>
        <xdr:cNvCxnSpPr/>
      </xdr:nvCxnSpPr>
      <xdr:spPr>
        <a:xfrm flipV="1">
          <a:off x="7410450" y="13048192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9525</xdr:colOff>
      <xdr:row>24</xdr:row>
      <xdr:rowOff>9524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AE67BA5-6EA2-40AB-9393-DEEF2A5576C7}"/>
            </a:ext>
          </a:extLst>
        </xdr:cNvPr>
        <xdr:cNvCxnSpPr/>
      </xdr:nvCxnSpPr>
      <xdr:spPr>
        <a:xfrm flipV="1">
          <a:off x="4105275" y="1199197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8</xdr:row>
      <xdr:rowOff>9526</xdr:rowOff>
    </xdr:from>
    <xdr:to>
      <xdr:col>8</xdr:col>
      <xdr:colOff>0</xdr:colOff>
      <xdr:row>9</xdr:row>
      <xdr:rowOff>19050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D8895BF3-1109-4BA8-A8C5-C0D2FDB9B011}"/>
            </a:ext>
          </a:extLst>
        </xdr:cNvPr>
        <xdr:cNvCxnSpPr/>
      </xdr:nvCxnSpPr>
      <xdr:spPr>
        <a:xfrm flipV="1">
          <a:off x="4104217" y="154125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10</xdr:row>
      <xdr:rowOff>0</xdr:rowOff>
    </xdr:from>
    <xdr:to>
      <xdr:col>8</xdr:col>
      <xdr:colOff>38100</xdr:colOff>
      <xdr:row>11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DB4DBE6C-3940-4711-9526-503CDC1E9779}"/>
            </a:ext>
          </a:extLst>
        </xdr:cNvPr>
        <xdr:cNvCxnSpPr/>
      </xdr:nvCxnSpPr>
      <xdr:spPr>
        <a:xfrm>
          <a:off x="4103158" y="157829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56092</xdr:colOff>
      <xdr:row>5</xdr:row>
      <xdr:rowOff>103717</xdr:rowOff>
    </xdr:from>
    <xdr:to>
      <xdr:col>13</xdr:col>
      <xdr:colOff>388408</xdr:colOff>
      <xdr:row>9</xdr:row>
      <xdr:rowOff>93133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92E69959-31F8-4ADB-BD7B-37EAD8C394D9}"/>
            </a:ext>
          </a:extLst>
        </xdr:cNvPr>
        <xdr:cNvSpPr/>
      </xdr:nvSpPr>
      <xdr:spPr>
        <a:xfrm>
          <a:off x="7342717" y="1303867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9525</xdr:colOff>
      <xdr:row>7</xdr:row>
      <xdr:rowOff>9524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F3295ED-DF41-4BCE-808E-2BD6DE03F661}"/>
            </a:ext>
          </a:extLst>
        </xdr:cNvPr>
        <xdr:cNvCxnSpPr/>
      </xdr:nvCxnSpPr>
      <xdr:spPr>
        <a:xfrm flipV="1">
          <a:off x="6696075" y="15020925"/>
          <a:ext cx="724958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11</xdr:row>
      <xdr:rowOff>180975</xdr:rowOff>
    </xdr:from>
    <xdr:to>
      <xdr:col>12</xdr:col>
      <xdr:colOff>66675</xdr:colOff>
      <xdr:row>12</xdr:row>
      <xdr:rowOff>180975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6AFAAB7-3378-4518-BD6A-8AD91D774AF2}"/>
            </a:ext>
          </a:extLst>
        </xdr:cNvPr>
        <xdr:cNvCxnSpPr/>
      </xdr:nvCxnSpPr>
      <xdr:spPr>
        <a:xfrm>
          <a:off x="6706658" y="16153342"/>
          <a:ext cx="769409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0</xdr:rowOff>
    </xdr:from>
    <xdr:to>
      <xdr:col>12</xdr:col>
      <xdr:colOff>57150</xdr:colOff>
      <xdr:row>9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13EE5E94-2FB0-4A72-B3A2-5C939FE1CC87}"/>
            </a:ext>
          </a:extLst>
        </xdr:cNvPr>
        <xdr:cNvCxnSpPr/>
      </xdr:nvCxnSpPr>
      <xdr:spPr>
        <a:xfrm>
          <a:off x="6696075" y="15401925"/>
          <a:ext cx="769408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9</xdr:row>
      <xdr:rowOff>134408</xdr:rowOff>
    </xdr:from>
    <xdr:to>
      <xdr:col>13</xdr:col>
      <xdr:colOff>379942</xdr:colOff>
      <xdr:row>13</xdr:row>
      <xdr:rowOff>123825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BD2182A5-A9DC-4E16-890D-C89C67A0CA24}"/>
            </a:ext>
          </a:extLst>
        </xdr:cNvPr>
        <xdr:cNvSpPr/>
      </xdr:nvSpPr>
      <xdr:spPr>
        <a:xfrm>
          <a:off x="7334250" y="209655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419100</xdr:colOff>
      <xdr:row>5</xdr:row>
      <xdr:rowOff>104775</xdr:rowOff>
    </xdr:from>
    <xdr:to>
      <xdr:col>14</xdr:col>
      <xdr:colOff>401108</xdr:colOff>
      <xdr:row>5</xdr:row>
      <xdr:rowOff>115358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4357960-FFD4-41D4-A509-D4297ED51176}"/>
            </a:ext>
          </a:extLst>
        </xdr:cNvPr>
        <xdr:cNvCxnSpPr/>
      </xdr:nvCxnSpPr>
      <xdr:spPr>
        <a:xfrm flipV="1">
          <a:off x="7705725" y="1181100"/>
          <a:ext cx="515408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</xdr:row>
      <xdr:rowOff>95250</xdr:rowOff>
    </xdr:from>
    <xdr:to>
      <xdr:col>15</xdr:col>
      <xdr:colOff>9525</xdr:colOff>
      <xdr:row>9</xdr:row>
      <xdr:rowOff>104775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B6E3CD7E-9EEB-40C8-A945-9879B1808F49}"/>
            </a:ext>
          </a:extLst>
        </xdr:cNvPr>
        <xdr:cNvCxnSpPr/>
      </xdr:nvCxnSpPr>
      <xdr:spPr>
        <a:xfrm flipV="1">
          <a:off x="8705850" y="15685558"/>
          <a:ext cx="7344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13</xdr:row>
      <xdr:rowOff>104775</xdr:rowOff>
    </xdr:from>
    <xdr:to>
      <xdr:col>15</xdr:col>
      <xdr:colOff>9525</xdr:colOff>
      <xdr:row>13</xdr:row>
      <xdr:rowOff>114300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94489F28-3D1C-4969-9FDD-FACB54A6B906}"/>
            </a:ext>
          </a:extLst>
        </xdr:cNvPr>
        <xdr:cNvCxnSpPr/>
      </xdr:nvCxnSpPr>
      <xdr:spPr>
        <a:xfrm flipV="1">
          <a:off x="8705850" y="16458142"/>
          <a:ext cx="7344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8</xdr:row>
      <xdr:rowOff>9526</xdr:rowOff>
    </xdr:from>
    <xdr:to>
      <xdr:col>8</xdr:col>
      <xdr:colOff>0</xdr:colOff>
      <xdr:row>9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69B9A4A1-4622-4D04-A152-BF01EEF8B632}"/>
            </a:ext>
          </a:extLst>
        </xdr:cNvPr>
        <xdr:cNvCxnSpPr/>
      </xdr:nvCxnSpPr>
      <xdr:spPr>
        <a:xfrm flipV="1">
          <a:off x="4104217" y="154125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10</xdr:row>
      <xdr:rowOff>0</xdr:rowOff>
    </xdr:from>
    <xdr:to>
      <xdr:col>8</xdr:col>
      <xdr:colOff>38100</xdr:colOff>
      <xdr:row>11</xdr:row>
      <xdr:rowOff>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96AC768B-A181-4DC4-829D-732A9B6D3347}"/>
            </a:ext>
          </a:extLst>
        </xdr:cNvPr>
        <xdr:cNvCxnSpPr/>
      </xdr:nvCxnSpPr>
      <xdr:spPr>
        <a:xfrm>
          <a:off x="4103158" y="157829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9525</xdr:colOff>
      <xdr:row>7</xdr:row>
      <xdr:rowOff>9524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D6B0A849-4F5A-4C6B-93B1-1B2D1287E2CD}"/>
            </a:ext>
          </a:extLst>
        </xdr:cNvPr>
        <xdr:cNvCxnSpPr/>
      </xdr:nvCxnSpPr>
      <xdr:spPr>
        <a:xfrm flipV="1">
          <a:off x="6696075" y="15020925"/>
          <a:ext cx="724958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104775</xdr:rowOff>
    </xdr:from>
    <xdr:to>
      <xdr:col>12</xdr:col>
      <xdr:colOff>19050</xdr:colOff>
      <xdr:row>11</xdr:row>
      <xdr:rowOff>19050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1B1DC320-84B6-40C0-B8FC-4F76040507E1}"/>
            </a:ext>
          </a:extLst>
        </xdr:cNvPr>
        <xdr:cNvCxnSpPr/>
      </xdr:nvCxnSpPr>
      <xdr:spPr>
        <a:xfrm flipV="1">
          <a:off x="6696075" y="15886642"/>
          <a:ext cx="731308" cy="10371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0</xdr:rowOff>
    </xdr:from>
    <xdr:to>
      <xdr:col>12</xdr:col>
      <xdr:colOff>57150</xdr:colOff>
      <xdr:row>9</xdr:row>
      <xdr:rowOff>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948A8AF-4D14-4133-B1D5-14D2CB30F901}"/>
            </a:ext>
          </a:extLst>
        </xdr:cNvPr>
        <xdr:cNvCxnSpPr/>
      </xdr:nvCxnSpPr>
      <xdr:spPr>
        <a:xfrm>
          <a:off x="6696075" y="15401925"/>
          <a:ext cx="769408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95250</xdr:rowOff>
    </xdr:from>
    <xdr:to>
      <xdr:col>10</xdr:col>
      <xdr:colOff>9525</xdr:colOff>
      <xdr:row>7</xdr:row>
      <xdr:rowOff>104775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5A3BB297-595C-43D0-8666-38D3BFD71E35}"/>
            </a:ext>
          </a:extLst>
        </xdr:cNvPr>
        <xdr:cNvCxnSpPr/>
      </xdr:nvCxnSpPr>
      <xdr:spPr>
        <a:xfrm flipV="1">
          <a:off x="5400675" y="15304558"/>
          <a:ext cx="6582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</xdr:row>
      <xdr:rowOff>114300</xdr:rowOff>
    </xdr:from>
    <xdr:to>
      <xdr:col>10</xdr:col>
      <xdr:colOff>19050</xdr:colOff>
      <xdr:row>11</xdr:row>
      <xdr:rowOff>123825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DEFEE025-1E65-4BE6-9BFF-431A117C2C31}"/>
            </a:ext>
          </a:extLst>
        </xdr:cNvPr>
        <xdr:cNvCxnSpPr/>
      </xdr:nvCxnSpPr>
      <xdr:spPr>
        <a:xfrm flipV="1">
          <a:off x="5411258" y="16087725"/>
          <a:ext cx="654050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9525</xdr:colOff>
      <xdr:row>9</xdr:row>
      <xdr:rowOff>9524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62276C48-CCB5-4503-A54B-A3B3ABF16487}"/>
            </a:ext>
          </a:extLst>
        </xdr:cNvPr>
        <xdr:cNvCxnSpPr/>
      </xdr:nvCxnSpPr>
      <xdr:spPr>
        <a:xfrm flipV="1">
          <a:off x="4105275" y="1540192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26</xdr:row>
      <xdr:rowOff>9526</xdr:rowOff>
    </xdr:from>
    <xdr:to>
      <xdr:col>8</xdr:col>
      <xdr:colOff>0</xdr:colOff>
      <xdr:row>27</xdr:row>
      <xdr:rowOff>19050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1297B9C2-24BC-4D2E-B4DD-4B0AB801AECD}"/>
            </a:ext>
          </a:extLst>
        </xdr:cNvPr>
        <xdr:cNvCxnSpPr/>
      </xdr:nvCxnSpPr>
      <xdr:spPr>
        <a:xfrm flipV="1">
          <a:off x="3761317" y="16584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28</xdr:row>
      <xdr:rowOff>0</xdr:rowOff>
    </xdr:from>
    <xdr:to>
      <xdr:col>8</xdr:col>
      <xdr:colOff>38100</xdr:colOff>
      <xdr:row>29</xdr:row>
      <xdr:rowOff>0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26F033E8-AC29-4A35-80D5-B16FE99DD9C4}"/>
            </a:ext>
          </a:extLst>
        </xdr:cNvPr>
        <xdr:cNvCxnSpPr/>
      </xdr:nvCxnSpPr>
      <xdr:spPr>
        <a:xfrm>
          <a:off x="3760258" y="20288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75142</xdr:colOff>
      <xdr:row>23</xdr:row>
      <xdr:rowOff>113242</xdr:rowOff>
    </xdr:from>
    <xdr:to>
      <xdr:col>13</xdr:col>
      <xdr:colOff>407458</xdr:colOff>
      <xdr:row>27</xdr:row>
      <xdr:rowOff>102658</xdr:rowOff>
    </xdr:to>
    <xdr:sp macro="" textlink="">
      <xdr:nvSpPr>
        <xdr:cNvPr id="56" name="Right Brace 55">
          <a:extLst>
            <a:ext uri="{FF2B5EF4-FFF2-40B4-BE49-F238E27FC236}">
              <a16:creationId xmlns:a16="http://schemas.microsoft.com/office/drawing/2014/main" id="{AB6F0AEF-2E5A-4C68-8954-D9FE413986C6}"/>
            </a:ext>
          </a:extLst>
        </xdr:cNvPr>
        <xdr:cNvSpPr/>
      </xdr:nvSpPr>
      <xdr:spPr>
        <a:xfrm>
          <a:off x="7361767" y="4694767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9525</xdr:colOff>
      <xdr:row>25</xdr:row>
      <xdr:rowOff>9524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697E7968-06A6-4CF0-8B27-BCC9EFD98374}"/>
            </a:ext>
          </a:extLst>
        </xdr:cNvPr>
        <xdr:cNvCxnSpPr/>
      </xdr:nvCxnSpPr>
      <xdr:spPr>
        <a:xfrm flipV="1">
          <a:off x="6096000" y="1266825"/>
          <a:ext cx="553508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29</xdr:row>
      <xdr:rowOff>180975</xdr:rowOff>
    </xdr:from>
    <xdr:to>
      <xdr:col>12</xdr:col>
      <xdr:colOff>66675</xdr:colOff>
      <xdr:row>30</xdr:row>
      <xdr:rowOff>180975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C3D09A01-B18F-4998-AFCC-3B56AF4E3161}"/>
            </a:ext>
          </a:extLst>
        </xdr:cNvPr>
        <xdr:cNvCxnSpPr/>
      </xdr:nvCxnSpPr>
      <xdr:spPr>
        <a:xfrm>
          <a:off x="6106583" y="2399242"/>
          <a:ext cx="597959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57150</xdr:colOff>
      <xdr:row>27</xdr:row>
      <xdr:rowOff>0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E34AF05F-7FE1-4AB8-822A-A89AB8142108}"/>
            </a:ext>
          </a:extLst>
        </xdr:cNvPr>
        <xdr:cNvCxnSpPr/>
      </xdr:nvCxnSpPr>
      <xdr:spPr>
        <a:xfrm>
          <a:off x="6096000" y="1647825"/>
          <a:ext cx="597958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83608</xdr:colOff>
      <xdr:row>27</xdr:row>
      <xdr:rowOff>151341</xdr:rowOff>
    </xdr:from>
    <xdr:to>
      <xdr:col>13</xdr:col>
      <xdr:colOff>419100</xdr:colOff>
      <xdr:row>31</xdr:row>
      <xdr:rowOff>143933</xdr:rowOff>
    </xdr:to>
    <xdr:sp macro="" textlink="">
      <xdr:nvSpPr>
        <xdr:cNvPr id="60" name="Right Brace 59">
          <a:extLst>
            <a:ext uri="{FF2B5EF4-FFF2-40B4-BE49-F238E27FC236}">
              <a16:creationId xmlns:a16="http://schemas.microsoft.com/office/drawing/2014/main" id="{4FB71D67-AEC3-442D-8E2B-8BEAB11E7DA3}"/>
            </a:ext>
          </a:extLst>
        </xdr:cNvPr>
        <xdr:cNvSpPr/>
      </xdr:nvSpPr>
      <xdr:spPr>
        <a:xfrm>
          <a:off x="7370233" y="5494866"/>
          <a:ext cx="335492" cy="754592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419100</xdr:colOff>
      <xdr:row>23</xdr:row>
      <xdr:rowOff>104775</xdr:rowOff>
    </xdr:from>
    <xdr:to>
      <xdr:col>14</xdr:col>
      <xdr:colOff>401108</xdr:colOff>
      <xdr:row>23</xdr:row>
      <xdr:rowOff>115358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E114CC11-99BE-4EAC-935C-CF255DCEB1B6}"/>
            </a:ext>
          </a:extLst>
        </xdr:cNvPr>
        <xdr:cNvCxnSpPr/>
      </xdr:nvCxnSpPr>
      <xdr:spPr>
        <a:xfrm flipV="1">
          <a:off x="7705725" y="1180042"/>
          <a:ext cx="513291" cy="1164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27</xdr:row>
      <xdr:rowOff>95250</xdr:rowOff>
    </xdr:from>
    <xdr:to>
      <xdr:col>15</xdr:col>
      <xdr:colOff>9525</xdr:colOff>
      <xdr:row>27</xdr:row>
      <xdr:rowOff>104775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6450A91E-BFC7-4C67-846B-7D7C33D084AF}"/>
            </a:ext>
          </a:extLst>
        </xdr:cNvPr>
        <xdr:cNvCxnSpPr/>
      </xdr:nvCxnSpPr>
      <xdr:spPr>
        <a:xfrm flipV="1">
          <a:off x="7820025" y="1931458"/>
          <a:ext cx="515408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104775</xdr:rowOff>
    </xdr:from>
    <xdr:to>
      <xdr:col>15</xdr:col>
      <xdr:colOff>9525</xdr:colOff>
      <xdr:row>31</xdr:row>
      <xdr:rowOff>114300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A20A8EB9-54E3-4D95-9763-83FEC1115AEA}"/>
            </a:ext>
          </a:extLst>
        </xdr:cNvPr>
        <xdr:cNvCxnSpPr/>
      </xdr:nvCxnSpPr>
      <xdr:spPr>
        <a:xfrm flipV="1">
          <a:off x="7820025" y="2704042"/>
          <a:ext cx="515408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26</xdr:row>
      <xdr:rowOff>9526</xdr:rowOff>
    </xdr:from>
    <xdr:to>
      <xdr:col>8</xdr:col>
      <xdr:colOff>0</xdr:colOff>
      <xdr:row>27</xdr:row>
      <xdr:rowOff>19050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8375D2DE-FC58-4AC9-9B72-4950E1C5DF58}"/>
            </a:ext>
          </a:extLst>
        </xdr:cNvPr>
        <xdr:cNvCxnSpPr/>
      </xdr:nvCxnSpPr>
      <xdr:spPr>
        <a:xfrm flipV="1">
          <a:off x="3761317" y="16584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28</xdr:row>
      <xdr:rowOff>0</xdr:rowOff>
    </xdr:from>
    <xdr:to>
      <xdr:col>8</xdr:col>
      <xdr:colOff>38100</xdr:colOff>
      <xdr:row>29</xdr:row>
      <xdr:rowOff>0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FC0CE403-6297-4142-9720-E17C1F219C7B}"/>
            </a:ext>
          </a:extLst>
        </xdr:cNvPr>
        <xdr:cNvCxnSpPr/>
      </xdr:nvCxnSpPr>
      <xdr:spPr>
        <a:xfrm>
          <a:off x="3760258" y="20288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9525</xdr:colOff>
      <xdr:row>25</xdr:row>
      <xdr:rowOff>9524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B44593A-A914-4639-B084-C626D76C8764}"/>
            </a:ext>
          </a:extLst>
        </xdr:cNvPr>
        <xdr:cNvCxnSpPr/>
      </xdr:nvCxnSpPr>
      <xdr:spPr>
        <a:xfrm flipV="1">
          <a:off x="6096000" y="1266825"/>
          <a:ext cx="553508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104775</xdr:rowOff>
    </xdr:from>
    <xdr:to>
      <xdr:col>12</xdr:col>
      <xdr:colOff>19050</xdr:colOff>
      <xdr:row>29</xdr:row>
      <xdr:rowOff>19050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EA7E868F-0B8C-4980-B822-FE1BEA540522}"/>
            </a:ext>
          </a:extLst>
        </xdr:cNvPr>
        <xdr:cNvCxnSpPr/>
      </xdr:nvCxnSpPr>
      <xdr:spPr>
        <a:xfrm flipV="1">
          <a:off x="6096000" y="2132542"/>
          <a:ext cx="559858" cy="10371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57150</xdr:colOff>
      <xdr:row>27</xdr:row>
      <xdr:rowOff>0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43532569-D1ED-42EB-BF03-E15D7599F1C4}"/>
            </a:ext>
          </a:extLst>
        </xdr:cNvPr>
        <xdr:cNvCxnSpPr/>
      </xdr:nvCxnSpPr>
      <xdr:spPr>
        <a:xfrm>
          <a:off x="6096000" y="1647825"/>
          <a:ext cx="597958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25</xdr:row>
      <xdr:rowOff>95250</xdr:rowOff>
    </xdr:from>
    <xdr:to>
      <xdr:col>10</xdr:col>
      <xdr:colOff>9525</xdr:colOff>
      <xdr:row>25</xdr:row>
      <xdr:rowOff>104775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2139861-1375-4F5B-8AB3-E6C8E266EBF6}"/>
            </a:ext>
          </a:extLst>
        </xdr:cNvPr>
        <xdr:cNvCxnSpPr/>
      </xdr:nvCxnSpPr>
      <xdr:spPr>
        <a:xfrm flipV="1">
          <a:off x="5057775" y="1550458"/>
          <a:ext cx="401108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29</xdr:row>
      <xdr:rowOff>114300</xdr:rowOff>
    </xdr:from>
    <xdr:to>
      <xdr:col>10</xdr:col>
      <xdr:colOff>19050</xdr:colOff>
      <xdr:row>29</xdr:row>
      <xdr:rowOff>123825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789914EB-CE74-4395-98D3-503C720FD712}"/>
            </a:ext>
          </a:extLst>
        </xdr:cNvPr>
        <xdr:cNvCxnSpPr/>
      </xdr:nvCxnSpPr>
      <xdr:spPr>
        <a:xfrm flipV="1">
          <a:off x="5068358" y="2333625"/>
          <a:ext cx="396875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9525</xdr:colOff>
      <xdr:row>27</xdr:row>
      <xdr:rowOff>9524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38C65943-358B-40E5-B15F-011DD79293F0}"/>
            </a:ext>
          </a:extLst>
        </xdr:cNvPr>
        <xdr:cNvCxnSpPr/>
      </xdr:nvCxnSpPr>
      <xdr:spPr>
        <a:xfrm flipV="1">
          <a:off x="3762375" y="164782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28</xdr:row>
      <xdr:rowOff>95250</xdr:rowOff>
    </xdr:from>
    <xdr:to>
      <xdr:col>15</xdr:col>
      <xdr:colOff>9525</xdr:colOff>
      <xdr:row>28</xdr:row>
      <xdr:rowOff>104775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54CBB351-23ED-4305-ADB4-D1EBC9FA2C32}"/>
            </a:ext>
          </a:extLst>
        </xdr:cNvPr>
        <xdr:cNvCxnSpPr/>
      </xdr:nvCxnSpPr>
      <xdr:spPr>
        <a:xfrm flipV="1">
          <a:off x="7778750" y="5300133"/>
          <a:ext cx="515408" cy="1375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132705</xdr:rowOff>
    </xdr:from>
    <xdr:to>
      <xdr:col>8</xdr:col>
      <xdr:colOff>1757</xdr:colOff>
      <xdr:row>9</xdr:row>
      <xdr:rowOff>136579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552B2936-E7E3-48A6-B0F9-34CC0B0ED5DC}"/>
                </a:ext>
              </a:extLst>
            </xdr14:cNvPr>
            <xdr14:cNvContentPartPr/>
          </xdr14:nvContentPartPr>
          <xdr14:nvPr macro=""/>
          <xdr14:xfrm>
            <a:off x="4695120" y="1761480"/>
            <a:ext cx="360" cy="360"/>
          </xdr14:xfrm>
        </xdr:contentPart>
      </mc:Choice>
      <mc:Fallback xmlns=""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552B2936-E7E3-48A6-B0F9-34CC0B0ED5D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686480" y="1752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637645</xdr:colOff>
      <xdr:row>1</xdr:row>
      <xdr:rowOff>76199</xdr:rowOff>
    </xdr:from>
    <xdr:to>
      <xdr:col>7</xdr:col>
      <xdr:colOff>619125</xdr:colOff>
      <xdr:row>16</xdr:row>
      <xdr:rowOff>29103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F2A248A0-DCDE-41F1-8188-9831C14BB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238125</xdr:colOff>
      <xdr:row>8</xdr:row>
      <xdr:rowOff>104775</xdr:rowOff>
    </xdr:from>
    <xdr:to>
      <xdr:col>5</xdr:col>
      <xdr:colOff>256118</xdr:colOff>
      <xdr:row>14</xdr:row>
      <xdr:rowOff>86782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35F00675-E111-472D-BDFC-087D09DC5C0A}"/>
            </a:ext>
          </a:extLst>
        </xdr:cNvPr>
        <xdr:cNvCxnSpPr/>
      </xdr:nvCxnSpPr>
      <xdr:spPr>
        <a:xfrm>
          <a:off x="3476625" y="1733550"/>
          <a:ext cx="17993" cy="1067857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391583</xdr:colOff>
      <xdr:row>5</xdr:row>
      <xdr:rowOff>47625</xdr:rowOff>
    </xdr:from>
    <xdr:to>
      <xdr:col>4</xdr:col>
      <xdr:colOff>419100</xdr:colOff>
      <xdr:row>14</xdr:row>
      <xdr:rowOff>20109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1EC50A78-AAF0-4479-B041-88ABD49DC05E}"/>
            </a:ext>
          </a:extLst>
        </xdr:cNvPr>
        <xdr:cNvCxnSpPr/>
      </xdr:nvCxnSpPr>
      <xdr:spPr>
        <a:xfrm flipH="1">
          <a:off x="2982383" y="1133475"/>
          <a:ext cx="27517" cy="160125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607484</xdr:colOff>
      <xdr:row>15</xdr:row>
      <xdr:rowOff>75141</xdr:rowOff>
    </xdr:from>
    <xdr:to>
      <xdr:col>5</xdr:col>
      <xdr:colOff>209549</xdr:colOff>
      <xdr:row>17</xdr:row>
      <xdr:rowOff>95253</xdr:rowOff>
    </xdr:to>
    <xdr:sp macro="" textlink="">
      <xdr:nvSpPr>
        <xdr:cNvPr id="53" name="Right Brace 52">
          <a:extLst>
            <a:ext uri="{FF2B5EF4-FFF2-40B4-BE49-F238E27FC236}">
              <a16:creationId xmlns:a16="http://schemas.microsoft.com/office/drawing/2014/main" id="{11830782-F424-43A8-99DD-6E59D4F2EF26}"/>
            </a:ext>
          </a:extLst>
        </xdr:cNvPr>
        <xdr:cNvSpPr/>
      </xdr:nvSpPr>
      <xdr:spPr>
        <a:xfrm rot="5400000">
          <a:off x="2851148" y="2670177"/>
          <a:ext cx="296337" cy="897465"/>
        </a:xfrm>
        <a:prstGeom prst="rightBrace">
          <a:avLst>
            <a:gd name="adj1" fmla="val 8333"/>
            <a:gd name="adj2" fmla="val 52103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74085</xdr:colOff>
      <xdr:row>13</xdr:row>
      <xdr:rowOff>74083</xdr:rowOff>
    </xdr:from>
    <xdr:to>
      <xdr:col>3</xdr:col>
      <xdr:colOff>83608</xdr:colOff>
      <xdr:row>14</xdr:row>
      <xdr:rowOff>102745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3A4C55-EB2F-4B63-AFAC-6E0DEF781B69}"/>
            </a:ext>
          </a:extLst>
        </xdr:cNvPr>
        <xdr:cNvCxnSpPr/>
      </xdr:nvCxnSpPr>
      <xdr:spPr>
        <a:xfrm flipH="1">
          <a:off x="1655235" y="2350558"/>
          <a:ext cx="9523" cy="209637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</xdr:row>
      <xdr:rowOff>74083</xdr:rowOff>
    </xdr:from>
    <xdr:to>
      <xdr:col>6</xdr:col>
      <xdr:colOff>37039</xdr:colOff>
      <xdr:row>14</xdr:row>
      <xdr:rowOff>104863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11521B2F-B86F-462D-8EA7-186B5B9A3A48}"/>
            </a:ext>
          </a:extLst>
        </xdr:cNvPr>
        <xdr:cNvCxnSpPr/>
      </xdr:nvCxnSpPr>
      <xdr:spPr>
        <a:xfrm flipH="1">
          <a:off x="3552825" y="2350558"/>
          <a:ext cx="8464" cy="211755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0.42512</cdr:x>
      <cdr:y>0.47509</cdr:y>
    </cdr:from>
    <cdr:to>
      <cdr:x>0.43048</cdr:x>
      <cdr:y>0.89188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6BB6671-9E0F-42B8-A396-352195CB8BE0}"/>
            </a:ext>
          </a:extLst>
        </cdr:cNvPr>
        <cdr:cNvCxnSpPr/>
      </cdr:nvCxnSpPr>
      <cdr:spPr>
        <a:xfrm xmlns:a="http://schemas.openxmlformats.org/drawingml/2006/main" flipH="1">
          <a:off x="1920461" y="1266826"/>
          <a:ext cx="24227" cy="11113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314055</xdr:colOff>
      <xdr:row>15</xdr:row>
      <xdr:rowOff>66525</xdr:rowOff>
    </xdr:from>
    <xdr:to>
      <xdr:col>1</xdr:col>
      <xdr:colOff>322162</xdr:colOff>
      <xdr:row>15</xdr:row>
      <xdr:rowOff>70398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5A2E8EDE-B442-47BE-A8DE-198B9ABEC1A0}"/>
                </a:ext>
              </a:extLst>
            </xdr14:cNvPr>
            <xdr14:cNvContentPartPr/>
          </xdr14:nvContentPartPr>
          <xdr14:nvPr macro=""/>
          <xdr14:xfrm>
            <a:off x="514080" y="3209775"/>
            <a:ext cx="360" cy="360"/>
          </xdr14:xfrm>
        </xdr:contentPart>
      </mc:Choice>
      <mc:Fallback xmlns=""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5A2E8EDE-B442-47BE-A8DE-198B9ABEC1A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96440" y="3191775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47520</xdr:colOff>
      <xdr:row>23</xdr:row>
      <xdr:rowOff>142245</xdr:rowOff>
    </xdr:from>
    <xdr:to>
      <xdr:col>0</xdr:col>
      <xdr:colOff>55627</xdr:colOff>
      <xdr:row>23</xdr:row>
      <xdr:rowOff>145420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DD2DF936-07EE-4D30-8143-5B983DFEC4C2}"/>
                </a:ext>
              </a:extLst>
            </xdr14:cNvPr>
            <xdr14:cNvContentPartPr/>
          </xdr14:nvContentPartPr>
          <xdr14:nvPr macro=""/>
          <xdr14:xfrm>
            <a:off x="47520" y="4733295"/>
            <a:ext cx="360" cy="360"/>
          </xdr14:xfrm>
        </xdr:contentPart>
      </mc:Choice>
      <mc:Fallback xmlns=""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DD2DF936-07EE-4D30-8143-5B983DFEC4C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9880" y="4715295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40</xdr:row>
      <xdr:rowOff>9526</xdr:rowOff>
    </xdr:from>
    <xdr:to>
      <xdr:col>8</xdr:col>
      <xdr:colOff>0</xdr:colOff>
      <xdr:row>41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01F2CBF-31C9-475D-AAB5-5558E842BC76}"/>
            </a:ext>
          </a:extLst>
        </xdr:cNvPr>
        <xdr:cNvCxnSpPr/>
      </xdr:nvCxnSpPr>
      <xdr:spPr>
        <a:xfrm flipV="1">
          <a:off x="4104217" y="85926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42</xdr:row>
      <xdr:rowOff>0</xdr:rowOff>
    </xdr:from>
    <xdr:to>
      <xdr:col>8</xdr:col>
      <xdr:colOff>38100</xdr:colOff>
      <xdr:row>43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07C11F8-2918-474F-B404-F468DF4FFB1A}"/>
            </a:ext>
          </a:extLst>
        </xdr:cNvPr>
        <xdr:cNvCxnSpPr/>
      </xdr:nvCxnSpPr>
      <xdr:spPr>
        <a:xfrm>
          <a:off x="4103158" y="89630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37</xdr:row>
      <xdr:rowOff>104775</xdr:rowOff>
    </xdr:from>
    <xdr:to>
      <xdr:col>11</xdr:col>
      <xdr:colOff>514350</xdr:colOff>
      <xdr:row>41</xdr:row>
      <xdr:rowOff>95250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6A70F82-0C9D-4B03-871D-134587F684C0}"/>
            </a:ext>
          </a:extLst>
        </xdr:cNvPr>
        <xdr:cNvSpPr/>
      </xdr:nvSpPr>
      <xdr:spPr>
        <a:xfrm>
          <a:off x="6875992" y="7885642"/>
          <a:ext cx="332316" cy="9800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9525</xdr:colOff>
      <xdr:row>39</xdr:row>
      <xdr:rowOff>9524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DD404C8-2B16-4402-AA18-405D5B595CF3}"/>
            </a:ext>
          </a:extLst>
        </xdr:cNvPr>
        <xdr:cNvCxnSpPr/>
      </xdr:nvCxnSpPr>
      <xdr:spPr>
        <a:xfrm flipV="1">
          <a:off x="5400675" y="8048625"/>
          <a:ext cx="658283" cy="2772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43</xdr:row>
      <xdr:rowOff>180975</xdr:rowOff>
    </xdr:from>
    <xdr:to>
      <xdr:col>10</xdr:col>
      <xdr:colOff>66675</xdr:colOff>
      <xdr:row>44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B411673-3817-4CE9-8FCF-F2B31D0CDA9C}"/>
            </a:ext>
          </a:extLst>
        </xdr:cNvPr>
        <xdr:cNvCxnSpPr/>
      </xdr:nvCxnSpPr>
      <xdr:spPr>
        <a:xfrm>
          <a:off x="5411258" y="9333442"/>
          <a:ext cx="702734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41</xdr:row>
      <xdr:rowOff>190500</xdr:rowOff>
    </xdr:from>
    <xdr:to>
      <xdr:col>10</xdr:col>
      <xdr:colOff>9525</xdr:colOff>
      <xdr:row>42</xdr:row>
      <xdr:rowOff>200024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81DBD8A-8B4E-44E2-8682-5A5621A98401}"/>
            </a:ext>
          </a:extLst>
        </xdr:cNvPr>
        <xdr:cNvCxnSpPr/>
      </xdr:nvCxnSpPr>
      <xdr:spPr>
        <a:xfrm flipV="1">
          <a:off x="5400675" y="8963025"/>
          <a:ext cx="658283" cy="191557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57150</xdr:colOff>
      <xdr:row>41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EA11C53-DAA4-47D5-B7A2-E9E5F957AF10}"/>
            </a:ext>
          </a:extLst>
        </xdr:cNvPr>
        <xdr:cNvCxnSpPr/>
      </xdr:nvCxnSpPr>
      <xdr:spPr>
        <a:xfrm>
          <a:off x="5400675" y="8582025"/>
          <a:ext cx="702733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41</xdr:row>
      <xdr:rowOff>161925</xdr:rowOff>
    </xdr:from>
    <xdr:to>
      <xdr:col>11</xdr:col>
      <xdr:colOff>523875</xdr:colOff>
      <xdr:row>45</xdr:row>
      <xdr:rowOff>152400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D67F34C3-F726-43BA-BA79-54C3159069E2}"/>
            </a:ext>
          </a:extLst>
        </xdr:cNvPr>
        <xdr:cNvSpPr/>
      </xdr:nvSpPr>
      <xdr:spPr>
        <a:xfrm>
          <a:off x="6886575" y="893550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37</xdr:row>
      <xdr:rowOff>152400</xdr:rowOff>
    </xdr:from>
    <xdr:to>
      <xdr:col>13</xdr:col>
      <xdr:colOff>9525</xdr:colOff>
      <xdr:row>37</xdr:row>
      <xdr:rowOff>161925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2FF1A51-8363-4A6E-B7B8-3AC7B63AFE72}"/>
            </a:ext>
          </a:extLst>
        </xdr:cNvPr>
        <xdr:cNvCxnSpPr/>
      </xdr:nvCxnSpPr>
      <xdr:spPr>
        <a:xfrm flipV="1">
          <a:off x="7410450" y="7934325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41</xdr:row>
      <xdr:rowOff>95250</xdr:rowOff>
    </xdr:from>
    <xdr:to>
      <xdr:col>13</xdr:col>
      <xdr:colOff>9525</xdr:colOff>
      <xdr:row>41</xdr:row>
      <xdr:rowOff>104775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36354EB-B20C-407D-B439-EA0C293D2687}"/>
            </a:ext>
          </a:extLst>
        </xdr:cNvPr>
        <xdr:cNvCxnSpPr/>
      </xdr:nvCxnSpPr>
      <xdr:spPr>
        <a:xfrm flipV="1">
          <a:off x="7410450" y="8865658"/>
          <a:ext cx="6582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45</xdr:row>
      <xdr:rowOff>104775</xdr:rowOff>
    </xdr:from>
    <xdr:to>
      <xdr:col>13</xdr:col>
      <xdr:colOff>9525</xdr:colOff>
      <xdr:row>45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2A115C6-5289-4235-879E-F7712F5F2989}"/>
            </a:ext>
          </a:extLst>
        </xdr:cNvPr>
        <xdr:cNvCxnSpPr/>
      </xdr:nvCxnSpPr>
      <xdr:spPr>
        <a:xfrm flipV="1">
          <a:off x="7410450" y="9638242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76</xdr:row>
      <xdr:rowOff>9526</xdr:rowOff>
    </xdr:from>
    <xdr:to>
      <xdr:col>8</xdr:col>
      <xdr:colOff>0</xdr:colOff>
      <xdr:row>77</xdr:row>
      <xdr:rowOff>19050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C8D3F0C4-593A-441D-8133-BBB05230CC9E}"/>
            </a:ext>
          </a:extLst>
        </xdr:cNvPr>
        <xdr:cNvCxnSpPr/>
      </xdr:nvCxnSpPr>
      <xdr:spPr>
        <a:xfrm flipV="1">
          <a:off x="4104217" y="154125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78</xdr:row>
      <xdr:rowOff>0</xdr:rowOff>
    </xdr:from>
    <xdr:to>
      <xdr:col>8</xdr:col>
      <xdr:colOff>38100</xdr:colOff>
      <xdr:row>79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72F0233B-AB24-447F-A020-A89F64977EB5}"/>
            </a:ext>
          </a:extLst>
        </xdr:cNvPr>
        <xdr:cNvCxnSpPr/>
      </xdr:nvCxnSpPr>
      <xdr:spPr>
        <a:xfrm>
          <a:off x="4103158" y="157829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73</xdr:row>
      <xdr:rowOff>104775</xdr:rowOff>
    </xdr:from>
    <xdr:to>
      <xdr:col>13</xdr:col>
      <xdr:colOff>514350</xdr:colOff>
      <xdr:row>77</xdr:row>
      <xdr:rowOff>95250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33FF2484-EB77-4D04-B935-0D3DE3A80567}"/>
            </a:ext>
          </a:extLst>
        </xdr:cNvPr>
        <xdr:cNvSpPr/>
      </xdr:nvSpPr>
      <xdr:spPr>
        <a:xfrm>
          <a:off x="8238067" y="14934142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9525</xdr:colOff>
      <xdr:row>75</xdr:row>
      <xdr:rowOff>9524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329819DB-BB16-4ECE-956E-96B28391B15E}"/>
            </a:ext>
          </a:extLst>
        </xdr:cNvPr>
        <xdr:cNvCxnSpPr/>
      </xdr:nvCxnSpPr>
      <xdr:spPr>
        <a:xfrm flipV="1">
          <a:off x="6696075" y="15020925"/>
          <a:ext cx="724958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79</xdr:row>
      <xdr:rowOff>180975</xdr:rowOff>
    </xdr:from>
    <xdr:to>
      <xdr:col>12</xdr:col>
      <xdr:colOff>66675</xdr:colOff>
      <xdr:row>80</xdr:row>
      <xdr:rowOff>180975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F101D5F-C4BA-4FB6-879C-60D55B05478E}"/>
            </a:ext>
          </a:extLst>
        </xdr:cNvPr>
        <xdr:cNvCxnSpPr/>
      </xdr:nvCxnSpPr>
      <xdr:spPr>
        <a:xfrm>
          <a:off x="6706658" y="16153342"/>
          <a:ext cx="769409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76</xdr:row>
      <xdr:rowOff>0</xdr:rowOff>
    </xdr:from>
    <xdr:to>
      <xdr:col>12</xdr:col>
      <xdr:colOff>57150</xdr:colOff>
      <xdr:row>77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6A030755-55E7-4A1A-BBF6-D519942F6DA1}"/>
            </a:ext>
          </a:extLst>
        </xdr:cNvPr>
        <xdr:cNvCxnSpPr/>
      </xdr:nvCxnSpPr>
      <xdr:spPr>
        <a:xfrm>
          <a:off x="6696075" y="15401925"/>
          <a:ext cx="769408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77</xdr:row>
      <xdr:rowOff>161925</xdr:rowOff>
    </xdr:from>
    <xdr:to>
      <xdr:col>13</xdr:col>
      <xdr:colOff>523875</xdr:colOff>
      <xdr:row>81</xdr:row>
      <xdr:rowOff>152400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C092B96E-CC82-4735-A525-12D57D0888E8}"/>
            </a:ext>
          </a:extLst>
        </xdr:cNvPr>
        <xdr:cNvSpPr/>
      </xdr:nvSpPr>
      <xdr:spPr>
        <a:xfrm>
          <a:off x="8248650" y="1575540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73</xdr:row>
      <xdr:rowOff>152400</xdr:rowOff>
    </xdr:from>
    <xdr:to>
      <xdr:col>15</xdr:col>
      <xdr:colOff>9525</xdr:colOff>
      <xdr:row>73</xdr:row>
      <xdr:rowOff>161925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EE82C87B-39F1-4B20-88E5-1D1BC61F08D1}"/>
            </a:ext>
          </a:extLst>
        </xdr:cNvPr>
        <xdr:cNvCxnSpPr/>
      </xdr:nvCxnSpPr>
      <xdr:spPr>
        <a:xfrm flipV="1">
          <a:off x="8705850" y="14982825"/>
          <a:ext cx="7344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77</xdr:row>
      <xdr:rowOff>95250</xdr:rowOff>
    </xdr:from>
    <xdr:to>
      <xdr:col>15</xdr:col>
      <xdr:colOff>9525</xdr:colOff>
      <xdr:row>77</xdr:row>
      <xdr:rowOff>104775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E1027E18-6A08-4338-A254-D4518302CD89}"/>
            </a:ext>
          </a:extLst>
        </xdr:cNvPr>
        <xdr:cNvCxnSpPr/>
      </xdr:nvCxnSpPr>
      <xdr:spPr>
        <a:xfrm flipV="1">
          <a:off x="8705850" y="15685558"/>
          <a:ext cx="7344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81</xdr:row>
      <xdr:rowOff>104775</xdr:rowOff>
    </xdr:from>
    <xdr:to>
      <xdr:col>15</xdr:col>
      <xdr:colOff>9525</xdr:colOff>
      <xdr:row>81</xdr:row>
      <xdr:rowOff>114300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C109C663-16CE-41D3-97C6-C07DCB410924}"/>
            </a:ext>
          </a:extLst>
        </xdr:cNvPr>
        <xdr:cNvCxnSpPr/>
      </xdr:nvCxnSpPr>
      <xdr:spPr>
        <a:xfrm flipV="1">
          <a:off x="8705850" y="16458142"/>
          <a:ext cx="7344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76</xdr:row>
      <xdr:rowOff>9526</xdr:rowOff>
    </xdr:from>
    <xdr:to>
      <xdr:col>8</xdr:col>
      <xdr:colOff>0</xdr:colOff>
      <xdr:row>77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28745A83-6C23-45CC-BA01-3CF8B4B34B6E}"/>
            </a:ext>
          </a:extLst>
        </xdr:cNvPr>
        <xdr:cNvCxnSpPr/>
      </xdr:nvCxnSpPr>
      <xdr:spPr>
        <a:xfrm flipV="1">
          <a:off x="4104217" y="1541250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78</xdr:row>
      <xdr:rowOff>0</xdr:rowOff>
    </xdr:from>
    <xdr:to>
      <xdr:col>8</xdr:col>
      <xdr:colOff>38100</xdr:colOff>
      <xdr:row>79</xdr:row>
      <xdr:rowOff>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B89E1B8C-4073-4720-98EB-2EEC14C4E660}"/>
            </a:ext>
          </a:extLst>
        </xdr:cNvPr>
        <xdr:cNvCxnSpPr/>
      </xdr:nvCxnSpPr>
      <xdr:spPr>
        <a:xfrm>
          <a:off x="4103158" y="1578292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73</xdr:row>
      <xdr:rowOff>104775</xdr:rowOff>
    </xdr:from>
    <xdr:to>
      <xdr:col>13</xdr:col>
      <xdr:colOff>514350</xdr:colOff>
      <xdr:row>77</xdr:row>
      <xdr:rowOff>95250</xdr:rowOff>
    </xdr:to>
    <xdr:sp macro="" textlink="">
      <xdr:nvSpPr>
        <xdr:cNvPr id="25" name="Right Brace 24">
          <a:extLst>
            <a:ext uri="{FF2B5EF4-FFF2-40B4-BE49-F238E27FC236}">
              <a16:creationId xmlns:a16="http://schemas.microsoft.com/office/drawing/2014/main" id="{42EAC0F0-920A-4D57-B466-1D9A437FC8EB}"/>
            </a:ext>
          </a:extLst>
        </xdr:cNvPr>
        <xdr:cNvSpPr/>
      </xdr:nvSpPr>
      <xdr:spPr>
        <a:xfrm>
          <a:off x="8238067" y="14934142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9525</xdr:colOff>
      <xdr:row>75</xdr:row>
      <xdr:rowOff>9524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9EC4F4B7-4ED4-48F8-8B41-0FA12B656FEB}"/>
            </a:ext>
          </a:extLst>
        </xdr:cNvPr>
        <xdr:cNvCxnSpPr/>
      </xdr:nvCxnSpPr>
      <xdr:spPr>
        <a:xfrm flipV="1">
          <a:off x="6696075" y="15020925"/>
          <a:ext cx="724958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78</xdr:row>
      <xdr:rowOff>104775</xdr:rowOff>
    </xdr:from>
    <xdr:to>
      <xdr:col>12</xdr:col>
      <xdr:colOff>19050</xdr:colOff>
      <xdr:row>79</xdr:row>
      <xdr:rowOff>19050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D2D129E6-AC05-444D-AA0A-1838275A027F}"/>
            </a:ext>
          </a:extLst>
        </xdr:cNvPr>
        <xdr:cNvCxnSpPr/>
      </xdr:nvCxnSpPr>
      <xdr:spPr>
        <a:xfrm flipV="1">
          <a:off x="6696075" y="15886642"/>
          <a:ext cx="731308" cy="10371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76</xdr:row>
      <xdr:rowOff>0</xdr:rowOff>
    </xdr:from>
    <xdr:to>
      <xdr:col>12</xdr:col>
      <xdr:colOff>57150</xdr:colOff>
      <xdr:row>77</xdr:row>
      <xdr:rowOff>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EDF45E23-AE7C-4B8B-8A14-016B8E333F51}"/>
            </a:ext>
          </a:extLst>
        </xdr:cNvPr>
        <xdr:cNvCxnSpPr/>
      </xdr:nvCxnSpPr>
      <xdr:spPr>
        <a:xfrm>
          <a:off x="6696075" y="15401925"/>
          <a:ext cx="769408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77</xdr:row>
      <xdr:rowOff>161925</xdr:rowOff>
    </xdr:from>
    <xdr:to>
      <xdr:col>13</xdr:col>
      <xdr:colOff>523875</xdr:colOff>
      <xdr:row>81</xdr:row>
      <xdr:rowOff>152400</xdr:rowOff>
    </xdr:to>
    <xdr:sp macro="" textlink="">
      <xdr:nvSpPr>
        <xdr:cNvPr id="29" name="Right Brace 28">
          <a:extLst>
            <a:ext uri="{FF2B5EF4-FFF2-40B4-BE49-F238E27FC236}">
              <a16:creationId xmlns:a16="http://schemas.microsoft.com/office/drawing/2014/main" id="{019B2304-A538-405B-8FB8-A34A40F216E9}"/>
            </a:ext>
          </a:extLst>
        </xdr:cNvPr>
        <xdr:cNvSpPr/>
      </xdr:nvSpPr>
      <xdr:spPr>
        <a:xfrm>
          <a:off x="8248650" y="1575540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73</xdr:row>
      <xdr:rowOff>152400</xdr:rowOff>
    </xdr:from>
    <xdr:to>
      <xdr:col>15</xdr:col>
      <xdr:colOff>9525</xdr:colOff>
      <xdr:row>73</xdr:row>
      <xdr:rowOff>161925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F13FD545-C506-4D1D-B43F-983C172E4667}"/>
            </a:ext>
          </a:extLst>
        </xdr:cNvPr>
        <xdr:cNvCxnSpPr/>
      </xdr:nvCxnSpPr>
      <xdr:spPr>
        <a:xfrm flipV="1">
          <a:off x="8705850" y="14982825"/>
          <a:ext cx="7344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77</xdr:row>
      <xdr:rowOff>95250</xdr:rowOff>
    </xdr:from>
    <xdr:to>
      <xdr:col>15</xdr:col>
      <xdr:colOff>9525</xdr:colOff>
      <xdr:row>77</xdr:row>
      <xdr:rowOff>104775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304B29BF-0DF1-436A-811D-C371481FA700}"/>
            </a:ext>
          </a:extLst>
        </xdr:cNvPr>
        <xdr:cNvCxnSpPr/>
      </xdr:nvCxnSpPr>
      <xdr:spPr>
        <a:xfrm flipV="1">
          <a:off x="8705850" y="15685558"/>
          <a:ext cx="7344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81</xdr:row>
      <xdr:rowOff>104775</xdr:rowOff>
    </xdr:from>
    <xdr:to>
      <xdr:col>15</xdr:col>
      <xdr:colOff>9525</xdr:colOff>
      <xdr:row>81</xdr:row>
      <xdr:rowOff>114300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98991A77-DE54-418F-9CC8-E1B41E45FABA}"/>
            </a:ext>
          </a:extLst>
        </xdr:cNvPr>
        <xdr:cNvCxnSpPr/>
      </xdr:nvCxnSpPr>
      <xdr:spPr>
        <a:xfrm flipV="1">
          <a:off x="8705850" y="16458142"/>
          <a:ext cx="7344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75</xdr:row>
      <xdr:rowOff>95250</xdr:rowOff>
    </xdr:from>
    <xdr:to>
      <xdr:col>10</xdr:col>
      <xdr:colOff>9525</xdr:colOff>
      <xdr:row>75</xdr:row>
      <xdr:rowOff>104775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447C0BA5-A955-4031-88FA-1CF872C039F9}"/>
            </a:ext>
          </a:extLst>
        </xdr:cNvPr>
        <xdr:cNvCxnSpPr/>
      </xdr:nvCxnSpPr>
      <xdr:spPr>
        <a:xfrm flipV="1">
          <a:off x="5400675" y="15304558"/>
          <a:ext cx="6582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79</xdr:row>
      <xdr:rowOff>114300</xdr:rowOff>
    </xdr:from>
    <xdr:to>
      <xdr:col>10</xdr:col>
      <xdr:colOff>19050</xdr:colOff>
      <xdr:row>79</xdr:row>
      <xdr:rowOff>123825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DF9C42B7-A067-47F0-97E3-01AEC08F8A5B}"/>
            </a:ext>
          </a:extLst>
        </xdr:cNvPr>
        <xdr:cNvCxnSpPr/>
      </xdr:nvCxnSpPr>
      <xdr:spPr>
        <a:xfrm flipV="1">
          <a:off x="5411258" y="16087725"/>
          <a:ext cx="654050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58</xdr:row>
      <xdr:rowOff>9526</xdr:rowOff>
    </xdr:from>
    <xdr:to>
      <xdr:col>8</xdr:col>
      <xdr:colOff>0</xdr:colOff>
      <xdr:row>59</xdr:row>
      <xdr:rowOff>19050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93DEE3AE-588C-4BB1-8747-578325366579}"/>
            </a:ext>
          </a:extLst>
        </xdr:cNvPr>
        <xdr:cNvCxnSpPr/>
      </xdr:nvCxnSpPr>
      <xdr:spPr>
        <a:xfrm flipV="1">
          <a:off x="4104217" y="12002559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60</xdr:row>
      <xdr:rowOff>0</xdr:rowOff>
    </xdr:from>
    <xdr:to>
      <xdr:col>8</xdr:col>
      <xdr:colOff>38100</xdr:colOff>
      <xdr:row>61</xdr:row>
      <xdr:rowOff>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5FDB3D95-EEA1-48CB-8BF8-57F1D48125D4}"/>
            </a:ext>
          </a:extLst>
        </xdr:cNvPr>
        <xdr:cNvCxnSpPr/>
      </xdr:nvCxnSpPr>
      <xdr:spPr>
        <a:xfrm>
          <a:off x="4103158" y="12372975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55</xdr:row>
      <xdr:rowOff>104775</xdr:rowOff>
    </xdr:from>
    <xdr:to>
      <xdr:col>11</xdr:col>
      <xdr:colOff>514350</xdr:colOff>
      <xdr:row>59</xdr:row>
      <xdr:rowOff>95250</xdr:rowOff>
    </xdr:to>
    <xdr:sp macro="" textlink="">
      <xdr:nvSpPr>
        <xdr:cNvPr id="37" name="Right Brace 36">
          <a:extLst>
            <a:ext uri="{FF2B5EF4-FFF2-40B4-BE49-F238E27FC236}">
              <a16:creationId xmlns:a16="http://schemas.microsoft.com/office/drawing/2014/main" id="{AD0633EA-BEA6-4DAA-96A9-1D2D06E0A10B}"/>
            </a:ext>
          </a:extLst>
        </xdr:cNvPr>
        <xdr:cNvSpPr/>
      </xdr:nvSpPr>
      <xdr:spPr>
        <a:xfrm>
          <a:off x="6875992" y="11524192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9525</xdr:colOff>
      <xdr:row>57</xdr:row>
      <xdr:rowOff>9524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84E0FD9A-5937-44B0-977C-A2283CC27D8E}"/>
            </a:ext>
          </a:extLst>
        </xdr:cNvPr>
        <xdr:cNvCxnSpPr/>
      </xdr:nvCxnSpPr>
      <xdr:spPr>
        <a:xfrm flipV="1">
          <a:off x="5400675" y="1161097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61</xdr:row>
      <xdr:rowOff>180975</xdr:rowOff>
    </xdr:from>
    <xdr:to>
      <xdr:col>10</xdr:col>
      <xdr:colOff>66675</xdr:colOff>
      <xdr:row>62</xdr:row>
      <xdr:rowOff>180975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E66022B4-1CBF-4C2C-B258-681711771F10}"/>
            </a:ext>
          </a:extLst>
        </xdr:cNvPr>
        <xdr:cNvCxnSpPr/>
      </xdr:nvCxnSpPr>
      <xdr:spPr>
        <a:xfrm>
          <a:off x="5411258" y="12743392"/>
          <a:ext cx="702734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190500</xdr:rowOff>
    </xdr:from>
    <xdr:to>
      <xdr:col>10</xdr:col>
      <xdr:colOff>9525</xdr:colOff>
      <xdr:row>60</xdr:row>
      <xdr:rowOff>200024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F6B16458-A167-49BB-BAF8-D4A3FF09E3C0}"/>
            </a:ext>
          </a:extLst>
        </xdr:cNvPr>
        <xdr:cNvCxnSpPr/>
      </xdr:nvCxnSpPr>
      <xdr:spPr>
        <a:xfrm flipV="1">
          <a:off x="5400675" y="12372975"/>
          <a:ext cx="658283" cy="191557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58</xdr:row>
      <xdr:rowOff>0</xdr:rowOff>
    </xdr:from>
    <xdr:to>
      <xdr:col>10</xdr:col>
      <xdr:colOff>57150</xdr:colOff>
      <xdr:row>59</xdr:row>
      <xdr:rowOff>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5F65D029-FFCA-4610-9DFE-046C558F400F}"/>
            </a:ext>
          </a:extLst>
        </xdr:cNvPr>
        <xdr:cNvCxnSpPr/>
      </xdr:nvCxnSpPr>
      <xdr:spPr>
        <a:xfrm>
          <a:off x="5400675" y="11991975"/>
          <a:ext cx="702733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59</xdr:row>
      <xdr:rowOff>161925</xdr:rowOff>
    </xdr:from>
    <xdr:to>
      <xdr:col>11</xdr:col>
      <xdr:colOff>523875</xdr:colOff>
      <xdr:row>63</xdr:row>
      <xdr:rowOff>152400</xdr:rowOff>
    </xdr:to>
    <xdr:sp macro="" textlink="">
      <xdr:nvSpPr>
        <xdr:cNvPr id="42" name="Right Brace 41">
          <a:extLst>
            <a:ext uri="{FF2B5EF4-FFF2-40B4-BE49-F238E27FC236}">
              <a16:creationId xmlns:a16="http://schemas.microsoft.com/office/drawing/2014/main" id="{52C3B826-AC30-4A01-A233-869B5F9C05BE}"/>
            </a:ext>
          </a:extLst>
        </xdr:cNvPr>
        <xdr:cNvSpPr/>
      </xdr:nvSpPr>
      <xdr:spPr>
        <a:xfrm>
          <a:off x="6886575" y="1234545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55</xdr:row>
      <xdr:rowOff>152400</xdr:rowOff>
    </xdr:from>
    <xdr:to>
      <xdr:col>13</xdr:col>
      <xdr:colOff>9525</xdr:colOff>
      <xdr:row>55</xdr:row>
      <xdr:rowOff>161925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469464CF-6D92-44EE-B974-31CAE70006C2}"/>
            </a:ext>
          </a:extLst>
        </xdr:cNvPr>
        <xdr:cNvCxnSpPr/>
      </xdr:nvCxnSpPr>
      <xdr:spPr>
        <a:xfrm flipV="1">
          <a:off x="7410450" y="11572875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59</xdr:row>
      <xdr:rowOff>95250</xdr:rowOff>
    </xdr:from>
    <xdr:to>
      <xdr:col>13</xdr:col>
      <xdr:colOff>9525</xdr:colOff>
      <xdr:row>59</xdr:row>
      <xdr:rowOff>104775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44917E45-C586-41D1-AC1B-68EA62CEDF0F}"/>
            </a:ext>
          </a:extLst>
        </xdr:cNvPr>
        <xdr:cNvCxnSpPr/>
      </xdr:nvCxnSpPr>
      <xdr:spPr>
        <a:xfrm flipV="1">
          <a:off x="7410450" y="12275608"/>
          <a:ext cx="658283" cy="1058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104775</xdr:rowOff>
    </xdr:from>
    <xdr:to>
      <xdr:col>13</xdr:col>
      <xdr:colOff>9525</xdr:colOff>
      <xdr:row>63</xdr:row>
      <xdr:rowOff>114300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CB40594E-D8CA-4223-B8F6-D05ABB5502C1}"/>
            </a:ext>
          </a:extLst>
        </xdr:cNvPr>
        <xdr:cNvCxnSpPr/>
      </xdr:nvCxnSpPr>
      <xdr:spPr>
        <a:xfrm flipV="1">
          <a:off x="7410450" y="13048192"/>
          <a:ext cx="658283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8</xdr:row>
      <xdr:rowOff>9526</xdr:rowOff>
    </xdr:from>
    <xdr:to>
      <xdr:col>8</xdr:col>
      <xdr:colOff>0</xdr:colOff>
      <xdr:row>9</xdr:row>
      <xdr:rowOff>19050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F7B440B7-0005-4754-AFC3-3BC8D8E953E0}"/>
            </a:ext>
          </a:extLst>
        </xdr:cNvPr>
        <xdr:cNvCxnSpPr/>
      </xdr:nvCxnSpPr>
      <xdr:spPr>
        <a:xfrm flipV="1">
          <a:off x="4104217" y="1934634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10</xdr:row>
      <xdr:rowOff>0</xdr:rowOff>
    </xdr:from>
    <xdr:to>
      <xdr:col>8</xdr:col>
      <xdr:colOff>38100</xdr:colOff>
      <xdr:row>11</xdr:row>
      <xdr:rowOff>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304F8368-024D-422C-B48C-87A499175538}"/>
            </a:ext>
          </a:extLst>
        </xdr:cNvPr>
        <xdr:cNvCxnSpPr/>
      </xdr:nvCxnSpPr>
      <xdr:spPr>
        <a:xfrm>
          <a:off x="4103158" y="2305050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7</xdr:row>
      <xdr:rowOff>95250</xdr:rowOff>
    </xdr:from>
    <xdr:to>
      <xdr:col>9</xdr:col>
      <xdr:colOff>428625</xdr:colOff>
      <xdr:row>12</xdr:row>
      <xdr:rowOff>28575</xdr:rowOff>
    </xdr:to>
    <xdr:sp macro="" textlink="">
      <xdr:nvSpPr>
        <xdr:cNvPr id="48" name="Right Brace 47">
          <a:extLst>
            <a:ext uri="{FF2B5EF4-FFF2-40B4-BE49-F238E27FC236}">
              <a16:creationId xmlns:a16="http://schemas.microsoft.com/office/drawing/2014/main" id="{BFF1F542-B2E1-407B-BA2A-A4144FC0820A}"/>
            </a:ext>
          </a:extLst>
        </xdr:cNvPr>
        <xdr:cNvSpPr/>
      </xdr:nvSpPr>
      <xdr:spPr>
        <a:xfrm>
          <a:off x="5493808" y="1750483"/>
          <a:ext cx="336550" cy="963084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9525</xdr:colOff>
      <xdr:row>59</xdr:row>
      <xdr:rowOff>9524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735FE4A0-880B-4EAC-A424-6AFB02DA1A1B}"/>
            </a:ext>
          </a:extLst>
        </xdr:cNvPr>
        <xdr:cNvCxnSpPr/>
      </xdr:nvCxnSpPr>
      <xdr:spPr>
        <a:xfrm flipV="1">
          <a:off x="4105275" y="1199197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76</xdr:row>
      <xdr:rowOff>0</xdr:rowOff>
    </xdr:from>
    <xdr:to>
      <xdr:col>8</xdr:col>
      <xdr:colOff>9525</xdr:colOff>
      <xdr:row>77</xdr:row>
      <xdr:rowOff>9524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6BC92EBD-020D-463D-B670-D4BE241EDEB0}"/>
            </a:ext>
          </a:extLst>
        </xdr:cNvPr>
        <xdr:cNvCxnSpPr/>
      </xdr:nvCxnSpPr>
      <xdr:spPr>
        <a:xfrm flipV="1">
          <a:off x="4105275" y="15401925"/>
          <a:ext cx="658283" cy="20108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24</xdr:row>
      <xdr:rowOff>9526</xdr:rowOff>
    </xdr:from>
    <xdr:to>
      <xdr:col>8</xdr:col>
      <xdr:colOff>0</xdr:colOff>
      <xdr:row>25</xdr:row>
      <xdr:rowOff>19050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40F2C42F-2FD8-48A1-9AFF-E917DEE0EA9E}"/>
            </a:ext>
          </a:extLst>
        </xdr:cNvPr>
        <xdr:cNvCxnSpPr/>
      </xdr:nvCxnSpPr>
      <xdr:spPr>
        <a:xfrm flipV="1">
          <a:off x="4104217" y="5268384"/>
          <a:ext cx="648758" cy="1968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26</xdr:row>
      <xdr:rowOff>0</xdr:rowOff>
    </xdr:from>
    <xdr:to>
      <xdr:col>8</xdr:col>
      <xdr:colOff>38100</xdr:colOff>
      <xdr:row>27</xdr:row>
      <xdr:rowOff>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EEE4F096-0867-42EF-AF6F-ECAEB9BDE626}"/>
            </a:ext>
          </a:extLst>
        </xdr:cNvPr>
        <xdr:cNvCxnSpPr/>
      </xdr:nvCxnSpPr>
      <xdr:spPr>
        <a:xfrm>
          <a:off x="4103158" y="5638800"/>
          <a:ext cx="687917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23</xdr:row>
      <xdr:rowOff>95250</xdr:rowOff>
    </xdr:from>
    <xdr:to>
      <xdr:col>9</xdr:col>
      <xdr:colOff>428625</xdr:colOff>
      <xdr:row>28</xdr:row>
      <xdr:rowOff>28575</xdr:rowOff>
    </xdr:to>
    <xdr:sp macro="" textlink="">
      <xdr:nvSpPr>
        <xdr:cNvPr id="53" name="Right Brace 52">
          <a:extLst>
            <a:ext uri="{FF2B5EF4-FFF2-40B4-BE49-F238E27FC236}">
              <a16:creationId xmlns:a16="http://schemas.microsoft.com/office/drawing/2014/main" id="{4B6F771D-A056-47B6-A8CA-58D115A73C3D}"/>
            </a:ext>
          </a:extLst>
        </xdr:cNvPr>
        <xdr:cNvSpPr/>
      </xdr:nvSpPr>
      <xdr:spPr>
        <a:xfrm>
          <a:off x="5493808" y="5084233"/>
          <a:ext cx="336550" cy="963084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2</xdr:row>
      <xdr:rowOff>0</xdr:rowOff>
    </xdr:from>
    <xdr:to>
      <xdr:col>11</xdr:col>
      <xdr:colOff>838200</xdr:colOff>
      <xdr:row>10</xdr:row>
      <xdr:rowOff>342900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F75190-A3F6-4E01-9A94-ACC96E6F6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543984</xdr:colOff>
      <xdr:row>3</xdr:row>
      <xdr:rowOff>180975</xdr:rowOff>
    </xdr:from>
    <xdr:to>
      <xdr:col>7</xdr:col>
      <xdr:colOff>561975</xdr:colOff>
      <xdr:row>10</xdr:row>
      <xdr:rowOff>151342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6BEB38D-76A7-4EC4-B2D9-50159307506B}"/>
            </a:ext>
          </a:extLst>
        </xdr:cNvPr>
        <xdr:cNvCxnSpPr/>
      </xdr:nvCxnSpPr>
      <xdr:spPr>
        <a:xfrm flipH="1">
          <a:off x="4687359" y="885825"/>
          <a:ext cx="17991" cy="2713567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3</xdr:row>
      <xdr:rowOff>274109</xdr:rowOff>
    </xdr:from>
    <xdr:to>
      <xdr:col>8</xdr:col>
      <xdr:colOff>343958</xdr:colOff>
      <xdr:row>3</xdr:row>
      <xdr:rowOff>571500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5CAB71F-6152-4796-BC8E-973DEAEA5A5B}"/>
            </a:ext>
          </a:extLst>
        </xdr:cNvPr>
        <xdr:cNvSpPr txBox="1"/>
      </xdr:nvSpPr>
      <xdr:spPr>
        <a:xfrm>
          <a:off x="4267200" y="978959"/>
          <a:ext cx="915458" cy="29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</a:t>
          </a:r>
          <a:r>
            <a:rPr lang="en-US" sz="1100" b="1" baseline="0">
              <a:solidFill>
                <a:srgbClr val="FF0000"/>
              </a:solidFill>
            </a:rPr>
            <a:t> $160.60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545041</xdr:colOff>
      <xdr:row>8</xdr:row>
      <xdr:rowOff>179917</xdr:rowOff>
    </xdr:from>
    <xdr:to>
      <xdr:col>11</xdr:col>
      <xdr:colOff>516466</xdr:colOff>
      <xdr:row>9</xdr:row>
      <xdr:rowOff>37041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EEBB127-BE3F-4049-BA7B-15A8E548F5AB}"/>
            </a:ext>
          </a:extLst>
        </xdr:cNvPr>
        <xdr:cNvSpPr txBox="1"/>
      </xdr:nvSpPr>
      <xdr:spPr>
        <a:xfrm>
          <a:off x="6869641" y="2923117"/>
          <a:ext cx="6667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  <xdr:twoCellAnchor>
    <xdr:from>
      <xdr:col>10</xdr:col>
      <xdr:colOff>495300</xdr:colOff>
      <xdr:row>6</xdr:row>
      <xdr:rowOff>104775</xdr:rowOff>
    </xdr:from>
    <xdr:to>
      <xdr:col>11</xdr:col>
      <xdr:colOff>466724</xdr:colOff>
      <xdr:row>6</xdr:row>
      <xdr:rowOff>314323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5FD7A57-EAD4-44F1-8EA9-B6938247DB0A}"/>
            </a:ext>
          </a:extLst>
        </xdr:cNvPr>
        <xdr:cNvSpPr txBox="1"/>
      </xdr:nvSpPr>
      <xdr:spPr>
        <a:xfrm>
          <a:off x="6819900" y="2143125"/>
          <a:ext cx="666749" cy="2095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122236</xdr:colOff>
      <xdr:row>1</xdr:row>
      <xdr:rowOff>95250</xdr:rowOff>
    </xdr:from>
    <xdr:to>
      <xdr:col>15</xdr:col>
      <xdr:colOff>621241</xdr:colOff>
      <xdr:row>11</xdr:row>
      <xdr:rowOff>16933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6C7A8BD-F347-4CC8-86CD-078E07595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283633</xdr:colOff>
      <xdr:row>3</xdr:row>
      <xdr:rowOff>140758</xdr:rowOff>
    </xdr:from>
    <xdr:to>
      <xdr:col>12</xdr:col>
      <xdr:colOff>295276</xdr:colOff>
      <xdr:row>10</xdr:row>
      <xdr:rowOff>228601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B4C28D5-2F0E-4B03-A3E6-11F861F1BEF0}"/>
            </a:ext>
          </a:extLst>
        </xdr:cNvPr>
        <xdr:cNvCxnSpPr/>
      </xdr:nvCxnSpPr>
      <xdr:spPr>
        <a:xfrm>
          <a:off x="7789333" y="845608"/>
          <a:ext cx="11643" cy="2831043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296335</xdr:colOff>
      <xdr:row>3</xdr:row>
      <xdr:rowOff>152400</xdr:rowOff>
    </xdr:from>
    <xdr:to>
      <xdr:col>14</xdr:col>
      <xdr:colOff>304800</xdr:colOff>
      <xdr:row>10</xdr:row>
      <xdr:rowOff>191559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C453721-10CA-4EE0-B22C-AFFB668293E6}"/>
            </a:ext>
          </a:extLst>
        </xdr:cNvPr>
        <xdr:cNvCxnSpPr/>
      </xdr:nvCxnSpPr>
      <xdr:spPr>
        <a:xfrm flipH="1">
          <a:off x="9106960" y="857250"/>
          <a:ext cx="8465" cy="2782359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521759</xdr:colOff>
      <xdr:row>3</xdr:row>
      <xdr:rowOff>216958</xdr:rowOff>
    </xdr:from>
    <xdr:to>
      <xdr:col>13</xdr:col>
      <xdr:colOff>27517</xdr:colOff>
      <xdr:row>3</xdr:row>
      <xdr:rowOff>504825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61C362B-A8A9-4239-B088-C2FE370C5DE3}"/>
            </a:ext>
          </a:extLst>
        </xdr:cNvPr>
        <xdr:cNvSpPr txBox="1"/>
      </xdr:nvSpPr>
      <xdr:spPr>
        <a:xfrm>
          <a:off x="7379759" y="921808"/>
          <a:ext cx="848783" cy="2878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BE $145.15</a:t>
          </a:r>
        </a:p>
      </xdr:txBody>
    </xdr:sp>
    <xdr:clientData/>
  </xdr:twoCellAnchor>
  <xdr:twoCellAnchor>
    <xdr:from>
      <xdr:col>13</xdr:col>
      <xdr:colOff>484717</xdr:colOff>
      <xdr:row>3</xdr:row>
      <xdr:rowOff>220133</xdr:rowOff>
    </xdr:from>
    <xdr:to>
      <xdr:col>15</xdr:col>
      <xdr:colOff>78316</xdr:colOff>
      <xdr:row>3</xdr:row>
      <xdr:rowOff>505883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78231B4-1631-4339-8C29-1F16AD50D981}"/>
            </a:ext>
          </a:extLst>
        </xdr:cNvPr>
        <xdr:cNvSpPr txBox="1"/>
      </xdr:nvSpPr>
      <xdr:spPr>
        <a:xfrm>
          <a:off x="8685742" y="924983"/>
          <a:ext cx="85089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BE $184.85</a:t>
          </a:r>
        </a:p>
      </xdr:txBody>
    </xdr:sp>
    <xdr:clientData/>
  </xdr:twoCellAnchor>
  <xdr:twoCellAnchor>
    <xdr:from>
      <xdr:col>14</xdr:col>
      <xdr:colOff>554566</xdr:colOff>
      <xdr:row>5</xdr:row>
      <xdr:rowOff>198967</xdr:rowOff>
    </xdr:from>
    <xdr:to>
      <xdr:col>15</xdr:col>
      <xdr:colOff>573616</xdr:colOff>
      <xdr:row>6</xdr:row>
      <xdr:rowOff>56091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8309507-EF64-41BD-A8DA-64CCD32CDA52}"/>
            </a:ext>
          </a:extLst>
        </xdr:cNvPr>
        <xdr:cNvSpPr txBox="1"/>
      </xdr:nvSpPr>
      <xdr:spPr>
        <a:xfrm>
          <a:off x="9460441" y="1884892"/>
          <a:ext cx="6667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  <xdr:twoCellAnchor>
    <xdr:from>
      <xdr:col>14</xdr:col>
      <xdr:colOff>581025</xdr:colOff>
      <xdr:row>3</xdr:row>
      <xdr:rowOff>457200</xdr:rowOff>
    </xdr:from>
    <xdr:to>
      <xdr:col>15</xdr:col>
      <xdr:colOff>600074</xdr:colOff>
      <xdr:row>4</xdr:row>
      <xdr:rowOff>38098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2425F07-9350-4309-84C6-176EBDC04CB8}"/>
            </a:ext>
          </a:extLst>
        </xdr:cNvPr>
        <xdr:cNvSpPr txBox="1"/>
      </xdr:nvSpPr>
      <xdr:spPr>
        <a:xfrm>
          <a:off x="9486900" y="1162050"/>
          <a:ext cx="666749" cy="2095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40215</xdr:colOff>
      <xdr:row>6</xdr:row>
      <xdr:rowOff>265641</xdr:rowOff>
    </xdr:from>
    <xdr:to>
      <xdr:col>10</xdr:col>
      <xdr:colOff>504824</xdr:colOff>
      <xdr:row>8</xdr:row>
      <xdr:rowOff>20108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18C5C57-79FD-4960-A32F-8B90D98851AA}"/>
            </a:ext>
          </a:extLst>
        </xdr:cNvPr>
        <xdr:cNvSpPr/>
      </xdr:nvSpPr>
      <xdr:spPr>
        <a:xfrm rot="10800000">
          <a:off x="6031440" y="2056341"/>
          <a:ext cx="464609" cy="325967"/>
        </a:xfrm>
        <a:prstGeom prst="rightArrow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198969</xdr:colOff>
      <xdr:row>11</xdr:row>
      <xdr:rowOff>21165</xdr:rowOff>
    </xdr:from>
    <xdr:to>
      <xdr:col>4</xdr:col>
      <xdr:colOff>533403</xdr:colOff>
      <xdr:row>11</xdr:row>
      <xdr:rowOff>447675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925849CD-D9AD-4C16-B5F2-94F7E02192C7}"/>
            </a:ext>
          </a:extLst>
        </xdr:cNvPr>
        <xdr:cNvSpPr/>
      </xdr:nvSpPr>
      <xdr:spPr>
        <a:xfrm rot="16200000">
          <a:off x="2457981" y="3286653"/>
          <a:ext cx="426510" cy="334434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190501</xdr:colOff>
      <xdr:row>11</xdr:row>
      <xdr:rowOff>19050</xdr:rowOff>
    </xdr:from>
    <xdr:to>
      <xdr:col>8</xdr:col>
      <xdr:colOff>522819</xdr:colOff>
      <xdr:row>11</xdr:row>
      <xdr:rowOff>447677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91C87C22-46E8-4E69-B30A-E529BA052E79}"/>
            </a:ext>
          </a:extLst>
        </xdr:cNvPr>
        <xdr:cNvSpPr/>
      </xdr:nvSpPr>
      <xdr:spPr>
        <a:xfrm rot="16200000">
          <a:off x="4838171" y="3286655"/>
          <a:ext cx="428627" cy="33231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103718</xdr:colOff>
      <xdr:row>1</xdr:row>
      <xdr:rowOff>74613</xdr:rowOff>
    </xdr:from>
    <xdr:to>
      <xdr:col>14</xdr:col>
      <xdr:colOff>655109</xdr:colOff>
      <xdr:row>10</xdr:row>
      <xdr:rowOff>247651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886622-8F1F-4876-B14E-D079800E2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504825</xdr:colOff>
      <xdr:row>3</xdr:row>
      <xdr:rowOff>219075</xdr:rowOff>
    </xdr:from>
    <xdr:to>
      <xdr:col>12</xdr:col>
      <xdr:colOff>505883</xdr:colOff>
      <xdr:row>10</xdr:row>
      <xdr:rowOff>114300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78B6B9D-E90F-4F99-AF3E-D624ADB07E29}"/>
            </a:ext>
          </a:extLst>
        </xdr:cNvPr>
        <xdr:cNvCxnSpPr/>
      </xdr:nvCxnSpPr>
      <xdr:spPr>
        <a:xfrm>
          <a:off x="8467725" y="847725"/>
          <a:ext cx="1058" cy="2028825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219076</xdr:rowOff>
    </xdr:from>
    <xdr:to>
      <xdr:col>13</xdr:col>
      <xdr:colOff>56092</xdr:colOff>
      <xdr:row>3</xdr:row>
      <xdr:rowOff>457200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F74E7BD-49C5-4B78-9BA1-884481A3FF04}"/>
            </a:ext>
          </a:extLst>
        </xdr:cNvPr>
        <xdr:cNvSpPr txBox="1"/>
      </xdr:nvSpPr>
      <xdr:spPr>
        <a:xfrm>
          <a:off x="7962900" y="847726"/>
          <a:ext cx="837142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$162.10</a:t>
          </a:r>
        </a:p>
      </xdr:txBody>
    </xdr:sp>
    <xdr:clientData/>
  </xdr:twoCellAnchor>
  <xdr:twoCellAnchor>
    <xdr:from>
      <xdr:col>13</xdr:col>
      <xdr:colOff>571500</xdr:colOff>
      <xdr:row>5</xdr:row>
      <xdr:rowOff>28575</xdr:rowOff>
    </xdr:from>
    <xdr:to>
      <xdr:col>14</xdr:col>
      <xdr:colOff>514350</xdr:colOff>
      <xdr:row>5</xdr:row>
      <xdr:rowOff>238125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40F85F0-CA3A-4CF5-920A-B011B3F2E2C5}"/>
            </a:ext>
          </a:extLst>
        </xdr:cNvPr>
        <xdr:cNvSpPr txBox="1"/>
      </xdr:nvSpPr>
      <xdr:spPr>
        <a:xfrm>
          <a:off x="9315450" y="1504950"/>
          <a:ext cx="6667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  <xdr:twoCellAnchor>
    <xdr:from>
      <xdr:col>13</xdr:col>
      <xdr:colOff>485775</xdr:colOff>
      <xdr:row>3</xdr:row>
      <xdr:rowOff>142875</xdr:rowOff>
    </xdr:from>
    <xdr:to>
      <xdr:col>14</xdr:col>
      <xdr:colOff>428625</xdr:colOff>
      <xdr:row>3</xdr:row>
      <xdr:rowOff>352424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D26EF01-8581-431E-AB6F-7CC30B39F898}"/>
            </a:ext>
          </a:extLst>
        </xdr:cNvPr>
        <xdr:cNvSpPr txBox="1"/>
      </xdr:nvSpPr>
      <xdr:spPr>
        <a:xfrm>
          <a:off x="9229725" y="771525"/>
          <a:ext cx="6667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125941</xdr:colOff>
      <xdr:row>1</xdr:row>
      <xdr:rowOff>86254</xdr:rowOff>
    </xdr:from>
    <xdr:to>
      <xdr:col>14</xdr:col>
      <xdr:colOff>695325</xdr:colOff>
      <xdr:row>11</xdr:row>
      <xdr:rowOff>17992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266B005-D99C-4D18-B8FE-9B72020784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408517</xdr:colOff>
      <xdr:row>3</xdr:row>
      <xdr:rowOff>210608</xdr:rowOff>
    </xdr:from>
    <xdr:to>
      <xdr:col>12</xdr:col>
      <xdr:colOff>430741</xdr:colOff>
      <xdr:row>9</xdr:row>
      <xdr:rowOff>200025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4EF82DE-ED06-4F43-9C27-65459FC141BA}"/>
            </a:ext>
          </a:extLst>
        </xdr:cNvPr>
        <xdr:cNvCxnSpPr/>
      </xdr:nvCxnSpPr>
      <xdr:spPr>
        <a:xfrm>
          <a:off x="8371417" y="839258"/>
          <a:ext cx="22224" cy="1865842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3</xdr:row>
      <xdr:rowOff>200024</xdr:rowOff>
    </xdr:from>
    <xdr:to>
      <xdr:col>13</xdr:col>
      <xdr:colOff>209550</xdr:colOff>
      <xdr:row>3</xdr:row>
      <xdr:rowOff>445559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65216B8-E035-4351-8C09-2E8E93E376F5}"/>
            </a:ext>
          </a:extLst>
        </xdr:cNvPr>
        <xdr:cNvSpPr txBox="1"/>
      </xdr:nvSpPr>
      <xdr:spPr>
        <a:xfrm>
          <a:off x="8001000" y="828674"/>
          <a:ext cx="952500" cy="245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$165.25</a:t>
          </a:r>
        </a:p>
      </xdr:txBody>
    </xdr:sp>
    <xdr:clientData/>
  </xdr:twoCellAnchor>
  <xdr:twoCellAnchor>
    <xdr:from>
      <xdr:col>13</xdr:col>
      <xdr:colOff>353483</xdr:colOff>
      <xdr:row>6</xdr:row>
      <xdr:rowOff>141817</xdr:rowOff>
    </xdr:from>
    <xdr:to>
      <xdr:col>14</xdr:col>
      <xdr:colOff>295275</xdr:colOff>
      <xdr:row>7</xdr:row>
      <xdr:rowOff>152400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33DD824-FE50-4721-A023-59566648DE92}"/>
            </a:ext>
          </a:extLst>
        </xdr:cNvPr>
        <xdr:cNvSpPr txBox="1"/>
      </xdr:nvSpPr>
      <xdr:spPr>
        <a:xfrm>
          <a:off x="9097433" y="1875367"/>
          <a:ext cx="665692" cy="2677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Payoff</a:t>
          </a:r>
        </a:p>
      </xdr:txBody>
    </xdr:sp>
    <xdr:clientData/>
  </xdr:twoCellAnchor>
  <xdr:twoCellAnchor>
    <xdr:from>
      <xdr:col>13</xdr:col>
      <xdr:colOff>445559</xdr:colOff>
      <xdr:row>10</xdr:row>
      <xdr:rowOff>9524</xdr:rowOff>
    </xdr:from>
    <xdr:to>
      <xdr:col>14</xdr:col>
      <xdr:colOff>352424</xdr:colOff>
      <xdr:row>10</xdr:row>
      <xdr:rowOff>228599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65F3BF-1E0F-4322-BE6D-AF0A655C1EE9}"/>
            </a:ext>
          </a:extLst>
        </xdr:cNvPr>
        <xdr:cNvSpPr txBox="1"/>
      </xdr:nvSpPr>
      <xdr:spPr>
        <a:xfrm>
          <a:off x="9189509" y="2771774"/>
          <a:ext cx="63076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Profit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163511</xdr:colOff>
      <xdr:row>2</xdr:row>
      <xdr:rowOff>17462</xdr:rowOff>
    </xdr:from>
    <xdr:to>
      <xdr:col>14</xdr:col>
      <xdr:colOff>704850</xdr:colOff>
      <xdr:row>11</xdr:row>
      <xdr:rowOff>10583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CAA272D-6755-4441-A196-373F6B2CB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628650</xdr:colOff>
      <xdr:row>3</xdr:row>
      <xdr:rowOff>171450</xdr:rowOff>
    </xdr:from>
    <xdr:to>
      <xdr:col>12</xdr:col>
      <xdr:colOff>629708</xdr:colOff>
      <xdr:row>10</xdr:row>
      <xdr:rowOff>67733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D958D6D-A3DF-4133-BF58-188F6281F680}"/>
            </a:ext>
          </a:extLst>
        </xdr:cNvPr>
        <xdr:cNvCxnSpPr/>
      </xdr:nvCxnSpPr>
      <xdr:spPr>
        <a:xfrm>
          <a:off x="8591550" y="800100"/>
          <a:ext cx="1058" cy="2029883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3</xdr:row>
      <xdr:rowOff>142875</xdr:rowOff>
    </xdr:from>
    <xdr:to>
      <xdr:col>13</xdr:col>
      <xdr:colOff>239184</xdr:colOff>
      <xdr:row>3</xdr:row>
      <xdr:rowOff>383116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FD485E0-0937-453E-91FE-6335BA63D661}"/>
            </a:ext>
          </a:extLst>
        </xdr:cNvPr>
        <xdr:cNvSpPr txBox="1"/>
      </xdr:nvSpPr>
      <xdr:spPr>
        <a:xfrm>
          <a:off x="8143875" y="771525"/>
          <a:ext cx="839259" cy="2402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$162.10</a:t>
          </a:r>
        </a:p>
      </xdr:txBody>
    </xdr:sp>
    <xdr:clientData/>
  </xdr:twoCellAnchor>
  <xdr:twoCellAnchor>
    <xdr:from>
      <xdr:col>14</xdr:col>
      <xdr:colOff>0</xdr:colOff>
      <xdr:row>3</xdr:row>
      <xdr:rowOff>552450</xdr:rowOff>
    </xdr:from>
    <xdr:to>
      <xdr:col>14</xdr:col>
      <xdr:colOff>668866</xdr:colOff>
      <xdr:row>4</xdr:row>
      <xdr:rowOff>170391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C85A98A-C1A3-4DDC-9868-866DB9652F2C}"/>
            </a:ext>
          </a:extLst>
        </xdr:cNvPr>
        <xdr:cNvSpPr txBox="1"/>
      </xdr:nvSpPr>
      <xdr:spPr>
        <a:xfrm>
          <a:off x="9467850" y="1181100"/>
          <a:ext cx="668866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  <xdr:twoCellAnchor>
    <xdr:from>
      <xdr:col>13</xdr:col>
      <xdr:colOff>704850</xdr:colOff>
      <xdr:row>3</xdr:row>
      <xdr:rowOff>104775</xdr:rowOff>
    </xdr:from>
    <xdr:to>
      <xdr:col>14</xdr:col>
      <xdr:colOff>649816</xdr:colOff>
      <xdr:row>3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DD87F67-7C0A-4838-B072-6109471D486B}"/>
            </a:ext>
          </a:extLst>
        </xdr:cNvPr>
        <xdr:cNvSpPr txBox="1"/>
      </xdr:nvSpPr>
      <xdr:spPr>
        <a:xfrm>
          <a:off x="9448800" y="733425"/>
          <a:ext cx="668866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35983</xdr:colOff>
      <xdr:row>3</xdr:row>
      <xdr:rowOff>159808</xdr:rowOff>
    </xdr:from>
    <xdr:to>
      <xdr:col>20</xdr:col>
      <xdr:colOff>37041</xdr:colOff>
      <xdr:row>10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5FCF1CF-16F6-4F5F-B8BD-8C65A458EADB}"/>
            </a:ext>
          </a:extLst>
        </xdr:cNvPr>
        <xdr:cNvCxnSpPr/>
      </xdr:nvCxnSpPr>
      <xdr:spPr>
        <a:xfrm>
          <a:off x="13466233" y="788458"/>
          <a:ext cx="1058" cy="2030942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116416</xdr:colOff>
      <xdr:row>2</xdr:row>
      <xdr:rowOff>8995</xdr:rowOff>
    </xdr:from>
    <xdr:to>
      <xdr:col>14</xdr:col>
      <xdr:colOff>685800</xdr:colOff>
      <xdr:row>11</xdr:row>
      <xdr:rowOff>143404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8A482B4-8739-410E-B62F-8F92665FE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3</xdr:row>
      <xdr:rowOff>276225</xdr:rowOff>
    </xdr:from>
    <xdr:to>
      <xdr:col>12</xdr:col>
      <xdr:colOff>581025</xdr:colOff>
      <xdr:row>10</xdr:row>
      <xdr:rowOff>171450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EEDF627-53D5-4E6C-A8DA-B12C25C76CE3}"/>
            </a:ext>
          </a:extLst>
        </xdr:cNvPr>
        <xdr:cNvCxnSpPr/>
      </xdr:nvCxnSpPr>
      <xdr:spPr>
        <a:xfrm>
          <a:off x="8543925" y="904875"/>
          <a:ext cx="0" cy="2028825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3</xdr:row>
      <xdr:rowOff>142875</xdr:rowOff>
    </xdr:from>
    <xdr:to>
      <xdr:col>13</xdr:col>
      <xdr:colOff>218017</xdr:colOff>
      <xdr:row>3</xdr:row>
      <xdr:rowOff>382057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425116-1890-4101-9985-E15D6602B0FA}"/>
            </a:ext>
          </a:extLst>
        </xdr:cNvPr>
        <xdr:cNvSpPr txBox="1"/>
      </xdr:nvSpPr>
      <xdr:spPr>
        <a:xfrm>
          <a:off x="8124825" y="771525"/>
          <a:ext cx="837142" cy="2391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$169.75</a:t>
          </a:r>
        </a:p>
      </xdr:txBody>
    </xdr:sp>
    <xdr:clientData/>
  </xdr:twoCellAnchor>
  <xdr:twoCellAnchor>
    <xdr:from>
      <xdr:col>10</xdr:col>
      <xdr:colOff>57150</xdr:colOff>
      <xdr:row>3</xdr:row>
      <xdr:rowOff>142875</xdr:rowOff>
    </xdr:from>
    <xdr:to>
      <xdr:col>11</xdr:col>
      <xdr:colOff>123825</xdr:colOff>
      <xdr:row>3</xdr:row>
      <xdr:rowOff>352424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FB397F5-C149-455B-8860-834283FE2E80}"/>
            </a:ext>
          </a:extLst>
        </xdr:cNvPr>
        <xdr:cNvSpPr txBox="1"/>
      </xdr:nvSpPr>
      <xdr:spPr>
        <a:xfrm>
          <a:off x="6848475" y="771525"/>
          <a:ext cx="6667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  <xdr:twoCellAnchor>
    <xdr:from>
      <xdr:col>10</xdr:col>
      <xdr:colOff>57150</xdr:colOff>
      <xdr:row>4</xdr:row>
      <xdr:rowOff>47625</xdr:rowOff>
    </xdr:from>
    <xdr:to>
      <xdr:col>11</xdr:col>
      <xdr:colOff>123824</xdr:colOff>
      <xdr:row>5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30CAEDD-9F6E-47C8-88C0-B3ED1BD9311B}"/>
            </a:ext>
          </a:extLst>
        </xdr:cNvPr>
        <xdr:cNvSpPr txBox="1"/>
      </xdr:nvSpPr>
      <xdr:spPr>
        <a:xfrm>
          <a:off x="6848475" y="1266825"/>
          <a:ext cx="666749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178860</xdr:colOff>
      <xdr:row>1</xdr:row>
      <xdr:rowOff>112713</xdr:rowOff>
    </xdr:from>
    <xdr:to>
      <xdr:col>15</xdr:col>
      <xdr:colOff>571501</xdr:colOff>
      <xdr:row>11</xdr:row>
      <xdr:rowOff>29635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43F5467-0237-4013-8D8A-E686196C3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581025</xdr:colOff>
      <xdr:row>3</xdr:row>
      <xdr:rowOff>238125</xdr:rowOff>
    </xdr:from>
    <xdr:to>
      <xdr:col>13</xdr:col>
      <xdr:colOff>581025</xdr:colOff>
      <xdr:row>10</xdr:row>
      <xdr:rowOff>134408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DF42C16-BBAA-4CA3-9AE8-3CF65E7311AC}"/>
            </a:ext>
          </a:extLst>
        </xdr:cNvPr>
        <xdr:cNvCxnSpPr/>
      </xdr:nvCxnSpPr>
      <xdr:spPr>
        <a:xfrm>
          <a:off x="9601200" y="866775"/>
          <a:ext cx="0" cy="2029883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542925</xdr:colOff>
      <xdr:row>3</xdr:row>
      <xdr:rowOff>247650</xdr:rowOff>
    </xdr:from>
    <xdr:to>
      <xdr:col>11</xdr:col>
      <xdr:colOff>542925</xdr:colOff>
      <xdr:row>10</xdr:row>
      <xdr:rowOff>143933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A1DB69F-C872-4A29-BAAB-E8095107E67D}"/>
            </a:ext>
          </a:extLst>
        </xdr:cNvPr>
        <xdr:cNvCxnSpPr/>
      </xdr:nvCxnSpPr>
      <xdr:spPr>
        <a:xfrm>
          <a:off x="8210550" y="876300"/>
          <a:ext cx="0" cy="2029883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247650</xdr:rowOff>
    </xdr:from>
    <xdr:to>
      <xdr:col>12</xdr:col>
      <xdr:colOff>315384</xdr:colOff>
      <xdr:row>3</xdr:row>
      <xdr:rowOff>486832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B0ACF19-119F-4279-996B-F17382ADAEAD}"/>
            </a:ext>
          </a:extLst>
        </xdr:cNvPr>
        <xdr:cNvSpPr txBox="1"/>
      </xdr:nvSpPr>
      <xdr:spPr>
        <a:xfrm>
          <a:off x="7715250" y="876300"/>
          <a:ext cx="839259" cy="2391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$156.15</a:t>
          </a:r>
        </a:p>
      </xdr:txBody>
    </xdr:sp>
    <xdr:clientData/>
  </xdr:twoCellAnchor>
  <xdr:twoCellAnchor>
    <xdr:from>
      <xdr:col>13</xdr:col>
      <xdr:colOff>133350</xdr:colOff>
      <xdr:row>3</xdr:row>
      <xdr:rowOff>257175</xdr:rowOff>
    </xdr:from>
    <xdr:to>
      <xdr:col>14</xdr:col>
      <xdr:colOff>248709</xdr:colOff>
      <xdr:row>3</xdr:row>
      <xdr:rowOff>496357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8E26075-3A33-49EB-9831-3D7804F4D094}"/>
            </a:ext>
          </a:extLst>
        </xdr:cNvPr>
        <xdr:cNvSpPr txBox="1"/>
      </xdr:nvSpPr>
      <xdr:spPr>
        <a:xfrm>
          <a:off x="9153525" y="885825"/>
          <a:ext cx="839259" cy="2391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BE $173.85</a:t>
          </a:r>
        </a:p>
      </xdr:txBody>
    </xdr:sp>
    <xdr:clientData/>
  </xdr:twoCellAnchor>
  <xdr:twoCellAnchor>
    <xdr:from>
      <xdr:col>9</xdr:col>
      <xdr:colOff>66675</xdr:colOff>
      <xdr:row>6</xdr:row>
      <xdr:rowOff>180975</xdr:rowOff>
    </xdr:from>
    <xdr:to>
      <xdr:col>10</xdr:col>
      <xdr:colOff>554566</xdr:colOff>
      <xdr:row>7</xdr:row>
      <xdr:rowOff>135466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065DCC7-C4D1-4A8A-806D-41A95462EF36}"/>
            </a:ext>
          </a:extLst>
        </xdr:cNvPr>
        <xdr:cNvSpPr txBox="1"/>
      </xdr:nvSpPr>
      <xdr:spPr>
        <a:xfrm>
          <a:off x="6953250" y="1914525"/>
          <a:ext cx="668866" cy="211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Payoff</a:t>
          </a:r>
        </a:p>
      </xdr:txBody>
    </xdr:sp>
    <xdr:clientData/>
  </xdr:twoCellAnchor>
  <xdr:twoCellAnchor>
    <xdr:from>
      <xdr:col>12</xdr:col>
      <xdr:colOff>371475</xdr:colOff>
      <xdr:row>6</xdr:row>
      <xdr:rowOff>209550</xdr:rowOff>
    </xdr:from>
    <xdr:to>
      <xdr:col>13</xdr:col>
      <xdr:colOff>259291</xdr:colOff>
      <xdr:row>7</xdr:row>
      <xdr:rowOff>161924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93EC7B4-1A8A-46D6-BC53-1508574CE4E7}"/>
            </a:ext>
          </a:extLst>
        </xdr:cNvPr>
        <xdr:cNvSpPr txBox="1"/>
      </xdr:nvSpPr>
      <xdr:spPr>
        <a:xfrm>
          <a:off x="8610600" y="1943100"/>
          <a:ext cx="668866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Profit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4-21T00:41:32.6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06T16:37:01.387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06T16:40:06.847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C26F-384E-4E05-97D6-F2DA844C2756}">
  <dimension ref="A1:AZ31"/>
  <sheetViews>
    <sheetView showGridLines="0" tabSelected="1" zoomScaleNormal="100" workbookViewId="0">
      <selection activeCell="O4" sqref="O4"/>
    </sheetView>
  </sheetViews>
  <sheetFormatPr defaultRowHeight="14.5" x14ac:dyDescent="0.35"/>
  <cols>
    <col min="1" max="1" width="2.7265625" customWidth="1"/>
    <col min="2" max="5" width="12.08984375" customWidth="1"/>
    <col min="6" max="6" width="16.54296875" customWidth="1"/>
    <col min="7" max="7" width="7.26953125" customWidth="1"/>
    <col min="8" max="12" width="16.54296875" customWidth="1"/>
    <col min="13" max="13" width="2.08984375" customWidth="1"/>
  </cols>
  <sheetData>
    <row r="1" spans="1:52" ht="24" customHeight="1" x14ac:dyDescent="0.45">
      <c r="B1" s="15" t="s">
        <v>38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49"/>
      <c r="N1" s="49"/>
      <c r="O1" s="49"/>
    </row>
    <row r="2" spans="1:52" ht="9.5" customHeight="1" thickBot="1" x14ac:dyDescent="0.4"/>
    <row r="3" spans="1:52" ht="22.75" customHeight="1" x14ac:dyDescent="0.35">
      <c r="A3" s="17"/>
      <c r="B3" s="48" t="s">
        <v>19</v>
      </c>
      <c r="C3" s="686" t="s">
        <v>46</v>
      </c>
      <c r="D3" s="687"/>
      <c r="E3" s="68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ht="49.75" customHeight="1" x14ac:dyDescent="0.35">
      <c r="A4" s="17"/>
      <c r="B4" s="86" t="s">
        <v>9</v>
      </c>
      <c r="C4" s="10" t="s">
        <v>10</v>
      </c>
      <c r="D4" s="9" t="s">
        <v>11</v>
      </c>
      <c r="E4" s="11" t="s">
        <v>12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28" customHeight="1" x14ac:dyDescent="0.35">
      <c r="A5" s="17"/>
      <c r="B5" s="19">
        <v>150</v>
      </c>
      <c r="C5" s="20">
        <v>20</v>
      </c>
      <c r="D5" s="21">
        <v>21.5</v>
      </c>
      <c r="E5" s="22">
        <v>23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28" customHeight="1" x14ac:dyDescent="0.35">
      <c r="A6" s="17"/>
      <c r="B6" s="19">
        <v>155</v>
      </c>
      <c r="C6" s="20">
        <v>15.5</v>
      </c>
      <c r="D6" s="21">
        <v>16.25</v>
      </c>
      <c r="E6" s="22">
        <v>17.75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ht="28" customHeight="1" x14ac:dyDescent="0.35">
      <c r="A7" s="17"/>
      <c r="B7" s="19">
        <v>160</v>
      </c>
      <c r="C7" s="20">
        <v>12.5</v>
      </c>
      <c r="D7" s="21">
        <v>12.85</v>
      </c>
      <c r="E7" s="22">
        <v>13.5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28" customHeight="1" x14ac:dyDescent="0.35">
      <c r="A8" s="17"/>
      <c r="B8" s="19">
        <v>165</v>
      </c>
      <c r="C8" s="20">
        <v>8.1</v>
      </c>
      <c r="D8" s="21">
        <v>9</v>
      </c>
      <c r="E8" s="22">
        <v>10.65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8" customHeight="1" x14ac:dyDescent="0.35">
      <c r="A9" s="17"/>
      <c r="B9" s="19">
        <v>170</v>
      </c>
      <c r="C9" s="20">
        <v>5.2</v>
      </c>
      <c r="D9" s="21">
        <v>6.3</v>
      </c>
      <c r="E9" s="22">
        <v>8.5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ht="28" customHeight="1" x14ac:dyDescent="0.35">
      <c r="A10" s="17"/>
      <c r="B10" s="19">
        <v>175</v>
      </c>
      <c r="C10" s="20">
        <v>3.25</v>
      </c>
      <c r="D10" s="21">
        <v>4.25</v>
      </c>
      <c r="E10" s="22">
        <v>5.75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ht="28" customHeight="1" thickBot="1" x14ac:dyDescent="0.4">
      <c r="A11" s="17"/>
      <c r="B11" s="19">
        <v>180</v>
      </c>
      <c r="C11" s="26">
        <v>2.5</v>
      </c>
      <c r="D11" s="27">
        <v>3.4</v>
      </c>
      <c r="E11" s="28">
        <v>4.45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3" spans="1:52" x14ac:dyDescent="0.35">
      <c r="B13" s="53" t="s">
        <v>21</v>
      </c>
    </row>
    <row r="14" spans="1:52" ht="15.4" customHeight="1" x14ac:dyDescent="0.5">
      <c r="C14" s="3" t="s">
        <v>39</v>
      </c>
      <c r="D14" s="2">
        <f>+B8</f>
        <v>165</v>
      </c>
      <c r="E14" s="8"/>
      <c r="G14" s="1" t="s">
        <v>4</v>
      </c>
      <c r="H14" s="4">
        <f>+D14+D15</f>
        <v>175.65</v>
      </c>
      <c r="J14" s="35"/>
      <c r="K14" t="s">
        <v>33</v>
      </c>
    </row>
    <row r="15" spans="1:52" x14ac:dyDescent="0.35">
      <c r="B15" s="1"/>
      <c r="C15" s="1" t="s">
        <v>40</v>
      </c>
      <c r="D15" s="2">
        <f>+E8</f>
        <v>10.65</v>
      </c>
      <c r="E15" s="8"/>
      <c r="G15" s="1" t="s">
        <v>37</v>
      </c>
      <c r="H15" s="4">
        <f>D21</f>
        <v>-10.65</v>
      </c>
      <c r="J15" s="32"/>
      <c r="K15" t="s">
        <v>35</v>
      </c>
    </row>
    <row r="16" spans="1:52" x14ac:dyDescent="0.35">
      <c r="B16" s="1"/>
      <c r="C16" s="1"/>
      <c r="D16" s="2"/>
      <c r="E16" s="8"/>
      <c r="G16" s="1" t="s">
        <v>16</v>
      </c>
      <c r="H16" s="4" t="s">
        <v>8</v>
      </c>
      <c r="J16" s="45"/>
      <c r="K16" t="s">
        <v>36</v>
      </c>
    </row>
    <row r="17" spans="2:19" x14ac:dyDescent="0.35">
      <c r="B17" s="1"/>
      <c r="C17" s="1"/>
      <c r="D17" s="2"/>
      <c r="E17" s="8"/>
      <c r="H17" s="1"/>
      <c r="I17" s="4"/>
    </row>
    <row r="18" spans="2:19" ht="34" customHeight="1" x14ac:dyDescent="0.35">
      <c r="B18" s="689" t="s">
        <v>18</v>
      </c>
      <c r="C18" s="690"/>
      <c r="D18" s="690"/>
      <c r="E18" s="8"/>
      <c r="F18" s="47" t="s">
        <v>22</v>
      </c>
      <c r="H18" s="689" t="s">
        <v>17</v>
      </c>
      <c r="I18" s="689"/>
      <c r="J18" s="689"/>
      <c r="K18" s="689"/>
      <c r="L18" s="689"/>
    </row>
    <row r="19" spans="2:19" ht="30.4" customHeight="1" x14ac:dyDescent="0.35">
      <c r="B19" s="51"/>
      <c r="C19" s="51" t="s">
        <v>0</v>
      </c>
      <c r="D19" s="52" t="s">
        <v>24</v>
      </c>
      <c r="E19" s="50"/>
      <c r="F19" s="51" t="s">
        <v>25</v>
      </c>
      <c r="G19" s="50"/>
      <c r="H19" s="51"/>
      <c r="I19" s="52" t="s">
        <v>29</v>
      </c>
      <c r="J19" s="52" t="s">
        <v>30</v>
      </c>
      <c r="K19" s="52" t="s">
        <v>31</v>
      </c>
      <c r="L19" s="51" t="s">
        <v>32</v>
      </c>
      <c r="Q19" t="s">
        <v>41</v>
      </c>
    </row>
    <row r="20" spans="2:19" ht="43.5" x14ac:dyDescent="0.35">
      <c r="B20" s="7" t="s">
        <v>21</v>
      </c>
      <c r="C20" s="7" t="s">
        <v>2</v>
      </c>
      <c r="D20" s="7" t="s">
        <v>23</v>
      </c>
      <c r="E20" s="8"/>
      <c r="F20" s="7" t="s">
        <v>1</v>
      </c>
      <c r="H20" s="7" t="s">
        <v>13</v>
      </c>
      <c r="I20" s="7" t="s">
        <v>28</v>
      </c>
      <c r="J20" s="7" t="s">
        <v>27</v>
      </c>
      <c r="K20" s="7" t="s">
        <v>3</v>
      </c>
      <c r="L20" s="7" t="s">
        <v>15</v>
      </c>
      <c r="Q20" s="14"/>
      <c r="R20" s="14" t="s">
        <v>6</v>
      </c>
      <c r="S20" s="14" t="s">
        <v>7</v>
      </c>
    </row>
    <row r="21" spans="2:19" x14ac:dyDescent="0.35">
      <c r="B21" s="5" t="s">
        <v>14</v>
      </c>
      <c r="C21" s="5">
        <f t="shared" ref="C21:C26" si="0">+$D$14</f>
        <v>165</v>
      </c>
      <c r="D21" s="6">
        <f t="shared" ref="D21:D26" si="1">-$D$15</f>
        <v>-10.65</v>
      </c>
      <c r="F21" s="43">
        <v>155</v>
      </c>
      <c r="H21" s="35" t="str">
        <f>IF(I21=0,"No","Yes")</f>
        <v>No</v>
      </c>
      <c r="I21" s="36">
        <f t="shared" ref="I21:I26" si="2">MAX(0,F21-C21)</f>
        <v>0</v>
      </c>
      <c r="J21" s="36">
        <f t="shared" ref="J21:J26" si="3">+I21+D21</f>
        <v>-10.65</v>
      </c>
      <c r="K21" s="37">
        <f t="shared" ref="K21:K26" si="4">-J21/D21</f>
        <v>-1</v>
      </c>
      <c r="L21" s="38">
        <f t="shared" ref="L21:L26" si="5">+C21-D21</f>
        <v>175.65</v>
      </c>
      <c r="P21">
        <v>-15</v>
      </c>
      <c r="Q21" s="4">
        <f>+F21</f>
        <v>155</v>
      </c>
      <c r="R21" s="4">
        <f t="shared" ref="R21:S26" si="6">+I21</f>
        <v>0</v>
      </c>
      <c r="S21" s="4">
        <f t="shared" si="6"/>
        <v>-10.65</v>
      </c>
    </row>
    <row r="22" spans="2:19" x14ac:dyDescent="0.35">
      <c r="B22" s="5" t="s">
        <v>14</v>
      </c>
      <c r="C22" s="5">
        <f t="shared" si="0"/>
        <v>165</v>
      </c>
      <c r="D22" s="6">
        <f t="shared" si="1"/>
        <v>-10.65</v>
      </c>
      <c r="F22" s="43">
        <v>160</v>
      </c>
      <c r="H22" s="35" t="str">
        <f t="shared" ref="H22:H28" si="7">IF(I22=0,"No","Yes")</f>
        <v>No</v>
      </c>
      <c r="I22" s="36">
        <f t="shared" si="2"/>
        <v>0</v>
      </c>
      <c r="J22" s="36">
        <f t="shared" si="3"/>
        <v>-10.65</v>
      </c>
      <c r="K22" s="37">
        <f t="shared" si="4"/>
        <v>-1</v>
      </c>
      <c r="L22" s="38">
        <f t="shared" si="5"/>
        <v>175.65</v>
      </c>
      <c r="P22">
        <v>-5</v>
      </c>
      <c r="Q22" s="4">
        <f t="shared" ref="Q22:Q26" si="8">+F22</f>
        <v>160</v>
      </c>
      <c r="R22" s="4">
        <f t="shared" si="6"/>
        <v>0</v>
      </c>
      <c r="S22" s="4">
        <f t="shared" si="6"/>
        <v>-10.65</v>
      </c>
    </row>
    <row r="23" spans="2:19" x14ac:dyDescent="0.35">
      <c r="B23" s="5" t="s">
        <v>14</v>
      </c>
      <c r="C23" s="5">
        <f t="shared" si="0"/>
        <v>165</v>
      </c>
      <c r="D23" s="6">
        <f t="shared" si="1"/>
        <v>-10.65</v>
      </c>
      <c r="F23" s="44">
        <v>165</v>
      </c>
      <c r="H23" s="32" t="str">
        <f t="shared" si="7"/>
        <v>No</v>
      </c>
      <c r="I23" s="6">
        <f t="shared" si="2"/>
        <v>0</v>
      </c>
      <c r="J23" s="6">
        <f t="shared" si="3"/>
        <v>-10.65</v>
      </c>
      <c r="K23" s="33">
        <f t="shared" si="4"/>
        <v>-1</v>
      </c>
      <c r="L23" s="34">
        <f t="shared" si="5"/>
        <v>175.65</v>
      </c>
      <c r="P23">
        <v>5</v>
      </c>
      <c r="Q23" s="4">
        <f t="shared" si="8"/>
        <v>165</v>
      </c>
      <c r="R23" s="4">
        <f t="shared" si="6"/>
        <v>0</v>
      </c>
      <c r="S23" s="4">
        <f t="shared" si="6"/>
        <v>-10.65</v>
      </c>
    </row>
    <row r="24" spans="2:19" x14ac:dyDescent="0.35">
      <c r="B24" s="5" t="s">
        <v>14</v>
      </c>
      <c r="C24" s="5">
        <f t="shared" si="0"/>
        <v>165</v>
      </c>
      <c r="D24" s="6">
        <f t="shared" si="1"/>
        <v>-10.65</v>
      </c>
      <c r="F24" s="45">
        <v>170</v>
      </c>
      <c r="H24" s="39" t="str">
        <f t="shared" si="7"/>
        <v>Yes</v>
      </c>
      <c r="I24" s="40">
        <f t="shared" si="2"/>
        <v>5</v>
      </c>
      <c r="J24" s="40">
        <f t="shared" si="3"/>
        <v>-5.65</v>
      </c>
      <c r="K24" s="41">
        <f t="shared" si="4"/>
        <v>-0.53051643192488263</v>
      </c>
      <c r="L24" s="42">
        <f t="shared" si="5"/>
        <v>175.65</v>
      </c>
      <c r="P24">
        <v>15</v>
      </c>
      <c r="Q24" s="4">
        <f t="shared" si="8"/>
        <v>170</v>
      </c>
      <c r="R24" s="4">
        <f t="shared" si="6"/>
        <v>5</v>
      </c>
      <c r="S24" s="4">
        <f t="shared" si="6"/>
        <v>-5.65</v>
      </c>
    </row>
    <row r="25" spans="2:19" x14ac:dyDescent="0.35">
      <c r="B25" s="5" t="s">
        <v>14</v>
      </c>
      <c r="C25" s="5">
        <f t="shared" si="0"/>
        <v>165</v>
      </c>
      <c r="D25" s="6">
        <f t="shared" si="1"/>
        <v>-10.65</v>
      </c>
      <c r="F25" s="45">
        <v>175</v>
      </c>
      <c r="H25" s="39" t="str">
        <f t="shared" si="7"/>
        <v>Yes</v>
      </c>
      <c r="I25" s="40">
        <f t="shared" si="2"/>
        <v>10</v>
      </c>
      <c r="J25" s="40">
        <f t="shared" si="3"/>
        <v>-0.65000000000000036</v>
      </c>
      <c r="K25" s="41">
        <f t="shared" si="4"/>
        <v>-6.1032863849765293E-2</v>
      </c>
      <c r="L25" s="42">
        <f t="shared" si="5"/>
        <v>175.65</v>
      </c>
      <c r="P25">
        <v>25</v>
      </c>
      <c r="Q25" s="4">
        <f t="shared" si="8"/>
        <v>175</v>
      </c>
      <c r="R25" s="4">
        <f t="shared" si="6"/>
        <v>10</v>
      </c>
      <c r="S25" s="4">
        <f t="shared" si="6"/>
        <v>-0.65000000000000036</v>
      </c>
    </row>
    <row r="26" spans="2:19" x14ac:dyDescent="0.35">
      <c r="B26" s="5" t="s">
        <v>14</v>
      </c>
      <c r="C26" s="5">
        <f t="shared" si="0"/>
        <v>165</v>
      </c>
      <c r="D26" s="6">
        <f t="shared" si="1"/>
        <v>-10.65</v>
      </c>
      <c r="F26" s="45">
        <v>180</v>
      </c>
      <c r="H26" s="39" t="str">
        <f t="shared" si="7"/>
        <v>Yes</v>
      </c>
      <c r="I26" s="40">
        <f t="shared" si="2"/>
        <v>15</v>
      </c>
      <c r="J26" s="40">
        <f t="shared" si="3"/>
        <v>4.3499999999999996</v>
      </c>
      <c r="K26" s="41">
        <f t="shared" si="4"/>
        <v>0.40845070422535207</v>
      </c>
      <c r="L26" s="42">
        <f t="shared" si="5"/>
        <v>175.65</v>
      </c>
      <c r="P26">
        <v>35</v>
      </c>
      <c r="Q26" s="4">
        <f t="shared" si="8"/>
        <v>180</v>
      </c>
      <c r="R26" s="4">
        <f t="shared" si="6"/>
        <v>15</v>
      </c>
      <c r="S26" s="4">
        <f t="shared" si="6"/>
        <v>4.3499999999999996</v>
      </c>
    </row>
    <row r="27" spans="2:19" x14ac:dyDescent="0.35">
      <c r="B27" s="5" t="s">
        <v>14</v>
      </c>
      <c r="C27" s="5">
        <f t="shared" ref="C27:C28" si="9">+$D$14</f>
        <v>165</v>
      </c>
      <c r="D27" s="6">
        <f t="shared" ref="D27:D28" si="10">-$D$15</f>
        <v>-10.65</v>
      </c>
      <c r="F27" s="45">
        <v>185</v>
      </c>
      <c r="H27" s="39" t="str">
        <f t="shared" si="7"/>
        <v>Yes</v>
      </c>
      <c r="I27" s="40">
        <f t="shared" ref="I27:I28" si="11">MAX(0,F27-C27)</f>
        <v>20</v>
      </c>
      <c r="J27" s="40">
        <f t="shared" ref="J27:J28" si="12">+I27+D27</f>
        <v>9.35</v>
      </c>
      <c r="K27" s="41">
        <f t="shared" ref="K27:K28" si="13">-J27/D27</f>
        <v>0.87793427230046939</v>
      </c>
      <c r="L27" s="42">
        <f t="shared" ref="L27:L28" si="14">+C27-D27</f>
        <v>175.65</v>
      </c>
      <c r="P27">
        <v>45</v>
      </c>
      <c r="Q27" s="4">
        <f t="shared" ref="Q27:Q28" si="15">+F27</f>
        <v>185</v>
      </c>
      <c r="R27" s="4">
        <f t="shared" ref="R27:R28" si="16">+I27</f>
        <v>20</v>
      </c>
      <c r="S27" s="4">
        <f t="shared" ref="S27:S28" si="17">+J27</f>
        <v>9.35</v>
      </c>
    </row>
    <row r="28" spans="2:19" x14ac:dyDescent="0.35">
      <c r="B28" s="5" t="s">
        <v>14</v>
      </c>
      <c r="C28" s="5">
        <f t="shared" si="9"/>
        <v>165</v>
      </c>
      <c r="D28" s="6">
        <f t="shared" si="10"/>
        <v>-10.65</v>
      </c>
      <c r="F28" s="45">
        <v>190</v>
      </c>
      <c r="H28" s="39" t="str">
        <f t="shared" si="7"/>
        <v>Yes</v>
      </c>
      <c r="I28" s="40">
        <f t="shared" si="11"/>
        <v>25</v>
      </c>
      <c r="J28" s="40">
        <f t="shared" si="12"/>
        <v>14.35</v>
      </c>
      <c r="K28" s="41">
        <f t="shared" si="13"/>
        <v>1.3474178403755868</v>
      </c>
      <c r="L28" s="42">
        <f t="shared" si="14"/>
        <v>175.65</v>
      </c>
      <c r="P28">
        <v>55</v>
      </c>
      <c r="Q28" s="4">
        <f t="shared" si="15"/>
        <v>190</v>
      </c>
      <c r="R28" s="4">
        <f t="shared" si="16"/>
        <v>25</v>
      </c>
      <c r="S28" s="4">
        <f t="shared" si="17"/>
        <v>14.35</v>
      </c>
    </row>
    <row r="29" spans="2:19" x14ac:dyDescent="0.35">
      <c r="M29" s="1"/>
    </row>
    <row r="30" spans="2:19" x14ac:dyDescent="0.35">
      <c r="L30" s="1" t="s">
        <v>20</v>
      </c>
    </row>
    <row r="31" spans="2:19" x14ac:dyDescent="0.35">
      <c r="I31" s="1"/>
      <c r="J31" s="4"/>
    </row>
  </sheetData>
  <mergeCells count="3">
    <mergeCell ref="C3:E3"/>
    <mergeCell ref="H18:L18"/>
    <mergeCell ref="B18:D1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13F8-37FA-43BC-B24C-F9E12234DFB2}">
  <dimension ref="A1:AW30"/>
  <sheetViews>
    <sheetView showGridLines="0" workbookViewId="0">
      <selection activeCell="D8" sqref="D8"/>
    </sheetView>
  </sheetViews>
  <sheetFormatPr defaultRowHeight="14.5" x14ac:dyDescent="0.35"/>
  <cols>
    <col min="1" max="1" width="2.7265625" customWidth="1"/>
    <col min="2" max="2" width="20.816406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10.90625" customWidth="1"/>
    <col min="8" max="8" width="9.453125" customWidth="1"/>
    <col min="9" max="9" width="9.54296875" customWidth="1"/>
    <col min="10" max="10" width="2.453125" customWidth="1"/>
    <col min="11" max="11" width="8.36328125" customWidth="1"/>
    <col min="12" max="12" width="7.90625" customWidth="1"/>
    <col min="13" max="13" width="10.90625" customWidth="1"/>
    <col min="14" max="15" width="10.08984375" customWidth="1"/>
  </cols>
  <sheetData>
    <row r="1" spans="1:49" ht="24" customHeight="1" x14ac:dyDescent="0.35">
      <c r="B1" s="76" t="s">
        <v>574</v>
      </c>
      <c r="C1" s="74"/>
      <c r="D1" s="74"/>
      <c r="E1" s="74"/>
      <c r="F1" s="74"/>
      <c r="G1" s="74"/>
      <c r="H1" s="13"/>
      <c r="I1" s="13"/>
      <c r="J1" s="74"/>
      <c r="K1" s="77"/>
      <c r="L1" s="77"/>
      <c r="M1" s="75" t="s">
        <v>128</v>
      </c>
      <c r="N1" s="78">
        <f>+'Figure 13.4'!N1</f>
        <v>163</v>
      </c>
      <c r="O1" s="79" t="s">
        <v>584</v>
      </c>
    </row>
    <row r="2" spans="1:49" ht="9.5" customHeight="1" thickBot="1" x14ac:dyDescent="0.4"/>
    <row r="3" spans="1:49" ht="16.75" customHeight="1" x14ac:dyDescent="0.35">
      <c r="A3" s="17"/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46.75" customHeight="1" x14ac:dyDescent="0.35">
      <c r="A4" s="17"/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0.5" customHeight="1" x14ac:dyDescent="0.35">
      <c r="A5" s="17"/>
      <c r="B5" s="63">
        <v>150</v>
      </c>
      <c r="C5" s="20">
        <v>20</v>
      </c>
      <c r="D5" s="21">
        <v>21.5</v>
      </c>
      <c r="E5" s="22">
        <v>23</v>
      </c>
      <c r="F5" s="23">
        <v>3</v>
      </c>
      <c r="G5" s="24">
        <v>3.5</v>
      </c>
      <c r="H5" s="25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20.5" customHeight="1" x14ac:dyDescent="0.35">
      <c r="A6" s="17"/>
      <c r="B6" s="65">
        <v>155</v>
      </c>
      <c r="C6" s="20">
        <v>15.5</v>
      </c>
      <c r="D6" s="21">
        <v>16.25</v>
      </c>
      <c r="E6" s="22">
        <v>17.75</v>
      </c>
      <c r="F6" s="61">
        <v>4.0999999999999996</v>
      </c>
      <c r="G6" s="24">
        <v>4.9000000000000004</v>
      </c>
      <c r="H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5" customHeight="1" x14ac:dyDescent="0.35">
      <c r="A7" s="17"/>
      <c r="B7" s="63">
        <v>160</v>
      </c>
      <c r="C7" s="20">
        <v>12.5</v>
      </c>
      <c r="D7" s="21">
        <v>12.85</v>
      </c>
      <c r="E7" s="22">
        <v>13.5</v>
      </c>
      <c r="F7" s="23">
        <v>5.3</v>
      </c>
      <c r="G7" s="24">
        <v>6</v>
      </c>
      <c r="H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20.5" customHeight="1" x14ac:dyDescent="0.35">
      <c r="A8" s="17"/>
      <c r="B8" s="65">
        <v>165</v>
      </c>
      <c r="C8" s="20">
        <v>8.1</v>
      </c>
      <c r="D8" s="21">
        <v>9</v>
      </c>
      <c r="E8" s="22">
        <v>10.65</v>
      </c>
      <c r="F8" s="61">
        <v>7</v>
      </c>
      <c r="G8" s="24">
        <v>8</v>
      </c>
      <c r="H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20.5" customHeight="1" x14ac:dyDescent="0.35">
      <c r="A9" s="17"/>
      <c r="B9" s="63">
        <v>170</v>
      </c>
      <c r="C9" s="20">
        <v>5.2</v>
      </c>
      <c r="D9" s="21">
        <v>6.3</v>
      </c>
      <c r="E9" s="22">
        <v>8.5</v>
      </c>
      <c r="F9" s="23">
        <v>9.4</v>
      </c>
      <c r="G9" s="24">
        <v>10.75</v>
      </c>
      <c r="H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20.5" customHeight="1" x14ac:dyDescent="0.35">
      <c r="A10" s="17"/>
      <c r="B10" s="63">
        <v>175</v>
      </c>
      <c r="C10" s="20">
        <v>3.25</v>
      </c>
      <c r="D10" s="21">
        <v>4.25</v>
      </c>
      <c r="E10" s="22">
        <v>5.75</v>
      </c>
      <c r="F10" s="23">
        <v>13</v>
      </c>
      <c r="G10" s="24">
        <v>14.3</v>
      </c>
      <c r="H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20.5" customHeight="1" thickBot="1" x14ac:dyDescent="0.4">
      <c r="A11" s="17"/>
      <c r="B11" s="64">
        <v>180</v>
      </c>
      <c r="C11" s="26">
        <v>2.5</v>
      </c>
      <c r="D11" s="27">
        <v>3.4</v>
      </c>
      <c r="E11" s="28">
        <v>4.45</v>
      </c>
      <c r="F11" s="29">
        <v>15</v>
      </c>
      <c r="G11" s="30">
        <v>16.100000000000001</v>
      </c>
      <c r="H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4" customHeight="1" x14ac:dyDescent="0.35">
      <c r="B13" s="170" t="s">
        <v>575</v>
      </c>
      <c r="C13" s="12" t="s">
        <v>170</v>
      </c>
      <c r="D13" s="2"/>
      <c r="E13" s="8"/>
      <c r="H13" s="1"/>
      <c r="I13" s="4"/>
    </row>
    <row r="14" spans="1:49" ht="14" customHeight="1" x14ac:dyDescent="0.35">
      <c r="B14" s="170" t="s">
        <v>136</v>
      </c>
      <c r="C14" s="12" t="s">
        <v>169</v>
      </c>
      <c r="D14" s="2"/>
      <c r="E14" s="8"/>
      <c r="H14" s="1"/>
      <c r="I14" s="4"/>
    </row>
    <row r="15" spans="1:49" ht="14" customHeight="1" x14ac:dyDescent="0.35">
      <c r="B15" s="1"/>
      <c r="C15" s="12" t="s">
        <v>164</v>
      </c>
      <c r="D15" s="2"/>
      <c r="E15" s="8"/>
      <c r="H15" s="1"/>
      <c r="I15" s="4"/>
    </row>
    <row r="16" spans="1:49" ht="14" customHeight="1" thickBot="1" x14ac:dyDescent="0.4">
      <c r="B16" s="1"/>
      <c r="C16" s="1"/>
      <c r="D16" s="2"/>
      <c r="E16" s="8"/>
      <c r="H16" s="1"/>
      <c r="I16" s="4"/>
    </row>
    <row r="17" spans="2:22" ht="20.5" customHeight="1" thickBot="1" x14ac:dyDescent="0.4">
      <c r="B17" s="701" t="s">
        <v>18</v>
      </c>
      <c r="C17" s="743"/>
      <c r="D17" s="743"/>
      <c r="E17" s="743"/>
      <c r="F17" s="743"/>
      <c r="G17" s="702"/>
      <c r="I17" s="215"/>
      <c r="K17" s="744" t="s">
        <v>17</v>
      </c>
      <c r="L17" s="745"/>
      <c r="M17" s="745"/>
      <c r="N17" s="745"/>
    </row>
    <row r="18" spans="2:22" ht="26.4" customHeight="1" x14ac:dyDescent="0.35">
      <c r="B18" s="171"/>
      <c r="C18" s="212" t="s">
        <v>139</v>
      </c>
      <c r="D18" s="213" t="s">
        <v>112</v>
      </c>
      <c r="E18" s="213" t="s">
        <v>140</v>
      </c>
      <c r="F18" s="213" t="s">
        <v>113</v>
      </c>
      <c r="G18" s="214" t="s">
        <v>24</v>
      </c>
      <c r="I18" s="216" t="s">
        <v>25</v>
      </c>
      <c r="K18" s="218" t="s">
        <v>150</v>
      </c>
      <c r="L18" s="129"/>
      <c r="M18" s="129"/>
      <c r="N18" s="129"/>
    </row>
    <row r="19" spans="2:22" ht="75.400000000000006" customHeight="1" x14ac:dyDescent="0.35">
      <c r="B19" s="211" t="s">
        <v>91</v>
      </c>
      <c r="C19" s="80" t="s">
        <v>165</v>
      </c>
      <c r="D19" s="80" t="s">
        <v>143</v>
      </c>
      <c r="E19" s="80" t="s">
        <v>166</v>
      </c>
      <c r="F19" s="80" t="s">
        <v>145</v>
      </c>
      <c r="G19" s="210" t="s">
        <v>167</v>
      </c>
      <c r="I19" s="85" t="s">
        <v>90</v>
      </c>
      <c r="K19" s="7" t="s">
        <v>147</v>
      </c>
      <c r="L19" s="7" t="s">
        <v>67</v>
      </c>
      <c r="M19" s="7" t="s">
        <v>148</v>
      </c>
      <c r="N19" s="7" t="s">
        <v>149</v>
      </c>
      <c r="U19" t="s">
        <v>6</v>
      </c>
      <c r="V19" t="s">
        <v>7</v>
      </c>
    </row>
    <row r="20" spans="2:22" x14ac:dyDescent="0.35">
      <c r="B20" s="207" t="s">
        <v>176</v>
      </c>
      <c r="C20" s="176">
        <f>+B6</f>
        <v>155</v>
      </c>
      <c r="D20" s="177">
        <f>-F6</f>
        <v>-4.0999999999999996</v>
      </c>
      <c r="E20" s="176">
        <f>+B8</f>
        <v>165</v>
      </c>
      <c r="F20" s="177">
        <f>+F8</f>
        <v>7</v>
      </c>
      <c r="G20" s="122">
        <f>+F20+D20</f>
        <v>2.9000000000000004</v>
      </c>
      <c r="I20" s="217">
        <v>130</v>
      </c>
      <c r="K20" s="208">
        <f>MAX(0,C20-I20)-MAX(0,E20-I20)</f>
        <v>-10</v>
      </c>
      <c r="L20" s="208">
        <f>+K20+G20</f>
        <v>-7.1</v>
      </c>
      <c r="M20" s="208"/>
      <c r="N20" s="208">
        <f>+$L$20</f>
        <v>-7.1</v>
      </c>
      <c r="S20">
        <v>-10</v>
      </c>
      <c r="T20" s="223">
        <f>+I20</f>
        <v>130</v>
      </c>
      <c r="U20" s="4">
        <f>+K20</f>
        <v>-10</v>
      </c>
      <c r="V20" s="4">
        <f>+L20</f>
        <v>-7.1</v>
      </c>
    </row>
    <row r="21" spans="2:22" x14ac:dyDescent="0.35">
      <c r="B21" s="207" t="s">
        <v>176</v>
      </c>
      <c r="C21" s="176">
        <f>+C20</f>
        <v>155</v>
      </c>
      <c r="D21" s="177">
        <f>+D20</f>
        <v>-4.0999999999999996</v>
      </c>
      <c r="E21" s="176">
        <f>+E20</f>
        <v>165</v>
      </c>
      <c r="F21" s="177">
        <f>+F20</f>
        <v>7</v>
      </c>
      <c r="G21" s="122">
        <f t="shared" ref="G21:G27" si="0">+F21+D21</f>
        <v>2.9000000000000004</v>
      </c>
      <c r="I21" s="217">
        <f>+I20+10</f>
        <v>140</v>
      </c>
      <c r="K21" s="208">
        <f t="shared" ref="K21:K27" si="1">MAX(0,C21-I21)-MAX(0,E21-I21)</f>
        <v>-10</v>
      </c>
      <c r="L21" s="208">
        <f t="shared" ref="L21:L27" si="2">+K21+G21</f>
        <v>-7.1</v>
      </c>
      <c r="M21" s="208"/>
      <c r="N21" s="208">
        <f t="shared" ref="N21:N23" si="3">+$L$20</f>
        <v>-7.1</v>
      </c>
      <c r="S21">
        <f>+S20+2</f>
        <v>-8</v>
      </c>
      <c r="T21" s="223">
        <f t="shared" ref="T21:T27" si="4">+I21</f>
        <v>140</v>
      </c>
      <c r="U21" s="4">
        <f t="shared" ref="U21:U27" si="5">+K21</f>
        <v>-10</v>
      </c>
      <c r="V21" s="4">
        <f t="shared" ref="V21:V27" si="6">+L21</f>
        <v>-7.1</v>
      </c>
    </row>
    <row r="22" spans="2:22" x14ac:dyDescent="0.35">
      <c r="B22" s="207" t="s">
        <v>176</v>
      </c>
      <c r="C22" s="176">
        <f>+C21</f>
        <v>155</v>
      </c>
      <c r="D22" s="177">
        <f t="shared" ref="D22:D27" si="7">+D21</f>
        <v>-4.0999999999999996</v>
      </c>
      <c r="E22" s="176">
        <f t="shared" ref="E22:F24" si="8">+E21</f>
        <v>165</v>
      </c>
      <c r="F22" s="177">
        <f t="shared" si="8"/>
        <v>7</v>
      </c>
      <c r="G22" s="122">
        <f t="shared" si="0"/>
        <v>2.9000000000000004</v>
      </c>
      <c r="I22" s="217">
        <f t="shared" ref="I22:I27" si="9">+I21+10</f>
        <v>150</v>
      </c>
      <c r="K22" s="208">
        <f t="shared" si="1"/>
        <v>-10</v>
      </c>
      <c r="L22" s="208">
        <f t="shared" si="2"/>
        <v>-7.1</v>
      </c>
      <c r="M22" s="208"/>
      <c r="N22" s="208">
        <f t="shared" si="3"/>
        <v>-7.1</v>
      </c>
      <c r="S22">
        <f t="shared" ref="S22:S27" si="10">+S21+2</f>
        <v>-6</v>
      </c>
      <c r="T22" s="223">
        <f t="shared" si="4"/>
        <v>150</v>
      </c>
      <c r="U22" s="4">
        <f t="shared" si="5"/>
        <v>-10</v>
      </c>
      <c r="V22" s="4">
        <f t="shared" si="6"/>
        <v>-7.1</v>
      </c>
    </row>
    <row r="23" spans="2:22" x14ac:dyDescent="0.35">
      <c r="B23" s="207" t="s">
        <v>176</v>
      </c>
      <c r="C23" s="176">
        <f>+C22</f>
        <v>155</v>
      </c>
      <c r="D23" s="177">
        <f>+D22</f>
        <v>-4.0999999999999996</v>
      </c>
      <c r="E23" s="176">
        <f t="shared" si="8"/>
        <v>165</v>
      </c>
      <c r="F23" s="177">
        <f t="shared" si="8"/>
        <v>7</v>
      </c>
      <c r="G23" s="122">
        <f t="shared" si="0"/>
        <v>2.9000000000000004</v>
      </c>
      <c r="I23" s="217">
        <f>+I22+10</f>
        <v>160</v>
      </c>
      <c r="K23" s="208">
        <f t="shared" si="1"/>
        <v>-5</v>
      </c>
      <c r="L23" s="208">
        <f t="shared" si="2"/>
        <v>-2.0999999999999996</v>
      </c>
      <c r="M23" s="208"/>
      <c r="N23" s="208">
        <f t="shared" si="3"/>
        <v>-7.1</v>
      </c>
      <c r="S23">
        <f t="shared" si="10"/>
        <v>-4</v>
      </c>
      <c r="T23" s="223">
        <f t="shared" si="4"/>
        <v>160</v>
      </c>
      <c r="U23" s="4">
        <f t="shared" si="5"/>
        <v>-5</v>
      </c>
      <c r="V23" s="4">
        <f t="shared" si="6"/>
        <v>-2.0999999999999996</v>
      </c>
    </row>
    <row r="24" spans="2:22" x14ac:dyDescent="0.35">
      <c r="B24" s="507" t="s">
        <v>176</v>
      </c>
      <c r="C24" s="508">
        <f>+C23</f>
        <v>155</v>
      </c>
      <c r="D24" s="509">
        <f t="shared" ref="D24" si="11">+D23</f>
        <v>-4.0999999999999996</v>
      </c>
      <c r="E24" s="508">
        <f t="shared" si="8"/>
        <v>165</v>
      </c>
      <c r="F24" s="509">
        <f t="shared" si="8"/>
        <v>7</v>
      </c>
      <c r="G24" s="510">
        <f t="shared" si="0"/>
        <v>2.9000000000000004</v>
      </c>
      <c r="H24" s="511"/>
      <c r="I24" s="512">
        <f>+E24-L27</f>
        <v>162.1</v>
      </c>
      <c r="J24" s="511"/>
      <c r="K24" s="513">
        <f t="shared" si="1"/>
        <v>-2.9000000000000057</v>
      </c>
      <c r="L24" s="513">
        <f t="shared" si="2"/>
        <v>-5.3290705182007514E-15</v>
      </c>
      <c r="M24" s="513"/>
      <c r="N24" s="513"/>
      <c r="O24" s="53" t="s">
        <v>152</v>
      </c>
      <c r="S24">
        <f t="shared" si="10"/>
        <v>-2</v>
      </c>
      <c r="T24" s="223">
        <f t="shared" si="4"/>
        <v>162.1</v>
      </c>
      <c r="U24" s="4">
        <f t="shared" si="5"/>
        <v>-2.9000000000000057</v>
      </c>
      <c r="V24" s="4">
        <f t="shared" si="6"/>
        <v>-5.3290705182007514E-15</v>
      </c>
    </row>
    <row r="25" spans="2:22" x14ac:dyDescent="0.35">
      <c r="B25" s="207" t="s">
        <v>176</v>
      </c>
      <c r="C25" s="176">
        <f>+C23</f>
        <v>155</v>
      </c>
      <c r="D25" s="177">
        <f>+D23</f>
        <v>-4.0999999999999996</v>
      </c>
      <c r="E25" s="176">
        <f>+E23</f>
        <v>165</v>
      </c>
      <c r="F25" s="177">
        <f>+F23</f>
        <v>7</v>
      </c>
      <c r="G25" s="122">
        <f t="shared" si="0"/>
        <v>2.9000000000000004</v>
      </c>
      <c r="I25" s="217">
        <f>+I23+10</f>
        <v>170</v>
      </c>
      <c r="K25" s="208">
        <f t="shared" si="1"/>
        <v>0</v>
      </c>
      <c r="L25" s="208">
        <f t="shared" si="2"/>
        <v>2.9000000000000004</v>
      </c>
      <c r="M25" s="208">
        <f>+$L$27</f>
        <v>2.9000000000000004</v>
      </c>
      <c r="N25" s="208"/>
      <c r="S25">
        <f t="shared" si="10"/>
        <v>0</v>
      </c>
      <c r="T25" s="223">
        <f t="shared" si="4"/>
        <v>170</v>
      </c>
      <c r="U25" s="4">
        <f t="shared" si="5"/>
        <v>0</v>
      </c>
      <c r="V25" s="4">
        <f t="shared" si="6"/>
        <v>2.9000000000000004</v>
      </c>
    </row>
    <row r="26" spans="2:22" x14ac:dyDescent="0.35">
      <c r="B26" s="207" t="s">
        <v>176</v>
      </c>
      <c r="C26" s="176">
        <f>+C25</f>
        <v>155</v>
      </c>
      <c r="D26" s="177">
        <f t="shared" si="7"/>
        <v>-4.0999999999999996</v>
      </c>
      <c r="E26" s="176">
        <f>+E25</f>
        <v>165</v>
      </c>
      <c r="F26" s="177">
        <f t="shared" ref="F26:F27" si="12">+F25</f>
        <v>7</v>
      </c>
      <c r="G26" s="122">
        <f t="shared" si="0"/>
        <v>2.9000000000000004</v>
      </c>
      <c r="I26" s="217">
        <f t="shared" si="9"/>
        <v>180</v>
      </c>
      <c r="K26" s="208">
        <f t="shared" si="1"/>
        <v>0</v>
      </c>
      <c r="L26" s="208">
        <f t="shared" si="2"/>
        <v>2.9000000000000004</v>
      </c>
      <c r="M26" s="208">
        <f>+$L$27</f>
        <v>2.9000000000000004</v>
      </c>
      <c r="N26" s="208"/>
      <c r="S26">
        <f t="shared" si="10"/>
        <v>2</v>
      </c>
      <c r="T26" s="223">
        <f t="shared" si="4"/>
        <v>180</v>
      </c>
      <c r="U26" s="4">
        <f t="shared" si="5"/>
        <v>0</v>
      </c>
      <c r="V26" s="4">
        <f t="shared" si="6"/>
        <v>2.9000000000000004</v>
      </c>
    </row>
    <row r="27" spans="2:22" x14ac:dyDescent="0.35">
      <c r="B27" s="207" t="s">
        <v>176</v>
      </c>
      <c r="C27" s="176">
        <f>+C26</f>
        <v>155</v>
      </c>
      <c r="D27" s="177">
        <f t="shared" si="7"/>
        <v>-4.0999999999999996</v>
      </c>
      <c r="E27" s="176">
        <f>+E26</f>
        <v>165</v>
      </c>
      <c r="F27" s="177">
        <f t="shared" si="12"/>
        <v>7</v>
      </c>
      <c r="G27" s="122">
        <f t="shared" si="0"/>
        <v>2.9000000000000004</v>
      </c>
      <c r="I27" s="217">
        <f t="shared" si="9"/>
        <v>190</v>
      </c>
      <c r="K27" s="208">
        <f t="shared" si="1"/>
        <v>0</v>
      </c>
      <c r="L27" s="208">
        <f t="shared" si="2"/>
        <v>2.9000000000000004</v>
      </c>
      <c r="M27" s="208">
        <f>+$L$27</f>
        <v>2.9000000000000004</v>
      </c>
      <c r="N27" s="208"/>
      <c r="S27">
        <f t="shared" si="10"/>
        <v>4</v>
      </c>
      <c r="T27" s="223">
        <f t="shared" si="4"/>
        <v>190</v>
      </c>
      <c r="U27" s="4">
        <f t="shared" si="5"/>
        <v>0</v>
      </c>
      <c r="V27" s="4">
        <f t="shared" si="6"/>
        <v>2.9000000000000004</v>
      </c>
    </row>
    <row r="28" spans="2:22" x14ac:dyDescent="0.35">
      <c r="N28" s="1"/>
    </row>
    <row r="29" spans="2:22" x14ac:dyDescent="0.35">
      <c r="N29" s="1"/>
      <c r="O29" s="1" t="s">
        <v>168</v>
      </c>
    </row>
    <row r="30" spans="2:22" x14ac:dyDescent="0.35">
      <c r="I30" s="1"/>
      <c r="J30" s="4"/>
      <c r="O30" s="1"/>
    </row>
  </sheetData>
  <mergeCells count="4">
    <mergeCell ref="C3:E3"/>
    <mergeCell ref="F3:H3"/>
    <mergeCell ref="B17:G17"/>
    <mergeCell ref="K17:N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47F4-BB7B-4658-9A60-7F43B09D6B8E}">
  <dimension ref="A1:AW30"/>
  <sheetViews>
    <sheetView showGridLines="0" workbookViewId="0">
      <selection activeCell="S18" sqref="S18"/>
    </sheetView>
  </sheetViews>
  <sheetFormatPr defaultRowHeight="14.5" x14ac:dyDescent="0.35"/>
  <cols>
    <col min="1" max="1" width="2.7265625" customWidth="1"/>
    <col min="2" max="2" width="20.816406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10.90625" customWidth="1"/>
    <col min="8" max="8" width="9.453125" customWidth="1"/>
    <col min="9" max="9" width="9.54296875" customWidth="1"/>
    <col min="10" max="10" width="2.453125" customWidth="1"/>
    <col min="11" max="11" width="8.36328125" customWidth="1"/>
    <col min="12" max="12" width="7.90625" customWidth="1"/>
    <col min="13" max="13" width="10.90625" customWidth="1"/>
    <col min="14" max="15" width="10.08984375" customWidth="1"/>
  </cols>
  <sheetData>
    <row r="1" spans="1:49" ht="24" customHeight="1" x14ac:dyDescent="0.35">
      <c r="B1" s="76" t="s">
        <v>578</v>
      </c>
      <c r="C1" s="74"/>
      <c r="D1" s="74"/>
      <c r="E1" s="74"/>
      <c r="F1" s="74"/>
      <c r="G1" s="74"/>
      <c r="H1" s="13"/>
      <c r="I1" s="13"/>
      <c r="J1" s="74"/>
      <c r="K1" s="77"/>
      <c r="L1" s="77"/>
      <c r="M1" s="75" t="s">
        <v>128</v>
      </c>
      <c r="N1" s="78">
        <f>+'Figure 13.4'!N1</f>
        <v>163</v>
      </c>
      <c r="O1" s="79" t="s">
        <v>584</v>
      </c>
    </row>
    <row r="2" spans="1:49" ht="9.5" customHeight="1" thickBot="1" x14ac:dyDescent="0.4"/>
    <row r="3" spans="1:49" ht="16.75" customHeight="1" x14ac:dyDescent="0.35">
      <c r="A3" s="17"/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46.75" customHeight="1" x14ac:dyDescent="0.35">
      <c r="A4" s="17"/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0.5" customHeight="1" x14ac:dyDescent="0.35">
      <c r="A5" s="17"/>
      <c r="B5" s="63">
        <v>150</v>
      </c>
      <c r="C5" s="20">
        <v>20</v>
      </c>
      <c r="D5" s="21">
        <v>21.5</v>
      </c>
      <c r="E5" s="22">
        <v>23</v>
      </c>
      <c r="F5" s="23">
        <v>3</v>
      </c>
      <c r="G5" s="24">
        <v>3.5</v>
      </c>
      <c r="H5" s="25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20.5" customHeight="1" x14ac:dyDescent="0.35">
      <c r="A6" s="17"/>
      <c r="B6" s="63">
        <v>155</v>
      </c>
      <c r="C6" s="20">
        <v>15.5</v>
      </c>
      <c r="D6" s="21">
        <v>16.25</v>
      </c>
      <c r="E6" s="22">
        <v>17.75</v>
      </c>
      <c r="F6" s="23">
        <v>4.0999999999999996</v>
      </c>
      <c r="G6" s="24">
        <v>4.9000000000000004</v>
      </c>
      <c r="H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5" customHeight="1" x14ac:dyDescent="0.35">
      <c r="A7" s="17"/>
      <c r="B7" s="65">
        <v>160</v>
      </c>
      <c r="C7" s="20">
        <v>12.5</v>
      </c>
      <c r="D7" s="21">
        <v>12.85</v>
      </c>
      <c r="E7" s="22">
        <v>13.5</v>
      </c>
      <c r="F7" s="23">
        <v>5.3</v>
      </c>
      <c r="G7" s="224">
        <v>6</v>
      </c>
      <c r="H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20.5" customHeight="1" x14ac:dyDescent="0.35">
      <c r="A8" s="17"/>
      <c r="B8" s="63">
        <v>165</v>
      </c>
      <c r="C8" s="20">
        <v>8.1</v>
      </c>
      <c r="D8" s="21">
        <v>9</v>
      </c>
      <c r="E8" s="22">
        <v>10.65</v>
      </c>
      <c r="F8" s="23">
        <v>7</v>
      </c>
      <c r="G8" s="24">
        <v>8</v>
      </c>
      <c r="H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20.5" customHeight="1" x14ac:dyDescent="0.35">
      <c r="A9" s="17"/>
      <c r="B9" s="65">
        <v>170</v>
      </c>
      <c r="C9" s="20">
        <v>5.2</v>
      </c>
      <c r="D9" s="21">
        <v>6.3</v>
      </c>
      <c r="E9" s="22">
        <v>8.5</v>
      </c>
      <c r="F9" s="23">
        <v>9.4</v>
      </c>
      <c r="G9" s="224">
        <v>10.75</v>
      </c>
      <c r="H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20.5" customHeight="1" x14ac:dyDescent="0.35">
      <c r="A10" s="17"/>
      <c r="B10" s="63">
        <v>175</v>
      </c>
      <c r="C10" s="20">
        <v>3.25</v>
      </c>
      <c r="D10" s="21">
        <v>4.25</v>
      </c>
      <c r="E10" s="22">
        <v>5.75</v>
      </c>
      <c r="F10" s="23">
        <v>13</v>
      </c>
      <c r="G10" s="24">
        <v>14.3</v>
      </c>
      <c r="H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20.5" customHeight="1" thickBot="1" x14ac:dyDescent="0.4">
      <c r="A11" s="17"/>
      <c r="B11" s="64">
        <v>180</v>
      </c>
      <c r="C11" s="26">
        <v>2.5</v>
      </c>
      <c r="D11" s="27">
        <v>3.4</v>
      </c>
      <c r="E11" s="28">
        <v>4.45</v>
      </c>
      <c r="F11" s="29">
        <v>15</v>
      </c>
      <c r="G11" s="30">
        <v>16.100000000000001</v>
      </c>
      <c r="H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4" customHeight="1" x14ac:dyDescent="0.35">
      <c r="B13" s="170" t="s">
        <v>579</v>
      </c>
      <c r="C13" s="12" t="s">
        <v>171</v>
      </c>
      <c r="D13" s="2"/>
      <c r="E13" s="8"/>
      <c r="H13" s="1"/>
      <c r="I13" s="4"/>
    </row>
    <row r="14" spans="1:49" ht="14" customHeight="1" x14ac:dyDescent="0.35">
      <c r="B14" s="170" t="s">
        <v>136</v>
      </c>
      <c r="C14" s="12" t="s">
        <v>172</v>
      </c>
      <c r="D14" s="2"/>
      <c r="E14" s="8"/>
      <c r="H14" s="1"/>
      <c r="I14" s="4"/>
    </row>
    <row r="15" spans="1:49" ht="14" customHeight="1" x14ac:dyDescent="0.35">
      <c r="B15" s="1"/>
      <c r="C15" s="12" t="s">
        <v>173</v>
      </c>
      <c r="D15" s="2"/>
      <c r="E15" s="8"/>
      <c r="H15" s="1"/>
      <c r="I15" s="4"/>
    </row>
    <row r="16" spans="1:49" ht="14" customHeight="1" thickBot="1" x14ac:dyDescent="0.4">
      <c r="B16" s="1"/>
      <c r="C16" s="1"/>
      <c r="D16" s="2"/>
      <c r="E16" s="8"/>
      <c r="H16" s="1"/>
      <c r="I16" s="4"/>
    </row>
    <row r="17" spans="2:22" ht="20.5" customHeight="1" thickBot="1" x14ac:dyDescent="0.4">
      <c r="B17" s="701" t="s">
        <v>18</v>
      </c>
      <c r="C17" s="743"/>
      <c r="D17" s="743"/>
      <c r="E17" s="743"/>
      <c r="F17" s="743"/>
      <c r="G17" s="702"/>
      <c r="I17" s="215"/>
      <c r="K17" s="744" t="s">
        <v>17</v>
      </c>
      <c r="L17" s="745"/>
      <c r="M17" s="745"/>
      <c r="N17" s="745"/>
    </row>
    <row r="18" spans="2:22" ht="26.4" customHeight="1" x14ac:dyDescent="0.35">
      <c r="B18" s="171"/>
      <c r="C18" s="212" t="s">
        <v>140</v>
      </c>
      <c r="D18" s="213" t="s">
        <v>112</v>
      </c>
      <c r="E18" s="213" t="s">
        <v>139</v>
      </c>
      <c r="F18" s="213" t="s">
        <v>113</v>
      </c>
      <c r="G18" s="214" t="s">
        <v>24</v>
      </c>
      <c r="I18" s="216" t="s">
        <v>25</v>
      </c>
      <c r="K18" s="218" t="s">
        <v>150</v>
      </c>
      <c r="L18" s="129"/>
      <c r="M18" s="129"/>
      <c r="N18" s="129"/>
    </row>
    <row r="19" spans="2:22" ht="75.400000000000006" customHeight="1" x14ac:dyDescent="0.35">
      <c r="B19" s="211" t="s">
        <v>91</v>
      </c>
      <c r="C19" s="80" t="s">
        <v>174</v>
      </c>
      <c r="D19" s="80" t="s">
        <v>143</v>
      </c>
      <c r="E19" s="80" t="s">
        <v>142</v>
      </c>
      <c r="F19" s="80" t="s">
        <v>145</v>
      </c>
      <c r="G19" s="210" t="s">
        <v>167</v>
      </c>
      <c r="I19" s="85" t="s">
        <v>90</v>
      </c>
      <c r="K19" s="7" t="s">
        <v>147</v>
      </c>
      <c r="L19" s="7" t="s">
        <v>67</v>
      </c>
      <c r="M19" s="7" t="s">
        <v>162</v>
      </c>
      <c r="N19" s="7" t="s">
        <v>163</v>
      </c>
      <c r="U19" t="s">
        <v>6</v>
      </c>
      <c r="V19" t="s">
        <v>7</v>
      </c>
    </row>
    <row r="20" spans="2:22" x14ac:dyDescent="0.35">
      <c r="B20" s="207" t="s">
        <v>175</v>
      </c>
      <c r="C20" s="176">
        <f>+B10</f>
        <v>175</v>
      </c>
      <c r="D20" s="177">
        <f>-D10</f>
        <v>-4.25</v>
      </c>
      <c r="E20" s="176">
        <f>+B8</f>
        <v>165</v>
      </c>
      <c r="F20" s="177">
        <f>+D8</f>
        <v>9</v>
      </c>
      <c r="G20" s="122">
        <f>+F20+D20</f>
        <v>4.75</v>
      </c>
      <c r="I20" s="217">
        <v>130</v>
      </c>
      <c r="K20" s="208">
        <f>MAX(0,I20-C20)-MAX(0,I20-E20)</f>
        <v>0</v>
      </c>
      <c r="L20" s="208">
        <f>+K20+G20</f>
        <v>4.75</v>
      </c>
      <c r="M20" s="208"/>
      <c r="N20" s="208">
        <f>+$L$20</f>
        <v>4.75</v>
      </c>
      <c r="S20">
        <v>-10</v>
      </c>
      <c r="T20" s="223">
        <f>+I20</f>
        <v>130</v>
      </c>
      <c r="U20" s="4">
        <f>+K20</f>
        <v>0</v>
      </c>
      <c r="V20" s="4">
        <f>+L20</f>
        <v>4.75</v>
      </c>
    </row>
    <row r="21" spans="2:22" x14ac:dyDescent="0.35">
      <c r="B21" s="207" t="s">
        <v>175</v>
      </c>
      <c r="C21" s="176">
        <f>+C20</f>
        <v>175</v>
      </c>
      <c r="D21" s="177">
        <f>+D20</f>
        <v>-4.25</v>
      </c>
      <c r="E21" s="176">
        <f>+E20</f>
        <v>165</v>
      </c>
      <c r="F21" s="177">
        <f>+F20</f>
        <v>9</v>
      </c>
      <c r="G21" s="122">
        <f t="shared" ref="G21:G27" si="0">+F21+D21</f>
        <v>4.75</v>
      </c>
      <c r="I21" s="217">
        <f>+I20+10</f>
        <v>140</v>
      </c>
      <c r="K21" s="208">
        <f t="shared" ref="K21:K27" si="1">MAX(0,I21-C21)-MAX(0,I21-E21)</f>
        <v>0</v>
      </c>
      <c r="L21" s="208">
        <f t="shared" ref="L21:L27" si="2">+K21+G21</f>
        <v>4.75</v>
      </c>
      <c r="M21" s="208"/>
      <c r="N21" s="208">
        <f t="shared" ref="N21:N23" si="3">+$L$20</f>
        <v>4.75</v>
      </c>
      <c r="S21">
        <f>+S20+2</f>
        <v>-8</v>
      </c>
      <c r="T21" s="223">
        <f t="shared" ref="T21:T27" si="4">+I21</f>
        <v>140</v>
      </c>
      <c r="U21" s="4">
        <f t="shared" ref="U21:V27" si="5">+K21</f>
        <v>0</v>
      </c>
      <c r="V21" s="4">
        <f t="shared" si="5"/>
        <v>4.75</v>
      </c>
    </row>
    <row r="22" spans="2:22" x14ac:dyDescent="0.35">
      <c r="B22" s="207" t="s">
        <v>175</v>
      </c>
      <c r="C22" s="176">
        <f>+C21</f>
        <v>175</v>
      </c>
      <c r="D22" s="177">
        <f t="shared" ref="D22:D27" si="6">+D21</f>
        <v>-4.25</v>
      </c>
      <c r="E22" s="176">
        <f t="shared" ref="E22:F24" si="7">+E21</f>
        <v>165</v>
      </c>
      <c r="F22" s="177">
        <f t="shared" si="7"/>
        <v>9</v>
      </c>
      <c r="G22" s="122">
        <f t="shared" si="0"/>
        <v>4.75</v>
      </c>
      <c r="I22" s="217">
        <f t="shared" ref="I22:I27" si="8">+I21+10</f>
        <v>150</v>
      </c>
      <c r="K22" s="208">
        <f t="shared" si="1"/>
        <v>0</v>
      </c>
      <c r="L22" s="208">
        <f t="shared" si="2"/>
        <v>4.75</v>
      </c>
      <c r="M22" s="208"/>
      <c r="N22" s="208">
        <f t="shared" si="3"/>
        <v>4.75</v>
      </c>
      <c r="S22">
        <f t="shared" ref="S22:S27" si="9">+S21+2</f>
        <v>-6</v>
      </c>
      <c r="T22" s="223">
        <f t="shared" si="4"/>
        <v>150</v>
      </c>
      <c r="U22" s="4">
        <f t="shared" si="5"/>
        <v>0</v>
      </c>
      <c r="V22" s="4">
        <f t="shared" si="5"/>
        <v>4.75</v>
      </c>
    </row>
    <row r="23" spans="2:22" x14ac:dyDescent="0.35">
      <c r="B23" s="207" t="s">
        <v>175</v>
      </c>
      <c r="C23" s="176">
        <f>+C22</f>
        <v>175</v>
      </c>
      <c r="D23" s="177">
        <f>+D22</f>
        <v>-4.25</v>
      </c>
      <c r="E23" s="176">
        <f t="shared" si="7"/>
        <v>165</v>
      </c>
      <c r="F23" s="177">
        <f t="shared" si="7"/>
        <v>9</v>
      </c>
      <c r="G23" s="122">
        <f t="shared" si="0"/>
        <v>4.75</v>
      </c>
      <c r="I23" s="217">
        <f>+I22+10</f>
        <v>160</v>
      </c>
      <c r="K23" s="208">
        <f t="shared" si="1"/>
        <v>0</v>
      </c>
      <c r="L23" s="208">
        <f t="shared" si="2"/>
        <v>4.75</v>
      </c>
      <c r="M23" s="208"/>
      <c r="N23" s="208">
        <f t="shared" si="3"/>
        <v>4.75</v>
      </c>
      <c r="S23">
        <f t="shared" si="9"/>
        <v>-4</v>
      </c>
      <c r="T23" s="223">
        <f t="shared" si="4"/>
        <v>160</v>
      </c>
      <c r="U23" s="4">
        <f t="shared" si="5"/>
        <v>0</v>
      </c>
      <c r="V23" s="4">
        <f t="shared" si="5"/>
        <v>4.75</v>
      </c>
    </row>
    <row r="24" spans="2:22" x14ac:dyDescent="0.35">
      <c r="B24" s="507" t="s">
        <v>175</v>
      </c>
      <c r="C24" s="508">
        <f>+C23</f>
        <v>175</v>
      </c>
      <c r="D24" s="509">
        <f t="shared" ref="D24" si="10">+D23</f>
        <v>-4.25</v>
      </c>
      <c r="E24" s="508">
        <f t="shared" si="7"/>
        <v>165</v>
      </c>
      <c r="F24" s="509">
        <f t="shared" si="7"/>
        <v>9</v>
      </c>
      <c r="G24" s="510">
        <f t="shared" si="0"/>
        <v>4.75</v>
      </c>
      <c r="H24" s="511"/>
      <c r="I24" s="512">
        <f>+E24+L20</f>
        <v>169.75</v>
      </c>
      <c r="J24" s="511"/>
      <c r="K24" s="513">
        <f t="shared" si="1"/>
        <v>-4.75</v>
      </c>
      <c r="L24" s="513">
        <f t="shared" si="2"/>
        <v>0</v>
      </c>
      <c r="M24" s="513"/>
      <c r="N24" s="513"/>
      <c r="O24" s="53" t="s">
        <v>152</v>
      </c>
      <c r="S24">
        <f t="shared" si="9"/>
        <v>-2</v>
      </c>
      <c r="T24" s="223">
        <f t="shared" si="4"/>
        <v>169.75</v>
      </c>
      <c r="U24" s="4">
        <f t="shared" si="5"/>
        <v>-4.75</v>
      </c>
      <c r="V24" s="4">
        <f t="shared" si="5"/>
        <v>0</v>
      </c>
    </row>
    <row r="25" spans="2:22" x14ac:dyDescent="0.35">
      <c r="B25" s="207" t="s">
        <v>175</v>
      </c>
      <c r="C25" s="176">
        <f>+C23</f>
        <v>175</v>
      </c>
      <c r="D25" s="177">
        <f>+D23</f>
        <v>-4.25</v>
      </c>
      <c r="E25" s="176">
        <f>+E23</f>
        <v>165</v>
      </c>
      <c r="F25" s="177">
        <f>+F23</f>
        <v>9</v>
      </c>
      <c r="G25" s="122">
        <f t="shared" si="0"/>
        <v>4.75</v>
      </c>
      <c r="I25" s="217">
        <f>+I23+10</f>
        <v>170</v>
      </c>
      <c r="K25" s="208">
        <f t="shared" si="1"/>
        <v>-5</v>
      </c>
      <c r="L25" s="208">
        <f t="shared" si="2"/>
        <v>-0.25</v>
      </c>
      <c r="M25" s="208">
        <f>+$L$27</f>
        <v>-5.25</v>
      </c>
      <c r="N25" s="208"/>
      <c r="S25">
        <f t="shared" si="9"/>
        <v>0</v>
      </c>
      <c r="T25" s="223">
        <f t="shared" si="4"/>
        <v>170</v>
      </c>
      <c r="U25" s="4">
        <f t="shared" si="5"/>
        <v>-5</v>
      </c>
      <c r="V25" s="4">
        <f t="shared" si="5"/>
        <v>-0.25</v>
      </c>
    </row>
    <row r="26" spans="2:22" x14ac:dyDescent="0.35">
      <c r="B26" s="207" t="s">
        <v>175</v>
      </c>
      <c r="C26" s="176">
        <f>+C25</f>
        <v>175</v>
      </c>
      <c r="D26" s="177">
        <f t="shared" si="6"/>
        <v>-4.25</v>
      </c>
      <c r="E26" s="176">
        <f>+E25</f>
        <v>165</v>
      </c>
      <c r="F26" s="177">
        <f t="shared" ref="F26:F27" si="11">+F25</f>
        <v>9</v>
      </c>
      <c r="G26" s="122">
        <f t="shared" si="0"/>
        <v>4.75</v>
      </c>
      <c r="I26" s="217">
        <f t="shared" si="8"/>
        <v>180</v>
      </c>
      <c r="K26" s="208">
        <f t="shared" si="1"/>
        <v>-10</v>
      </c>
      <c r="L26" s="208">
        <f t="shared" si="2"/>
        <v>-5.25</v>
      </c>
      <c r="M26" s="208">
        <f>+$L$27</f>
        <v>-5.25</v>
      </c>
      <c r="N26" s="208"/>
      <c r="S26">
        <f t="shared" si="9"/>
        <v>2</v>
      </c>
      <c r="T26" s="223">
        <f t="shared" si="4"/>
        <v>180</v>
      </c>
      <c r="U26" s="4">
        <f t="shared" si="5"/>
        <v>-10</v>
      </c>
      <c r="V26" s="4">
        <f t="shared" si="5"/>
        <v>-5.25</v>
      </c>
    </row>
    <row r="27" spans="2:22" x14ac:dyDescent="0.35">
      <c r="B27" s="207" t="s">
        <v>175</v>
      </c>
      <c r="C27" s="176">
        <f>+C26</f>
        <v>175</v>
      </c>
      <c r="D27" s="177">
        <f t="shared" si="6"/>
        <v>-4.25</v>
      </c>
      <c r="E27" s="176">
        <f>+E26</f>
        <v>165</v>
      </c>
      <c r="F27" s="177">
        <f t="shared" si="11"/>
        <v>9</v>
      </c>
      <c r="G27" s="122">
        <f t="shared" si="0"/>
        <v>4.75</v>
      </c>
      <c r="I27" s="217">
        <f t="shared" si="8"/>
        <v>190</v>
      </c>
      <c r="K27" s="208">
        <f t="shared" si="1"/>
        <v>-10</v>
      </c>
      <c r="L27" s="208">
        <f t="shared" si="2"/>
        <v>-5.25</v>
      </c>
      <c r="M27" s="208">
        <f>+$L$27</f>
        <v>-5.25</v>
      </c>
      <c r="N27" s="208"/>
      <c r="S27">
        <f t="shared" si="9"/>
        <v>4</v>
      </c>
      <c r="T27" s="223">
        <f t="shared" si="4"/>
        <v>190</v>
      </c>
      <c r="U27" s="4">
        <f t="shared" si="5"/>
        <v>-10</v>
      </c>
      <c r="V27" s="4">
        <f t="shared" si="5"/>
        <v>-5.25</v>
      </c>
    </row>
    <row r="28" spans="2:22" x14ac:dyDescent="0.35">
      <c r="N28" s="1"/>
    </row>
    <row r="29" spans="2:22" x14ac:dyDescent="0.35">
      <c r="N29" s="1"/>
      <c r="O29" s="1" t="s">
        <v>168</v>
      </c>
    </row>
    <row r="30" spans="2:22" x14ac:dyDescent="0.35">
      <c r="I30" s="1"/>
      <c r="J30" s="4"/>
      <c r="O30" s="1"/>
    </row>
  </sheetData>
  <mergeCells count="4">
    <mergeCell ref="C3:E3"/>
    <mergeCell ref="F3:H3"/>
    <mergeCell ref="B17:G17"/>
    <mergeCell ref="K17:N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B2664-69B4-437A-8CC5-C7752999386A}">
  <dimension ref="A1:AW37"/>
  <sheetViews>
    <sheetView showGridLines="0" workbookViewId="0">
      <selection activeCell="U18" sqref="U18"/>
    </sheetView>
  </sheetViews>
  <sheetFormatPr defaultRowHeight="14.5" x14ac:dyDescent="0.35"/>
  <cols>
    <col min="1" max="1" width="2.7265625" customWidth="1"/>
    <col min="2" max="2" width="24.63281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10.90625" customWidth="1"/>
    <col min="8" max="8" width="9.453125" customWidth="1"/>
    <col min="9" max="9" width="9.54296875" customWidth="1"/>
    <col min="10" max="10" width="2.453125" customWidth="1"/>
    <col min="11" max="11" width="8.36328125" customWidth="1"/>
    <col min="12" max="12" width="7.90625" customWidth="1"/>
    <col min="13" max="13" width="10.90625" customWidth="1"/>
    <col min="14" max="14" width="10.08984375" customWidth="1"/>
    <col min="15" max="15" width="9.1796875" customWidth="1"/>
  </cols>
  <sheetData>
    <row r="1" spans="1:49" ht="24" customHeight="1" x14ac:dyDescent="0.35">
      <c r="B1" s="76" t="s">
        <v>585</v>
      </c>
      <c r="C1" s="74"/>
      <c r="D1" s="74"/>
      <c r="E1" s="74"/>
      <c r="F1" s="74"/>
      <c r="G1" s="74"/>
      <c r="H1" s="13"/>
      <c r="I1" s="13"/>
      <c r="J1" s="74"/>
      <c r="K1" s="77"/>
      <c r="L1" s="77"/>
      <c r="M1" s="75" t="s">
        <v>128</v>
      </c>
      <c r="N1" s="78">
        <f>+'Figure 13.4'!N1</f>
        <v>163</v>
      </c>
      <c r="O1" s="79" t="s">
        <v>584</v>
      </c>
      <c r="P1" s="79"/>
    </row>
    <row r="2" spans="1:49" ht="9.5" customHeight="1" thickBot="1" x14ac:dyDescent="0.4"/>
    <row r="3" spans="1:49" ht="16.75" customHeight="1" x14ac:dyDescent="0.35">
      <c r="A3" s="17"/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46.75" customHeight="1" x14ac:dyDescent="0.35">
      <c r="A4" s="17"/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0.5" customHeight="1" x14ac:dyDescent="0.35">
      <c r="A5" s="17"/>
      <c r="B5" s="186">
        <v>150</v>
      </c>
      <c r="C5" s="20">
        <v>20</v>
      </c>
      <c r="D5" s="21">
        <v>21.5</v>
      </c>
      <c r="E5" s="189">
        <v>23</v>
      </c>
      <c r="F5" s="23">
        <v>3</v>
      </c>
      <c r="G5" s="24">
        <v>3.5</v>
      </c>
      <c r="H5" s="25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20.5" customHeight="1" x14ac:dyDescent="0.35">
      <c r="A6" s="17"/>
      <c r="B6" s="63">
        <v>155</v>
      </c>
      <c r="C6" s="20">
        <v>15.5</v>
      </c>
      <c r="D6" s="21">
        <v>16.25</v>
      </c>
      <c r="E6" s="22">
        <v>17.75</v>
      </c>
      <c r="F6" s="23">
        <v>4.0999999999999996</v>
      </c>
      <c r="G6" s="24">
        <v>4.9000000000000004</v>
      </c>
      <c r="H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5" customHeight="1" x14ac:dyDescent="0.35">
      <c r="A7" s="17"/>
      <c r="B7" s="63">
        <v>160</v>
      </c>
      <c r="C7" s="20">
        <v>12.5</v>
      </c>
      <c r="D7" s="21">
        <v>12.85</v>
      </c>
      <c r="E7" s="22">
        <v>13.5</v>
      </c>
      <c r="F7" s="23">
        <v>5.3</v>
      </c>
      <c r="G7" s="24">
        <v>6</v>
      </c>
      <c r="H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20.5" customHeight="1" x14ac:dyDescent="0.35">
      <c r="A8" s="17"/>
      <c r="B8" s="186">
        <v>165</v>
      </c>
      <c r="C8" s="20">
        <v>8.1</v>
      </c>
      <c r="D8" s="21">
        <v>9</v>
      </c>
      <c r="E8" s="189">
        <v>10.65</v>
      </c>
      <c r="F8" s="23">
        <v>7</v>
      </c>
      <c r="G8" s="24">
        <v>8</v>
      </c>
      <c r="H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20.5" customHeight="1" x14ac:dyDescent="0.35">
      <c r="A9" s="17"/>
      <c r="B9" s="63">
        <v>170</v>
      </c>
      <c r="C9" s="20">
        <v>5.2</v>
      </c>
      <c r="D9" s="21">
        <v>6.3</v>
      </c>
      <c r="E9" s="22">
        <v>8.5</v>
      </c>
      <c r="F9" s="23">
        <v>9.4</v>
      </c>
      <c r="G9" s="24">
        <v>10.75</v>
      </c>
      <c r="H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20.5" customHeight="1" x14ac:dyDescent="0.35">
      <c r="A10" s="17"/>
      <c r="B10" s="63">
        <v>175</v>
      </c>
      <c r="C10" s="20">
        <v>3.25</v>
      </c>
      <c r="D10" s="21">
        <v>4.25</v>
      </c>
      <c r="E10" s="22">
        <v>5.75</v>
      </c>
      <c r="F10" s="23">
        <v>13</v>
      </c>
      <c r="G10" s="24">
        <v>14.3</v>
      </c>
      <c r="H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20.5" customHeight="1" thickBot="1" x14ac:dyDescent="0.4">
      <c r="A11" s="17"/>
      <c r="B11" s="230">
        <v>180</v>
      </c>
      <c r="C11" s="26">
        <v>2.5</v>
      </c>
      <c r="D11" s="27">
        <v>3.4</v>
      </c>
      <c r="E11" s="231">
        <v>4.45</v>
      </c>
      <c r="F11" s="29">
        <v>15</v>
      </c>
      <c r="G11" s="30">
        <v>16.100000000000001</v>
      </c>
      <c r="H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4" customHeight="1" x14ac:dyDescent="0.35">
      <c r="B13" s="170" t="s">
        <v>580</v>
      </c>
      <c r="C13" s="12" t="s">
        <v>177</v>
      </c>
      <c r="D13" s="2"/>
      <c r="E13" s="8"/>
      <c r="H13" s="1"/>
      <c r="I13" s="4"/>
    </row>
    <row r="14" spans="1:49" ht="14" customHeight="1" x14ac:dyDescent="0.35">
      <c r="B14" s="170" t="s">
        <v>136</v>
      </c>
      <c r="C14" s="12" t="s">
        <v>187</v>
      </c>
      <c r="D14" s="2"/>
      <c r="E14" s="8"/>
      <c r="H14" s="1"/>
      <c r="I14" s="4"/>
    </row>
    <row r="15" spans="1:49" ht="14" customHeight="1" x14ac:dyDescent="0.35">
      <c r="B15" s="1"/>
      <c r="C15" s="12" t="s">
        <v>188</v>
      </c>
      <c r="D15" s="2"/>
      <c r="E15" s="8"/>
      <c r="H15" s="1"/>
      <c r="I15" s="4"/>
    </row>
    <row r="16" spans="1:49" ht="14" customHeight="1" x14ac:dyDescent="0.35">
      <c r="B16" s="1"/>
      <c r="C16" s="12" t="s">
        <v>189</v>
      </c>
      <c r="D16" s="2"/>
      <c r="E16" s="8"/>
      <c r="H16" s="1"/>
      <c r="I16" s="4"/>
    </row>
    <row r="17" spans="2:22" ht="14" customHeight="1" x14ac:dyDescent="0.35">
      <c r="B17" s="1"/>
      <c r="C17" s="12" t="s">
        <v>189</v>
      </c>
      <c r="D17" s="2"/>
      <c r="E17" s="8"/>
      <c r="H17" s="1"/>
      <c r="I17" s="4"/>
    </row>
    <row r="18" spans="2:22" ht="14" customHeight="1" thickBot="1" x14ac:dyDescent="0.4">
      <c r="B18" s="1"/>
      <c r="C18" s="1"/>
      <c r="D18" s="2"/>
      <c r="E18" s="8"/>
      <c r="H18" s="1"/>
      <c r="I18" s="4"/>
    </row>
    <row r="19" spans="2:22" ht="20.5" customHeight="1" thickBot="1" x14ac:dyDescent="0.4">
      <c r="B19" s="746" t="s">
        <v>18</v>
      </c>
      <c r="C19" s="742"/>
      <c r="D19" s="742"/>
      <c r="E19" s="742"/>
      <c r="F19" s="742"/>
      <c r="G19" s="742"/>
      <c r="H19" s="742"/>
      <c r="I19" s="747"/>
      <c r="K19" s="215"/>
      <c r="M19" s="711" t="s">
        <v>17</v>
      </c>
      <c r="N19" s="748"/>
      <c r="O19" s="748"/>
      <c r="P19" s="712"/>
    </row>
    <row r="20" spans="2:22" ht="26.4" customHeight="1" x14ac:dyDescent="0.35">
      <c r="B20" s="152"/>
      <c r="C20" s="129" t="s">
        <v>182</v>
      </c>
      <c r="D20" s="226" t="s">
        <v>112</v>
      </c>
      <c r="E20" s="226" t="s">
        <v>183</v>
      </c>
      <c r="F20" s="226" t="s">
        <v>113</v>
      </c>
      <c r="G20" s="226" t="s">
        <v>184</v>
      </c>
      <c r="H20" s="226" t="s">
        <v>178</v>
      </c>
      <c r="I20" s="226" t="s">
        <v>24</v>
      </c>
      <c r="K20" s="216" t="s">
        <v>25</v>
      </c>
      <c r="M20" s="227" t="s">
        <v>150</v>
      </c>
      <c r="N20" s="228"/>
      <c r="O20" s="228"/>
      <c r="P20" s="229"/>
    </row>
    <row r="21" spans="2:22" ht="75.400000000000006" customHeight="1" x14ac:dyDescent="0.35">
      <c r="B21" s="225" t="s">
        <v>91</v>
      </c>
      <c r="C21" s="7" t="s">
        <v>141</v>
      </c>
      <c r="D21" s="7" t="s">
        <v>143</v>
      </c>
      <c r="E21" s="7" t="s">
        <v>180</v>
      </c>
      <c r="F21" s="7" t="s">
        <v>185</v>
      </c>
      <c r="G21" s="7" t="s">
        <v>181</v>
      </c>
      <c r="H21" s="7" t="s">
        <v>186</v>
      </c>
      <c r="I21" s="7" t="s">
        <v>144</v>
      </c>
      <c r="K21" s="85" t="s">
        <v>90</v>
      </c>
      <c r="M21" s="7" t="s">
        <v>147</v>
      </c>
      <c r="N21" s="7" t="s">
        <v>67</v>
      </c>
      <c r="O21" s="7" t="s">
        <v>148</v>
      </c>
      <c r="P21" s="105" t="s">
        <v>149</v>
      </c>
    </row>
    <row r="22" spans="2:22" x14ac:dyDescent="0.35">
      <c r="B22" s="206" t="s">
        <v>179</v>
      </c>
      <c r="C22" s="176">
        <f>+B5</f>
        <v>150</v>
      </c>
      <c r="D22" s="177">
        <f>-E5</f>
        <v>-23</v>
      </c>
      <c r="E22" s="176">
        <f>+B11</f>
        <v>180</v>
      </c>
      <c r="F22" s="177">
        <f>-E11</f>
        <v>-4.45</v>
      </c>
      <c r="G22" s="177">
        <f>AVERAGE(C22,E22)</f>
        <v>165</v>
      </c>
      <c r="H22" s="177">
        <f>+E8*2</f>
        <v>21.3</v>
      </c>
      <c r="I22" s="177">
        <f>+H22+F22+D22</f>
        <v>-6.1499999999999986</v>
      </c>
      <c r="K22" s="217">
        <v>140</v>
      </c>
      <c r="M22" s="208">
        <f>MAX(0,K22-C22)+MAX(0,K22-E22)-MAX(0,K22-G22)-MAX(0,K22-G22)</f>
        <v>0</v>
      </c>
      <c r="N22" s="208">
        <f>+M22+I22</f>
        <v>-6.1499999999999986</v>
      </c>
      <c r="O22" s="208"/>
      <c r="P22" s="209">
        <f>+N22</f>
        <v>-6.1499999999999986</v>
      </c>
      <c r="T22" s="223"/>
      <c r="U22" t="s">
        <v>6</v>
      </c>
      <c r="V22" t="s">
        <v>7</v>
      </c>
    </row>
    <row r="23" spans="2:22" x14ac:dyDescent="0.35">
      <c r="B23" s="206" t="s">
        <v>179</v>
      </c>
      <c r="C23" s="176">
        <f t="shared" ref="C23:H23" si="0">+C22</f>
        <v>150</v>
      </c>
      <c r="D23" s="177">
        <f t="shared" si="0"/>
        <v>-23</v>
      </c>
      <c r="E23" s="176">
        <f t="shared" si="0"/>
        <v>180</v>
      </c>
      <c r="F23" s="177">
        <f t="shared" si="0"/>
        <v>-4.45</v>
      </c>
      <c r="G23" s="177">
        <f t="shared" si="0"/>
        <v>165</v>
      </c>
      <c r="H23" s="177">
        <f t="shared" si="0"/>
        <v>21.3</v>
      </c>
      <c r="I23" s="177">
        <f t="shared" ref="I23:I31" si="1">+H23+F23+D23</f>
        <v>-6.1499999999999986</v>
      </c>
      <c r="K23" s="217">
        <f>+K22+5</f>
        <v>145</v>
      </c>
      <c r="M23" s="208">
        <f t="shared" ref="M23:M31" si="2">MAX(0,K23-C23)+MAX(0,K23-E23)-MAX(0,K23-G23)-MAX(0,K23-G23)</f>
        <v>0</v>
      </c>
      <c r="N23" s="208">
        <f t="shared" ref="N23:N31" si="3">+M23+I23</f>
        <v>-6.1499999999999986</v>
      </c>
      <c r="O23" s="208"/>
      <c r="P23" s="209">
        <f t="shared" ref="P23:P24" si="4">+N23</f>
        <v>-6.1499999999999986</v>
      </c>
      <c r="S23">
        <v>-10</v>
      </c>
      <c r="T23" s="223">
        <f>+K23</f>
        <v>145</v>
      </c>
      <c r="U23" s="4">
        <f>+M23</f>
        <v>0</v>
      </c>
      <c r="V23" s="4">
        <f>+N23</f>
        <v>-6.1499999999999986</v>
      </c>
    </row>
    <row r="24" spans="2:22" x14ac:dyDescent="0.35">
      <c r="B24" s="206" t="s">
        <v>179</v>
      </c>
      <c r="C24" s="176">
        <f>+C23</f>
        <v>150</v>
      </c>
      <c r="D24" s="177">
        <f t="shared" ref="D24" si="5">+D23</f>
        <v>-23</v>
      </c>
      <c r="E24" s="176">
        <f>+E23</f>
        <v>180</v>
      </c>
      <c r="F24" s="177">
        <f>+F23</f>
        <v>-4.45</v>
      </c>
      <c r="G24" s="177">
        <f t="shared" ref="G24" si="6">+G23</f>
        <v>165</v>
      </c>
      <c r="H24" s="177">
        <f t="shared" ref="H24" si="7">+H23</f>
        <v>21.3</v>
      </c>
      <c r="I24" s="177">
        <f t="shared" si="1"/>
        <v>-6.1499999999999986</v>
      </c>
      <c r="K24" s="217">
        <f t="shared" ref="K24:K34" si="8">+K23+5</f>
        <v>150</v>
      </c>
      <c r="M24" s="208">
        <f t="shared" si="2"/>
        <v>0</v>
      </c>
      <c r="N24" s="208">
        <f t="shared" si="3"/>
        <v>-6.1499999999999986</v>
      </c>
      <c r="O24" s="208"/>
      <c r="P24" s="209">
        <f t="shared" si="4"/>
        <v>-6.1499999999999986</v>
      </c>
      <c r="S24">
        <f>+S23+2</f>
        <v>-8</v>
      </c>
      <c r="T24" s="223">
        <f t="shared" ref="T24:T33" si="9">+K24</f>
        <v>150</v>
      </c>
      <c r="U24" s="4">
        <f t="shared" ref="U24:U33" si="10">+M24</f>
        <v>0</v>
      </c>
      <c r="V24" s="4">
        <f t="shared" ref="V24:V33" si="11">+N24</f>
        <v>-6.1499999999999986</v>
      </c>
    </row>
    <row r="25" spans="2:22" x14ac:dyDescent="0.35">
      <c r="B25" s="206" t="s">
        <v>179</v>
      </c>
      <c r="C25" s="176">
        <f t="shared" ref="C25:H26" si="12">+C27</f>
        <v>150</v>
      </c>
      <c r="D25" s="177">
        <f t="shared" si="12"/>
        <v>-23</v>
      </c>
      <c r="E25" s="176">
        <f t="shared" si="12"/>
        <v>180</v>
      </c>
      <c r="F25" s="177">
        <f t="shared" si="12"/>
        <v>-4.45</v>
      </c>
      <c r="G25" s="177">
        <f t="shared" si="12"/>
        <v>165</v>
      </c>
      <c r="H25" s="177">
        <f t="shared" si="12"/>
        <v>21.3</v>
      </c>
      <c r="I25" s="177">
        <f>+H25+F25+D25</f>
        <v>-6.1499999999999986</v>
      </c>
      <c r="K25" s="217">
        <f t="shared" si="8"/>
        <v>155</v>
      </c>
      <c r="M25" s="208">
        <f>MAX(0,K25-C25)+MAX(0,K25-E25)-MAX(0,K25-G25)-MAX(0,K25-G25)</f>
        <v>5</v>
      </c>
      <c r="N25" s="208">
        <f>+M25+I25</f>
        <v>-1.1499999999999986</v>
      </c>
      <c r="O25" s="208"/>
      <c r="P25" s="209"/>
      <c r="S25">
        <f t="shared" ref="S25:S33" si="13">+S24+2</f>
        <v>-6</v>
      </c>
      <c r="T25" s="223">
        <f t="shared" si="9"/>
        <v>155</v>
      </c>
      <c r="U25" s="4">
        <f t="shared" si="10"/>
        <v>5</v>
      </c>
      <c r="V25" s="4">
        <f t="shared" si="11"/>
        <v>-1.1499999999999986</v>
      </c>
    </row>
    <row r="26" spans="2:22" x14ac:dyDescent="0.35">
      <c r="B26" s="515" t="s">
        <v>179</v>
      </c>
      <c r="C26" s="503">
        <f t="shared" si="12"/>
        <v>150</v>
      </c>
      <c r="D26" s="516">
        <f t="shared" si="12"/>
        <v>-23</v>
      </c>
      <c r="E26" s="503">
        <f t="shared" si="12"/>
        <v>180</v>
      </c>
      <c r="F26" s="516">
        <f t="shared" si="12"/>
        <v>-4.45</v>
      </c>
      <c r="G26" s="516">
        <f t="shared" si="12"/>
        <v>165</v>
      </c>
      <c r="H26" s="516">
        <f t="shared" si="12"/>
        <v>21.3</v>
      </c>
      <c r="I26" s="516">
        <f>+H26+F26+D26</f>
        <v>-6.1499999999999986</v>
      </c>
      <c r="J26" s="133"/>
      <c r="K26" s="517">
        <f>+K27-N27</f>
        <v>156.15</v>
      </c>
      <c r="L26" s="518" t="s">
        <v>5</v>
      </c>
      <c r="M26" s="519">
        <f>MAX(0,K26-C26)+MAX(0,K26-E26)-MAX(0,K26-G26)-MAX(0,K26-G26)</f>
        <v>6.1500000000000057</v>
      </c>
      <c r="N26" s="519">
        <f>+M26+I26</f>
        <v>7.1054273576010019E-15</v>
      </c>
      <c r="O26" s="519"/>
      <c r="P26" s="520"/>
      <c r="S26">
        <f t="shared" si="13"/>
        <v>-4</v>
      </c>
      <c r="T26" s="223">
        <f t="shared" si="9"/>
        <v>156.15</v>
      </c>
      <c r="U26" s="4">
        <f t="shared" si="10"/>
        <v>6.1500000000000057</v>
      </c>
      <c r="V26" s="4">
        <f t="shared" si="11"/>
        <v>7.1054273576010019E-15</v>
      </c>
    </row>
    <row r="27" spans="2:22" x14ac:dyDescent="0.35">
      <c r="B27" s="206" t="s">
        <v>179</v>
      </c>
      <c r="C27" s="176">
        <f t="shared" ref="C27:H28" si="14">+C24</f>
        <v>150</v>
      </c>
      <c r="D27" s="177">
        <f t="shared" si="14"/>
        <v>-23</v>
      </c>
      <c r="E27" s="176">
        <f t="shared" si="14"/>
        <v>180</v>
      </c>
      <c r="F27" s="177">
        <f t="shared" si="14"/>
        <v>-4.45</v>
      </c>
      <c r="G27" s="177">
        <f t="shared" si="14"/>
        <v>165</v>
      </c>
      <c r="H27" s="177">
        <f t="shared" si="14"/>
        <v>21.3</v>
      </c>
      <c r="I27" s="177">
        <f t="shared" si="1"/>
        <v>-6.1499999999999986</v>
      </c>
      <c r="K27" s="217">
        <f>+K25+5</f>
        <v>160</v>
      </c>
      <c r="M27" s="208">
        <f t="shared" si="2"/>
        <v>10</v>
      </c>
      <c r="N27" s="208">
        <f t="shared" si="3"/>
        <v>3.8500000000000014</v>
      </c>
      <c r="O27" s="208"/>
      <c r="P27" s="209"/>
      <c r="S27">
        <f t="shared" si="13"/>
        <v>-2</v>
      </c>
      <c r="T27" s="223">
        <f t="shared" si="9"/>
        <v>160</v>
      </c>
      <c r="U27" s="4">
        <f t="shared" si="10"/>
        <v>10</v>
      </c>
      <c r="V27" s="4">
        <f t="shared" si="11"/>
        <v>3.8500000000000014</v>
      </c>
    </row>
    <row r="28" spans="2:22" x14ac:dyDescent="0.35">
      <c r="B28" s="206" t="s">
        <v>179</v>
      </c>
      <c r="C28" s="176">
        <f t="shared" si="14"/>
        <v>150</v>
      </c>
      <c r="D28" s="177">
        <f t="shared" si="14"/>
        <v>-23</v>
      </c>
      <c r="E28" s="176">
        <f t="shared" si="14"/>
        <v>180</v>
      </c>
      <c r="F28" s="177">
        <f t="shared" si="14"/>
        <v>-4.45</v>
      </c>
      <c r="G28" s="177">
        <f t="shared" si="14"/>
        <v>165</v>
      </c>
      <c r="H28" s="177">
        <f t="shared" si="14"/>
        <v>21.3</v>
      </c>
      <c r="I28" s="177">
        <f t="shared" ref="I28" si="15">+H28+F28+D28</f>
        <v>-6.1499999999999986</v>
      </c>
      <c r="K28" s="217">
        <f t="shared" si="8"/>
        <v>165</v>
      </c>
      <c r="M28" s="208">
        <f t="shared" ref="M28" si="16">MAX(0,K28-C28)+MAX(0,K28-E28)-MAX(0,K28-G28)-MAX(0,K28-G28)</f>
        <v>15</v>
      </c>
      <c r="N28" s="208">
        <f t="shared" ref="N28" si="17">+M28+I28</f>
        <v>8.8500000000000014</v>
      </c>
      <c r="O28" s="208">
        <f>+N28</f>
        <v>8.8500000000000014</v>
      </c>
      <c r="P28" s="209"/>
      <c r="S28">
        <f t="shared" si="13"/>
        <v>0</v>
      </c>
      <c r="T28" s="223">
        <f t="shared" si="9"/>
        <v>165</v>
      </c>
      <c r="U28" s="4">
        <f t="shared" si="10"/>
        <v>15</v>
      </c>
      <c r="V28" s="4">
        <f t="shared" si="11"/>
        <v>8.8500000000000014</v>
      </c>
    </row>
    <row r="29" spans="2:22" x14ac:dyDescent="0.35">
      <c r="B29" s="206" t="s">
        <v>179</v>
      </c>
      <c r="C29" s="176">
        <f t="shared" ref="C29:F31" si="18">+C27</f>
        <v>150</v>
      </c>
      <c r="D29" s="177">
        <f t="shared" si="18"/>
        <v>-23</v>
      </c>
      <c r="E29" s="176">
        <f t="shared" si="18"/>
        <v>180</v>
      </c>
      <c r="F29" s="177">
        <f t="shared" si="18"/>
        <v>-4.45</v>
      </c>
      <c r="G29" s="177">
        <f>+G25</f>
        <v>165</v>
      </c>
      <c r="H29" s="177">
        <f>+H25</f>
        <v>21.3</v>
      </c>
      <c r="I29" s="177">
        <f t="shared" si="1"/>
        <v>-6.1499999999999986</v>
      </c>
      <c r="K29" s="217">
        <f t="shared" si="8"/>
        <v>170</v>
      </c>
      <c r="M29" s="208">
        <f t="shared" si="2"/>
        <v>10</v>
      </c>
      <c r="N29" s="208">
        <f t="shared" si="3"/>
        <v>3.8500000000000014</v>
      </c>
      <c r="O29" s="208"/>
      <c r="P29" s="209"/>
      <c r="S29">
        <f t="shared" si="13"/>
        <v>2</v>
      </c>
      <c r="T29" s="223">
        <f t="shared" si="9"/>
        <v>170</v>
      </c>
      <c r="U29" s="4">
        <f t="shared" si="10"/>
        <v>10</v>
      </c>
      <c r="V29" s="4">
        <f t="shared" si="11"/>
        <v>3.8500000000000014</v>
      </c>
    </row>
    <row r="30" spans="2:22" x14ac:dyDescent="0.35">
      <c r="B30" s="515" t="s">
        <v>179</v>
      </c>
      <c r="C30" s="503">
        <f t="shared" si="18"/>
        <v>150</v>
      </c>
      <c r="D30" s="516">
        <f t="shared" si="18"/>
        <v>-23</v>
      </c>
      <c r="E30" s="503">
        <f t="shared" si="18"/>
        <v>180</v>
      </c>
      <c r="F30" s="516">
        <f t="shared" si="18"/>
        <v>-4.45</v>
      </c>
      <c r="G30" s="516">
        <f>+G26</f>
        <v>165</v>
      </c>
      <c r="H30" s="516">
        <f>+H26</f>
        <v>21.3</v>
      </c>
      <c r="I30" s="516">
        <f t="shared" ref="I30" si="19">+H30+F30+D30</f>
        <v>-6.1499999999999986</v>
      </c>
      <c r="J30" s="133"/>
      <c r="K30" s="517">
        <f>+K29+N29</f>
        <v>173.85</v>
      </c>
      <c r="L30" s="518" t="s">
        <v>5</v>
      </c>
      <c r="M30" s="519">
        <f t="shared" ref="M30" si="20">MAX(0,K30-C30)+MAX(0,K30-E30)-MAX(0,K30-G30)-MAX(0,K30-G30)</f>
        <v>6.1500000000000057</v>
      </c>
      <c r="N30" s="519">
        <f t="shared" ref="N30" si="21">+M30+I30</f>
        <v>7.1054273576010019E-15</v>
      </c>
      <c r="O30" s="519"/>
      <c r="P30" s="520"/>
      <c r="S30">
        <f t="shared" si="13"/>
        <v>4</v>
      </c>
      <c r="T30" s="223">
        <f t="shared" si="9"/>
        <v>173.85</v>
      </c>
      <c r="U30" s="4">
        <f t="shared" si="10"/>
        <v>6.1500000000000057</v>
      </c>
      <c r="V30" s="4">
        <f t="shared" si="11"/>
        <v>7.1054273576010019E-15</v>
      </c>
    </row>
    <row r="31" spans="2:22" x14ac:dyDescent="0.35">
      <c r="B31" s="206" t="s">
        <v>179</v>
      </c>
      <c r="C31" s="176">
        <f t="shared" si="18"/>
        <v>150</v>
      </c>
      <c r="D31" s="177">
        <f t="shared" si="18"/>
        <v>-23</v>
      </c>
      <c r="E31" s="176">
        <f t="shared" si="18"/>
        <v>180</v>
      </c>
      <c r="F31" s="177">
        <f t="shared" si="18"/>
        <v>-4.45</v>
      </c>
      <c r="G31" s="177">
        <f>+G29</f>
        <v>165</v>
      </c>
      <c r="H31" s="177">
        <f>+H29</f>
        <v>21.3</v>
      </c>
      <c r="I31" s="177">
        <f t="shared" si="1"/>
        <v>-6.1499999999999986</v>
      </c>
      <c r="K31" s="217">
        <f>+K29+5</f>
        <v>175</v>
      </c>
      <c r="M31" s="208">
        <f t="shared" si="2"/>
        <v>5</v>
      </c>
      <c r="N31" s="208">
        <f t="shared" si="3"/>
        <v>-1.1499999999999986</v>
      </c>
      <c r="O31" s="208"/>
      <c r="P31" s="209"/>
      <c r="S31">
        <f t="shared" si="13"/>
        <v>6</v>
      </c>
      <c r="T31" s="223">
        <f t="shared" si="9"/>
        <v>175</v>
      </c>
      <c r="U31" s="4">
        <f t="shared" si="10"/>
        <v>5</v>
      </c>
      <c r="V31" s="4">
        <f t="shared" si="11"/>
        <v>-1.1499999999999986</v>
      </c>
    </row>
    <row r="32" spans="2:22" x14ac:dyDescent="0.35">
      <c r="B32" s="206" t="s">
        <v>179</v>
      </c>
      <c r="C32" s="176">
        <f t="shared" ref="C32:C34" si="22">+C31</f>
        <v>150</v>
      </c>
      <c r="D32" s="177">
        <f t="shared" ref="D32:D34" si="23">+D31</f>
        <v>-23</v>
      </c>
      <c r="E32" s="176">
        <f t="shared" ref="E32:E34" si="24">+E31</f>
        <v>180</v>
      </c>
      <c r="F32" s="177">
        <f t="shared" ref="F32:F34" si="25">+F31</f>
        <v>-4.45</v>
      </c>
      <c r="G32" s="177">
        <f t="shared" ref="G32:G34" si="26">+G31</f>
        <v>165</v>
      </c>
      <c r="H32" s="177">
        <f t="shared" ref="H32:H34" si="27">+H31</f>
        <v>21.3</v>
      </c>
      <c r="I32" s="177">
        <f t="shared" ref="I32:I34" si="28">+H32+F32+D32</f>
        <v>-6.1499999999999986</v>
      </c>
      <c r="K32" s="217">
        <f t="shared" si="8"/>
        <v>180</v>
      </c>
      <c r="M32" s="208">
        <f t="shared" ref="M32:M34" si="29">MAX(0,K32-C32)+MAX(0,K32-E32)-MAX(0,K32-G32)-MAX(0,K32-G32)</f>
        <v>0</v>
      </c>
      <c r="N32" s="208">
        <f t="shared" ref="N32:N34" si="30">+M32+I32</f>
        <v>-6.1499999999999986</v>
      </c>
      <c r="O32" s="208"/>
      <c r="P32" s="209">
        <f t="shared" ref="P32:P34" si="31">+N32</f>
        <v>-6.1499999999999986</v>
      </c>
      <c r="S32">
        <f t="shared" si="13"/>
        <v>8</v>
      </c>
      <c r="T32" s="223">
        <f t="shared" si="9"/>
        <v>180</v>
      </c>
      <c r="U32" s="4">
        <f t="shared" si="10"/>
        <v>0</v>
      </c>
      <c r="V32" s="4">
        <f t="shared" si="11"/>
        <v>-6.1499999999999986</v>
      </c>
    </row>
    <row r="33" spans="2:22" x14ac:dyDescent="0.35">
      <c r="B33" s="206" t="s">
        <v>179</v>
      </c>
      <c r="C33" s="176">
        <f t="shared" si="22"/>
        <v>150</v>
      </c>
      <c r="D33" s="177">
        <f t="shared" si="23"/>
        <v>-23</v>
      </c>
      <c r="E33" s="176">
        <f t="shared" si="24"/>
        <v>180</v>
      </c>
      <c r="F33" s="177">
        <f t="shared" si="25"/>
        <v>-4.45</v>
      </c>
      <c r="G33" s="177">
        <f t="shared" si="26"/>
        <v>165</v>
      </c>
      <c r="H33" s="177">
        <f t="shared" si="27"/>
        <v>21.3</v>
      </c>
      <c r="I33" s="177">
        <f t="shared" si="28"/>
        <v>-6.1499999999999986</v>
      </c>
      <c r="K33" s="217">
        <f t="shared" si="8"/>
        <v>185</v>
      </c>
      <c r="M33" s="208">
        <f t="shared" si="29"/>
        <v>0</v>
      </c>
      <c r="N33" s="208">
        <f t="shared" si="30"/>
        <v>-6.1499999999999986</v>
      </c>
      <c r="O33" s="208"/>
      <c r="P33" s="209">
        <f t="shared" si="31"/>
        <v>-6.1499999999999986</v>
      </c>
      <c r="S33">
        <f t="shared" si="13"/>
        <v>10</v>
      </c>
      <c r="T33" s="223">
        <f t="shared" si="9"/>
        <v>185</v>
      </c>
      <c r="U33" s="4">
        <f t="shared" si="10"/>
        <v>0</v>
      </c>
      <c r="V33" s="4">
        <f t="shared" si="11"/>
        <v>-6.1499999999999986</v>
      </c>
    </row>
    <row r="34" spans="2:22" x14ac:dyDescent="0.35">
      <c r="B34" s="206" t="s">
        <v>179</v>
      </c>
      <c r="C34" s="176">
        <f t="shared" si="22"/>
        <v>150</v>
      </c>
      <c r="D34" s="177">
        <f t="shared" si="23"/>
        <v>-23</v>
      </c>
      <c r="E34" s="176">
        <f t="shared" si="24"/>
        <v>180</v>
      </c>
      <c r="F34" s="177">
        <f t="shared" si="25"/>
        <v>-4.45</v>
      </c>
      <c r="G34" s="177">
        <f t="shared" si="26"/>
        <v>165</v>
      </c>
      <c r="H34" s="177">
        <f t="shared" si="27"/>
        <v>21.3</v>
      </c>
      <c r="I34" s="177">
        <f t="shared" si="28"/>
        <v>-6.1499999999999986</v>
      </c>
      <c r="K34" s="217">
        <f t="shared" si="8"/>
        <v>190</v>
      </c>
      <c r="M34" s="208">
        <f t="shared" si="29"/>
        <v>0</v>
      </c>
      <c r="N34" s="208">
        <f t="shared" si="30"/>
        <v>-6.1499999999999986</v>
      </c>
      <c r="O34" s="208"/>
      <c r="P34" s="209">
        <f t="shared" si="31"/>
        <v>-6.1499999999999986</v>
      </c>
    </row>
    <row r="35" spans="2:22" x14ac:dyDescent="0.35">
      <c r="N35" s="1"/>
    </row>
    <row r="36" spans="2:22" x14ac:dyDescent="0.35">
      <c r="N36" s="1"/>
      <c r="O36" s="1"/>
      <c r="P36" s="1" t="s">
        <v>190</v>
      </c>
    </row>
    <row r="37" spans="2:22" x14ac:dyDescent="0.35">
      <c r="I37" s="1"/>
      <c r="J37" s="4"/>
      <c r="O37" s="1"/>
    </row>
  </sheetData>
  <mergeCells count="4">
    <mergeCell ref="C3:E3"/>
    <mergeCell ref="F3:H3"/>
    <mergeCell ref="B19:I19"/>
    <mergeCell ref="M19:P1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20"/>
  <sheetViews>
    <sheetView showGridLines="0" workbookViewId="0">
      <selection activeCell="B3" sqref="B3:H11"/>
    </sheetView>
  </sheetViews>
  <sheetFormatPr defaultRowHeight="14.5" x14ac:dyDescent="0.35"/>
  <cols>
    <col min="1" max="1" width="2.7265625" customWidth="1"/>
    <col min="2" max="2" width="24.63281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10.90625" customWidth="1"/>
    <col min="8" max="8" width="9.453125" customWidth="1"/>
    <col min="9" max="9" width="9.54296875" customWidth="1"/>
    <col min="10" max="10" width="2.453125" customWidth="1"/>
    <col min="11" max="11" width="8.36328125" customWidth="1"/>
    <col min="12" max="12" width="5.6328125" customWidth="1"/>
    <col min="13" max="13" width="10.90625" customWidth="1"/>
    <col min="14" max="14" width="10.08984375" customWidth="1"/>
    <col min="15" max="15" width="9.1796875" customWidth="1"/>
  </cols>
  <sheetData>
    <row r="1" spans="1:49" ht="24" customHeight="1" x14ac:dyDescent="0.35">
      <c r="B1" s="76" t="s">
        <v>581</v>
      </c>
      <c r="C1" s="74"/>
      <c r="D1" s="74"/>
      <c r="E1" s="74"/>
      <c r="F1" s="74"/>
      <c r="G1" s="74"/>
      <c r="H1" s="13"/>
      <c r="I1" s="13"/>
      <c r="J1" s="74"/>
      <c r="K1" s="77"/>
      <c r="L1" s="77"/>
      <c r="M1" s="75" t="s">
        <v>128</v>
      </c>
      <c r="N1" s="78">
        <f>+'Figure 13.4'!N1</f>
        <v>163</v>
      </c>
      <c r="O1" s="79" t="s">
        <v>584</v>
      </c>
      <c r="P1" s="79"/>
    </row>
    <row r="2" spans="1:49" ht="9.5" customHeight="1" thickBot="1" x14ac:dyDescent="0.4"/>
    <row r="3" spans="1:49" ht="16.75" customHeight="1" x14ac:dyDescent="0.35">
      <c r="A3" s="17"/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46.75" customHeight="1" x14ac:dyDescent="0.35">
      <c r="A4" s="17"/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0.5" customHeight="1" x14ac:dyDescent="0.35">
      <c r="A5" s="17"/>
      <c r="B5" s="63">
        <v>150</v>
      </c>
      <c r="C5" s="20">
        <v>20</v>
      </c>
      <c r="D5" s="21">
        <v>21.5</v>
      </c>
      <c r="E5" s="22">
        <v>23</v>
      </c>
      <c r="F5" s="23">
        <v>3</v>
      </c>
      <c r="G5" s="24">
        <v>3.5</v>
      </c>
      <c r="H5" s="25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20.5" customHeight="1" x14ac:dyDescent="0.35">
      <c r="A6" s="17"/>
      <c r="B6" s="186">
        <v>155</v>
      </c>
      <c r="C6" s="20">
        <v>15.5</v>
      </c>
      <c r="D6" s="21">
        <v>16.25</v>
      </c>
      <c r="E6" s="22">
        <v>17.75</v>
      </c>
      <c r="F6" s="23">
        <v>4.0999999999999996</v>
      </c>
      <c r="G6" s="188">
        <v>4.9000000000000004</v>
      </c>
      <c r="H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5" customHeight="1" x14ac:dyDescent="0.35">
      <c r="A7" s="17"/>
      <c r="B7" s="63">
        <v>160</v>
      </c>
      <c r="C7" s="20">
        <v>12.5</v>
      </c>
      <c r="D7" s="21">
        <v>12.85</v>
      </c>
      <c r="E7" s="22">
        <v>13.5</v>
      </c>
      <c r="F7" s="23">
        <v>5.3</v>
      </c>
      <c r="G7" s="24">
        <v>6</v>
      </c>
      <c r="H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20.5" customHeight="1" x14ac:dyDescent="0.35">
      <c r="A8" s="17"/>
      <c r="B8" s="186">
        <v>165</v>
      </c>
      <c r="C8" s="20">
        <v>8.1</v>
      </c>
      <c r="D8" s="21">
        <v>9</v>
      </c>
      <c r="E8" s="22">
        <v>10.65</v>
      </c>
      <c r="F8" s="23">
        <v>7</v>
      </c>
      <c r="G8" s="188">
        <v>8</v>
      </c>
      <c r="H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20.5" customHeight="1" x14ac:dyDescent="0.35">
      <c r="A9" s="17"/>
      <c r="B9" s="63">
        <v>170</v>
      </c>
      <c r="C9" s="20">
        <v>5.2</v>
      </c>
      <c r="D9" s="21">
        <v>6.3</v>
      </c>
      <c r="E9" s="22">
        <v>8.5</v>
      </c>
      <c r="F9" s="23">
        <v>9.4</v>
      </c>
      <c r="G9" s="24">
        <v>10.75</v>
      </c>
      <c r="H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20.5" customHeight="1" x14ac:dyDescent="0.35">
      <c r="A10" s="17"/>
      <c r="B10" s="186">
        <v>175</v>
      </c>
      <c r="C10" s="20">
        <v>3.25</v>
      </c>
      <c r="D10" s="21">
        <v>4.25</v>
      </c>
      <c r="E10" s="22">
        <v>5.75</v>
      </c>
      <c r="F10" s="23">
        <v>13</v>
      </c>
      <c r="G10" s="188">
        <v>14.3</v>
      </c>
      <c r="H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20.5" customHeight="1" thickBot="1" x14ac:dyDescent="0.4">
      <c r="A11" s="17"/>
      <c r="B11" s="64">
        <v>180</v>
      </c>
      <c r="C11" s="26">
        <v>2.5</v>
      </c>
      <c r="D11" s="27">
        <v>3.4</v>
      </c>
      <c r="E11" s="28">
        <v>4.45</v>
      </c>
      <c r="F11" s="29">
        <v>15</v>
      </c>
      <c r="G11" s="30">
        <v>16.100000000000001</v>
      </c>
      <c r="H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4" customHeight="1" x14ac:dyDescent="0.35">
      <c r="B13" s="170" t="s">
        <v>582</v>
      </c>
      <c r="C13" s="12" t="s">
        <v>191</v>
      </c>
      <c r="D13" s="2"/>
      <c r="E13" s="8"/>
      <c r="H13" s="1"/>
      <c r="I13" s="4"/>
    </row>
    <row r="14" spans="1:49" ht="14" customHeight="1" x14ac:dyDescent="0.35">
      <c r="B14" s="170" t="s">
        <v>136</v>
      </c>
      <c r="C14" s="12" t="s">
        <v>193</v>
      </c>
      <c r="D14" s="2"/>
      <c r="E14" s="8"/>
      <c r="H14" s="1"/>
      <c r="I14" s="4"/>
    </row>
    <row r="15" spans="1:49" ht="14" customHeight="1" x14ac:dyDescent="0.35">
      <c r="B15" s="1"/>
      <c r="C15" s="12" t="s">
        <v>192</v>
      </c>
      <c r="D15" s="2"/>
      <c r="E15" s="8"/>
      <c r="H15" s="1"/>
      <c r="I15" s="4"/>
    </row>
    <row r="16" spans="1:49" ht="14" customHeight="1" x14ac:dyDescent="0.35">
      <c r="B16" s="1"/>
      <c r="C16" s="12" t="s">
        <v>194</v>
      </c>
      <c r="D16" s="2"/>
      <c r="E16" s="8"/>
      <c r="H16" s="1"/>
      <c r="I16" s="4"/>
    </row>
    <row r="17" spans="2:22" ht="14" customHeight="1" x14ac:dyDescent="0.35">
      <c r="B17" s="1"/>
      <c r="C17" s="12" t="s">
        <v>194</v>
      </c>
      <c r="D17" s="2"/>
      <c r="E17" s="8"/>
      <c r="H17" s="1"/>
      <c r="I17" s="4"/>
    </row>
    <row r="18" spans="2:22" ht="14" customHeight="1" thickBot="1" x14ac:dyDescent="0.4">
      <c r="B18" s="1"/>
      <c r="C18" s="1"/>
      <c r="D18" s="2"/>
      <c r="E18" s="8"/>
      <c r="H18" s="1"/>
      <c r="I18" s="4"/>
    </row>
    <row r="19" spans="2:22" ht="20.5" customHeight="1" thickBot="1" x14ac:dyDescent="0.4">
      <c r="B19" s="746" t="s">
        <v>18</v>
      </c>
      <c r="C19" s="742"/>
      <c r="D19" s="742"/>
      <c r="E19" s="742"/>
      <c r="F19" s="742"/>
      <c r="G19" s="742"/>
      <c r="H19" s="742"/>
      <c r="I19" s="747"/>
      <c r="K19" s="215"/>
      <c r="M19" s="711" t="s">
        <v>17</v>
      </c>
      <c r="N19" s="748"/>
      <c r="O19" s="748"/>
      <c r="P19" s="712"/>
    </row>
    <row r="20" spans="2:22" ht="26.4" customHeight="1" x14ac:dyDescent="0.35">
      <c r="B20" s="152"/>
      <c r="C20" s="129" t="s">
        <v>182</v>
      </c>
      <c r="D20" s="226" t="s">
        <v>112</v>
      </c>
      <c r="E20" s="226" t="s">
        <v>183</v>
      </c>
      <c r="F20" s="226" t="s">
        <v>113</v>
      </c>
      <c r="G20" s="226" t="s">
        <v>184</v>
      </c>
      <c r="H20" s="226" t="s">
        <v>178</v>
      </c>
      <c r="I20" s="226" t="s">
        <v>24</v>
      </c>
      <c r="K20" s="216" t="s">
        <v>25</v>
      </c>
      <c r="M20" s="227" t="s">
        <v>196</v>
      </c>
      <c r="N20" s="228"/>
      <c r="O20" s="228"/>
      <c r="P20" s="229"/>
    </row>
    <row r="21" spans="2:22" ht="75.400000000000006" customHeight="1" x14ac:dyDescent="0.35">
      <c r="B21" s="225" t="s">
        <v>91</v>
      </c>
      <c r="C21" s="7" t="s">
        <v>141</v>
      </c>
      <c r="D21" s="7" t="s">
        <v>143</v>
      </c>
      <c r="E21" s="7" t="s">
        <v>180</v>
      </c>
      <c r="F21" s="7" t="s">
        <v>185</v>
      </c>
      <c r="G21" s="7" t="s">
        <v>181</v>
      </c>
      <c r="H21" s="7" t="s">
        <v>186</v>
      </c>
      <c r="I21" s="7" t="s">
        <v>144</v>
      </c>
      <c r="K21" s="85" t="s">
        <v>90</v>
      </c>
      <c r="M21" s="7" t="s">
        <v>147</v>
      </c>
      <c r="N21" s="7" t="s">
        <v>67</v>
      </c>
      <c r="O21" s="7" t="s">
        <v>148</v>
      </c>
      <c r="P21" s="105" t="s">
        <v>149</v>
      </c>
    </row>
    <row r="22" spans="2:22" x14ac:dyDescent="0.35">
      <c r="B22" s="206" t="s">
        <v>195</v>
      </c>
      <c r="C22" s="176">
        <f>+B6</f>
        <v>155</v>
      </c>
      <c r="D22" s="177">
        <f>-G6</f>
        <v>-4.9000000000000004</v>
      </c>
      <c r="E22" s="176">
        <f>+B10</f>
        <v>175</v>
      </c>
      <c r="F22" s="177">
        <f>-G10</f>
        <v>-14.3</v>
      </c>
      <c r="G22" s="177">
        <f>AVERAGE(C22,E22)</f>
        <v>165</v>
      </c>
      <c r="H22" s="177">
        <f>+G8*2</f>
        <v>16</v>
      </c>
      <c r="I22" s="177">
        <f>+H22+F22+D22</f>
        <v>-3.2000000000000011</v>
      </c>
      <c r="K22" s="217">
        <v>140</v>
      </c>
      <c r="M22" s="208">
        <f>MAX(0,C22-K22)+MAX(0,E22-K22)-MAX(0,G22-K22)-MAX(0,G22-K22)</f>
        <v>0</v>
      </c>
      <c r="N22" s="208">
        <f>+M22+I22</f>
        <v>-3.2000000000000011</v>
      </c>
      <c r="O22" s="208"/>
      <c r="P22" s="209">
        <f>+N22</f>
        <v>-3.2000000000000011</v>
      </c>
      <c r="T22" s="223"/>
      <c r="U22" t="s">
        <v>6</v>
      </c>
      <c r="V22" t="s">
        <v>7</v>
      </c>
    </row>
    <row r="23" spans="2:22" x14ac:dyDescent="0.35">
      <c r="B23" s="206" t="s">
        <v>195</v>
      </c>
      <c r="C23" s="176">
        <f t="shared" ref="C23:H23" si="0">+C22</f>
        <v>155</v>
      </c>
      <c r="D23" s="177">
        <f t="shared" si="0"/>
        <v>-4.9000000000000004</v>
      </c>
      <c r="E23" s="176">
        <f t="shared" si="0"/>
        <v>175</v>
      </c>
      <c r="F23" s="177">
        <f t="shared" si="0"/>
        <v>-14.3</v>
      </c>
      <c r="G23" s="177">
        <f t="shared" si="0"/>
        <v>165</v>
      </c>
      <c r="H23" s="177">
        <f t="shared" si="0"/>
        <v>16</v>
      </c>
      <c r="I23" s="177">
        <f t="shared" ref="I23:I34" si="1">+H23+F23+D23</f>
        <v>-3.2000000000000011</v>
      </c>
      <c r="K23" s="217">
        <f>+K22+5</f>
        <v>145</v>
      </c>
      <c r="M23" s="208">
        <f t="shared" ref="M23:M34" si="2">MAX(0,C23-K23)+MAX(0,E23-K23)-MAX(0,G23-K23)-MAX(0,G23-K23)</f>
        <v>0</v>
      </c>
      <c r="N23" s="208">
        <f t="shared" ref="N23:N34" si="3">+M23+I23</f>
        <v>-3.2000000000000011</v>
      </c>
      <c r="O23" s="208"/>
      <c r="P23" s="209">
        <f t="shared" ref="P23:P25" si="4">+N23</f>
        <v>-3.2000000000000011</v>
      </c>
      <c r="S23">
        <v>-10</v>
      </c>
      <c r="T23" s="223">
        <f>+K23</f>
        <v>145</v>
      </c>
      <c r="U23" s="4">
        <f>+M23</f>
        <v>0</v>
      </c>
      <c r="V23" s="4">
        <f>+N23</f>
        <v>-3.2000000000000011</v>
      </c>
    </row>
    <row r="24" spans="2:22" x14ac:dyDescent="0.35">
      <c r="B24" s="206" t="s">
        <v>195</v>
      </c>
      <c r="C24" s="176">
        <f>+C23</f>
        <v>155</v>
      </c>
      <c r="D24" s="177">
        <f t="shared" ref="D24" si="5">+D23</f>
        <v>-4.9000000000000004</v>
      </c>
      <c r="E24" s="176">
        <f>+E23</f>
        <v>175</v>
      </c>
      <c r="F24" s="177">
        <f>+F23</f>
        <v>-14.3</v>
      </c>
      <c r="G24" s="177">
        <f t="shared" ref="G24:H24" si="6">+G23</f>
        <v>165</v>
      </c>
      <c r="H24" s="177">
        <f t="shared" si="6"/>
        <v>16</v>
      </c>
      <c r="I24" s="177">
        <f t="shared" si="1"/>
        <v>-3.2000000000000011</v>
      </c>
      <c r="K24" s="217">
        <f t="shared" ref="K24:K34" si="7">+K23+5</f>
        <v>150</v>
      </c>
      <c r="M24" s="208">
        <f t="shared" si="2"/>
        <v>0</v>
      </c>
      <c r="N24" s="208">
        <f t="shared" si="3"/>
        <v>-3.2000000000000011</v>
      </c>
      <c r="O24" s="208"/>
      <c r="P24" s="209">
        <f t="shared" si="4"/>
        <v>-3.2000000000000011</v>
      </c>
      <c r="S24">
        <f>+S23+2</f>
        <v>-8</v>
      </c>
      <c r="T24" s="223">
        <f t="shared" ref="T24:T33" si="8">+K24</f>
        <v>150</v>
      </c>
      <c r="U24" s="4">
        <f t="shared" ref="U24:V33" si="9">+M24</f>
        <v>0</v>
      </c>
      <c r="V24" s="4">
        <f t="shared" si="9"/>
        <v>-3.2000000000000011</v>
      </c>
    </row>
    <row r="25" spans="2:22" x14ac:dyDescent="0.35">
      <c r="B25" s="206" t="s">
        <v>195</v>
      </c>
      <c r="C25" s="176">
        <f t="shared" ref="C25:H26" si="10">+C27</f>
        <v>155</v>
      </c>
      <c r="D25" s="177">
        <f t="shared" si="10"/>
        <v>-4.9000000000000004</v>
      </c>
      <c r="E25" s="176">
        <f t="shared" si="10"/>
        <v>175</v>
      </c>
      <c r="F25" s="177">
        <f t="shared" si="10"/>
        <v>-14.3</v>
      </c>
      <c r="G25" s="177">
        <f t="shared" si="10"/>
        <v>165</v>
      </c>
      <c r="H25" s="177">
        <f t="shared" si="10"/>
        <v>16</v>
      </c>
      <c r="I25" s="177">
        <f>+H25+F25+D25</f>
        <v>-3.2000000000000011</v>
      </c>
      <c r="K25" s="217">
        <f t="shared" si="7"/>
        <v>155</v>
      </c>
      <c r="M25" s="208">
        <f t="shared" si="2"/>
        <v>0</v>
      </c>
      <c r="N25" s="208">
        <f>+M25+I25</f>
        <v>-3.2000000000000011</v>
      </c>
      <c r="O25" s="208"/>
      <c r="P25" s="209">
        <f t="shared" si="4"/>
        <v>-3.2000000000000011</v>
      </c>
      <c r="S25">
        <f t="shared" ref="S25:S33" si="11">+S24+2</f>
        <v>-6</v>
      </c>
      <c r="T25" s="223">
        <f t="shared" si="8"/>
        <v>155</v>
      </c>
      <c r="U25" s="4">
        <f t="shared" si="9"/>
        <v>0</v>
      </c>
      <c r="V25" s="4">
        <f t="shared" si="9"/>
        <v>-3.2000000000000011</v>
      </c>
    </row>
    <row r="26" spans="2:22" x14ac:dyDescent="0.35">
      <c r="B26" s="232" t="s">
        <v>195</v>
      </c>
      <c r="C26" s="219">
        <f t="shared" si="10"/>
        <v>155</v>
      </c>
      <c r="D26" s="220">
        <f t="shared" si="10"/>
        <v>-4.9000000000000004</v>
      </c>
      <c r="E26" s="219">
        <f t="shared" si="10"/>
        <v>175</v>
      </c>
      <c r="F26" s="220">
        <f t="shared" si="10"/>
        <v>-14.3</v>
      </c>
      <c r="G26" s="220">
        <f t="shared" si="10"/>
        <v>165</v>
      </c>
      <c r="H26" s="220">
        <f t="shared" si="10"/>
        <v>16</v>
      </c>
      <c r="I26" s="220">
        <f>+H26+F26+D26</f>
        <v>-3.2000000000000011</v>
      </c>
      <c r="J26" s="187"/>
      <c r="K26" s="221">
        <f>+K27-N27</f>
        <v>158.19999999999999</v>
      </c>
      <c r="L26" s="234" t="s">
        <v>5</v>
      </c>
      <c r="M26" s="222">
        <f t="shared" si="2"/>
        <v>3.1999999999999886</v>
      </c>
      <c r="N26" s="222">
        <f>+M26+I26</f>
        <v>-1.2434497875801753E-14</v>
      </c>
      <c r="O26" s="222"/>
      <c r="P26" s="233"/>
      <c r="S26">
        <f t="shared" si="11"/>
        <v>-4</v>
      </c>
      <c r="T26" s="223">
        <f t="shared" si="8"/>
        <v>158.19999999999999</v>
      </c>
      <c r="U26" s="4">
        <f t="shared" si="9"/>
        <v>3.1999999999999886</v>
      </c>
      <c r="V26" s="4">
        <f t="shared" si="9"/>
        <v>-1.2434497875801753E-14</v>
      </c>
    </row>
    <row r="27" spans="2:22" x14ac:dyDescent="0.35">
      <c r="B27" s="206" t="s">
        <v>195</v>
      </c>
      <c r="C27" s="176">
        <f t="shared" ref="C27:H28" si="12">+C24</f>
        <v>155</v>
      </c>
      <c r="D27" s="177">
        <f t="shared" si="12"/>
        <v>-4.9000000000000004</v>
      </c>
      <c r="E27" s="176">
        <f t="shared" si="12"/>
        <v>175</v>
      </c>
      <c r="F27" s="177">
        <f t="shared" si="12"/>
        <v>-14.3</v>
      </c>
      <c r="G27" s="177">
        <f t="shared" si="12"/>
        <v>165</v>
      </c>
      <c r="H27" s="177">
        <f t="shared" si="12"/>
        <v>16</v>
      </c>
      <c r="I27" s="177">
        <f t="shared" si="1"/>
        <v>-3.2000000000000011</v>
      </c>
      <c r="K27" s="217">
        <f>+K25+5</f>
        <v>160</v>
      </c>
      <c r="M27" s="208">
        <f t="shared" si="2"/>
        <v>5</v>
      </c>
      <c r="N27" s="208">
        <f t="shared" si="3"/>
        <v>1.7999999999999989</v>
      </c>
      <c r="O27" s="208"/>
      <c r="P27" s="209"/>
      <c r="S27">
        <f t="shared" si="11"/>
        <v>-2</v>
      </c>
      <c r="T27" s="223">
        <f t="shared" si="8"/>
        <v>160</v>
      </c>
      <c r="U27" s="4">
        <f t="shared" si="9"/>
        <v>5</v>
      </c>
      <c r="V27" s="4">
        <f t="shared" si="9"/>
        <v>1.7999999999999989</v>
      </c>
    </row>
    <row r="28" spans="2:22" x14ac:dyDescent="0.35">
      <c r="B28" s="206" t="s">
        <v>195</v>
      </c>
      <c r="C28" s="176">
        <f t="shared" si="12"/>
        <v>155</v>
      </c>
      <c r="D28" s="177">
        <f t="shared" si="12"/>
        <v>-4.9000000000000004</v>
      </c>
      <c r="E28" s="176">
        <f t="shared" si="12"/>
        <v>175</v>
      </c>
      <c r="F28" s="177">
        <f t="shared" si="12"/>
        <v>-14.3</v>
      </c>
      <c r="G28" s="177">
        <f t="shared" si="12"/>
        <v>165</v>
      </c>
      <c r="H28" s="177">
        <f t="shared" si="12"/>
        <v>16</v>
      </c>
      <c r="I28" s="177">
        <f t="shared" si="1"/>
        <v>-3.2000000000000011</v>
      </c>
      <c r="K28" s="217">
        <f t="shared" si="7"/>
        <v>165</v>
      </c>
      <c r="M28" s="208">
        <f t="shared" si="2"/>
        <v>10</v>
      </c>
      <c r="N28" s="208">
        <f t="shared" si="3"/>
        <v>6.7999999999999989</v>
      </c>
      <c r="O28" s="208">
        <f>+N28</f>
        <v>6.7999999999999989</v>
      </c>
      <c r="P28" s="209"/>
      <c r="S28">
        <f t="shared" si="11"/>
        <v>0</v>
      </c>
      <c r="T28" s="223">
        <f t="shared" si="8"/>
        <v>165</v>
      </c>
      <c r="U28" s="4">
        <f t="shared" si="9"/>
        <v>10</v>
      </c>
      <c r="V28" s="4">
        <f t="shared" si="9"/>
        <v>6.7999999999999989</v>
      </c>
    </row>
    <row r="29" spans="2:22" x14ac:dyDescent="0.35">
      <c r="B29" s="206" t="s">
        <v>195</v>
      </c>
      <c r="C29" s="176">
        <f t="shared" ref="C29:F31" si="13">+C27</f>
        <v>155</v>
      </c>
      <c r="D29" s="177">
        <f t="shared" si="13"/>
        <v>-4.9000000000000004</v>
      </c>
      <c r="E29" s="176">
        <f t="shared" si="13"/>
        <v>175</v>
      </c>
      <c r="F29" s="177">
        <f t="shared" si="13"/>
        <v>-14.3</v>
      </c>
      <c r="G29" s="177">
        <f>+G25</f>
        <v>165</v>
      </c>
      <c r="H29" s="177">
        <f>+H25</f>
        <v>16</v>
      </c>
      <c r="I29" s="177">
        <f t="shared" si="1"/>
        <v>-3.2000000000000011</v>
      </c>
      <c r="K29" s="217">
        <f t="shared" si="7"/>
        <v>170</v>
      </c>
      <c r="M29" s="208">
        <f t="shared" si="2"/>
        <v>5</v>
      </c>
      <c r="N29" s="208">
        <f t="shared" si="3"/>
        <v>1.7999999999999989</v>
      </c>
      <c r="O29" s="208"/>
      <c r="P29" s="209"/>
      <c r="S29">
        <f t="shared" si="11"/>
        <v>2</v>
      </c>
      <c r="T29" s="223">
        <f t="shared" si="8"/>
        <v>170</v>
      </c>
      <c r="U29" s="4">
        <f t="shared" si="9"/>
        <v>5</v>
      </c>
      <c r="V29" s="4">
        <f t="shared" si="9"/>
        <v>1.7999999999999989</v>
      </c>
    </row>
    <row r="30" spans="2:22" x14ac:dyDescent="0.35">
      <c r="B30" s="232" t="s">
        <v>195</v>
      </c>
      <c r="C30" s="219">
        <f t="shared" si="13"/>
        <v>155</v>
      </c>
      <c r="D30" s="220">
        <f t="shared" si="13"/>
        <v>-4.9000000000000004</v>
      </c>
      <c r="E30" s="219">
        <f t="shared" si="13"/>
        <v>175</v>
      </c>
      <c r="F30" s="220">
        <f t="shared" si="13"/>
        <v>-14.3</v>
      </c>
      <c r="G30" s="220">
        <f>+G26</f>
        <v>165</v>
      </c>
      <c r="H30" s="220">
        <f>+H26</f>
        <v>16</v>
      </c>
      <c r="I30" s="220">
        <f t="shared" si="1"/>
        <v>-3.2000000000000011</v>
      </c>
      <c r="J30" s="187"/>
      <c r="K30" s="221">
        <f>+K29+N29</f>
        <v>171.8</v>
      </c>
      <c r="L30" s="234" t="s">
        <v>5</v>
      </c>
      <c r="M30" s="222">
        <f t="shared" si="2"/>
        <v>3.1999999999999886</v>
      </c>
      <c r="N30" s="222">
        <f t="shared" si="3"/>
        <v>-1.2434497875801753E-14</v>
      </c>
      <c r="O30" s="222"/>
      <c r="P30" s="233"/>
      <c r="S30">
        <f t="shared" si="11"/>
        <v>4</v>
      </c>
      <c r="T30" s="223">
        <f t="shared" si="8"/>
        <v>171.8</v>
      </c>
      <c r="U30" s="4">
        <f t="shared" si="9"/>
        <v>3.1999999999999886</v>
      </c>
      <c r="V30" s="4">
        <f t="shared" si="9"/>
        <v>-1.2434497875801753E-14</v>
      </c>
    </row>
    <row r="31" spans="2:22" x14ac:dyDescent="0.35">
      <c r="B31" s="206" t="s">
        <v>195</v>
      </c>
      <c r="C31" s="176">
        <f t="shared" si="13"/>
        <v>155</v>
      </c>
      <c r="D31" s="177">
        <f t="shared" si="13"/>
        <v>-4.9000000000000004</v>
      </c>
      <c r="E31" s="176">
        <f t="shared" si="13"/>
        <v>175</v>
      </c>
      <c r="F31" s="177">
        <f t="shared" si="13"/>
        <v>-14.3</v>
      </c>
      <c r="G31" s="177">
        <f>+G29</f>
        <v>165</v>
      </c>
      <c r="H31" s="177">
        <f>+H29</f>
        <v>16</v>
      </c>
      <c r="I31" s="177">
        <f t="shared" si="1"/>
        <v>-3.2000000000000011</v>
      </c>
      <c r="K31" s="217">
        <f>+K29+5</f>
        <v>175</v>
      </c>
      <c r="M31" s="208">
        <f t="shared" si="2"/>
        <v>0</v>
      </c>
      <c r="N31" s="208">
        <f t="shared" si="3"/>
        <v>-3.2000000000000011</v>
      </c>
      <c r="O31" s="208"/>
      <c r="P31" s="209">
        <f t="shared" ref="P31:P34" si="14">+N31</f>
        <v>-3.2000000000000011</v>
      </c>
      <c r="S31">
        <f t="shared" si="11"/>
        <v>6</v>
      </c>
      <c r="T31" s="223">
        <f t="shared" si="8"/>
        <v>175</v>
      </c>
      <c r="U31" s="4">
        <f t="shared" si="9"/>
        <v>0</v>
      </c>
      <c r="V31" s="4">
        <f t="shared" si="9"/>
        <v>-3.2000000000000011</v>
      </c>
    </row>
    <row r="32" spans="2:22" x14ac:dyDescent="0.35">
      <c r="B32" s="206" t="s">
        <v>195</v>
      </c>
      <c r="C32" s="176">
        <f t="shared" ref="C32:H34" si="15">+C31</f>
        <v>155</v>
      </c>
      <c r="D32" s="177">
        <f t="shared" si="15"/>
        <v>-4.9000000000000004</v>
      </c>
      <c r="E32" s="176">
        <f t="shared" si="15"/>
        <v>175</v>
      </c>
      <c r="F32" s="177">
        <f t="shared" si="15"/>
        <v>-14.3</v>
      </c>
      <c r="G32" s="177">
        <f t="shared" si="15"/>
        <v>165</v>
      </c>
      <c r="H32" s="177">
        <f t="shared" si="15"/>
        <v>16</v>
      </c>
      <c r="I32" s="177">
        <f t="shared" si="1"/>
        <v>-3.2000000000000011</v>
      </c>
      <c r="K32" s="217">
        <f t="shared" si="7"/>
        <v>180</v>
      </c>
      <c r="M32" s="208">
        <f t="shared" si="2"/>
        <v>0</v>
      </c>
      <c r="N32" s="208">
        <f t="shared" si="3"/>
        <v>-3.2000000000000011</v>
      </c>
      <c r="O32" s="208"/>
      <c r="P32" s="209">
        <f t="shared" si="14"/>
        <v>-3.2000000000000011</v>
      </c>
      <c r="S32">
        <f t="shared" si="11"/>
        <v>8</v>
      </c>
      <c r="T32" s="223">
        <f t="shared" si="8"/>
        <v>180</v>
      </c>
      <c r="U32" s="4">
        <f t="shared" si="9"/>
        <v>0</v>
      </c>
      <c r="V32" s="4">
        <f t="shared" si="9"/>
        <v>-3.2000000000000011</v>
      </c>
    </row>
    <row r="33" spans="2:22" x14ac:dyDescent="0.35">
      <c r="B33" s="206" t="s">
        <v>195</v>
      </c>
      <c r="C33" s="176">
        <f t="shared" si="15"/>
        <v>155</v>
      </c>
      <c r="D33" s="177">
        <f t="shared" si="15"/>
        <v>-4.9000000000000004</v>
      </c>
      <c r="E33" s="176">
        <f t="shared" si="15"/>
        <v>175</v>
      </c>
      <c r="F33" s="177">
        <f t="shared" si="15"/>
        <v>-14.3</v>
      </c>
      <c r="G33" s="177">
        <f t="shared" si="15"/>
        <v>165</v>
      </c>
      <c r="H33" s="177">
        <f t="shared" si="15"/>
        <v>16</v>
      </c>
      <c r="I33" s="177">
        <f t="shared" si="1"/>
        <v>-3.2000000000000011</v>
      </c>
      <c r="K33" s="217">
        <f t="shared" si="7"/>
        <v>185</v>
      </c>
      <c r="M33" s="208">
        <f t="shared" si="2"/>
        <v>0</v>
      </c>
      <c r="N33" s="208">
        <f t="shared" si="3"/>
        <v>-3.2000000000000011</v>
      </c>
      <c r="O33" s="208"/>
      <c r="P33" s="209">
        <f t="shared" si="14"/>
        <v>-3.2000000000000011</v>
      </c>
      <c r="S33">
        <f t="shared" si="11"/>
        <v>10</v>
      </c>
      <c r="T33" s="223">
        <f t="shared" si="8"/>
        <v>185</v>
      </c>
      <c r="U33" s="4">
        <f t="shared" si="9"/>
        <v>0</v>
      </c>
      <c r="V33" s="4">
        <f t="shared" si="9"/>
        <v>-3.2000000000000011</v>
      </c>
    </row>
    <row r="34" spans="2:22" x14ac:dyDescent="0.35">
      <c r="B34" s="206" t="s">
        <v>195</v>
      </c>
      <c r="C34" s="176">
        <f t="shared" si="15"/>
        <v>155</v>
      </c>
      <c r="D34" s="177">
        <f t="shared" si="15"/>
        <v>-4.9000000000000004</v>
      </c>
      <c r="E34" s="176">
        <f t="shared" si="15"/>
        <v>175</v>
      </c>
      <c r="F34" s="177">
        <f t="shared" si="15"/>
        <v>-14.3</v>
      </c>
      <c r="G34" s="177">
        <f t="shared" si="15"/>
        <v>165</v>
      </c>
      <c r="H34" s="177">
        <f t="shared" si="15"/>
        <v>16</v>
      </c>
      <c r="I34" s="177">
        <f t="shared" si="1"/>
        <v>-3.2000000000000011</v>
      </c>
      <c r="K34" s="217">
        <f t="shared" si="7"/>
        <v>190</v>
      </c>
      <c r="M34" s="208">
        <f t="shared" si="2"/>
        <v>0</v>
      </c>
      <c r="N34" s="208">
        <f t="shared" si="3"/>
        <v>-3.2000000000000011</v>
      </c>
      <c r="O34" s="208"/>
      <c r="P34" s="209">
        <f t="shared" si="14"/>
        <v>-3.2000000000000011</v>
      </c>
    </row>
    <row r="35" spans="2:22" x14ac:dyDescent="0.35">
      <c r="N35" s="1"/>
    </row>
    <row r="36" spans="2:22" x14ac:dyDescent="0.35">
      <c r="N36" s="1"/>
      <c r="O36" s="1"/>
      <c r="P36" s="1" t="s">
        <v>197</v>
      </c>
    </row>
    <row r="37" spans="2:22" x14ac:dyDescent="0.35">
      <c r="I37" s="1"/>
      <c r="J37" s="4"/>
      <c r="O37" s="1"/>
    </row>
    <row r="86" ht="9.75" customHeight="1" x14ac:dyDescent="0.35"/>
    <row r="94" ht="9.75" customHeight="1" x14ac:dyDescent="0.35"/>
    <row r="120" ht="11.25" customHeight="1" x14ac:dyDescent="0.35"/>
  </sheetData>
  <mergeCells count="4">
    <mergeCell ref="C3:E3"/>
    <mergeCell ref="F3:H3"/>
    <mergeCell ref="B19:I19"/>
    <mergeCell ref="M19:P19"/>
  </mergeCells>
  <pageMargins left="0.7" right="0.7" top="0.75" bottom="0.75" header="0.3" footer="0.3"/>
  <pageSetup scale="4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CDC5-CA1C-47A9-B7E9-4B8196FE7992}">
  <dimension ref="B3:N16"/>
  <sheetViews>
    <sheetView showGridLines="0" workbookViewId="0">
      <selection activeCell="L9" sqref="L9"/>
    </sheetView>
  </sheetViews>
  <sheetFormatPr defaultRowHeight="14.5" x14ac:dyDescent="0.35"/>
  <cols>
    <col min="3" max="3" width="6.1796875" customWidth="1"/>
    <col min="5" max="5" width="10.81640625" customWidth="1"/>
    <col min="6" max="6" width="14.54296875" customWidth="1"/>
    <col min="7" max="7" width="10.54296875" customWidth="1"/>
    <col min="8" max="8" width="2.26953125" customWidth="1"/>
    <col min="10" max="10" width="6.1796875" customWidth="1"/>
    <col min="13" max="13" width="14.54296875" customWidth="1"/>
  </cols>
  <sheetData>
    <row r="3" spans="2:14" ht="28.75" customHeight="1" x14ac:dyDescent="0.35">
      <c r="B3" s="749" t="s">
        <v>349</v>
      </c>
      <c r="C3" s="750"/>
      <c r="D3" s="750"/>
      <c r="E3" s="750"/>
      <c r="F3" s="750"/>
      <c r="G3" s="750"/>
      <c r="I3" s="749" t="s">
        <v>350</v>
      </c>
      <c r="J3" s="750"/>
      <c r="K3" s="750"/>
      <c r="L3" s="750"/>
      <c r="M3" s="750"/>
      <c r="N3" s="750"/>
    </row>
    <row r="5" spans="2:14" x14ac:dyDescent="0.35">
      <c r="E5" s="321" t="s">
        <v>351</v>
      </c>
      <c r="F5" s="319"/>
      <c r="G5" s="321" t="s">
        <v>352</v>
      </c>
      <c r="L5" s="321" t="s">
        <v>351</v>
      </c>
      <c r="M5" s="319"/>
      <c r="N5" s="321" t="s">
        <v>352</v>
      </c>
    </row>
    <row r="6" spans="2:14" ht="9.5" customHeight="1" thickBot="1" x14ac:dyDescent="0.4">
      <c r="C6" s="316"/>
      <c r="D6" s="316"/>
      <c r="E6" s="316"/>
      <c r="J6" s="316"/>
      <c r="K6" s="316"/>
      <c r="L6" s="316"/>
    </row>
    <row r="7" spans="2:14" ht="25.5" customHeight="1" thickBot="1" x14ac:dyDescent="0.4">
      <c r="C7" s="316"/>
      <c r="D7" s="317" t="s">
        <v>338</v>
      </c>
      <c r="E7" s="324">
        <v>0.5</v>
      </c>
      <c r="F7" s="317" t="s">
        <v>342</v>
      </c>
      <c r="G7" s="320">
        <v>20</v>
      </c>
      <c r="J7" s="316"/>
      <c r="K7" s="317" t="s">
        <v>346</v>
      </c>
      <c r="L7" s="324">
        <v>0.16666666666666666</v>
      </c>
      <c r="M7" s="317" t="s">
        <v>342</v>
      </c>
      <c r="N7" s="320">
        <v>60</v>
      </c>
    </row>
    <row r="8" spans="2:14" ht="17" customHeight="1" thickBot="1" x14ac:dyDescent="0.4">
      <c r="C8" s="316"/>
      <c r="D8" s="316"/>
      <c r="E8" s="318"/>
      <c r="F8" s="316"/>
      <c r="J8" s="316"/>
      <c r="K8" s="316"/>
      <c r="L8" s="318"/>
      <c r="M8" s="316"/>
    </row>
    <row r="9" spans="2:14" ht="25.5" customHeight="1" thickBot="1" x14ac:dyDescent="0.4">
      <c r="B9" s="317" t="s">
        <v>344</v>
      </c>
      <c r="C9" s="322" t="s">
        <v>337</v>
      </c>
      <c r="D9" s="316"/>
      <c r="E9" s="318"/>
      <c r="G9" s="317" t="s">
        <v>345</v>
      </c>
      <c r="H9" s="323"/>
      <c r="I9" s="317" t="s">
        <v>344</v>
      </c>
      <c r="J9" s="322" t="s">
        <v>337</v>
      </c>
      <c r="K9" s="316"/>
      <c r="L9" s="318"/>
      <c r="N9" s="317" t="s">
        <v>348</v>
      </c>
    </row>
    <row r="10" spans="2:14" ht="12.75" customHeight="1" thickBot="1" x14ac:dyDescent="0.4">
      <c r="C10" s="316"/>
      <c r="D10" s="316"/>
      <c r="E10" s="318"/>
      <c r="F10" s="316"/>
      <c r="J10" s="316"/>
      <c r="K10" s="316"/>
      <c r="L10" s="318"/>
      <c r="M10" s="316"/>
    </row>
    <row r="11" spans="2:14" ht="25.5" customHeight="1" thickBot="1" x14ac:dyDescent="0.4">
      <c r="C11" s="316"/>
      <c r="D11" s="317" t="s">
        <v>339</v>
      </c>
      <c r="E11" s="324">
        <v>0.5</v>
      </c>
      <c r="F11" s="317" t="s">
        <v>343</v>
      </c>
      <c r="G11" s="320">
        <v>0</v>
      </c>
      <c r="J11" s="316"/>
      <c r="K11" s="317" t="s">
        <v>347</v>
      </c>
      <c r="L11" s="324">
        <v>0.83333333333333337</v>
      </c>
      <c r="M11" s="317" t="s">
        <v>343</v>
      </c>
      <c r="N11" s="320">
        <v>0</v>
      </c>
    </row>
    <row r="12" spans="2:14" x14ac:dyDescent="0.35">
      <c r="C12" s="316"/>
      <c r="D12" s="316"/>
      <c r="E12" s="316"/>
      <c r="J12" s="316"/>
      <c r="K12" s="316"/>
      <c r="L12" s="316"/>
    </row>
    <row r="13" spans="2:14" ht="15" thickBot="1" x14ac:dyDescent="0.4">
      <c r="C13" s="316"/>
      <c r="D13" s="316"/>
      <c r="E13" s="316"/>
      <c r="J13" s="316"/>
      <c r="K13" s="316"/>
      <c r="L13" s="316"/>
    </row>
    <row r="14" spans="2:14" ht="21.5" thickBot="1" x14ac:dyDescent="0.55000000000000004">
      <c r="C14" s="316"/>
      <c r="D14" s="316"/>
      <c r="E14" s="751" t="s">
        <v>353</v>
      </c>
      <c r="F14" s="752"/>
      <c r="G14" s="753"/>
      <c r="J14" s="316"/>
      <c r="K14" s="316"/>
      <c r="L14" s="316"/>
    </row>
    <row r="16" spans="2:14" x14ac:dyDescent="0.35">
      <c r="N16" s="1" t="s">
        <v>340</v>
      </c>
    </row>
  </sheetData>
  <mergeCells count="3">
    <mergeCell ref="I3:N3"/>
    <mergeCell ref="B3:G3"/>
    <mergeCell ref="E14:G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07FF-CAE5-4B81-A0A1-2E9E26A96117}">
  <dimension ref="A1:O18"/>
  <sheetViews>
    <sheetView showGridLines="0" workbookViewId="0">
      <selection activeCell="N31" sqref="N30:N31"/>
    </sheetView>
  </sheetViews>
  <sheetFormatPr defaultRowHeight="14.5" x14ac:dyDescent="0.35"/>
  <cols>
    <col min="1" max="1" width="16.08984375" style="1" customWidth="1"/>
    <col min="3" max="3" width="1.54296875" customWidth="1"/>
    <col min="4" max="4" width="4.54296875" customWidth="1"/>
    <col min="5" max="5" width="5.36328125" customWidth="1"/>
    <col min="6" max="6" width="8.26953125" style="236" customWidth="1"/>
    <col min="7" max="8" width="8.90625" style="236"/>
    <col min="9" max="9" width="5.7265625" style="236" customWidth="1"/>
    <col min="10" max="10" width="8.90625" style="236"/>
    <col min="11" max="11" width="7.54296875" style="236" customWidth="1"/>
    <col min="12" max="12" width="8.90625" style="236" customWidth="1"/>
    <col min="13" max="13" width="1.81640625" customWidth="1"/>
    <col min="15" max="15" width="23.26953125" customWidth="1"/>
  </cols>
  <sheetData>
    <row r="1" spans="1:15" ht="26" x14ac:dyDescent="0.6">
      <c r="A1" s="235" t="s">
        <v>364</v>
      </c>
      <c r="F1"/>
    </row>
    <row r="2" spans="1:15" x14ac:dyDescent="0.35">
      <c r="F2"/>
    </row>
    <row r="3" spans="1:15" ht="21" x14ac:dyDescent="0.5">
      <c r="A3" s="237" t="s">
        <v>18</v>
      </c>
      <c r="B3" s="238"/>
      <c r="D3" s="238"/>
      <c r="E3" s="239" t="s">
        <v>17</v>
      </c>
      <c r="F3" s="240"/>
      <c r="G3" s="240"/>
      <c r="H3" s="240"/>
      <c r="I3" s="240"/>
      <c r="J3" s="240"/>
      <c r="K3" s="240"/>
      <c r="L3" s="240"/>
      <c r="N3" s="239" t="s">
        <v>199</v>
      </c>
      <c r="O3" s="240"/>
    </row>
    <row r="4" spans="1:15" ht="7" customHeight="1" x14ac:dyDescent="0.35">
      <c r="A4"/>
      <c r="F4"/>
      <c r="G4"/>
      <c r="H4"/>
      <c r="I4"/>
      <c r="J4"/>
      <c r="K4"/>
      <c r="L4"/>
    </row>
    <row r="5" spans="1:15" ht="15" customHeight="1" x14ac:dyDescent="0.35">
      <c r="A5" s="754"/>
      <c r="B5" s="742"/>
      <c r="D5" s="251"/>
      <c r="E5" s="252"/>
      <c r="F5" s="251" t="s">
        <v>204</v>
      </c>
      <c r="G5" s="251"/>
      <c r="H5" s="251" t="s">
        <v>205</v>
      </c>
      <c r="I5" s="251"/>
      <c r="J5" s="251"/>
      <c r="K5" s="251"/>
      <c r="L5" s="251"/>
      <c r="N5" s="53" t="s">
        <v>203</v>
      </c>
      <c r="O5" s="53"/>
    </row>
    <row r="6" spans="1:15" ht="15" thickBot="1" x14ac:dyDescent="0.4">
      <c r="A6" s="170" t="s">
        <v>357</v>
      </c>
      <c r="B6" s="330">
        <v>100</v>
      </c>
      <c r="D6" s="256"/>
      <c r="E6" s="257"/>
      <c r="F6" s="256"/>
      <c r="G6" s="256"/>
      <c r="H6" s="256"/>
      <c r="I6" s="256"/>
      <c r="J6" s="256"/>
      <c r="K6" s="256"/>
      <c r="L6" s="256"/>
      <c r="N6" s="53" t="s">
        <v>206</v>
      </c>
      <c r="O6" s="53"/>
    </row>
    <row r="7" spans="1:15" ht="15" thickBot="1" x14ac:dyDescent="0.4">
      <c r="A7" s="170" t="s">
        <v>358</v>
      </c>
      <c r="B7" s="331">
        <v>1.2</v>
      </c>
      <c r="D7" s="256"/>
      <c r="E7" s="257"/>
      <c r="F7" s="256"/>
      <c r="G7" s="265" t="s">
        <v>211</v>
      </c>
      <c r="H7" s="266">
        <f>+F9*B7</f>
        <v>120</v>
      </c>
      <c r="I7" s="260"/>
      <c r="J7" s="265" t="s">
        <v>212</v>
      </c>
      <c r="K7" s="267">
        <f>MAX(0,H7-B9)</f>
        <v>10</v>
      </c>
      <c r="L7" s="256"/>
      <c r="N7" s="53"/>
      <c r="O7" s="53"/>
    </row>
    <row r="8" spans="1:15" ht="15" thickBot="1" x14ac:dyDescent="0.4">
      <c r="A8" s="170" t="s">
        <v>359</v>
      </c>
      <c r="B8" s="331">
        <v>0.9</v>
      </c>
      <c r="D8" s="256"/>
      <c r="E8" s="257"/>
      <c r="F8" s="256"/>
      <c r="G8" s="256"/>
      <c r="H8" s="256"/>
      <c r="I8" s="256"/>
      <c r="J8" s="256"/>
      <c r="K8" s="256"/>
      <c r="L8" s="256"/>
      <c r="N8" s="53" t="s">
        <v>218</v>
      </c>
      <c r="O8" s="53"/>
    </row>
    <row r="9" spans="1:15" ht="15" thickBot="1" x14ac:dyDescent="0.4">
      <c r="A9" s="170" t="s">
        <v>360</v>
      </c>
      <c r="B9" s="330">
        <v>110</v>
      </c>
      <c r="D9" s="256"/>
      <c r="E9" s="271" t="s">
        <v>220</v>
      </c>
      <c r="F9" s="272">
        <f>+B6</f>
        <v>100</v>
      </c>
      <c r="G9" s="256"/>
      <c r="H9" s="256"/>
      <c r="I9" s="265" t="s">
        <v>354</v>
      </c>
      <c r="J9" s="273">
        <f>+((K7*F13)+(F14*K11))/((1+B10)^B11)</f>
        <v>4.7619047619047636</v>
      </c>
      <c r="K9" s="265"/>
      <c r="L9" s="256"/>
      <c r="N9" s="53" t="s">
        <v>221</v>
      </c>
      <c r="O9" s="53"/>
    </row>
    <row r="10" spans="1:15" ht="15" thickBot="1" x14ac:dyDescent="0.4">
      <c r="A10" s="170" t="s">
        <v>361</v>
      </c>
      <c r="B10" s="332">
        <v>0.05</v>
      </c>
      <c r="D10" s="256"/>
      <c r="E10" s="257"/>
      <c r="F10" s="256"/>
      <c r="G10" s="256"/>
      <c r="H10" s="256"/>
      <c r="I10" s="256"/>
      <c r="J10" s="256"/>
      <c r="K10" s="256"/>
      <c r="L10" s="256"/>
      <c r="N10" s="53"/>
      <c r="O10" s="53"/>
    </row>
    <row r="11" spans="1:15" ht="15" thickBot="1" x14ac:dyDescent="0.4">
      <c r="A11" s="170" t="s">
        <v>362</v>
      </c>
      <c r="B11" s="328">
        <v>1</v>
      </c>
      <c r="D11" s="256"/>
      <c r="E11" s="257"/>
      <c r="F11" s="256"/>
      <c r="G11" s="265" t="s">
        <v>226</v>
      </c>
      <c r="H11" s="266">
        <f>+F9*B8</f>
        <v>90</v>
      </c>
      <c r="I11" s="260"/>
      <c r="J11" s="265" t="s">
        <v>227</v>
      </c>
      <c r="K11" s="267">
        <f>MAX(0,H11-B9)</f>
        <v>0</v>
      </c>
      <c r="L11" s="256"/>
      <c r="N11" s="53" t="s">
        <v>355</v>
      </c>
      <c r="O11" s="53"/>
    </row>
    <row r="12" spans="1:15" x14ac:dyDescent="0.35">
      <c r="A12" s="329" t="s">
        <v>363</v>
      </c>
      <c r="B12" s="328">
        <v>1</v>
      </c>
      <c r="D12" s="256"/>
      <c r="E12" s="257"/>
      <c r="F12" s="256"/>
      <c r="G12" s="256"/>
      <c r="H12" s="256"/>
      <c r="I12" s="256"/>
      <c r="J12" s="256"/>
      <c r="K12" s="256"/>
      <c r="L12" s="256"/>
      <c r="N12" s="53"/>
      <c r="O12" s="53"/>
    </row>
    <row r="13" spans="1:15" x14ac:dyDescent="0.35">
      <c r="D13" s="256"/>
      <c r="E13" s="282" t="s">
        <v>234</v>
      </c>
      <c r="F13" s="283">
        <f>+((1+B10)-B8)/(B7-B8)</f>
        <v>0.50000000000000022</v>
      </c>
      <c r="G13" s="256"/>
      <c r="H13" s="256"/>
      <c r="I13" s="265"/>
      <c r="J13" s="256"/>
      <c r="K13" s="256"/>
      <c r="L13" s="256"/>
      <c r="N13" s="53" t="s">
        <v>356</v>
      </c>
      <c r="O13" s="53"/>
    </row>
    <row r="14" spans="1:15" x14ac:dyDescent="0.35">
      <c r="D14" s="256"/>
      <c r="E14" s="282" t="s">
        <v>235</v>
      </c>
      <c r="F14" s="283">
        <f>1-F13</f>
        <v>0.49999999999999978</v>
      </c>
      <c r="G14" s="256"/>
      <c r="H14" s="256"/>
      <c r="I14" s="256"/>
      <c r="J14" s="256"/>
      <c r="K14" s="256"/>
      <c r="L14" s="256"/>
      <c r="O14" s="53"/>
    </row>
    <row r="15" spans="1:15" ht="15" thickBot="1" x14ac:dyDescent="0.4">
      <c r="N15" s="53"/>
      <c r="O15" s="53"/>
    </row>
    <row r="16" spans="1:15" ht="15" thickBot="1" x14ac:dyDescent="0.4">
      <c r="E16" s="287" t="s">
        <v>366</v>
      </c>
      <c r="F16" s="288">
        <f>+J9</f>
        <v>4.7619047619047636</v>
      </c>
      <c r="G16" s="236" t="s">
        <v>238</v>
      </c>
      <c r="N16" s="53"/>
      <c r="O16" s="53"/>
    </row>
    <row r="17" spans="6:15" x14ac:dyDescent="0.35">
      <c r="F17"/>
      <c r="G17"/>
      <c r="H17"/>
      <c r="I17"/>
      <c r="J17"/>
      <c r="K17"/>
      <c r="L17"/>
    </row>
    <row r="18" spans="6:15" x14ac:dyDescent="0.35">
      <c r="N18" s="53"/>
      <c r="O18" s="1" t="s">
        <v>341</v>
      </c>
    </row>
  </sheetData>
  <mergeCells count="1">
    <mergeCell ref="A5:B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99C9-D065-451F-8E87-DAFA984C38EB}">
  <dimension ref="A1:O18"/>
  <sheetViews>
    <sheetView showGridLines="0" workbookViewId="0">
      <selection activeCell="G16" sqref="G16"/>
    </sheetView>
  </sheetViews>
  <sheetFormatPr defaultRowHeight="14.5" x14ac:dyDescent="0.35"/>
  <cols>
    <col min="1" max="1" width="16.08984375" style="1" customWidth="1"/>
    <col min="3" max="3" width="1.54296875" customWidth="1"/>
    <col min="4" max="4" width="4.54296875" customWidth="1"/>
    <col min="5" max="5" width="5.36328125" customWidth="1"/>
    <col min="6" max="6" width="8.26953125" style="236" customWidth="1"/>
    <col min="7" max="8" width="8.90625" style="236"/>
    <col min="9" max="9" width="5.7265625" style="236" customWidth="1"/>
    <col min="10" max="10" width="8.90625" style="236"/>
    <col min="11" max="11" width="7.54296875" style="236" customWidth="1"/>
    <col min="12" max="12" width="8.90625" style="236"/>
    <col min="13" max="13" width="1.81640625" customWidth="1"/>
    <col min="15" max="15" width="23.26953125" customWidth="1"/>
  </cols>
  <sheetData>
    <row r="1" spans="1:15" ht="26" x14ac:dyDescent="0.6">
      <c r="A1" s="235" t="s">
        <v>365</v>
      </c>
      <c r="F1"/>
    </row>
    <row r="2" spans="1:15" x14ac:dyDescent="0.35">
      <c r="F2"/>
    </row>
    <row r="3" spans="1:15" ht="21" x14ac:dyDescent="0.5">
      <c r="A3" s="237" t="s">
        <v>18</v>
      </c>
      <c r="B3" s="238"/>
      <c r="D3" s="238"/>
      <c r="E3" s="239" t="s">
        <v>17</v>
      </c>
      <c r="F3" s="240"/>
      <c r="G3" s="240"/>
      <c r="H3" s="240"/>
      <c r="I3" s="240"/>
      <c r="J3" s="240"/>
      <c r="K3" s="240"/>
      <c r="L3" s="240"/>
      <c r="N3" s="239" t="s">
        <v>199</v>
      </c>
      <c r="O3" s="240"/>
    </row>
    <row r="4" spans="1:15" ht="7" customHeight="1" x14ac:dyDescent="0.35">
      <c r="A4"/>
      <c r="F4"/>
      <c r="G4"/>
      <c r="H4"/>
      <c r="I4"/>
      <c r="J4"/>
      <c r="K4"/>
      <c r="L4"/>
    </row>
    <row r="5" spans="1:15" ht="15" customHeight="1" x14ac:dyDescent="0.35">
      <c r="A5" s="754"/>
      <c r="B5" s="742"/>
      <c r="D5" s="251"/>
      <c r="E5" s="252"/>
      <c r="F5" s="251" t="s">
        <v>204</v>
      </c>
      <c r="G5" s="251"/>
      <c r="H5" s="251" t="s">
        <v>205</v>
      </c>
      <c r="I5" s="251"/>
      <c r="J5" s="251"/>
      <c r="K5" s="251"/>
      <c r="L5" s="251"/>
      <c r="N5" s="53" t="s">
        <v>203</v>
      </c>
      <c r="O5" s="53"/>
    </row>
    <row r="6" spans="1:15" ht="15" thickBot="1" x14ac:dyDescent="0.4">
      <c r="A6" s="170" t="s">
        <v>357</v>
      </c>
      <c r="B6" s="330">
        <v>100</v>
      </c>
      <c r="D6" s="256"/>
      <c r="E6" s="257"/>
      <c r="F6" s="256"/>
      <c r="G6" s="256"/>
      <c r="H6" s="256"/>
      <c r="I6" s="256"/>
      <c r="J6" s="256"/>
      <c r="K6" s="256"/>
      <c r="L6" s="256"/>
      <c r="N6" s="53" t="s">
        <v>206</v>
      </c>
      <c r="O6" s="53"/>
    </row>
    <row r="7" spans="1:15" ht="15" thickBot="1" x14ac:dyDescent="0.4">
      <c r="A7" s="170" t="s">
        <v>358</v>
      </c>
      <c r="B7" s="331">
        <v>1.2</v>
      </c>
      <c r="D7" s="256"/>
      <c r="E7" s="257"/>
      <c r="F7" s="256"/>
      <c r="G7" s="265" t="s">
        <v>211</v>
      </c>
      <c r="H7" s="266">
        <f>+F9*B7</f>
        <v>120</v>
      </c>
      <c r="I7" s="260"/>
      <c r="J7" s="265" t="s">
        <v>212</v>
      </c>
      <c r="K7" s="267">
        <f>MAX(0,B9-H7)</f>
        <v>0</v>
      </c>
      <c r="L7" s="256"/>
      <c r="N7" s="53"/>
      <c r="O7" s="53"/>
    </row>
    <row r="8" spans="1:15" ht="15" thickBot="1" x14ac:dyDescent="0.4">
      <c r="A8" s="170" t="s">
        <v>359</v>
      </c>
      <c r="B8" s="331">
        <v>0.9</v>
      </c>
      <c r="D8" s="256"/>
      <c r="E8" s="257"/>
      <c r="F8" s="256"/>
      <c r="G8" s="256"/>
      <c r="H8" s="256"/>
      <c r="I8" s="256"/>
      <c r="J8" s="256"/>
      <c r="K8" s="256"/>
      <c r="L8" s="256"/>
      <c r="N8" s="53" t="s">
        <v>247</v>
      </c>
      <c r="O8" s="53"/>
    </row>
    <row r="9" spans="1:15" ht="15" thickBot="1" x14ac:dyDescent="0.4">
      <c r="A9" s="170" t="s">
        <v>360</v>
      </c>
      <c r="B9" s="330">
        <v>110</v>
      </c>
      <c r="D9" s="256"/>
      <c r="E9" s="271" t="s">
        <v>220</v>
      </c>
      <c r="F9" s="272">
        <f>+B6</f>
        <v>100</v>
      </c>
      <c r="G9" s="256"/>
      <c r="H9" s="256"/>
      <c r="I9" s="265" t="s">
        <v>354</v>
      </c>
      <c r="J9" s="273">
        <f>+((K7*F13)+(F14*K11))/((1+B10)^B11)</f>
        <v>9.5238095238095202</v>
      </c>
      <c r="K9" s="265"/>
      <c r="L9" s="256"/>
      <c r="N9" s="53" t="s">
        <v>248</v>
      </c>
      <c r="O9" s="53"/>
    </row>
    <row r="10" spans="1:15" ht="15" thickBot="1" x14ac:dyDescent="0.4">
      <c r="A10" s="170" t="s">
        <v>361</v>
      </c>
      <c r="B10" s="332">
        <v>0.05</v>
      </c>
      <c r="D10" s="256"/>
      <c r="E10" s="257"/>
      <c r="F10" s="256"/>
      <c r="G10" s="256"/>
      <c r="H10" s="256"/>
      <c r="I10" s="256"/>
      <c r="J10" s="256"/>
      <c r="K10" s="256"/>
      <c r="L10" s="256"/>
      <c r="N10" s="53"/>
      <c r="O10" s="53"/>
    </row>
    <row r="11" spans="1:15" ht="15" thickBot="1" x14ac:dyDescent="0.4">
      <c r="A11" s="170" t="s">
        <v>362</v>
      </c>
      <c r="B11" s="328">
        <v>1</v>
      </c>
      <c r="D11" s="256"/>
      <c r="E11" s="257"/>
      <c r="F11" s="256"/>
      <c r="G11" s="265" t="s">
        <v>226</v>
      </c>
      <c r="H11" s="266">
        <f>+F9*B8</f>
        <v>90</v>
      </c>
      <c r="I11" s="260"/>
      <c r="J11" s="265" t="s">
        <v>227</v>
      </c>
      <c r="K11" s="267">
        <f>MAX(0,B9-H11)</f>
        <v>20</v>
      </c>
      <c r="L11" s="256"/>
      <c r="N11" s="53" t="s">
        <v>355</v>
      </c>
      <c r="O11" s="53"/>
    </row>
    <row r="12" spans="1:15" x14ac:dyDescent="0.35">
      <c r="A12" s="329" t="s">
        <v>363</v>
      </c>
      <c r="B12" s="328">
        <v>1</v>
      </c>
      <c r="D12" s="256"/>
      <c r="E12" s="257"/>
      <c r="F12" s="256"/>
      <c r="G12" s="256"/>
      <c r="H12" s="256"/>
      <c r="I12" s="256"/>
      <c r="J12" s="256"/>
      <c r="K12" s="256"/>
      <c r="L12" s="256"/>
      <c r="N12" s="53"/>
      <c r="O12" s="53"/>
    </row>
    <row r="13" spans="1:15" x14ac:dyDescent="0.35">
      <c r="D13" s="256"/>
      <c r="E13" s="282" t="s">
        <v>234</v>
      </c>
      <c r="F13" s="283">
        <f>+((1+B10)-B8)/(B7-B8)</f>
        <v>0.50000000000000022</v>
      </c>
      <c r="G13" s="256"/>
      <c r="H13" s="256"/>
      <c r="I13" s="265"/>
      <c r="J13" s="256"/>
      <c r="K13" s="256"/>
      <c r="L13" s="256"/>
      <c r="N13" s="53" t="s">
        <v>253</v>
      </c>
      <c r="O13" s="53"/>
    </row>
    <row r="14" spans="1:15" x14ac:dyDescent="0.35">
      <c r="D14" s="256"/>
      <c r="E14" s="282" t="s">
        <v>235</v>
      </c>
      <c r="F14" s="283">
        <f>1-F13</f>
        <v>0.49999999999999978</v>
      </c>
      <c r="G14" s="256"/>
      <c r="H14" s="256"/>
      <c r="I14" s="256"/>
      <c r="J14" s="256"/>
      <c r="K14" s="256"/>
      <c r="L14" s="256"/>
      <c r="O14" s="53"/>
    </row>
    <row r="15" spans="1:15" ht="15" thickBot="1" x14ac:dyDescent="0.4">
      <c r="N15" s="53"/>
      <c r="O15" s="53"/>
    </row>
    <row r="16" spans="1:15" ht="15" thickBot="1" x14ac:dyDescent="0.4">
      <c r="E16" s="287" t="s">
        <v>367</v>
      </c>
      <c r="F16" s="288">
        <f>+J9</f>
        <v>9.5238095238095202</v>
      </c>
      <c r="G16" s="236" t="s">
        <v>238</v>
      </c>
      <c r="N16" s="53"/>
      <c r="O16" s="53"/>
    </row>
    <row r="17" spans="6:15" x14ac:dyDescent="0.35">
      <c r="F17"/>
      <c r="G17"/>
      <c r="H17"/>
      <c r="I17"/>
      <c r="J17"/>
      <c r="K17"/>
      <c r="L17"/>
    </row>
    <row r="18" spans="6:15" x14ac:dyDescent="0.35">
      <c r="N18" s="53"/>
      <c r="O18" s="1" t="s">
        <v>341</v>
      </c>
    </row>
  </sheetData>
  <mergeCells count="1">
    <mergeCell ref="A5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382C-4801-4F32-A2FB-068354F0B74B}">
  <dimension ref="A1:U36"/>
  <sheetViews>
    <sheetView showGridLines="0" workbookViewId="0">
      <selection sqref="A1:S36"/>
    </sheetView>
  </sheetViews>
  <sheetFormatPr defaultRowHeight="14.5" x14ac:dyDescent="0.35"/>
  <cols>
    <col min="1" max="1" width="14.26953125" style="1" customWidth="1"/>
    <col min="2" max="2" width="8.90625" customWidth="1"/>
    <col min="3" max="3" width="1.54296875" customWidth="1"/>
    <col min="4" max="4" width="4.54296875" customWidth="1"/>
    <col min="5" max="5" width="5" customWidth="1"/>
    <col min="6" max="6" width="8.26953125" style="236" customWidth="1"/>
    <col min="7" max="10" width="8.90625" style="236"/>
    <col min="11" max="11" width="9.90625" style="236" customWidth="1"/>
    <col min="12" max="13" width="8.90625" style="236"/>
    <col min="14" max="14" width="10.08984375" style="236" customWidth="1"/>
    <col min="15" max="15" width="2.54296875" customWidth="1"/>
    <col min="16" max="16" width="1.54296875" customWidth="1"/>
    <col min="19" max="19" width="18.90625" customWidth="1"/>
    <col min="20" max="20" width="2.54296875" customWidth="1"/>
  </cols>
  <sheetData>
    <row r="1" spans="1:21" ht="26" x14ac:dyDescent="0.6">
      <c r="A1" s="235" t="s">
        <v>368</v>
      </c>
      <c r="F1"/>
    </row>
    <row r="2" spans="1:21" ht="21" x14ac:dyDescent="0.5">
      <c r="A2" s="237" t="s">
        <v>18</v>
      </c>
      <c r="B2" s="238"/>
      <c r="C2" s="338"/>
      <c r="D2" s="239" t="s">
        <v>17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Q2" s="239" t="s">
        <v>199</v>
      </c>
      <c r="R2" s="240"/>
      <c r="S2" s="240"/>
    </row>
    <row r="3" spans="1:21" ht="6.75" customHeight="1" x14ac:dyDescent="0.35">
      <c r="F3"/>
    </row>
    <row r="4" spans="1:21" ht="19" customHeight="1" x14ac:dyDescent="0.5">
      <c r="A4" s="251" t="s">
        <v>369</v>
      </c>
      <c r="B4" s="251"/>
      <c r="C4" s="338"/>
      <c r="D4" s="251"/>
      <c r="E4" s="252"/>
      <c r="F4" s="251" t="s">
        <v>204</v>
      </c>
      <c r="G4" s="251"/>
      <c r="H4" s="251" t="s">
        <v>205</v>
      </c>
      <c r="I4" s="251"/>
      <c r="J4" s="251" t="s">
        <v>259</v>
      </c>
      <c r="K4" s="251"/>
      <c r="L4" s="251"/>
      <c r="M4" s="251"/>
      <c r="N4" s="251"/>
      <c r="O4" s="251"/>
      <c r="Q4" s="53" t="s">
        <v>203</v>
      </c>
      <c r="R4" s="53"/>
      <c r="S4" s="53"/>
      <c r="T4" s="53"/>
      <c r="U4" s="53"/>
    </row>
    <row r="5" spans="1:21" ht="21.5" thickBot="1" x14ac:dyDescent="0.55000000000000004">
      <c r="C5" s="338"/>
      <c r="D5" s="256"/>
      <c r="E5" s="257"/>
      <c r="F5" s="256"/>
      <c r="G5" s="256"/>
      <c r="H5" s="256"/>
      <c r="I5" s="265" t="s">
        <v>260</v>
      </c>
      <c r="J5" s="294">
        <f>+H7*B7</f>
        <v>93.75</v>
      </c>
      <c r="K5" s="256"/>
      <c r="L5" s="256"/>
      <c r="M5" s="265" t="s">
        <v>261</v>
      </c>
      <c r="N5" s="267">
        <f>MAX(0,J5-B9)</f>
        <v>38.75</v>
      </c>
      <c r="O5" s="256"/>
      <c r="Q5" s="53" t="s">
        <v>206</v>
      </c>
      <c r="R5" s="53"/>
      <c r="S5" s="53"/>
      <c r="T5" s="53"/>
      <c r="U5" s="53"/>
    </row>
    <row r="6" spans="1:21" ht="21.5" thickBot="1" x14ac:dyDescent="0.55000000000000004">
      <c r="A6" s="170" t="s">
        <v>207</v>
      </c>
      <c r="B6" s="333">
        <v>60</v>
      </c>
      <c r="C6" s="338"/>
      <c r="D6" s="256"/>
      <c r="E6" s="257"/>
      <c r="F6" s="256"/>
      <c r="G6" s="256"/>
      <c r="H6" s="256"/>
      <c r="I6" s="256"/>
      <c r="J6" s="260"/>
      <c r="K6" s="256"/>
      <c r="L6" s="256"/>
      <c r="M6" s="256"/>
      <c r="N6" s="295" t="s">
        <v>262</v>
      </c>
      <c r="O6" s="256"/>
      <c r="Q6" s="53" t="s">
        <v>263</v>
      </c>
      <c r="R6" s="53"/>
      <c r="S6" s="53"/>
      <c r="T6" s="53"/>
      <c r="U6" s="53"/>
    </row>
    <row r="7" spans="1:21" ht="21.5" thickBot="1" x14ac:dyDescent="0.55000000000000004">
      <c r="A7" s="170" t="s">
        <v>210</v>
      </c>
      <c r="B7" s="335">
        <v>1.25</v>
      </c>
      <c r="C7" s="338"/>
      <c r="D7" s="256"/>
      <c r="E7" s="257"/>
      <c r="F7" s="256"/>
      <c r="G7" s="265" t="s">
        <v>211</v>
      </c>
      <c r="H7" s="266">
        <f>+F9*B7</f>
        <v>75</v>
      </c>
      <c r="I7" s="260"/>
      <c r="J7" s="260"/>
      <c r="K7" s="260" t="s">
        <v>212</v>
      </c>
      <c r="L7" s="273">
        <f>+((N5*F13)+(F14*N9))/(1+B10/B11)</f>
        <v>21.859903381642507</v>
      </c>
      <c r="M7" s="256"/>
      <c r="N7" s="260"/>
      <c r="O7" s="256"/>
      <c r="Q7" s="53" t="s">
        <v>265</v>
      </c>
      <c r="R7" s="53"/>
      <c r="S7" s="53"/>
      <c r="T7" s="53"/>
      <c r="U7" s="53"/>
    </row>
    <row r="8" spans="1:21" ht="15" thickBot="1" x14ac:dyDescent="0.4">
      <c r="A8" s="170" t="s">
        <v>215</v>
      </c>
      <c r="B8" s="335">
        <v>0.8</v>
      </c>
      <c r="C8" s="334"/>
      <c r="D8" s="256"/>
      <c r="E8" s="257"/>
      <c r="F8" s="256"/>
      <c r="G8" s="256"/>
      <c r="H8" s="267">
        <f>MAX(0,H7-$B$9)</f>
        <v>20</v>
      </c>
      <c r="I8" s="256"/>
      <c r="J8" s="256"/>
      <c r="K8" s="256"/>
      <c r="L8" s="256"/>
      <c r="M8" s="256"/>
      <c r="N8" s="256"/>
      <c r="O8" s="256"/>
      <c r="Q8" s="53" t="s">
        <v>266</v>
      </c>
      <c r="R8" s="53"/>
      <c r="S8" s="53"/>
      <c r="T8" s="53"/>
      <c r="U8" s="53"/>
    </row>
    <row r="9" spans="1:21" ht="15" thickBot="1" x14ac:dyDescent="0.4">
      <c r="A9" s="170" t="s">
        <v>219</v>
      </c>
      <c r="B9" s="333">
        <v>55</v>
      </c>
      <c r="C9" s="327"/>
      <c r="D9" s="256"/>
      <c r="E9" s="271" t="s">
        <v>220</v>
      </c>
      <c r="F9" s="272">
        <f>+B6</f>
        <v>60</v>
      </c>
      <c r="G9" s="256"/>
      <c r="H9" s="295" t="s">
        <v>262</v>
      </c>
      <c r="I9" s="265"/>
      <c r="J9" s="266">
        <f>+H11*B7</f>
        <v>60</v>
      </c>
      <c r="K9" s="265"/>
      <c r="L9" s="265"/>
      <c r="M9" s="265" t="s">
        <v>267</v>
      </c>
      <c r="N9" s="296">
        <f>MAX(0,J9-B9)</f>
        <v>5</v>
      </c>
      <c r="O9" s="256"/>
      <c r="Q9" s="53" t="s">
        <v>268</v>
      </c>
      <c r="R9" s="53"/>
      <c r="S9" s="53"/>
      <c r="T9" s="53"/>
      <c r="U9" s="53"/>
    </row>
    <row r="10" spans="1:21" ht="15" thickBot="1" x14ac:dyDescent="0.4">
      <c r="A10" s="170" t="s">
        <v>222</v>
      </c>
      <c r="B10" s="326">
        <v>3.5000000000000003E-2</v>
      </c>
      <c r="C10" s="53"/>
      <c r="D10" s="256"/>
      <c r="E10" s="257"/>
      <c r="F10" s="256"/>
      <c r="G10" s="256"/>
      <c r="H10" s="256"/>
      <c r="I10" s="256"/>
      <c r="J10" s="260"/>
      <c r="K10" s="256"/>
      <c r="L10" s="256"/>
      <c r="M10" s="256"/>
      <c r="N10" s="295" t="s">
        <v>262</v>
      </c>
      <c r="O10" s="256"/>
      <c r="Q10" s="53" t="s">
        <v>269</v>
      </c>
      <c r="R10" s="53"/>
      <c r="S10" s="53"/>
      <c r="T10" s="53"/>
      <c r="U10" s="53"/>
    </row>
    <row r="11" spans="1:21" ht="15" thickBot="1" x14ac:dyDescent="0.4">
      <c r="A11" s="170" t="s">
        <v>385</v>
      </c>
      <c r="B11" s="328">
        <v>1</v>
      </c>
      <c r="C11" s="337"/>
      <c r="D11" s="256"/>
      <c r="E11" s="257"/>
      <c r="F11" s="256"/>
      <c r="G11" s="265" t="s">
        <v>226</v>
      </c>
      <c r="H11" s="266">
        <f>+F9*B8</f>
        <v>48</v>
      </c>
      <c r="I11" s="260"/>
      <c r="J11" s="260"/>
      <c r="K11" s="260" t="s">
        <v>227</v>
      </c>
      <c r="L11" s="273">
        <f>+((N9*F13)+(F14*N13))/(1+B10/B11)</f>
        <v>2.5228126677402032</v>
      </c>
      <c r="M11" s="256"/>
      <c r="N11" s="260"/>
      <c r="O11" s="256"/>
      <c r="Q11" s="53" t="s">
        <v>230</v>
      </c>
      <c r="R11" s="53"/>
      <c r="S11" s="53"/>
      <c r="T11" s="53"/>
      <c r="U11" s="53"/>
    </row>
    <row r="12" spans="1:21" ht="15" thickBot="1" x14ac:dyDescent="0.4">
      <c r="A12" s="329" t="s">
        <v>231</v>
      </c>
      <c r="B12" s="328">
        <v>2</v>
      </c>
      <c r="D12" s="256"/>
      <c r="E12" s="257"/>
      <c r="F12" s="256"/>
      <c r="G12" s="256"/>
      <c r="H12" s="267">
        <f>MAX(0,H11-$B$9)</f>
        <v>0</v>
      </c>
      <c r="I12" s="256"/>
      <c r="J12" s="256"/>
      <c r="K12" s="256"/>
      <c r="L12" s="256"/>
      <c r="M12" s="256"/>
      <c r="N12" s="256"/>
      <c r="O12" s="256"/>
      <c r="Q12" s="53" t="s">
        <v>380</v>
      </c>
      <c r="R12" s="53"/>
      <c r="S12" s="53"/>
      <c r="T12" s="53"/>
      <c r="U12" s="53"/>
    </row>
    <row r="13" spans="1:21" ht="15" thickBot="1" x14ac:dyDescent="0.4">
      <c r="C13" s="337"/>
      <c r="D13" s="256"/>
      <c r="E13" s="297" t="s">
        <v>234</v>
      </c>
      <c r="F13" s="298">
        <f>+((1+B10)-B8)/(B7-B8)</f>
        <v>0.52222222222222203</v>
      </c>
      <c r="G13" s="256"/>
      <c r="H13" s="295" t="s">
        <v>262</v>
      </c>
      <c r="I13" s="265" t="s">
        <v>272</v>
      </c>
      <c r="J13" s="266">
        <f>+H11*B8</f>
        <v>38.400000000000006</v>
      </c>
      <c r="K13" s="256"/>
      <c r="L13" s="256"/>
      <c r="M13" s="265" t="s">
        <v>273</v>
      </c>
      <c r="N13" s="296">
        <f>MAX(0,J13-B9)</f>
        <v>0</v>
      </c>
      <c r="O13" s="256"/>
      <c r="Q13" s="53" t="s">
        <v>381</v>
      </c>
      <c r="R13" s="53"/>
      <c r="S13" s="53"/>
      <c r="T13" s="53"/>
      <c r="U13" s="53"/>
    </row>
    <row r="14" spans="1:21" x14ac:dyDescent="0.35">
      <c r="A14" s="755" t="s">
        <v>384</v>
      </c>
      <c r="B14" s="755"/>
      <c r="C14" s="337"/>
      <c r="D14" s="256"/>
      <c r="E14" s="297" t="s">
        <v>235</v>
      </c>
      <c r="F14" s="298">
        <f>1-F13</f>
        <v>0.47777777777777797</v>
      </c>
      <c r="G14" s="256"/>
      <c r="H14" s="256"/>
      <c r="I14" s="256"/>
      <c r="J14" s="260"/>
      <c r="K14" s="256"/>
      <c r="L14" s="256"/>
      <c r="M14" s="256"/>
      <c r="N14" s="295" t="s">
        <v>262</v>
      </c>
      <c r="O14" s="256"/>
      <c r="Q14" s="53" t="s">
        <v>275</v>
      </c>
      <c r="R14" s="53"/>
      <c r="S14" s="53"/>
      <c r="T14" s="53"/>
      <c r="U14" s="53"/>
    </row>
    <row r="15" spans="1:21" x14ac:dyDescent="0.35">
      <c r="A15" s="755"/>
      <c r="B15" s="755"/>
      <c r="D15" s="256"/>
      <c r="E15" s="257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Q15" s="53"/>
      <c r="R15" s="53"/>
      <c r="S15" s="53"/>
      <c r="T15" s="53"/>
      <c r="U15" s="53"/>
    </row>
    <row r="16" spans="1:21" ht="15" thickBot="1" x14ac:dyDescent="0.4">
      <c r="A16" s="755"/>
      <c r="B16" s="755"/>
      <c r="Q16" s="53"/>
      <c r="R16" s="53"/>
      <c r="S16" s="53"/>
      <c r="T16" s="53"/>
      <c r="U16" s="53"/>
    </row>
    <row r="17" spans="1:21" ht="15" thickBot="1" x14ac:dyDescent="0.4">
      <c r="A17" s="755"/>
      <c r="B17" s="755"/>
      <c r="E17" s="287" t="s">
        <v>237</v>
      </c>
      <c r="F17" s="288">
        <f>+((L7*F13)+(F14*L11))/(1+B10)</f>
        <v>12.194271644122667</v>
      </c>
      <c r="G17" s="236" t="s">
        <v>238</v>
      </c>
      <c r="Q17" s="53"/>
      <c r="R17" s="53"/>
      <c r="S17" s="53"/>
      <c r="T17" s="53"/>
      <c r="U17" s="53"/>
    </row>
    <row r="18" spans="1:21" ht="15" thickBot="1" x14ac:dyDescent="0.4">
      <c r="A18" s="755"/>
      <c r="B18" s="755"/>
      <c r="E18" s="287" t="s">
        <v>241</v>
      </c>
      <c r="F18" s="299">
        <f>+((F13*H8)+(H12*F14))/(1+B10/B11)</f>
        <v>10.091250670960813</v>
      </c>
      <c r="G18" s="236" t="s">
        <v>242</v>
      </c>
      <c r="Q18" s="53"/>
      <c r="R18" s="53"/>
      <c r="S18" s="53"/>
      <c r="T18" s="53"/>
      <c r="U18" s="53"/>
    </row>
    <row r="19" spans="1:21" x14ac:dyDescent="0.35">
      <c r="E19" s="291"/>
      <c r="F19" s="292"/>
      <c r="Q19" s="53"/>
      <c r="R19" s="53"/>
      <c r="S19" s="53"/>
      <c r="T19" s="53"/>
      <c r="U19" s="53"/>
    </row>
    <row r="20" spans="1:21" ht="21" customHeight="1" x14ac:dyDescent="0.35">
      <c r="A20" s="251" t="s">
        <v>370</v>
      </c>
      <c r="B20" s="251"/>
      <c r="D20" s="251"/>
      <c r="E20" s="252"/>
      <c r="F20" s="251" t="s">
        <v>204</v>
      </c>
      <c r="G20" s="251"/>
      <c r="H20" s="251" t="s">
        <v>205</v>
      </c>
      <c r="I20" s="251"/>
      <c r="J20" s="251" t="s">
        <v>259</v>
      </c>
      <c r="K20" s="251"/>
      <c r="L20" s="251"/>
      <c r="M20" s="251"/>
      <c r="N20" s="251"/>
      <c r="O20" s="251"/>
      <c r="Q20" s="53" t="s">
        <v>203</v>
      </c>
      <c r="R20" s="53"/>
      <c r="S20" s="53"/>
      <c r="T20" s="53"/>
      <c r="U20" s="53"/>
    </row>
    <row r="21" spans="1:21" ht="15" thickBot="1" x14ac:dyDescent="0.4">
      <c r="C21" s="334"/>
      <c r="D21" s="256"/>
      <c r="E21" s="257"/>
      <c r="F21" s="256"/>
      <c r="G21" s="256"/>
      <c r="H21" s="256"/>
      <c r="I21" s="265" t="s">
        <v>260</v>
      </c>
      <c r="J21" s="294">
        <f>+H23*B23</f>
        <v>93.75</v>
      </c>
      <c r="K21" s="256"/>
      <c r="L21" s="256"/>
      <c r="M21" s="265" t="s">
        <v>279</v>
      </c>
      <c r="N21" s="296">
        <f>MAX(0,B25-J21)</f>
        <v>0</v>
      </c>
      <c r="O21" s="256"/>
      <c r="Q21" s="53" t="s">
        <v>206</v>
      </c>
      <c r="R21" s="53"/>
      <c r="S21" s="53"/>
      <c r="T21" s="53"/>
      <c r="U21" s="53"/>
    </row>
    <row r="22" spans="1:21" ht="15" thickBot="1" x14ac:dyDescent="0.4">
      <c r="A22" s="170" t="s">
        <v>207</v>
      </c>
      <c r="B22" s="333">
        <v>60</v>
      </c>
      <c r="C22" s="336"/>
      <c r="D22" s="256"/>
      <c r="E22" s="257"/>
      <c r="F22" s="256"/>
      <c r="G22" s="256"/>
      <c r="H22" s="256"/>
      <c r="I22" s="256"/>
      <c r="J22" s="260"/>
      <c r="K22" s="256"/>
      <c r="L22" s="256"/>
      <c r="M22" s="256"/>
      <c r="N22" s="295" t="s">
        <v>262</v>
      </c>
      <c r="O22" s="256"/>
      <c r="Q22" s="53" t="s">
        <v>263</v>
      </c>
      <c r="R22" s="53"/>
      <c r="S22" s="53"/>
      <c r="T22" s="53"/>
      <c r="U22" s="53"/>
    </row>
    <row r="23" spans="1:21" ht="15" thickBot="1" x14ac:dyDescent="0.4">
      <c r="A23" s="170" t="s">
        <v>210</v>
      </c>
      <c r="B23" s="335">
        <v>1.25</v>
      </c>
      <c r="C23" s="336"/>
      <c r="D23" s="256"/>
      <c r="E23" s="257"/>
      <c r="F23" s="256"/>
      <c r="G23" s="265" t="s">
        <v>211</v>
      </c>
      <c r="H23" s="266">
        <f>+F25*B23</f>
        <v>75</v>
      </c>
      <c r="I23" s="260"/>
      <c r="J23" s="260"/>
      <c r="K23" s="260" t="s">
        <v>245</v>
      </c>
      <c r="L23" s="273">
        <f>+((N21*F29)+(F30*N25))/(1+B26/B27)</f>
        <v>0</v>
      </c>
      <c r="M23" s="256"/>
      <c r="N23" s="260"/>
      <c r="O23" s="256"/>
      <c r="Q23" s="53" t="s">
        <v>265</v>
      </c>
      <c r="R23" s="53"/>
      <c r="S23" s="53"/>
      <c r="T23" s="53"/>
      <c r="U23" s="53"/>
    </row>
    <row r="24" spans="1:21" ht="15" thickBot="1" x14ac:dyDescent="0.4">
      <c r="A24" s="170" t="s">
        <v>215</v>
      </c>
      <c r="B24" s="335">
        <v>0.8</v>
      </c>
      <c r="C24" s="334"/>
      <c r="D24" s="256"/>
      <c r="E24" s="257"/>
      <c r="F24" s="256"/>
      <c r="G24" s="256"/>
      <c r="H24" s="296">
        <f>MAX(0,$B$25-H23)</f>
        <v>0</v>
      </c>
      <c r="I24" s="256"/>
      <c r="J24" s="256"/>
      <c r="K24" s="256"/>
      <c r="L24" s="256"/>
      <c r="M24" s="256"/>
      <c r="N24" s="256"/>
      <c r="O24" s="256"/>
      <c r="Q24" s="53" t="s">
        <v>280</v>
      </c>
      <c r="R24" s="53"/>
      <c r="S24" s="53"/>
      <c r="T24" s="53"/>
      <c r="U24" s="53"/>
    </row>
    <row r="25" spans="1:21" ht="15" thickBot="1" x14ac:dyDescent="0.4">
      <c r="A25" s="170" t="s">
        <v>219</v>
      </c>
      <c r="B25" s="333">
        <v>55</v>
      </c>
      <c r="C25" s="327"/>
      <c r="D25" s="256"/>
      <c r="E25" s="271" t="s">
        <v>220</v>
      </c>
      <c r="F25" s="272">
        <f>+B22</f>
        <v>60</v>
      </c>
      <c r="G25" s="256"/>
      <c r="H25" s="295" t="s">
        <v>262</v>
      </c>
      <c r="I25" s="265"/>
      <c r="J25" s="266">
        <f>+H27*B23</f>
        <v>60</v>
      </c>
      <c r="K25" s="265"/>
      <c r="L25" s="265"/>
      <c r="M25" s="265" t="s">
        <v>281</v>
      </c>
      <c r="N25" s="296">
        <f>MAX(0,B25-J25)</f>
        <v>0</v>
      </c>
      <c r="O25" s="256"/>
      <c r="Q25" s="53" t="s">
        <v>282</v>
      </c>
      <c r="R25" s="53"/>
      <c r="S25" s="53"/>
      <c r="T25" s="53"/>
      <c r="U25" s="53"/>
    </row>
    <row r="26" spans="1:21" ht="15" thickBot="1" x14ac:dyDescent="0.4">
      <c r="A26" s="170" t="s">
        <v>222</v>
      </c>
      <c r="B26" s="326">
        <v>3.5000000000000003E-2</v>
      </c>
      <c r="C26" s="53"/>
      <c r="D26" s="256"/>
      <c r="E26" s="257"/>
      <c r="F26" s="256"/>
      <c r="G26" s="256"/>
      <c r="H26" s="256"/>
      <c r="I26" s="256"/>
      <c r="J26" s="256"/>
      <c r="K26" s="256"/>
      <c r="L26" s="256"/>
      <c r="M26" s="256"/>
      <c r="N26" s="295" t="s">
        <v>262</v>
      </c>
      <c r="O26" s="256"/>
      <c r="Q26" s="53" t="s">
        <v>283</v>
      </c>
      <c r="R26" s="53"/>
      <c r="S26" s="53"/>
      <c r="T26" s="53"/>
      <c r="U26" s="53"/>
    </row>
    <row r="27" spans="1:21" ht="15" thickBot="1" x14ac:dyDescent="0.4">
      <c r="A27" s="170" t="s">
        <v>385</v>
      </c>
      <c r="B27" s="328">
        <v>1</v>
      </c>
      <c r="C27" s="337"/>
      <c r="D27" s="256"/>
      <c r="E27" s="257"/>
      <c r="F27" s="256"/>
      <c r="G27" s="265" t="s">
        <v>226</v>
      </c>
      <c r="H27" s="266">
        <f>+F25*B24</f>
        <v>48</v>
      </c>
      <c r="I27" s="260"/>
      <c r="J27" s="260"/>
      <c r="K27" s="260" t="s">
        <v>250</v>
      </c>
      <c r="L27" s="273">
        <f>+((N25*F29)+(F30*N29))/(1+B26/B27)</f>
        <v>7.6629092860976931</v>
      </c>
      <c r="M27" s="256"/>
      <c r="N27" s="260"/>
      <c r="O27" s="256"/>
      <c r="Q27" s="53" t="s">
        <v>230</v>
      </c>
      <c r="R27" s="53"/>
      <c r="S27" s="53"/>
      <c r="T27" s="53"/>
      <c r="U27" s="53"/>
    </row>
    <row r="28" spans="1:21" ht="15" thickBot="1" x14ac:dyDescent="0.4">
      <c r="A28" s="329" t="s">
        <v>231</v>
      </c>
      <c r="B28" s="328">
        <v>2</v>
      </c>
      <c r="D28" s="256"/>
      <c r="E28" s="257"/>
      <c r="F28" s="256"/>
      <c r="G28" s="256"/>
      <c r="H28" s="296">
        <f>MAX(0,$B$25-H27)</f>
        <v>7</v>
      </c>
      <c r="I28" s="256"/>
      <c r="J28" s="256"/>
      <c r="K28" s="256"/>
      <c r="L28" s="256"/>
      <c r="M28" s="256"/>
      <c r="N28" s="256"/>
      <c r="O28" s="256"/>
      <c r="Q28" s="53" t="s">
        <v>382</v>
      </c>
      <c r="R28" s="53"/>
      <c r="S28" s="53"/>
      <c r="T28" s="53"/>
      <c r="U28" s="53"/>
    </row>
    <row r="29" spans="1:21" ht="15" thickBot="1" x14ac:dyDescent="0.4">
      <c r="C29" s="337"/>
      <c r="D29" s="256"/>
      <c r="E29" s="282" t="s">
        <v>234</v>
      </c>
      <c r="F29" s="283">
        <f>+((1+B26)-B24)/(B23-B24)</f>
        <v>0.52222222222222203</v>
      </c>
      <c r="G29" s="256"/>
      <c r="H29" s="295" t="s">
        <v>262</v>
      </c>
      <c r="I29" s="265" t="s">
        <v>272</v>
      </c>
      <c r="J29" s="266">
        <f>+H27*B24</f>
        <v>38.400000000000006</v>
      </c>
      <c r="K29" s="256"/>
      <c r="L29" s="256"/>
      <c r="M29" s="265" t="s">
        <v>285</v>
      </c>
      <c r="N29" s="296">
        <f>MAX(0,B25-J29)</f>
        <v>16.599999999999994</v>
      </c>
      <c r="O29" s="256"/>
      <c r="Q29" s="53" t="s">
        <v>383</v>
      </c>
      <c r="R29" s="53"/>
      <c r="S29" s="53"/>
      <c r="T29" s="53"/>
      <c r="U29" s="53"/>
    </row>
    <row r="30" spans="1:21" x14ac:dyDescent="0.35">
      <c r="A30" s="755" t="s">
        <v>384</v>
      </c>
      <c r="B30" s="755"/>
      <c r="C30" s="337"/>
      <c r="D30" s="256"/>
      <c r="E30" s="282" t="s">
        <v>235</v>
      </c>
      <c r="F30" s="283">
        <f>1-F29</f>
        <v>0.47777777777777797</v>
      </c>
      <c r="G30" s="256"/>
      <c r="H30" s="256"/>
      <c r="I30" s="256"/>
      <c r="J30" s="260"/>
      <c r="K30" s="256"/>
      <c r="L30" s="256"/>
      <c r="M30" s="256"/>
      <c r="N30" s="295" t="s">
        <v>262</v>
      </c>
      <c r="O30" s="256"/>
      <c r="Q30" s="53" t="s">
        <v>287</v>
      </c>
      <c r="R30" s="53"/>
      <c r="S30" s="53"/>
      <c r="T30" s="53"/>
      <c r="U30" s="53"/>
    </row>
    <row r="31" spans="1:21" x14ac:dyDescent="0.35">
      <c r="A31" s="755"/>
      <c r="B31" s="755"/>
      <c r="D31" s="256"/>
      <c r="E31" s="257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Q31" s="53"/>
      <c r="R31" s="53"/>
      <c r="S31" s="53"/>
      <c r="T31" s="53"/>
      <c r="U31" s="53"/>
    </row>
    <row r="32" spans="1:21" ht="15" thickBot="1" x14ac:dyDescent="0.4">
      <c r="A32" s="755"/>
      <c r="B32" s="755"/>
      <c r="Q32" s="53"/>
      <c r="R32" s="53"/>
      <c r="S32" s="53"/>
      <c r="T32" s="53"/>
      <c r="U32" s="53"/>
    </row>
    <row r="33" spans="1:21" ht="15" thickBot="1" x14ac:dyDescent="0.4">
      <c r="A33" s="755"/>
      <c r="B33" s="755"/>
      <c r="E33" s="301" t="s">
        <v>254</v>
      </c>
      <c r="F33" s="302">
        <f>+((L23*F29)+(F30*L27))/(1+B26)</f>
        <v>3.5373601642748356</v>
      </c>
      <c r="G33" s="236" t="s">
        <v>238</v>
      </c>
      <c r="Q33" s="53"/>
      <c r="R33" s="53"/>
      <c r="S33" s="53"/>
      <c r="T33" s="53"/>
      <c r="U33" s="53"/>
    </row>
    <row r="34" spans="1:21" ht="15" thickBot="1" x14ac:dyDescent="0.4">
      <c r="A34" s="755"/>
      <c r="B34" s="755"/>
      <c r="E34" s="301" t="s">
        <v>256</v>
      </c>
      <c r="F34" s="299">
        <f>+((F29*H24)+(H28*F30))/(1+B26/B27)</f>
        <v>3.2313472893183053</v>
      </c>
      <c r="G34" s="236" t="s">
        <v>242</v>
      </c>
      <c r="Q34" s="53"/>
      <c r="R34" s="53"/>
      <c r="S34" s="53"/>
      <c r="T34" s="53"/>
      <c r="U34" s="53"/>
    </row>
    <row r="36" spans="1:21" x14ac:dyDescent="0.35">
      <c r="S36" t="s">
        <v>602</v>
      </c>
    </row>
  </sheetData>
  <mergeCells count="2">
    <mergeCell ref="A14:B18"/>
    <mergeCell ref="A30:B34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B7E6-DE71-4DEF-9A05-090D62B33F57}">
  <dimension ref="A1:T39"/>
  <sheetViews>
    <sheetView showGridLines="0" topLeftCell="A16" zoomScaleNormal="100" workbookViewId="0">
      <selection activeCell="T33" sqref="T33"/>
    </sheetView>
  </sheetViews>
  <sheetFormatPr defaultRowHeight="14.5" x14ac:dyDescent="0.35"/>
  <cols>
    <col min="1" max="1" width="14.26953125" style="1" customWidth="1"/>
    <col min="2" max="2" width="8.90625" customWidth="1"/>
    <col min="3" max="3" width="12.08984375" customWidth="1"/>
    <col min="4" max="4" width="1.54296875" customWidth="1"/>
    <col min="5" max="5" width="2.453125" customWidth="1"/>
    <col min="6" max="6" width="4.36328125" customWidth="1"/>
    <col min="7" max="7" width="8.26953125" style="236" customWidth="1"/>
    <col min="8" max="9" width="8.90625" style="236"/>
    <col min="10" max="10" width="5.453125" style="236" customWidth="1"/>
    <col min="11" max="11" width="8.90625" style="236"/>
    <col min="12" max="12" width="7.54296875" style="236" customWidth="1"/>
    <col min="13" max="13" width="8.90625" style="236"/>
    <col min="14" max="14" width="7.36328125" style="236" customWidth="1"/>
    <col min="15" max="15" width="7.08984375" style="236" customWidth="1"/>
    <col min="16" max="16" width="7.08984375" customWidth="1"/>
    <col min="17" max="17" width="7.26953125" customWidth="1"/>
    <col min="18" max="18" width="1.81640625" customWidth="1"/>
    <col min="19" max="19" width="10" customWidth="1"/>
    <col min="20" max="20" width="9.453125" customWidth="1"/>
  </cols>
  <sheetData>
    <row r="1" spans="1:20" ht="26" x14ac:dyDescent="0.6">
      <c r="A1" s="235" t="s">
        <v>378</v>
      </c>
      <c r="O1"/>
    </row>
    <row r="2" spans="1:20" ht="24" customHeight="1" x14ac:dyDescent="0.45">
      <c r="A2" s="344"/>
      <c r="O2"/>
    </row>
    <row r="3" spans="1:20" ht="21" x14ac:dyDescent="0.5">
      <c r="A3" s="237" t="s">
        <v>18</v>
      </c>
      <c r="B3" s="238"/>
      <c r="C3" s="238"/>
      <c r="D3" s="340"/>
      <c r="E3" s="239" t="s">
        <v>17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S3" s="239" t="s">
        <v>199</v>
      </c>
      <c r="T3" s="239"/>
    </row>
    <row r="4" spans="1:20" ht="8" customHeight="1" x14ac:dyDescent="0.5">
      <c r="A4" s="339"/>
      <c r="B4" s="338"/>
      <c r="C4" s="338"/>
      <c r="D4" s="340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</row>
    <row r="5" spans="1:20" ht="18.5" x14ac:dyDescent="0.45">
      <c r="A5" s="347" t="s">
        <v>372</v>
      </c>
      <c r="E5" s="251"/>
      <c r="F5" s="303"/>
      <c r="G5" s="251" t="s">
        <v>204</v>
      </c>
      <c r="H5" s="251"/>
      <c r="I5" s="251" t="s">
        <v>205</v>
      </c>
      <c r="J5" s="251"/>
      <c r="K5" s="251" t="s">
        <v>289</v>
      </c>
      <c r="L5" s="251"/>
      <c r="M5" s="251" t="s">
        <v>259</v>
      </c>
      <c r="N5" s="251"/>
      <c r="O5" s="251"/>
      <c r="P5" s="251"/>
      <c r="Q5" s="251"/>
      <c r="S5" s="53"/>
      <c r="T5" s="53"/>
    </row>
    <row r="6" spans="1:20" ht="15" thickBot="1" x14ac:dyDescent="0.4">
      <c r="D6" s="334"/>
      <c r="E6" s="256"/>
      <c r="F6" s="257"/>
      <c r="G6" s="256"/>
      <c r="H6" s="256"/>
      <c r="I6" s="256"/>
      <c r="J6" s="256"/>
      <c r="K6" s="256"/>
      <c r="L6" s="265" t="s">
        <v>260</v>
      </c>
      <c r="M6" s="294">
        <f>+K8*B9</f>
        <v>116.16000000000003</v>
      </c>
      <c r="N6" s="256"/>
      <c r="O6" s="256"/>
      <c r="P6" s="265" t="s">
        <v>261</v>
      </c>
      <c r="Q6" s="267">
        <f>MAX(0,M6-B11)</f>
        <v>11.160000000000025</v>
      </c>
      <c r="R6" s="334"/>
      <c r="S6" s="53" t="s">
        <v>290</v>
      </c>
      <c r="T6" s="53"/>
    </row>
    <row r="7" spans="1:20" ht="15" thickBot="1" x14ac:dyDescent="0.4">
      <c r="D7" s="336"/>
      <c r="E7" s="256"/>
      <c r="F7" s="257"/>
      <c r="G7" s="256"/>
      <c r="H7" s="256"/>
      <c r="I7" s="256"/>
      <c r="J7" s="256"/>
      <c r="K7" s="256" t="s">
        <v>291</v>
      </c>
      <c r="L7" s="256"/>
      <c r="M7" s="256"/>
      <c r="N7" s="256"/>
      <c r="O7" s="256"/>
      <c r="P7" s="256"/>
      <c r="Q7" s="256"/>
      <c r="R7" s="336"/>
      <c r="S7" s="53" t="s">
        <v>292</v>
      </c>
      <c r="T7" s="53"/>
    </row>
    <row r="8" spans="1:20" ht="15" thickBot="1" x14ac:dyDescent="0.4">
      <c r="A8" s="170" t="s">
        <v>207</v>
      </c>
      <c r="B8" s="333">
        <v>100</v>
      </c>
      <c r="C8" s="334"/>
      <c r="D8" s="336"/>
      <c r="E8" s="256"/>
      <c r="F8" s="257"/>
      <c r="G8" s="256"/>
      <c r="H8" s="265" t="s">
        <v>211</v>
      </c>
      <c r="I8" s="266">
        <f>+G10*B9</f>
        <v>110.00000000000001</v>
      </c>
      <c r="J8" s="256"/>
      <c r="K8" s="266">
        <f>+I8*(1-B13)</f>
        <v>105.60000000000001</v>
      </c>
      <c r="L8" s="260"/>
      <c r="M8" s="259" t="s">
        <v>387</v>
      </c>
      <c r="N8" s="260"/>
      <c r="O8" s="273">
        <f>+((Q6*G15)+(G16*Q10))/(1+B12/B15)</f>
        <v>7.9791304347826211</v>
      </c>
      <c r="P8" s="256"/>
      <c r="Q8" s="260"/>
      <c r="R8" s="336"/>
      <c r="S8" s="53"/>
      <c r="T8" s="53"/>
    </row>
    <row r="9" spans="1:20" ht="15" thickBot="1" x14ac:dyDescent="0.4">
      <c r="A9" s="170" t="s">
        <v>210</v>
      </c>
      <c r="B9" s="335">
        <v>1.1000000000000001</v>
      </c>
      <c r="C9" s="336"/>
      <c r="D9" s="334"/>
      <c r="E9" s="256"/>
      <c r="F9" s="257"/>
      <c r="G9" s="256"/>
      <c r="H9" s="256"/>
      <c r="I9" s="296">
        <f>MAX(0,I8-B11)</f>
        <v>5.0000000000000142</v>
      </c>
      <c r="J9" s="256"/>
      <c r="K9" s="256"/>
      <c r="L9" s="256"/>
      <c r="M9" s="256"/>
      <c r="N9" s="256"/>
      <c r="O9" s="256"/>
      <c r="P9" s="256"/>
      <c r="Q9" s="256"/>
      <c r="R9" s="334"/>
      <c r="S9" s="53"/>
      <c r="T9" s="53"/>
    </row>
    <row r="10" spans="1:20" ht="15" thickBot="1" x14ac:dyDescent="0.4">
      <c r="A10" s="170" t="s">
        <v>215</v>
      </c>
      <c r="B10" s="335">
        <v>0.85</v>
      </c>
      <c r="C10" s="336"/>
      <c r="D10" s="327"/>
      <c r="E10" s="256"/>
      <c r="F10" s="271" t="s">
        <v>220</v>
      </c>
      <c r="G10" s="272">
        <f>+B8</f>
        <v>100</v>
      </c>
      <c r="H10" s="256"/>
      <c r="I10" s="295" t="s">
        <v>262</v>
      </c>
      <c r="J10" s="256"/>
      <c r="K10" s="256"/>
      <c r="L10" s="265"/>
      <c r="M10" s="266">
        <f>+K8*B10</f>
        <v>89.76</v>
      </c>
      <c r="N10" s="265"/>
      <c r="O10" s="265"/>
      <c r="P10" s="265" t="s">
        <v>267</v>
      </c>
      <c r="Q10" s="267">
        <f>MAX(0,M10-B11)</f>
        <v>0</v>
      </c>
      <c r="R10" s="327"/>
      <c r="S10" s="53"/>
      <c r="T10" s="53"/>
    </row>
    <row r="11" spans="1:20" ht="15" thickBot="1" x14ac:dyDescent="0.4">
      <c r="A11" s="170" t="s">
        <v>219</v>
      </c>
      <c r="B11" s="333">
        <v>105</v>
      </c>
      <c r="C11" s="334"/>
      <c r="D11" s="327"/>
      <c r="E11" s="256"/>
      <c r="F11" s="257"/>
      <c r="G11" s="256"/>
      <c r="H11" s="256"/>
      <c r="I11" s="256"/>
      <c r="J11" s="256"/>
      <c r="K11" s="256"/>
      <c r="L11" s="256"/>
      <c r="M11" s="266">
        <f>+K12*B9</f>
        <v>89.76</v>
      </c>
      <c r="N11" s="256"/>
      <c r="O11" s="256"/>
      <c r="P11" s="256"/>
      <c r="Q11" s="256"/>
      <c r="R11" s="327"/>
    </row>
    <row r="12" spans="1:20" ht="15" thickBot="1" x14ac:dyDescent="0.4">
      <c r="A12" s="170" t="s">
        <v>222</v>
      </c>
      <c r="B12" s="326">
        <v>3.5000000000000003E-2</v>
      </c>
      <c r="C12" s="327"/>
      <c r="D12" s="342"/>
      <c r="E12" s="256"/>
      <c r="F12" s="257"/>
      <c r="G12" s="256"/>
      <c r="H12" s="265" t="s">
        <v>226</v>
      </c>
      <c r="I12" s="266">
        <f>+G10*B10</f>
        <v>85</v>
      </c>
      <c r="J12" s="256"/>
      <c r="K12" s="266">
        <f>+I12*(1-B13)</f>
        <v>81.599999999999994</v>
      </c>
      <c r="L12" s="260"/>
      <c r="M12" s="259" t="s">
        <v>386</v>
      </c>
      <c r="N12" s="260"/>
      <c r="O12" s="273">
        <f>+((Q10*G15)+(G16*Q14))/(1+B12/B15)</f>
        <v>0</v>
      </c>
      <c r="P12" s="256"/>
      <c r="Q12" s="260"/>
      <c r="R12" s="342"/>
    </row>
    <row r="13" spans="1:20" ht="15" thickBot="1" x14ac:dyDescent="0.4">
      <c r="A13" s="170" t="s">
        <v>293</v>
      </c>
      <c r="B13" s="326">
        <v>0.04</v>
      </c>
      <c r="C13" s="327" t="s">
        <v>379</v>
      </c>
      <c r="D13" s="53"/>
      <c r="E13" s="256"/>
      <c r="F13" s="257"/>
      <c r="G13" s="256"/>
      <c r="H13" s="256"/>
      <c r="I13" s="296">
        <f>MAX(0,I12-B11)</f>
        <v>0</v>
      </c>
      <c r="J13" s="256"/>
      <c r="K13" s="256"/>
      <c r="L13" s="256"/>
      <c r="M13" s="256"/>
      <c r="N13" s="256"/>
      <c r="O13" s="256"/>
      <c r="P13" s="256"/>
      <c r="Q13" s="256"/>
      <c r="R13" s="53"/>
    </row>
    <row r="14" spans="1:20" ht="15" thickBot="1" x14ac:dyDescent="0.4">
      <c r="B14" s="346"/>
      <c r="C14" s="342"/>
      <c r="D14" s="337"/>
      <c r="E14" s="256"/>
      <c r="F14" s="257"/>
      <c r="G14" s="256"/>
      <c r="H14" s="256"/>
      <c r="I14" s="295" t="s">
        <v>262</v>
      </c>
      <c r="J14" s="256"/>
      <c r="K14" s="256"/>
      <c r="L14" s="265" t="s">
        <v>272</v>
      </c>
      <c r="M14" s="266">
        <f>+K12*B10</f>
        <v>69.36</v>
      </c>
      <c r="N14" s="256"/>
      <c r="O14" s="256"/>
      <c r="P14" s="265" t="s">
        <v>273</v>
      </c>
      <c r="Q14" s="296">
        <f>MAX(0,M14-B11)</f>
        <v>0</v>
      </c>
      <c r="R14" s="337"/>
    </row>
    <row r="15" spans="1:20" x14ac:dyDescent="0.35">
      <c r="A15" s="170" t="s">
        <v>374</v>
      </c>
      <c r="B15" s="328">
        <v>1</v>
      </c>
      <c r="C15" s="53"/>
      <c r="E15" s="256"/>
      <c r="F15" s="282" t="s">
        <v>234</v>
      </c>
      <c r="G15" s="283">
        <f>+((1+B12)-B10)/(B9-B10)</f>
        <v>0.73999999999999944</v>
      </c>
      <c r="H15" s="256"/>
      <c r="I15" s="256"/>
      <c r="J15" s="256"/>
      <c r="K15" s="256"/>
      <c r="L15" s="256"/>
      <c r="M15" s="256"/>
      <c r="N15" s="256"/>
      <c r="O15" s="256"/>
      <c r="P15" s="256"/>
      <c r="Q15" s="256"/>
    </row>
    <row r="16" spans="1:20" x14ac:dyDescent="0.35">
      <c r="A16" s="329" t="s">
        <v>231</v>
      </c>
      <c r="B16" s="328">
        <v>2</v>
      </c>
      <c r="C16" s="337"/>
      <c r="D16" s="343"/>
      <c r="E16" s="256"/>
      <c r="F16" s="282" t="s">
        <v>235</v>
      </c>
      <c r="G16" s="283">
        <f>1-G15</f>
        <v>0.26000000000000056</v>
      </c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343"/>
    </row>
    <row r="17" spans="1:20" x14ac:dyDescent="0.35">
      <c r="C17" s="343"/>
      <c r="D17" s="343"/>
      <c r="E17" s="256"/>
      <c r="F17" s="257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343"/>
    </row>
    <row r="18" spans="1:20" ht="15" thickBot="1" x14ac:dyDescent="0.4"/>
    <row r="19" spans="1:20" ht="15" thickBot="1" x14ac:dyDescent="0.4">
      <c r="F19" s="301" t="s">
        <v>237</v>
      </c>
      <c r="G19" s="299">
        <f>+((O8*G15)+(G16*O12))/(1+B12/B15)</f>
        <v>5.7048855282503723</v>
      </c>
      <c r="H19" s="236" t="s">
        <v>238</v>
      </c>
    </row>
    <row r="20" spans="1:20" ht="15" thickBot="1" x14ac:dyDescent="0.4">
      <c r="F20" s="301" t="s">
        <v>241</v>
      </c>
      <c r="G20" s="299">
        <f>+((G15*I9)+(I13*G16))/(1+B12)</f>
        <v>3.574879227053148</v>
      </c>
      <c r="H20" s="236" t="s">
        <v>242</v>
      </c>
    </row>
    <row r="21" spans="1:20" ht="9.75" customHeight="1" x14ac:dyDescent="0.45">
      <c r="A21" s="344"/>
      <c r="O21"/>
    </row>
    <row r="22" spans="1:20" ht="18.5" x14ac:dyDescent="0.45">
      <c r="A22" s="347" t="s">
        <v>373</v>
      </c>
    </row>
    <row r="23" spans="1:20" ht="15.5" x14ac:dyDescent="0.35">
      <c r="A23" s="345"/>
      <c r="E23" s="251"/>
      <c r="F23" s="303"/>
      <c r="G23" s="251" t="s">
        <v>204</v>
      </c>
      <c r="H23" s="251"/>
      <c r="I23" s="251" t="s">
        <v>205</v>
      </c>
      <c r="J23" s="251"/>
      <c r="K23" s="251" t="s">
        <v>289</v>
      </c>
      <c r="L23" s="251"/>
      <c r="M23" s="251" t="s">
        <v>259</v>
      </c>
      <c r="N23" s="251"/>
      <c r="O23" s="251"/>
      <c r="P23" s="251"/>
      <c r="Q23" s="251"/>
      <c r="S23" s="53"/>
      <c r="T23" s="53"/>
    </row>
    <row r="24" spans="1:20" ht="15" thickBot="1" x14ac:dyDescent="0.4">
      <c r="D24" s="334"/>
      <c r="E24" s="256"/>
      <c r="F24" s="257"/>
      <c r="G24" s="256"/>
      <c r="H24" s="256"/>
      <c r="I24" s="256"/>
      <c r="J24" s="256"/>
      <c r="K24" s="256"/>
      <c r="L24" s="265" t="s">
        <v>260</v>
      </c>
      <c r="M24" s="294">
        <f>+K26*B27</f>
        <v>118.80000000000003</v>
      </c>
      <c r="N24" s="256"/>
      <c r="O24" s="256"/>
      <c r="P24" s="265" t="s">
        <v>261</v>
      </c>
      <c r="Q24" s="267">
        <f>MAX(0,M24-B29)</f>
        <v>28.800000000000026</v>
      </c>
      <c r="R24" s="334"/>
      <c r="S24" s="53" t="s">
        <v>375</v>
      </c>
      <c r="T24" s="53"/>
    </row>
    <row r="25" spans="1:20" ht="15" thickBot="1" x14ac:dyDescent="0.4">
      <c r="D25" s="336"/>
      <c r="E25" s="256"/>
      <c r="F25" s="257"/>
      <c r="G25" s="256"/>
      <c r="H25" s="256"/>
      <c r="I25" s="256"/>
      <c r="J25" s="256"/>
      <c r="K25" s="256" t="s">
        <v>291</v>
      </c>
      <c r="L25" s="256"/>
      <c r="M25" s="256"/>
      <c r="N25" s="256"/>
      <c r="O25" s="256"/>
      <c r="P25" s="256"/>
      <c r="Q25" s="256"/>
      <c r="R25" s="336"/>
      <c r="S25" s="53" t="s">
        <v>376</v>
      </c>
      <c r="T25" s="53"/>
    </row>
    <row r="26" spans="1:20" ht="15" thickBot="1" x14ac:dyDescent="0.4">
      <c r="A26" s="170" t="s">
        <v>207</v>
      </c>
      <c r="B26" s="333">
        <f>+B8</f>
        <v>100</v>
      </c>
      <c r="C26" s="334"/>
      <c r="D26" s="336"/>
      <c r="E26" s="256"/>
      <c r="F26" s="257"/>
      <c r="G26" s="256"/>
      <c r="H26" s="265" t="s">
        <v>211</v>
      </c>
      <c r="I26" s="266">
        <f>+G28*B27</f>
        <v>110.00000000000001</v>
      </c>
      <c r="J26" s="256"/>
      <c r="K26" s="266">
        <f>+I26-$B$31</f>
        <v>108.00000000000001</v>
      </c>
      <c r="L26" s="260"/>
      <c r="M26" s="259" t="s">
        <v>245</v>
      </c>
      <c r="N26" s="260"/>
      <c r="O26" s="273">
        <f>+((Q24*G33)+(G34*Q28))/(1+B30/B33)</f>
        <v>21.04347826086957</v>
      </c>
      <c r="P26" s="256"/>
      <c r="Q26" s="260"/>
      <c r="R26" s="336"/>
      <c r="S26" s="53"/>
      <c r="T26" s="53"/>
    </row>
    <row r="27" spans="1:20" ht="15" thickBot="1" x14ac:dyDescent="0.4">
      <c r="A27" s="170" t="s">
        <v>210</v>
      </c>
      <c r="B27" s="335">
        <f t="shared" ref="B27:B30" si="0">+B9</f>
        <v>1.1000000000000001</v>
      </c>
      <c r="C27" s="336"/>
      <c r="D27" s="334"/>
      <c r="E27" s="256"/>
      <c r="F27" s="257"/>
      <c r="G27" s="256"/>
      <c r="H27" s="256"/>
      <c r="I27" s="296">
        <f>MAX(0,I26-B29)</f>
        <v>20.000000000000014</v>
      </c>
      <c r="J27" s="256"/>
      <c r="K27" s="256"/>
      <c r="L27" s="256"/>
      <c r="M27" s="256"/>
      <c r="N27" s="256"/>
      <c r="O27" s="256"/>
      <c r="P27" s="256"/>
      <c r="Q27" s="256"/>
      <c r="R27" s="334"/>
      <c r="S27" s="53"/>
      <c r="T27" s="53"/>
    </row>
    <row r="28" spans="1:20" ht="15" thickBot="1" x14ac:dyDescent="0.4">
      <c r="A28" s="170" t="s">
        <v>215</v>
      </c>
      <c r="B28" s="335">
        <f t="shared" si="0"/>
        <v>0.85</v>
      </c>
      <c r="C28" s="336"/>
      <c r="D28" s="327"/>
      <c r="E28" s="256"/>
      <c r="F28" s="271" t="s">
        <v>220</v>
      </c>
      <c r="G28" s="272">
        <f>+B26</f>
        <v>100</v>
      </c>
      <c r="H28" s="256"/>
      <c r="I28" s="295" t="s">
        <v>262</v>
      </c>
      <c r="J28" s="256"/>
      <c r="K28" s="256"/>
      <c r="L28" s="265"/>
      <c r="M28" s="266">
        <f>+K26*B28</f>
        <v>91.800000000000011</v>
      </c>
      <c r="N28" s="265"/>
      <c r="O28" s="265"/>
      <c r="P28" s="265" t="s">
        <v>267</v>
      </c>
      <c r="Q28" s="267">
        <f>MAX(0,M28-B29)</f>
        <v>1.8000000000000114</v>
      </c>
      <c r="R28" s="327"/>
      <c r="S28" s="53"/>
      <c r="T28" s="53"/>
    </row>
    <row r="29" spans="1:20" ht="15" thickBot="1" x14ac:dyDescent="0.4">
      <c r="A29" s="170" t="s">
        <v>219</v>
      </c>
      <c r="B29" s="333">
        <v>90</v>
      </c>
      <c r="C29" s="334"/>
      <c r="D29" s="327"/>
      <c r="E29" s="256"/>
      <c r="F29" s="257"/>
      <c r="G29" s="256"/>
      <c r="H29" s="256"/>
      <c r="I29" s="256"/>
      <c r="J29" s="256"/>
      <c r="K29" s="256"/>
      <c r="L29" s="256"/>
      <c r="M29" s="266">
        <f>+K30*B27</f>
        <v>91.300000000000011</v>
      </c>
      <c r="N29" s="256"/>
      <c r="O29" s="256"/>
      <c r="P29" s="265" t="s">
        <v>267</v>
      </c>
      <c r="Q29" s="267">
        <f>MAX(0,M29-B29)</f>
        <v>1.3000000000000114</v>
      </c>
      <c r="R29" s="327"/>
    </row>
    <row r="30" spans="1:20" ht="15" thickBot="1" x14ac:dyDescent="0.4">
      <c r="A30" s="170" t="s">
        <v>222</v>
      </c>
      <c r="B30" s="326">
        <f t="shared" si="0"/>
        <v>3.5000000000000003E-2</v>
      </c>
      <c r="C30" s="327"/>
      <c r="D30" s="342"/>
      <c r="E30" s="256"/>
      <c r="F30" s="257"/>
      <c r="G30" s="256"/>
      <c r="H30" s="265" t="s">
        <v>226</v>
      </c>
      <c r="I30" s="266">
        <f>+G28*B28</f>
        <v>85</v>
      </c>
      <c r="J30" s="256"/>
      <c r="K30" s="266">
        <f>+I30-B31</f>
        <v>83</v>
      </c>
      <c r="L30" s="260"/>
      <c r="M30" s="259" t="s">
        <v>250</v>
      </c>
      <c r="N30" s="260"/>
      <c r="O30" s="273">
        <f>+((Q29*G33)+(G34*Q32))/(1+B30/B33)</f>
        <v>0.92946859903382384</v>
      </c>
      <c r="P30" s="256"/>
      <c r="Q30" s="260"/>
      <c r="R30" s="342"/>
    </row>
    <row r="31" spans="1:20" ht="15" thickBot="1" x14ac:dyDescent="0.4">
      <c r="A31" s="170" t="s">
        <v>377</v>
      </c>
      <c r="B31" s="325">
        <v>2</v>
      </c>
      <c r="C31" s="327" t="s">
        <v>379</v>
      </c>
      <c r="D31" s="53"/>
      <c r="E31" s="256"/>
      <c r="F31" s="257"/>
      <c r="G31" s="256"/>
      <c r="H31" s="256"/>
      <c r="I31" s="296">
        <f>MAX(0,I30-B29)</f>
        <v>0</v>
      </c>
      <c r="J31" s="256"/>
      <c r="K31" s="256"/>
      <c r="L31" s="256"/>
      <c r="M31" s="256"/>
      <c r="N31" s="256"/>
      <c r="O31" s="256"/>
      <c r="P31" s="256"/>
      <c r="Q31" s="256"/>
      <c r="R31" s="53"/>
    </row>
    <row r="32" spans="1:20" ht="15" thickBot="1" x14ac:dyDescent="0.4">
      <c r="B32" s="346"/>
      <c r="C32" s="342"/>
      <c r="D32" s="337"/>
      <c r="E32" s="256"/>
      <c r="F32" s="257"/>
      <c r="G32" s="256"/>
      <c r="H32" s="256"/>
      <c r="I32" s="295" t="s">
        <v>262</v>
      </c>
      <c r="J32" s="256"/>
      <c r="K32" s="256"/>
      <c r="L32" s="265" t="s">
        <v>272</v>
      </c>
      <c r="M32" s="266">
        <f>+K30*B28</f>
        <v>70.55</v>
      </c>
      <c r="N32" s="256"/>
      <c r="O32" s="256"/>
      <c r="P32" s="265" t="s">
        <v>273</v>
      </c>
      <c r="Q32" s="296">
        <f>MAX(0,M32-B29)</f>
        <v>0</v>
      </c>
      <c r="R32" s="337"/>
    </row>
    <row r="33" spans="1:20" x14ac:dyDescent="0.35">
      <c r="A33" s="170" t="s">
        <v>374</v>
      </c>
      <c r="B33" s="328">
        <v>1</v>
      </c>
      <c r="C33" s="53"/>
      <c r="E33" s="256"/>
      <c r="F33" s="282" t="s">
        <v>234</v>
      </c>
      <c r="G33" s="283">
        <f>+((1+B30)-B28)/(B27-B28)</f>
        <v>0.73999999999999944</v>
      </c>
      <c r="H33" s="522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20" x14ac:dyDescent="0.35">
      <c r="A34" s="329" t="s">
        <v>231</v>
      </c>
      <c r="B34" s="328">
        <v>2</v>
      </c>
      <c r="C34" s="337"/>
      <c r="D34" s="343"/>
      <c r="E34" s="256"/>
      <c r="F34" s="282" t="s">
        <v>235</v>
      </c>
      <c r="G34" s="283">
        <f>1-G33</f>
        <v>0.26000000000000056</v>
      </c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343"/>
    </row>
    <row r="35" spans="1:20" x14ac:dyDescent="0.35">
      <c r="C35" s="343"/>
      <c r="D35" s="343"/>
      <c r="E35" s="256"/>
      <c r="F35" s="257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343"/>
    </row>
    <row r="36" spans="1:20" ht="15" thickBot="1" x14ac:dyDescent="0.4"/>
    <row r="37" spans="1:20" ht="15" thickBot="1" x14ac:dyDescent="0.4">
      <c r="F37" s="301" t="s">
        <v>237</v>
      </c>
      <c r="G37" s="299">
        <f>+((O26*G33)+(G34*O30))/(1+B30/B33)</f>
        <v>15.27906835632103</v>
      </c>
      <c r="H37" s="236" t="s">
        <v>238</v>
      </c>
    </row>
    <row r="38" spans="1:20" ht="15" thickBot="1" x14ac:dyDescent="0.4">
      <c r="F38" s="301" t="s">
        <v>241</v>
      </c>
      <c r="G38" s="299">
        <f>+((G33*I27)+(I31*G34))/(1+B30)</f>
        <v>14.29951690821256</v>
      </c>
      <c r="H38" s="236" t="s">
        <v>242</v>
      </c>
    </row>
    <row r="39" spans="1:20" x14ac:dyDescent="0.35">
      <c r="T39" s="1" t="s">
        <v>371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9CC-2662-40F8-8A78-49FBDCAAAF79}">
  <dimension ref="B1:D18"/>
  <sheetViews>
    <sheetView showGridLines="0" workbookViewId="0">
      <selection activeCell="J12" sqref="J12"/>
    </sheetView>
  </sheetViews>
  <sheetFormatPr defaultRowHeight="14.5" x14ac:dyDescent="0.35"/>
  <cols>
    <col min="1" max="1" width="3.90625" customWidth="1"/>
    <col min="2" max="2" width="18.453125" customWidth="1"/>
    <col min="3" max="3" width="12.6328125" customWidth="1"/>
    <col min="4" max="4" width="12.90625" customWidth="1"/>
    <col min="5" max="5" width="2.453125" customWidth="1"/>
  </cols>
  <sheetData>
    <row r="1" spans="2:4" ht="18.5" x14ac:dyDescent="0.35">
      <c r="B1" s="756" t="s">
        <v>453</v>
      </c>
      <c r="C1" s="700"/>
      <c r="D1" s="700"/>
    </row>
    <row r="2" spans="2:4" ht="7" customHeight="1" x14ac:dyDescent="0.35"/>
    <row r="3" spans="2:4" x14ac:dyDescent="0.35">
      <c r="B3" s="1" t="s">
        <v>456</v>
      </c>
      <c r="C3" s="414">
        <v>1</v>
      </c>
    </row>
    <row r="4" spans="2:4" x14ac:dyDescent="0.35">
      <c r="B4" s="1" t="s">
        <v>454</v>
      </c>
      <c r="C4" s="415">
        <v>0.1</v>
      </c>
    </row>
    <row r="5" spans="2:4" x14ac:dyDescent="0.35">
      <c r="B5" s="1" t="s">
        <v>455</v>
      </c>
      <c r="C5">
        <v>10</v>
      </c>
    </row>
    <row r="7" spans="2:4" ht="40.75" customHeight="1" x14ac:dyDescent="0.35">
      <c r="B7" s="416" t="s">
        <v>405</v>
      </c>
      <c r="C7" s="417" t="s">
        <v>459</v>
      </c>
      <c r="D7" s="417" t="s">
        <v>457</v>
      </c>
    </row>
    <row r="8" spans="2:4" x14ac:dyDescent="0.35">
      <c r="B8" s="410" t="s">
        <v>410</v>
      </c>
      <c r="C8" s="411">
        <v>1</v>
      </c>
      <c r="D8" s="412">
        <f t="shared" ref="D8:D15" si="0">+$C$3*((1+($C$4/C8))^($C$5*C8))</f>
        <v>2.5937424601000019</v>
      </c>
    </row>
    <row r="9" spans="2:4" x14ac:dyDescent="0.35">
      <c r="B9" s="410" t="s">
        <v>412</v>
      </c>
      <c r="C9" s="411">
        <v>2</v>
      </c>
      <c r="D9" s="412">
        <f t="shared" si="0"/>
        <v>2.6532977051444209</v>
      </c>
    </row>
    <row r="10" spans="2:4" x14ac:dyDescent="0.35">
      <c r="B10" s="410" t="s">
        <v>414</v>
      </c>
      <c r="C10" s="411">
        <v>4</v>
      </c>
      <c r="D10" s="412">
        <f t="shared" si="0"/>
        <v>2.6850638383899672</v>
      </c>
    </row>
    <row r="11" spans="2:4" x14ac:dyDescent="0.35">
      <c r="B11" s="410" t="s">
        <v>415</v>
      </c>
      <c r="C11" s="411">
        <v>12</v>
      </c>
      <c r="D11" s="412">
        <f t="shared" si="0"/>
        <v>2.7070414908622409</v>
      </c>
    </row>
    <row r="12" spans="2:4" x14ac:dyDescent="0.35">
      <c r="B12" s="410" t="s">
        <v>416</v>
      </c>
      <c r="C12" s="411">
        <v>365</v>
      </c>
      <c r="D12" s="412">
        <f t="shared" si="0"/>
        <v>2.717909554576833</v>
      </c>
    </row>
    <row r="13" spans="2:4" x14ac:dyDescent="0.35">
      <c r="B13" s="410" t="s">
        <v>418</v>
      </c>
      <c r="C13" s="411">
        <f>+C12*24</f>
        <v>8760</v>
      </c>
      <c r="D13" s="412">
        <f t="shared" si="0"/>
        <v>2.7182663132921561</v>
      </c>
    </row>
    <row r="14" spans="2:4" x14ac:dyDescent="0.35">
      <c r="B14" s="410" t="s">
        <v>423</v>
      </c>
      <c r="C14" s="411">
        <f>+C13*60</f>
        <v>525600</v>
      </c>
      <c r="D14" s="412">
        <f t="shared" si="0"/>
        <v>2.7182815689664674</v>
      </c>
    </row>
    <row r="15" spans="2:4" x14ac:dyDescent="0.35">
      <c r="B15" s="410" t="s">
        <v>424</v>
      </c>
      <c r="C15" s="411">
        <f>+C14*60</f>
        <v>31536000</v>
      </c>
      <c r="D15" s="412">
        <f t="shared" si="0"/>
        <v>2.7182818699236142</v>
      </c>
    </row>
    <row r="16" spans="2:4" x14ac:dyDescent="0.35">
      <c r="B16" s="410" t="s">
        <v>425</v>
      </c>
      <c r="C16" s="413" t="s">
        <v>426</v>
      </c>
      <c r="D16" s="412">
        <f>EXP(C3)</f>
        <v>2.7182818284590451</v>
      </c>
    </row>
    <row r="18" spans="4:4" x14ac:dyDescent="0.35">
      <c r="D18" s="170" t="s">
        <v>446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3B08D-92C3-445E-997C-1E46D0FB78C7}">
  <dimension ref="A1:AZ31"/>
  <sheetViews>
    <sheetView showGridLines="0" workbookViewId="0">
      <selection activeCell="Q11" sqref="Q11"/>
    </sheetView>
  </sheetViews>
  <sheetFormatPr defaultRowHeight="14.5" x14ac:dyDescent="0.35"/>
  <cols>
    <col min="1" max="1" width="2.7265625" customWidth="1"/>
    <col min="2" max="2" width="12.08984375" customWidth="1"/>
    <col min="3" max="4" width="9.6328125" customWidth="1"/>
    <col min="6" max="6" width="9.6328125" customWidth="1"/>
    <col min="7" max="7" width="4.7265625" customWidth="1"/>
    <col min="8" max="8" width="9.6328125" customWidth="1"/>
    <col min="9" max="9" width="11" customWidth="1"/>
    <col min="10" max="11" width="9.6328125" customWidth="1"/>
    <col min="12" max="12" width="12.36328125" customWidth="1"/>
    <col min="13" max="13" width="2.08984375" customWidth="1"/>
  </cols>
  <sheetData>
    <row r="1" spans="1:52" ht="24" customHeight="1" x14ac:dyDescent="0.45"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49"/>
      <c r="N1" s="49"/>
      <c r="O1" s="49"/>
    </row>
    <row r="2" spans="1:52" ht="9.5" customHeight="1" thickBot="1" x14ac:dyDescent="0.4"/>
    <row r="3" spans="1:52" ht="22.75" customHeight="1" x14ac:dyDescent="0.35">
      <c r="A3" s="17"/>
      <c r="B3" s="48" t="s">
        <v>19</v>
      </c>
      <c r="C3" s="686" t="s">
        <v>45</v>
      </c>
      <c r="D3" s="687"/>
      <c r="E3" s="68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ht="49.75" customHeight="1" x14ac:dyDescent="0.35">
      <c r="A4" s="17"/>
      <c r="B4" s="86" t="s">
        <v>9</v>
      </c>
      <c r="C4" s="10" t="s">
        <v>10</v>
      </c>
      <c r="D4" s="9" t="s">
        <v>11</v>
      </c>
      <c r="E4" s="11" t="s">
        <v>12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28" customHeight="1" x14ac:dyDescent="0.35">
      <c r="A5" s="17"/>
      <c r="B5" s="19">
        <v>150</v>
      </c>
      <c r="C5" s="23">
        <v>3</v>
      </c>
      <c r="D5" s="24">
        <v>3.5</v>
      </c>
      <c r="E5" s="25">
        <v>4.45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28" customHeight="1" x14ac:dyDescent="0.35">
      <c r="A6" s="17"/>
      <c r="B6" s="19">
        <v>155</v>
      </c>
      <c r="C6" s="23">
        <v>4.0999999999999996</v>
      </c>
      <c r="D6" s="24">
        <v>4.9000000000000004</v>
      </c>
      <c r="E6" s="25">
        <v>5.9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ht="28" customHeight="1" x14ac:dyDescent="0.35">
      <c r="A7" s="17"/>
      <c r="B7" s="19">
        <v>160</v>
      </c>
      <c r="C7" s="23">
        <v>5.3</v>
      </c>
      <c r="D7" s="24">
        <v>6</v>
      </c>
      <c r="E7" s="25">
        <v>6.8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28" customHeight="1" x14ac:dyDescent="0.35">
      <c r="A8" s="17"/>
      <c r="B8" s="19">
        <v>165</v>
      </c>
      <c r="C8" s="23">
        <v>7</v>
      </c>
      <c r="D8" s="24">
        <v>8</v>
      </c>
      <c r="E8" s="25">
        <v>9.1999999999999993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8" customHeight="1" x14ac:dyDescent="0.35">
      <c r="A9" s="17"/>
      <c r="B9" s="57">
        <v>170</v>
      </c>
      <c r="C9" s="61">
        <v>9.4</v>
      </c>
      <c r="D9" s="24">
        <v>10.75</v>
      </c>
      <c r="E9" s="25">
        <v>12.45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ht="28" customHeight="1" x14ac:dyDescent="0.35">
      <c r="A10" s="17"/>
      <c r="B10" s="19">
        <v>175</v>
      </c>
      <c r="C10" s="23">
        <v>13</v>
      </c>
      <c r="D10" s="24">
        <v>14.3</v>
      </c>
      <c r="E10" s="25">
        <v>14.2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ht="28" customHeight="1" thickBot="1" x14ac:dyDescent="0.4">
      <c r="A11" s="17"/>
      <c r="B11" s="19">
        <v>180</v>
      </c>
      <c r="C11" s="29">
        <v>15</v>
      </c>
      <c r="D11" s="30">
        <v>16.100000000000001</v>
      </c>
      <c r="E11" s="31">
        <v>17.75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3" spans="1:52" x14ac:dyDescent="0.35">
      <c r="B13" s="53" t="s">
        <v>21</v>
      </c>
    </row>
    <row r="14" spans="1:52" ht="15.4" customHeight="1" x14ac:dyDescent="0.5">
      <c r="C14" s="3" t="s">
        <v>44</v>
      </c>
      <c r="D14" s="2">
        <v>170</v>
      </c>
      <c r="E14" s="8"/>
      <c r="G14" s="1" t="s">
        <v>4</v>
      </c>
      <c r="H14" s="4">
        <f>+C21+D21</f>
        <v>160.6</v>
      </c>
      <c r="J14" s="35"/>
      <c r="K14" t="s">
        <v>33</v>
      </c>
    </row>
    <row r="15" spans="1:52" x14ac:dyDescent="0.35">
      <c r="B15" s="1"/>
      <c r="C15" s="1" t="s">
        <v>40</v>
      </c>
      <c r="D15" s="2">
        <f>+C9</f>
        <v>9.4</v>
      </c>
      <c r="E15" s="8"/>
      <c r="G15" s="1" t="s">
        <v>37</v>
      </c>
      <c r="H15" s="4">
        <f>D21</f>
        <v>-9.4</v>
      </c>
      <c r="J15" s="32"/>
      <c r="K15" t="s">
        <v>35</v>
      </c>
    </row>
    <row r="16" spans="1:52" x14ac:dyDescent="0.35">
      <c r="B16" s="1"/>
      <c r="C16" s="1"/>
      <c r="D16" s="2"/>
      <c r="E16" s="8"/>
      <c r="G16" s="1" t="s">
        <v>16</v>
      </c>
      <c r="H16" s="4" t="s">
        <v>47</v>
      </c>
      <c r="J16" s="45"/>
      <c r="K16" t="s">
        <v>36</v>
      </c>
    </row>
    <row r="17" spans="2:19" x14ac:dyDescent="0.35">
      <c r="B17" s="1"/>
      <c r="C17" s="1"/>
      <c r="D17" s="2"/>
      <c r="E17" s="8"/>
      <c r="H17" s="1"/>
      <c r="I17" s="4"/>
    </row>
    <row r="18" spans="2:19" ht="34" customHeight="1" x14ac:dyDescent="0.35">
      <c r="B18" s="689" t="s">
        <v>18</v>
      </c>
      <c r="C18" s="690"/>
      <c r="D18" s="690"/>
      <c r="E18" s="8"/>
      <c r="F18" s="47" t="s">
        <v>22</v>
      </c>
      <c r="H18" s="689" t="s">
        <v>17</v>
      </c>
      <c r="I18" s="689"/>
      <c r="J18" s="689"/>
      <c r="K18" s="689"/>
      <c r="L18" s="689"/>
    </row>
    <row r="19" spans="2:19" ht="30.4" customHeight="1" x14ac:dyDescent="0.35">
      <c r="B19" s="51"/>
      <c r="C19" s="51" t="s">
        <v>0</v>
      </c>
      <c r="D19" s="52" t="s">
        <v>24</v>
      </c>
      <c r="E19" s="50"/>
      <c r="F19" s="51" t="s">
        <v>25</v>
      </c>
      <c r="G19" s="50"/>
      <c r="H19" s="51"/>
      <c r="I19" s="52" t="s">
        <v>42</v>
      </c>
      <c r="J19" s="52" t="s">
        <v>30</v>
      </c>
      <c r="K19" s="52" t="s">
        <v>31</v>
      </c>
      <c r="L19" s="51" t="s">
        <v>32</v>
      </c>
      <c r="Q19" t="s">
        <v>41</v>
      </c>
    </row>
    <row r="20" spans="2:19" ht="43.5" x14ac:dyDescent="0.35">
      <c r="B20" s="7" t="s">
        <v>21</v>
      </c>
      <c r="C20" s="7" t="s">
        <v>2</v>
      </c>
      <c r="D20" s="7" t="s">
        <v>23</v>
      </c>
      <c r="E20" s="8"/>
      <c r="F20" s="7" t="s">
        <v>1</v>
      </c>
      <c r="H20" s="7" t="s">
        <v>13</v>
      </c>
      <c r="I20" s="7" t="s">
        <v>28</v>
      </c>
      <c r="J20" s="7" t="s">
        <v>27</v>
      </c>
      <c r="K20" s="7" t="s">
        <v>3</v>
      </c>
      <c r="L20" s="7" t="s">
        <v>15</v>
      </c>
      <c r="Q20" s="14"/>
      <c r="R20" s="14" t="s">
        <v>6</v>
      </c>
      <c r="S20" s="14" t="s">
        <v>7</v>
      </c>
    </row>
    <row r="21" spans="2:19" x14ac:dyDescent="0.35">
      <c r="B21" s="5" t="s">
        <v>14</v>
      </c>
      <c r="C21" s="5">
        <f t="shared" ref="C21:C26" si="0">+$D$14</f>
        <v>170</v>
      </c>
      <c r="D21" s="6">
        <f t="shared" ref="D21:D26" si="1">-$D$15</f>
        <v>-9.4</v>
      </c>
      <c r="F21" s="45">
        <v>155</v>
      </c>
      <c r="H21" s="60" t="str">
        <f>IF(I21=0,"No","Yes")</f>
        <v>Yes</v>
      </c>
      <c r="I21" s="45">
        <f>MAX(0,C21-F21)</f>
        <v>15</v>
      </c>
      <c r="J21" s="45">
        <f t="shared" ref="J21:J26" si="2">+I21+D21</f>
        <v>5.6</v>
      </c>
      <c r="K21" s="58">
        <f t="shared" ref="K21:K26" si="3">-J21/D21</f>
        <v>0.5957446808510638</v>
      </c>
      <c r="L21" s="45">
        <f>+C21+D21</f>
        <v>160.6</v>
      </c>
      <c r="P21">
        <v>-40</v>
      </c>
      <c r="Q21" s="4">
        <f>+F21</f>
        <v>155</v>
      </c>
      <c r="R21" s="4">
        <f t="shared" ref="R21:S26" si="4">+I21</f>
        <v>15</v>
      </c>
      <c r="S21" s="4">
        <f t="shared" si="4"/>
        <v>5.6</v>
      </c>
    </row>
    <row r="22" spans="2:19" x14ac:dyDescent="0.35">
      <c r="B22" s="5" t="s">
        <v>14</v>
      </c>
      <c r="C22" s="5">
        <f t="shared" si="0"/>
        <v>170</v>
      </c>
      <c r="D22" s="6">
        <f t="shared" si="1"/>
        <v>-9.4</v>
      </c>
      <c r="F22" s="45">
        <v>160</v>
      </c>
      <c r="H22" s="60" t="str">
        <f t="shared" ref="H22:H28" si="5">IF(I22=0,"No","Yes")</f>
        <v>Yes</v>
      </c>
      <c r="I22" s="45">
        <f t="shared" ref="I22:I28" si="6">MAX(0,C22-F22)</f>
        <v>10</v>
      </c>
      <c r="J22" s="45">
        <f t="shared" si="2"/>
        <v>0.59999999999999964</v>
      </c>
      <c r="K22" s="58">
        <f t="shared" si="3"/>
        <v>6.3829787234042507E-2</v>
      </c>
      <c r="L22" s="45">
        <f t="shared" ref="L22:L28" si="7">+C22+D22</f>
        <v>160.6</v>
      </c>
      <c r="P22">
        <v>-30</v>
      </c>
      <c r="Q22" s="4">
        <f t="shared" ref="Q22:Q28" si="8">+F22</f>
        <v>160</v>
      </c>
      <c r="R22" s="4">
        <f t="shared" si="4"/>
        <v>10</v>
      </c>
      <c r="S22" s="4">
        <f t="shared" si="4"/>
        <v>0.59999999999999964</v>
      </c>
    </row>
    <row r="23" spans="2:19" x14ac:dyDescent="0.35">
      <c r="B23" s="5" t="s">
        <v>14</v>
      </c>
      <c r="C23" s="5">
        <f t="shared" si="0"/>
        <v>170</v>
      </c>
      <c r="D23" s="6">
        <f t="shared" si="1"/>
        <v>-9.4</v>
      </c>
      <c r="F23" s="45">
        <v>165</v>
      </c>
      <c r="H23" s="60" t="str">
        <f t="shared" si="5"/>
        <v>Yes</v>
      </c>
      <c r="I23" s="45">
        <f t="shared" si="6"/>
        <v>5</v>
      </c>
      <c r="J23" s="45">
        <f t="shared" si="2"/>
        <v>-4.4000000000000004</v>
      </c>
      <c r="K23" s="58">
        <f t="shared" si="3"/>
        <v>-0.46808510638297873</v>
      </c>
      <c r="L23" s="45">
        <f t="shared" si="7"/>
        <v>160.6</v>
      </c>
      <c r="P23">
        <v>-10</v>
      </c>
      <c r="Q23" s="4">
        <f t="shared" si="8"/>
        <v>165</v>
      </c>
      <c r="R23" s="4">
        <f t="shared" si="4"/>
        <v>5</v>
      </c>
      <c r="S23" s="4">
        <f t="shared" si="4"/>
        <v>-4.4000000000000004</v>
      </c>
    </row>
    <row r="24" spans="2:19" x14ac:dyDescent="0.35">
      <c r="B24" s="5" t="s">
        <v>14</v>
      </c>
      <c r="C24" s="5">
        <f t="shared" si="0"/>
        <v>170</v>
      </c>
      <c r="D24" s="6">
        <f t="shared" si="1"/>
        <v>-9.4</v>
      </c>
      <c r="F24" s="54">
        <v>170</v>
      </c>
      <c r="H24" s="32" t="str">
        <f t="shared" si="5"/>
        <v>No</v>
      </c>
      <c r="I24" s="6">
        <f t="shared" si="6"/>
        <v>0</v>
      </c>
      <c r="J24" s="6">
        <f t="shared" si="2"/>
        <v>-9.4</v>
      </c>
      <c r="K24" s="55">
        <f t="shared" si="3"/>
        <v>-1</v>
      </c>
      <c r="L24" s="56">
        <f t="shared" si="7"/>
        <v>160.6</v>
      </c>
      <c r="P24">
        <v>0</v>
      </c>
      <c r="Q24" s="4">
        <f t="shared" si="8"/>
        <v>170</v>
      </c>
      <c r="R24" s="4">
        <f t="shared" si="4"/>
        <v>0</v>
      </c>
      <c r="S24" s="4">
        <f t="shared" si="4"/>
        <v>-9.4</v>
      </c>
    </row>
    <row r="25" spans="2:19" x14ac:dyDescent="0.35">
      <c r="B25" s="5" t="s">
        <v>14</v>
      </c>
      <c r="C25" s="5">
        <f t="shared" si="0"/>
        <v>170</v>
      </c>
      <c r="D25" s="6">
        <f t="shared" si="1"/>
        <v>-9.4</v>
      </c>
      <c r="F25" s="35">
        <v>175</v>
      </c>
      <c r="H25" s="35" t="str">
        <f t="shared" si="5"/>
        <v>No</v>
      </c>
      <c r="I25" s="35">
        <f t="shared" si="6"/>
        <v>0</v>
      </c>
      <c r="J25" s="35">
        <f t="shared" si="2"/>
        <v>-9.4</v>
      </c>
      <c r="K25" s="59">
        <f t="shared" si="3"/>
        <v>-1</v>
      </c>
      <c r="L25" s="35">
        <f t="shared" si="7"/>
        <v>160.6</v>
      </c>
      <c r="P25">
        <v>10</v>
      </c>
      <c r="Q25" s="4">
        <f t="shared" si="8"/>
        <v>175</v>
      </c>
      <c r="R25" s="4">
        <f t="shared" si="4"/>
        <v>0</v>
      </c>
      <c r="S25" s="4">
        <f t="shared" si="4"/>
        <v>-9.4</v>
      </c>
    </row>
    <row r="26" spans="2:19" x14ac:dyDescent="0.35">
      <c r="B26" s="5" t="s">
        <v>14</v>
      </c>
      <c r="C26" s="5">
        <f t="shared" si="0"/>
        <v>170</v>
      </c>
      <c r="D26" s="6">
        <f t="shared" si="1"/>
        <v>-9.4</v>
      </c>
      <c r="F26" s="35">
        <v>180</v>
      </c>
      <c r="H26" s="35" t="str">
        <f t="shared" si="5"/>
        <v>No</v>
      </c>
      <c r="I26" s="35">
        <f t="shared" si="6"/>
        <v>0</v>
      </c>
      <c r="J26" s="35">
        <f t="shared" si="2"/>
        <v>-9.4</v>
      </c>
      <c r="K26" s="59">
        <f t="shared" si="3"/>
        <v>-1</v>
      </c>
      <c r="L26" s="35">
        <f t="shared" si="7"/>
        <v>160.6</v>
      </c>
      <c r="P26">
        <v>20</v>
      </c>
      <c r="Q26" s="4">
        <f t="shared" si="8"/>
        <v>180</v>
      </c>
      <c r="R26" s="4">
        <f t="shared" si="4"/>
        <v>0</v>
      </c>
      <c r="S26" s="4">
        <f t="shared" si="4"/>
        <v>-9.4</v>
      </c>
    </row>
    <row r="27" spans="2:19" x14ac:dyDescent="0.35">
      <c r="B27" s="5" t="s">
        <v>14</v>
      </c>
      <c r="C27" s="5">
        <f t="shared" ref="C27:C28" si="9">+$D$14</f>
        <v>170</v>
      </c>
      <c r="D27" s="6">
        <f t="shared" ref="D27:D28" si="10">-$D$15</f>
        <v>-9.4</v>
      </c>
      <c r="F27" s="35">
        <v>185</v>
      </c>
      <c r="H27" s="35" t="str">
        <f t="shared" si="5"/>
        <v>No</v>
      </c>
      <c r="I27" s="35">
        <f t="shared" si="6"/>
        <v>0</v>
      </c>
      <c r="J27" s="35">
        <f t="shared" ref="J27:J28" si="11">+I27+D27</f>
        <v>-9.4</v>
      </c>
      <c r="K27" s="59">
        <f t="shared" ref="K27:K28" si="12">-J27/D27</f>
        <v>-1</v>
      </c>
      <c r="L27" s="35">
        <f t="shared" si="7"/>
        <v>160.6</v>
      </c>
      <c r="P27">
        <v>30</v>
      </c>
      <c r="Q27" s="4">
        <f t="shared" si="8"/>
        <v>185</v>
      </c>
      <c r="R27" s="4">
        <f t="shared" ref="R27:S28" si="13">+I27</f>
        <v>0</v>
      </c>
      <c r="S27" s="4">
        <f t="shared" si="13"/>
        <v>-9.4</v>
      </c>
    </row>
    <row r="28" spans="2:19" x14ac:dyDescent="0.35">
      <c r="B28" s="5" t="s">
        <v>14</v>
      </c>
      <c r="C28" s="5">
        <f t="shared" si="9"/>
        <v>170</v>
      </c>
      <c r="D28" s="6">
        <f t="shared" si="10"/>
        <v>-9.4</v>
      </c>
      <c r="F28" s="35">
        <v>190</v>
      </c>
      <c r="H28" s="35" t="str">
        <f t="shared" si="5"/>
        <v>No</v>
      </c>
      <c r="I28" s="35">
        <f t="shared" si="6"/>
        <v>0</v>
      </c>
      <c r="J28" s="35">
        <f t="shared" si="11"/>
        <v>-9.4</v>
      </c>
      <c r="K28" s="59">
        <f t="shared" si="12"/>
        <v>-1</v>
      </c>
      <c r="L28" s="35">
        <f t="shared" si="7"/>
        <v>160.6</v>
      </c>
      <c r="P28">
        <v>40</v>
      </c>
      <c r="Q28" s="4">
        <f t="shared" si="8"/>
        <v>190</v>
      </c>
      <c r="R28" s="4">
        <f t="shared" si="13"/>
        <v>0</v>
      </c>
      <c r="S28" s="4">
        <f t="shared" si="13"/>
        <v>-9.4</v>
      </c>
    </row>
    <row r="29" spans="2:19" x14ac:dyDescent="0.35">
      <c r="M29" s="1"/>
    </row>
    <row r="30" spans="2:19" x14ac:dyDescent="0.35">
      <c r="L30" s="1" t="s">
        <v>34</v>
      </c>
    </row>
    <row r="31" spans="2:19" x14ac:dyDescent="0.35">
      <c r="I31" s="1"/>
      <c r="J31" s="4"/>
    </row>
  </sheetData>
  <mergeCells count="3">
    <mergeCell ref="C3:E3"/>
    <mergeCell ref="B18:D18"/>
    <mergeCell ref="H18:L1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2345-6A45-4B27-85FA-0C10AA43EC40}">
  <sheetPr>
    <pageSetUpPr fitToPage="1"/>
  </sheetPr>
  <dimension ref="B1:AD32"/>
  <sheetViews>
    <sheetView showGridLines="0" workbookViewId="0">
      <selection activeCell="J24" sqref="J24"/>
    </sheetView>
  </sheetViews>
  <sheetFormatPr defaultRowHeight="14.5" x14ac:dyDescent="0.35"/>
  <cols>
    <col min="1" max="1" width="3.90625" customWidth="1"/>
    <col min="9" max="9" width="2.08984375" customWidth="1"/>
    <col min="10" max="19" width="5.54296875" style="405" customWidth="1"/>
    <col min="20" max="20" width="2.54296875" customWidth="1"/>
    <col min="21" max="27" width="6.54296875" customWidth="1"/>
  </cols>
  <sheetData>
    <row r="1" spans="10:30" ht="9" customHeight="1" x14ac:dyDescent="0.35">
      <c r="J1"/>
      <c r="K1"/>
      <c r="L1"/>
      <c r="M1"/>
      <c r="N1"/>
      <c r="O1"/>
      <c r="P1"/>
      <c r="Q1"/>
      <c r="R1"/>
      <c r="S1"/>
      <c r="AB1" s="1"/>
      <c r="AD1" t="s">
        <v>444</v>
      </c>
    </row>
    <row r="2" spans="10:30" x14ac:dyDescent="0.35">
      <c r="T2" s="14"/>
      <c r="U2" s="14"/>
      <c r="V2" s="14"/>
      <c r="W2" s="14"/>
      <c r="X2" s="14"/>
      <c r="Y2" s="14"/>
      <c r="Z2" s="14"/>
      <c r="AA2" s="14"/>
      <c r="AB2" s="1"/>
      <c r="AC2">
        <v>-3.75</v>
      </c>
      <c r="AD2">
        <f t="shared" ref="AD2:AD32" si="0">NORMDIST(AC2,0,1,0)</f>
        <v>3.5259568236744541E-4</v>
      </c>
    </row>
    <row r="3" spans="10:30" ht="9" customHeight="1" x14ac:dyDescent="0.35">
      <c r="T3" s="196"/>
      <c r="U3" s="196"/>
      <c r="V3" s="196"/>
      <c r="W3" s="196"/>
      <c r="X3" s="196"/>
      <c r="Y3" s="196"/>
      <c r="Z3" s="196"/>
      <c r="AA3" s="196"/>
      <c r="AB3" s="1"/>
      <c r="AC3">
        <v>-3.5</v>
      </c>
      <c r="AD3">
        <f t="shared" si="0"/>
        <v>8.7268269504576015E-4</v>
      </c>
    </row>
    <row r="4" spans="10:30" ht="19" customHeight="1" x14ac:dyDescent="0.35">
      <c r="J4" s="757" t="s">
        <v>450</v>
      </c>
      <c r="K4" s="758"/>
      <c r="L4" s="758"/>
      <c r="M4" s="758"/>
      <c r="N4" s="758"/>
      <c r="O4" s="758"/>
      <c r="P4" s="758"/>
      <c r="Q4" s="758"/>
      <c r="R4" s="758"/>
      <c r="S4" s="758"/>
      <c r="T4" s="404"/>
      <c r="U4" s="404"/>
      <c r="V4" s="404"/>
      <c r="W4" s="404"/>
      <c r="X4" s="404"/>
      <c r="Y4" s="404"/>
      <c r="Z4" s="404"/>
      <c r="AA4" s="404"/>
      <c r="AB4" s="1"/>
      <c r="AC4">
        <v>-3.25</v>
      </c>
      <c r="AD4">
        <f t="shared" si="0"/>
        <v>2.0290480572997681E-3</v>
      </c>
    </row>
    <row r="5" spans="10:30" x14ac:dyDescent="0.35">
      <c r="J5" s="408" t="s">
        <v>451</v>
      </c>
      <c r="K5" s="409" t="s">
        <v>452</v>
      </c>
      <c r="L5" s="408" t="s">
        <v>451</v>
      </c>
      <c r="M5" s="409" t="s">
        <v>452</v>
      </c>
      <c r="N5" s="408" t="s">
        <v>451</v>
      </c>
      <c r="O5" s="409" t="s">
        <v>452</v>
      </c>
      <c r="P5" s="408" t="s">
        <v>451</v>
      </c>
      <c r="Q5" s="409" t="s">
        <v>452</v>
      </c>
      <c r="R5" s="408" t="s">
        <v>451</v>
      </c>
      <c r="S5" s="409" t="s">
        <v>452</v>
      </c>
      <c r="T5" s="404"/>
      <c r="U5" s="404"/>
      <c r="V5" s="404"/>
      <c r="W5" s="404"/>
      <c r="X5" s="404"/>
      <c r="Y5" s="404"/>
      <c r="Z5" s="404"/>
      <c r="AA5" s="404"/>
      <c r="AB5" s="291" t="s">
        <v>443</v>
      </c>
      <c r="AC5">
        <v>-3</v>
      </c>
      <c r="AD5">
        <f t="shared" si="0"/>
        <v>4.4318484119380075E-3</v>
      </c>
    </row>
    <row r="6" spans="10:30" x14ac:dyDescent="0.35">
      <c r="J6" s="406">
        <v>3.2</v>
      </c>
      <c r="K6" s="406">
        <f>NORMSDIST(J6:J18)</f>
        <v>0.99931286206208414</v>
      </c>
      <c r="L6" s="406">
        <f>+J18-0.1</f>
        <v>1.899999999999999</v>
      </c>
      <c r="M6" s="406">
        <f>NORMSDIST(L6:L18)</f>
        <v>0.97128344018399815</v>
      </c>
      <c r="N6" s="406">
        <f>+L18-0.1</f>
        <v>0.59999999999999842</v>
      </c>
      <c r="O6" s="406">
        <f>NORMSDIST(N6:N18)</f>
        <v>0.7257468822499259</v>
      </c>
      <c r="P6" s="406">
        <f>+N18-0.1</f>
        <v>-0.70000000000000151</v>
      </c>
      <c r="Q6" s="406">
        <f>NORMSDIST(P6:P18)</f>
        <v>0.24196365222307253</v>
      </c>
      <c r="R6" s="406">
        <f>+P18-0.1</f>
        <v>-2.0000000000000022</v>
      </c>
      <c r="S6" s="406">
        <f>NORMSDIST(R6:R18)</f>
        <v>2.2750131948179077E-2</v>
      </c>
      <c r="T6" s="404"/>
      <c r="U6" s="404"/>
      <c r="V6" s="404"/>
      <c r="W6" s="404"/>
      <c r="X6" s="404"/>
      <c r="Y6" s="404"/>
      <c r="Z6" s="404"/>
      <c r="AA6" s="404"/>
      <c r="AB6" s="1"/>
      <c r="AC6">
        <v>-2.75</v>
      </c>
      <c r="AD6">
        <f t="shared" si="0"/>
        <v>9.0935625015910529E-3</v>
      </c>
    </row>
    <row r="7" spans="10:30" x14ac:dyDescent="0.35">
      <c r="J7" s="406">
        <f>+J6-0.1</f>
        <v>3.1</v>
      </c>
      <c r="K7" s="406">
        <f>NORMSDIST(J7:J18)</f>
        <v>0.99903239678678168</v>
      </c>
      <c r="L7" s="406">
        <f>+L6-0.1</f>
        <v>1.7999999999999989</v>
      </c>
      <c r="M7" s="406">
        <f>NORMSDIST(L7:L18)</f>
        <v>0.96406968088707412</v>
      </c>
      <c r="N7" s="406">
        <f>+N6-0.1</f>
        <v>0.49999999999999845</v>
      </c>
      <c r="O7" s="406">
        <f>NORMSDIST(N7:N18)</f>
        <v>0.69146246127401256</v>
      </c>
      <c r="P7" s="406">
        <f>+P6-0.1</f>
        <v>-0.80000000000000149</v>
      </c>
      <c r="Q7" s="406">
        <f>NORMSDIST(P7:P18)</f>
        <v>0.21185539858339622</v>
      </c>
      <c r="R7" s="406">
        <f>+R6-0.1</f>
        <v>-2.1000000000000023</v>
      </c>
      <c r="S7" s="406">
        <f>NORMSDIST(R7:R18)</f>
        <v>1.7864420562816452E-2</v>
      </c>
      <c r="T7" s="404"/>
      <c r="U7" s="404"/>
      <c r="V7" s="404"/>
      <c r="W7" s="404"/>
      <c r="X7" s="404"/>
      <c r="Y7" s="404"/>
      <c r="Z7" s="404"/>
      <c r="AA7" s="404"/>
      <c r="AB7" s="1"/>
      <c r="AC7">
        <v>-2.5</v>
      </c>
      <c r="AD7">
        <f t="shared" si="0"/>
        <v>1.752830049356854E-2</v>
      </c>
    </row>
    <row r="8" spans="10:30" x14ac:dyDescent="0.35">
      <c r="J8" s="406">
        <f t="shared" ref="J8:R18" si="1">+J7-0.1</f>
        <v>3</v>
      </c>
      <c r="K8" s="406">
        <f>NORMSDIST(J8:J18)</f>
        <v>0.9986501019683699</v>
      </c>
      <c r="L8" s="406">
        <f t="shared" si="1"/>
        <v>1.6999999999999988</v>
      </c>
      <c r="M8" s="406">
        <f>NORMSDIST(L8:L18)</f>
        <v>0.95543453724145688</v>
      </c>
      <c r="N8" s="406">
        <f t="shared" si="1"/>
        <v>0.39999999999999847</v>
      </c>
      <c r="O8" s="406">
        <f>NORMSDIST(N8:N18)</f>
        <v>0.65542174161032363</v>
      </c>
      <c r="P8" s="406">
        <f t="shared" si="1"/>
        <v>-0.90000000000000147</v>
      </c>
      <c r="Q8" s="406">
        <f>NORMSDIST(P8:P18)</f>
        <v>0.18406012534675906</v>
      </c>
      <c r="R8" s="406">
        <f t="shared" si="1"/>
        <v>-2.2000000000000024</v>
      </c>
      <c r="S8" s="406">
        <f>NORMSDIST(R8:R18)</f>
        <v>1.3903447513498517E-2</v>
      </c>
      <c r="T8" s="404"/>
      <c r="U8" s="404"/>
      <c r="V8" s="404"/>
      <c r="W8" s="404"/>
      <c r="X8" s="404"/>
      <c r="Y8" s="404"/>
      <c r="Z8" s="404"/>
      <c r="AA8" s="404"/>
      <c r="AB8" s="1"/>
      <c r="AC8">
        <v>-2.25</v>
      </c>
      <c r="AD8">
        <f t="shared" si="0"/>
        <v>3.1739651835667418E-2</v>
      </c>
    </row>
    <row r="9" spans="10:30" x14ac:dyDescent="0.35">
      <c r="J9" s="406">
        <f t="shared" si="1"/>
        <v>2.9</v>
      </c>
      <c r="K9" s="406">
        <f>NORMSDIST(J9:J19)</f>
        <v>0.99813418669961596</v>
      </c>
      <c r="L9" s="406">
        <f t="shared" si="1"/>
        <v>1.5999999999999988</v>
      </c>
      <c r="M9" s="406">
        <f>NORMSDIST(L9:L19)</f>
        <v>0.94520070830044189</v>
      </c>
      <c r="N9" s="406">
        <f t="shared" si="1"/>
        <v>0.29999999999999849</v>
      </c>
      <c r="O9" s="406">
        <f>NORMSDIST(N9:N19)</f>
        <v>0.61791142218895212</v>
      </c>
      <c r="P9" s="406">
        <f t="shared" si="1"/>
        <v>-1.0000000000000016</v>
      </c>
      <c r="Q9" s="406">
        <f>NORMSDIST(P9:P19)</f>
        <v>0.15865525393145663</v>
      </c>
      <c r="R9" s="406">
        <f t="shared" si="1"/>
        <v>-2.3000000000000025</v>
      </c>
      <c r="S9" s="406">
        <f>NORMSDIST(R9:R19)</f>
        <v>1.0724110021675727E-2</v>
      </c>
      <c r="T9" s="404"/>
      <c r="U9" s="404"/>
      <c r="V9" s="404"/>
      <c r="W9" s="404"/>
      <c r="X9" s="404"/>
      <c r="Y9" s="404"/>
      <c r="Z9" s="404"/>
      <c r="AA9" s="404"/>
      <c r="AB9" s="291" t="s">
        <v>442</v>
      </c>
      <c r="AC9">
        <v>-2</v>
      </c>
      <c r="AD9">
        <f t="shared" si="0"/>
        <v>5.3990966513188063E-2</v>
      </c>
    </row>
    <row r="10" spans="10:30" x14ac:dyDescent="0.35">
      <c r="J10" s="406">
        <f t="shared" si="1"/>
        <v>2.8</v>
      </c>
      <c r="K10" s="406">
        <f>NORMSDIST(J10:J20)</f>
        <v>0.99744486966957202</v>
      </c>
      <c r="L10" s="406">
        <f t="shared" si="1"/>
        <v>1.4999999999999987</v>
      </c>
      <c r="M10" s="406">
        <f>NORMSDIST(L10:L20)</f>
        <v>0.9331927987311418</v>
      </c>
      <c r="N10" s="406">
        <f t="shared" si="1"/>
        <v>0.19999999999999848</v>
      </c>
      <c r="O10" s="406">
        <f>NORMSDIST(N10:N20)</f>
        <v>0.57925970943910243</v>
      </c>
      <c r="P10" s="406">
        <f t="shared" si="1"/>
        <v>-1.1000000000000016</v>
      </c>
      <c r="Q10" s="406">
        <f>NORMSDIST(P10:P20)</f>
        <v>0.13566606094638226</v>
      </c>
      <c r="R10" s="406">
        <f t="shared" si="1"/>
        <v>-2.4000000000000026</v>
      </c>
      <c r="S10" s="406">
        <f>NORMSDIST(R10:R20)</f>
        <v>8.197535924596067E-3</v>
      </c>
      <c r="T10" s="404"/>
      <c r="U10" s="404"/>
      <c r="V10" s="404"/>
      <c r="W10" s="404"/>
      <c r="X10" s="404"/>
      <c r="Y10" s="404"/>
      <c r="Z10" s="404"/>
      <c r="AA10" s="404"/>
      <c r="AB10" s="1"/>
      <c r="AC10">
        <v>-1.75</v>
      </c>
      <c r="AD10">
        <f t="shared" si="0"/>
        <v>8.6277318826511532E-2</v>
      </c>
    </row>
    <row r="11" spans="10:30" x14ac:dyDescent="0.35">
      <c r="J11" s="406">
        <f t="shared" si="1"/>
        <v>2.6999999999999997</v>
      </c>
      <c r="K11" s="406">
        <f>NORMSDIST(J11:J21)</f>
        <v>0.99653302619695938</v>
      </c>
      <c r="L11" s="406">
        <f t="shared" si="1"/>
        <v>1.3999999999999986</v>
      </c>
      <c r="M11" s="406">
        <f>NORMSDIST(L11:L21)</f>
        <v>0.91924334076622882</v>
      </c>
      <c r="N11" s="406">
        <f t="shared" si="1"/>
        <v>9.9999999999998479E-2</v>
      </c>
      <c r="O11" s="406">
        <f>NORMSDIST(N11:N21)</f>
        <v>0.53982783727702843</v>
      </c>
      <c r="P11" s="406">
        <f t="shared" si="1"/>
        <v>-1.2000000000000017</v>
      </c>
      <c r="Q11" s="406">
        <f>NORMSDIST(P11:P21)</f>
        <v>0.1150696702217079</v>
      </c>
      <c r="R11" s="406">
        <f t="shared" si="1"/>
        <v>-2.5000000000000027</v>
      </c>
      <c r="S11" s="406">
        <f>NORMSDIST(R11:R21)</f>
        <v>6.2096653257760863E-3</v>
      </c>
      <c r="T11" s="404"/>
      <c r="U11" s="404"/>
      <c r="V11" s="404"/>
      <c r="W11" s="404"/>
      <c r="X11" s="404"/>
      <c r="Y11" s="404"/>
      <c r="Z11" s="404"/>
      <c r="AA11" s="404"/>
      <c r="AB11" s="1"/>
      <c r="AC11">
        <v>-1.5</v>
      </c>
      <c r="AD11">
        <f t="shared" si="0"/>
        <v>0.12951759566589174</v>
      </c>
    </row>
    <row r="12" spans="10:30" x14ac:dyDescent="0.35">
      <c r="J12" s="406">
        <f t="shared" si="1"/>
        <v>2.5999999999999996</v>
      </c>
      <c r="K12" s="406">
        <f t="shared" ref="K12:K18" si="2">NORMSDIST(J12:J21)</f>
        <v>0.99533881197628127</v>
      </c>
      <c r="L12" s="406">
        <f t="shared" si="1"/>
        <v>1.2999999999999985</v>
      </c>
      <c r="M12" s="406">
        <f t="shared" ref="M12:M18" si="3">NORMSDIST(L12:L21)</f>
        <v>0.90319951541438948</v>
      </c>
      <c r="N12" s="406">
        <f t="shared" si="1"/>
        <v>-1.5265566588595902E-15</v>
      </c>
      <c r="O12" s="406">
        <f t="shared" ref="O12:O18" si="4">NORMSDIST(N12:N21)</f>
        <v>0.49999999999999939</v>
      </c>
      <c r="P12" s="406">
        <f t="shared" si="1"/>
        <v>-1.3000000000000018</v>
      </c>
      <c r="Q12" s="406">
        <f t="shared" ref="Q12:Q18" si="5">NORMSDIST(P12:P21)</f>
        <v>9.6800484585610011E-2</v>
      </c>
      <c r="R12" s="406">
        <f t="shared" si="1"/>
        <v>-2.6000000000000028</v>
      </c>
      <c r="S12" s="406">
        <f t="shared" ref="S12:S18" si="6">NORMSDIST(R12:R21)</f>
        <v>4.6611880237187094E-3</v>
      </c>
      <c r="T12" s="404"/>
      <c r="U12" s="404"/>
      <c r="V12" s="404"/>
      <c r="W12" s="404"/>
      <c r="X12" s="404"/>
      <c r="Y12" s="404"/>
      <c r="Z12" s="404"/>
      <c r="AA12" s="404"/>
      <c r="AB12" s="1"/>
      <c r="AC12">
        <v>-1.25</v>
      </c>
      <c r="AD12">
        <f t="shared" si="0"/>
        <v>0.18264908538902191</v>
      </c>
    </row>
    <row r="13" spans="10:30" x14ac:dyDescent="0.35">
      <c r="J13" s="406">
        <f t="shared" si="1"/>
        <v>2.4999999999999996</v>
      </c>
      <c r="K13" s="406">
        <f t="shared" si="2"/>
        <v>0.99379033467422384</v>
      </c>
      <c r="L13" s="406">
        <f t="shared" si="1"/>
        <v>1.1999999999999984</v>
      </c>
      <c r="M13" s="406">
        <f t="shared" si="3"/>
        <v>0.88493032977829145</v>
      </c>
      <c r="N13" s="406">
        <f t="shared" si="1"/>
        <v>-0.10000000000000153</v>
      </c>
      <c r="O13" s="406">
        <f t="shared" si="4"/>
        <v>0.4601721627229704</v>
      </c>
      <c r="P13" s="406">
        <f t="shared" si="1"/>
        <v>-1.4000000000000019</v>
      </c>
      <c r="Q13" s="406">
        <f t="shared" si="5"/>
        <v>8.0756659233770733E-2</v>
      </c>
      <c r="R13" s="406">
        <f t="shared" si="1"/>
        <v>-2.7000000000000028</v>
      </c>
      <c r="S13" s="406">
        <f t="shared" si="6"/>
        <v>3.4669738030406357E-3</v>
      </c>
      <c r="T13" s="404"/>
      <c r="U13" s="404"/>
      <c r="V13" s="404"/>
      <c r="W13" s="404"/>
      <c r="X13" s="404"/>
      <c r="Y13" s="404"/>
      <c r="Z13" s="404"/>
      <c r="AA13" s="404"/>
      <c r="AB13" s="291" t="s">
        <v>440</v>
      </c>
      <c r="AC13">
        <v>-1</v>
      </c>
      <c r="AD13">
        <f t="shared" si="0"/>
        <v>0.24197072451914337</v>
      </c>
    </row>
    <row r="14" spans="10:30" x14ac:dyDescent="0.35">
      <c r="J14" s="406">
        <f t="shared" si="1"/>
        <v>2.3999999999999995</v>
      </c>
      <c r="K14" s="406">
        <f t="shared" si="2"/>
        <v>0.99180246407540384</v>
      </c>
      <c r="L14" s="406">
        <f t="shared" si="1"/>
        <v>1.0999999999999983</v>
      </c>
      <c r="M14" s="406">
        <f t="shared" si="3"/>
        <v>0.864333939053617</v>
      </c>
      <c r="N14" s="406">
        <f t="shared" si="1"/>
        <v>-0.20000000000000154</v>
      </c>
      <c r="O14" s="406">
        <f t="shared" si="4"/>
        <v>0.42074029056089635</v>
      </c>
      <c r="P14" s="406">
        <f t="shared" si="1"/>
        <v>-1.500000000000002</v>
      </c>
      <c r="Q14" s="406">
        <f t="shared" si="5"/>
        <v>6.680720126885778E-2</v>
      </c>
      <c r="R14" s="406">
        <f t="shared" si="1"/>
        <v>-2.8000000000000029</v>
      </c>
      <c r="S14" s="406">
        <f t="shared" si="6"/>
        <v>2.5551303304279069E-3</v>
      </c>
      <c r="T14" s="404"/>
      <c r="U14" s="404"/>
      <c r="V14" s="404"/>
      <c r="W14" s="404"/>
      <c r="X14" s="404"/>
      <c r="Y14" s="404"/>
      <c r="Z14" s="404"/>
      <c r="AA14" s="404"/>
      <c r="AB14" s="1"/>
      <c r="AC14">
        <v>-0.75</v>
      </c>
      <c r="AD14">
        <f t="shared" si="0"/>
        <v>0.30113743215480443</v>
      </c>
    </row>
    <row r="15" spans="10:30" x14ac:dyDescent="0.35">
      <c r="J15" s="406">
        <f t="shared" si="1"/>
        <v>2.2999999999999994</v>
      </c>
      <c r="K15" s="406">
        <f t="shared" si="2"/>
        <v>0.98927588997832416</v>
      </c>
      <c r="L15" s="406">
        <f t="shared" si="1"/>
        <v>0.99999999999999833</v>
      </c>
      <c r="M15" s="406">
        <f t="shared" si="3"/>
        <v>0.84134474606854259</v>
      </c>
      <c r="N15" s="406">
        <f t="shared" si="1"/>
        <v>-0.30000000000000154</v>
      </c>
      <c r="O15" s="406">
        <f t="shared" si="4"/>
        <v>0.38208857781104677</v>
      </c>
      <c r="P15" s="406">
        <f t="shared" si="1"/>
        <v>-1.6000000000000021</v>
      </c>
      <c r="Q15" s="406">
        <f t="shared" si="5"/>
        <v>5.4799291699557752E-2</v>
      </c>
      <c r="R15" s="406">
        <f t="shared" si="1"/>
        <v>-2.900000000000003</v>
      </c>
      <c r="S15" s="406">
        <f t="shared" si="6"/>
        <v>1.8658133003840195E-3</v>
      </c>
      <c r="T15" s="404"/>
      <c r="U15" s="404"/>
      <c r="V15" s="404"/>
      <c r="W15" s="404"/>
      <c r="X15" s="404"/>
      <c r="Y15" s="404"/>
      <c r="Z15" s="404"/>
      <c r="AA15" s="404"/>
      <c r="AB15" s="1"/>
      <c r="AC15">
        <v>-0.5</v>
      </c>
      <c r="AD15">
        <f t="shared" si="0"/>
        <v>0.35206532676429952</v>
      </c>
    </row>
    <row r="16" spans="10:30" ht="15" customHeight="1" x14ac:dyDescent="0.35">
      <c r="J16" s="406">
        <f t="shared" si="1"/>
        <v>2.1999999999999993</v>
      </c>
      <c r="K16" s="406">
        <f t="shared" si="2"/>
        <v>0.98609655248650141</v>
      </c>
      <c r="L16" s="406">
        <f t="shared" si="1"/>
        <v>0.89999999999999836</v>
      </c>
      <c r="M16" s="406">
        <f t="shared" si="3"/>
        <v>0.81593987465324003</v>
      </c>
      <c r="N16" s="406">
        <f t="shared" si="1"/>
        <v>-0.40000000000000158</v>
      </c>
      <c r="O16" s="406">
        <f t="shared" si="4"/>
        <v>0.34457825838967526</v>
      </c>
      <c r="P16" s="406">
        <f t="shared" si="1"/>
        <v>-1.7000000000000022</v>
      </c>
      <c r="Q16" s="406">
        <f t="shared" si="5"/>
        <v>4.456546275854284E-2</v>
      </c>
      <c r="R16" s="406">
        <f t="shared" si="1"/>
        <v>-3.0000000000000031</v>
      </c>
      <c r="S16" s="406">
        <f t="shared" si="6"/>
        <v>1.3498980316300785E-3</v>
      </c>
      <c r="T16" s="404"/>
      <c r="U16" s="404"/>
      <c r="V16" s="404"/>
      <c r="W16" s="404"/>
      <c r="X16" s="404"/>
      <c r="Y16" s="404"/>
      <c r="Z16" s="404"/>
      <c r="AA16" s="404"/>
      <c r="AB16" s="1"/>
      <c r="AC16">
        <v>-0.25</v>
      </c>
      <c r="AD16">
        <f t="shared" si="0"/>
        <v>0.38666811680284924</v>
      </c>
    </row>
    <row r="17" spans="2:30" ht="15" customHeight="1" x14ac:dyDescent="0.35">
      <c r="J17" s="406">
        <f t="shared" si="1"/>
        <v>2.0999999999999992</v>
      </c>
      <c r="K17" s="406">
        <f t="shared" si="2"/>
        <v>0.98213557943718344</v>
      </c>
      <c r="L17" s="406">
        <f t="shared" si="1"/>
        <v>0.79999999999999838</v>
      </c>
      <c r="M17" s="406">
        <f t="shared" si="3"/>
        <v>0.78814460141660281</v>
      </c>
      <c r="N17" s="406">
        <f t="shared" si="1"/>
        <v>-0.50000000000000155</v>
      </c>
      <c r="O17" s="406">
        <f t="shared" si="4"/>
        <v>0.30853753872598633</v>
      </c>
      <c r="P17" s="406">
        <f t="shared" si="1"/>
        <v>-1.8000000000000023</v>
      </c>
      <c r="Q17" s="406">
        <f t="shared" si="5"/>
        <v>3.5930319112925609E-2</v>
      </c>
      <c r="R17" s="406">
        <f t="shared" si="1"/>
        <v>-3.1000000000000032</v>
      </c>
      <c r="S17" s="406">
        <f t="shared" si="6"/>
        <v>9.676032132183459E-4</v>
      </c>
      <c r="AB17" s="1">
        <v>0</v>
      </c>
      <c r="AC17">
        <v>0</v>
      </c>
      <c r="AD17">
        <f t="shared" si="0"/>
        <v>0.3989422804014327</v>
      </c>
    </row>
    <row r="18" spans="2:30" ht="15" customHeight="1" x14ac:dyDescent="0.35">
      <c r="D18" s="170" t="s">
        <v>449</v>
      </c>
      <c r="E18" s="53" t="s">
        <v>448</v>
      </c>
      <c r="H18" s="1"/>
      <c r="J18" s="406">
        <f t="shared" si="1"/>
        <v>1.9999999999999991</v>
      </c>
      <c r="K18" s="406">
        <f t="shared" si="2"/>
        <v>0.97724986805182079</v>
      </c>
      <c r="L18" s="406">
        <f t="shared" si="1"/>
        <v>0.6999999999999984</v>
      </c>
      <c r="M18" s="406">
        <f t="shared" si="3"/>
        <v>0.75803634777692652</v>
      </c>
      <c r="N18" s="406">
        <f t="shared" si="1"/>
        <v>-0.60000000000000153</v>
      </c>
      <c r="O18" s="406">
        <f t="shared" si="4"/>
        <v>0.27425311775007299</v>
      </c>
      <c r="P18" s="406">
        <f t="shared" si="1"/>
        <v>-1.9000000000000024</v>
      </c>
      <c r="Q18" s="406">
        <f t="shared" si="5"/>
        <v>2.871655981600163E-2</v>
      </c>
      <c r="R18" s="406">
        <f t="shared" si="1"/>
        <v>-3.2000000000000033</v>
      </c>
      <c r="S18" s="406">
        <f t="shared" si="6"/>
        <v>6.8713793791583949E-4</v>
      </c>
      <c r="AB18" s="1"/>
      <c r="AC18">
        <v>0.25</v>
      </c>
      <c r="AD18">
        <f t="shared" si="0"/>
        <v>0.38666811680284924</v>
      </c>
    </row>
    <row r="19" spans="2:30" ht="17" customHeight="1" thickBot="1" x14ac:dyDescent="0.4">
      <c r="B19" s="395"/>
      <c r="C19" s="395"/>
      <c r="D19" s="402"/>
      <c r="E19" s="401" t="s">
        <v>447</v>
      </c>
      <c r="F19" s="403"/>
      <c r="G19" s="401"/>
      <c r="H19" s="401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AB19" s="1"/>
      <c r="AC19">
        <v>0.5</v>
      </c>
      <c r="AD19">
        <f t="shared" si="0"/>
        <v>0.35206532676429952</v>
      </c>
    </row>
    <row r="20" spans="2:30" x14ac:dyDescent="0.35">
      <c r="B20" s="399">
        <v>1.2999999999999999E-3</v>
      </c>
      <c r="C20" s="399">
        <v>2.1399999999999999E-2</v>
      </c>
      <c r="D20" s="399">
        <v>0.13589999999999999</v>
      </c>
      <c r="E20" s="399">
        <v>0.64259999999999995</v>
      </c>
      <c r="F20" s="399">
        <v>0.13589999999999999</v>
      </c>
      <c r="G20" s="399">
        <v>2.1399999999999999E-2</v>
      </c>
      <c r="H20" s="399">
        <v>1.2999999999999999E-3</v>
      </c>
      <c r="AB20" s="1"/>
      <c r="AC20">
        <v>0.75</v>
      </c>
      <c r="AD20">
        <f t="shared" si="0"/>
        <v>0.30113743215480443</v>
      </c>
    </row>
    <row r="21" spans="2:30" x14ac:dyDescent="0.35">
      <c r="AB21" s="1" t="s">
        <v>441</v>
      </c>
      <c r="AC21">
        <v>1</v>
      </c>
      <c r="AD21">
        <f t="shared" si="0"/>
        <v>0.24197072451914337</v>
      </c>
    </row>
    <row r="22" spans="2:30" x14ac:dyDescent="0.35">
      <c r="H22" s="170"/>
      <c r="S22" s="170" t="s">
        <v>458</v>
      </c>
      <c r="AB22" s="1"/>
      <c r="AC22">
        <v>1.5</v>
      </c>
      <c r="AD22">
        <f t="shared" si="0"/>
        <v>0.12951759566589174</v>
      </c>
    </row>
    <row r="23" spans="2:30" x14ac:dyDescent="0.35">
      <c r="AB23" s="1"/>
      <c r="AC23">
        <v>1.75</v>
      </c>
      <c r="AD23">
        <f t="shared" si="0"/>
        <v>8.6277318826511532E-2</v>
      </c>
    </row>
    <row r="24" spans="2:30" x14ac:dyDescent="0.35">
      <c r="AB24" s="291" t="s">
        <v>442</v>
      </c>
      <c r="AC24">
        <v>2</v>
      </c>
      <c r="AD24">
        <f t="shared" si="0"/>
        <v>5.3990966513188063E-2</v>
      </c>
    </row>
    <row r="25" spans="2:30" x14ac:dyDescent="0.35">
      <c r="AB25" s="1"/>
      <c r="AC25">
        <v>2.25</v>
      </c>
      <c r="AD25">
        <f t="shared" si="0"/>
        <v>3.1739651835667418E-2</v>
      </c>
    </row>
    <row r="26" spans="2:30" x14ac:dyDescent="0.35">
      <c r="AB26" s="1"/>
      <c r="AC26">
        <v>2.5</v>
      </c>
      <c r="AD26">
        <f t="shared" si="0"/>
        <v>1.752830049356854E-2</v>
      </c>
    </row>
    <row r="27" spans="2:30" x14ac:dyDescent="0.35">
      <c r="AB27" s="1"/>
      <c r="AC27">
        <v>2.75</v>
      </c>
      <c r="AD27">
        <f t="shared" si="0"/>
        <v>9.0935625015910529E-3</v>
      </c>
    </row>
    <row r="28" spans="2:30" x14ac:dyDescent="0.35">
      <c r="AB28" s="291" t="s">
        <v>443</v>
      </c>
      <c r="AC28">
        <v>3</v>
      </c>
      <c r="AD28">
        <f t="shared" si="0"/>
        <v>4.4318484119380075E-3</v>
      </c>
    </row>
    <row r="29" spans="2:30" x14ac:dyDescent="0.35">
      <c r="AB29" s="1"/>
      <c r="AC29">
        <v>3.25</v>
      </c>
      <c r="AD29">
        <f t="shared" si="0"/>
        <v>2.0290480572997681E-3</v>
      </c>
    </row>
    <row r="30" spans="2:30" x14ac:dyDescent="0.35">
      <c r="AB30" s="1"/>
      <c r="AC30">
        <v>3.5</v>
      </c>
      <c r="AD30">
        <f t="shared" si="0"/>
        <v>8.7268269504576015E-4</v>
      </c>
    </row>
    <row r="31" spans="2:30" x14ac:dyDescent="0.35">
      <c r="AB31" s="1"/>
      <c r="AC31">
        <v>3.75</v>
      </c>
      <c r="AD31">
        <f t="shared" si="0"/>
        <v>3.5259568236744541E-4</v>
      </c>
    </row>
    <row r="32" spans="2:30" x14ac:dyDescent="0.35">
      <c r="AB32" s="291" t="s">
        <v>445</v>
      </c>
      <c r="AC32">
        <v>4</v>
      </c>
      <c r="AD32">
        <f t="shared" si="0"/>
        <v>1.3383022576488537E-4</v>
      </c>
    </row>
  </sheetData>
  <mergeCells count="1">
    <mergeCell ref="J4:S4"/>
  </mergeCells>
  <pageMargins left="0.7" right="0.7" top="0.75" bottom="0.75" header="0.3" footer="0.3"/>
  <pageSetup scale="9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20EB-2538-488B-924A-92EBDA2883CE}">
  <dimension ref="A1:I19"/>
  <sheetViews>
    <sheetView workbookViewId="0">
      <selection sqref="A1:I15"/>
    </sheetView>
  </sheetViews>
  <sheetFormatPr defaultRowHeight="14.5" x14ac:dyDescent="0.35"/>
  <cols>
    <col min="1" max="1" width="4.1796875" customWidth="1"/>
    <col min="2" max="2" width="9" customWidth="1"/>
    <col min="3" max="3" width="16.08984375" customWidth="1"/>
    <col min="4" max="4" width="5.7265625" style="14" customWidth="1"/>
    <col min="5" max="5" width="2.7265625" customWidth="1"/>
    <col min="6" max="6" width="8.26953125" customWidth="1"/>
    <col min="7" max="7" width="7.453125" customWidth="1"/>
    <col min="8" max="8" width="2.26953125" customWidth="1"/>
    <col min="9" max="9" width="46.26953125" customWidth="1"/>
    <col min="10" max="10" width="2.54296875" customWidth="1"/>
    <col min="11" max="11" width="16.54296875" customWidth="1"/>
    <col min="12" max="12" width="2.36328125" customWidth="1"/>
  </cols>
  <sheetData>
    <row r="1" spans="1:9" ht="20" x14ac:dyDescent="0.4">
      <c r="A1" s="429" t="s">
        <v>464</v>
      </c>
    </row>
    <row r="2" spans="1:9" ht="15.5" x14ac:dyDescent="0.35">
      <c r="A2" s="430" t="s">
        <v>460</v>
      </c>
    </row>
    <row r="3" spans="1:9" x14ac:dyDescent="0.35">
      <c r="A3" s="418" t="s">
        <v>389</v>
      </c>
      <c r="B3" s="419" t="s">
        <v>336</v>
      </c>
      <c r="C3" s="418" t="s">
        <v>390</v>
      </c>
      <c r="D3" s="418" t="s">
        <v>391</v>
      </c>
      <c r="E3" s="418" t="s">
        <v>392</v>
      </c>
      <c r="F3" s="418" t="s">
        <v>393</v>
      </c>
      <c r="G3" s="418" t="s">
        <v>394</v>
      </c>
      <c r="H3" s="418" t="s">
        <v>463</v>
      </c>
      <c r="I3" s="418" t="s">
        <v>70</v>
      </c>
    </row>
    <row r="4" spans="1:9" x14ac:dyDescent="0.35">
      <c r="A4" s="423">
        <f>ROW()</f>
        <v>4</v>
      </c>
    </row>
    <row r="5" spans="1:9" x14ac:dyDescent="0.35">
      <c r="A5" s="423">
        <f>ROW()</f>
        <v>5</v>
      </c>
      <c r="B5" s="381" t="s">
        <v>18</v>
      </c>
      <c r="C5" s="381"/>
      <c r="D5" s="427"/>
      <c r="F5" s="381" t="s">
        <v>17</v>
      </c>
      <c r="G5" s="381"/>
      <c r="I5" s="16" t="s">
        <v>199</v>
      </c>
    </row>
    <row r="6" spans="1:9" x14ac:dyDescent="0.35">
      <c r="A6" s="423">
        <f>ROW()</f>
        <v>6</v>
      </c>
    </row>
    <row r="7" spans="1:9" x14ac:dyDescent="0.35">
      <c r="A7" s="423">
        <f>ROW()</f>
        <v>7</v>
      </c>
      <c r="C7" s="1" t="s">
        <v>398</v>
      </c>
      <c r="D7" s="428">
        <v>0.4</v>
      </c>
      <c r="F7" s="1" t="s">
        <v>399</v>
      </c>
      <c r="G7" s="420">
        <f>(LN(D10/D11)+(D9-D12+(D7^2)/2)*D8)/(D7*SQRT(D8))</f>
        <v>0.32500000000000001</v>
      </c>
      <c r="I7" s="424" t="s">
        <v>710</v>
      </c>
    </row>
    <row r="8" spans="1:9" x14ac:dyDescent="0.35">
      <c r="A8" s="423">
        <f>ROW()</f>
        <v>8</v>
      </c>
      <c r="C8" s="1" t="s">
        <v>401</v>
      </c>
      <c r="D8" s="428">
        <v>1</v>
      </c>
      <c r="F8" s="1" t="s">
        <v>402</v>
      </c>
      <c r="G8" s="420">
        <f>+G7-D7*SQRT(D8)</f>
        <v>-7.5000000000000011E-2</v>
      </c>
      <c r="I8" s="424" t="s">
        <v>709</v>
      </c>
    </row>
    <row r="9" spans="1:9" x14ac:dyDescent="0.35">
      <c r="A9" s="423">
        <f>ROW()</f>
        <v>9</v>
      </c>
      <c r="C9" s="1" t="s">
        <v>403</v>
      </c>
      <c r="D9" s="428">
        <v>0.05</v>
      </c>
      <c r="F9" s="1" t="s">
        <v>404</v>
      </c>
      <c r="G9" s="420">
        <f>NORMSDIST(G7)</f>
        <v>0.62740946415328402</v>
      </c>
      <c r="I9" s="424" t="s">
        <v>708</v>
      </c>
    </row>
    <row r="10" spans="1:9" x14ac:dyDescent="0.35">
      <c r="A10" s="423">
        <f>ROW()</f>
        <v>10</v>
      </c>
      <c r="C10" s="1" t="s">
        <v>408</v>
      </c>
      <c r="D10" s="428">
        <v>70</v>
      </c>
      <c r="F10" s="1" t="s">
        <v>409</v>
      </c>
      <c r="G10" s="420">
        <f>NORMSDIST(G8)</f>
        <v>0.47010735594710523</v>
      </c>
      <c r="I10" s="424" t="s">
        <v>461</v>
      </c>
    </row>
    <row r="11" spans="1:9" x14ac:dyDescent="0.35">
      <c r="A11" s="423">
        <f>ROW()</f>
        <v>11</v>
      </c>
      <c r="C11" s="1" t="s">
        <v>360</v>
      </c>
      <c r="D11" s="428">
        <v>70</v>
      </c>
      <c r="G11" s="8" t="s">
        <v>411</v>
      </c>
      <c r="I11" s="425" t="s">
        <v>411</v>
      </c>
    </row>
    <row r="12" spans="1:9" x14ac:dyDescent="0.35">
      <c r="A12" s="423">
        <f>ROW()</f>
        <v>12</v>
      </c>
      <c r="C12" s="1" t="s">
        <v>413</v>
      </c>
      <c r="D12" s="428">
        <v>0</v>
      </c>
      <c r="F12" s="421" t="s">
        <v>354</v>
      </c>
      <c r="G12" s="422">
        <f>+D10*EXP(-D12*D8)*G9-D11*EXP(-D9*D8)*G10</f>
        <v>12.616066015151674</v>
      </c>
      <c r="I12" s="426" t="s">
        <v>707</v>
      </c>
    </row>
    <row r="13" spans="1:9" x14ac:dyDescent="0.35">
      <c r="A13" s="423">
        <f>ROW()</f>
        <v>13</v>
      </c>
    </row>
    <row r="15" spans="1:9" x14ac:dyDescent="0.35">
      <c r="I15" s="1" t="s">
        <v>465</v>
      </c>
    </row>
    <row r="19" spans="9:9" ht="21" x14ac:dyDescent="0.5">
      <c r="I19" s="530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2B35-3F9B-4E98-AB35-82E769BF50A7}">
  <dimension ref="A1:I15"/>
  <sheetViews>
    <sheetView workbookViewId="0">
      <selection activeCell="K7" sqref="K7"/>
    </sheetView>
  </sheetViews>
  <sheetFormatPr defaultRowHeight="14.5" x14ac:dyDescent="0.35"/>
  <cols>
    <col min="1" max="1" width="4.1796875" customWidth="1"/>
    <col min="2" max="2" width="9" customWidth="1"/>
    <col min="3" max="3" width="16.08984375" customWidth="1"/>
    <col min="4" max="4" width="5.7265625" style="14" customWidth="1"/>
    <col min="5" max="5" width="2.7265625" customWidth="1"/>
    <col min="6" max="6" width="8.26953125" customWidth="1"/>
    <col min="7" max="7" width="7.453125" customWidth="1"/>
    <col min="8" max="8" width="2.26953125" customWidth="1"/>
    <col min="9" max="9" width="46.26953125" customWidth="1"/>
    <col min="10" max="10" width="2.7265625" customWidth="1"/>
    <col min="11" max="11" width="16.54296875" customWidth="1"/>
    <col min="12" max="12" width="2.36328125" customWidth="1"/>
  </cols>
  <sheetData>
    <row r="1" spans="1:9" ht="20" x14ac:dyDescent="0.4">
      <c r="A1" s="429" t="s">
        <v>464</v>
      </c>
    </row>
    <row r="2" spans="1:9" ht="15.5" x14ac:dyDescent="0.35">
      <c r="A2" s="430" t="s">
        <v>466</v>
      </c>
    </row>
    <row r="3" spans="1:9" x14ac:dyDescent="0.35">
      <c r="A3" s="418" t="s">
        <v>389</v>
      </c>
      <c r="B3" s="419" t="s">
        <v>336</v>
      </c>
      <c r="C3" s="418" t="s">
        <v>390</v>
      </c>
      <c r="D3" s="418" t="s">
        <v>391</v>
      </c>
      <c r="E3" s="418" t="s">
        <v>392</v>
      </c>
      <c r="F3" s="418" t="s">
        <v>393</v>
      </c>
      <c r="G3" s="418" t="s">
        <v>394</v>
      </c>
      <c r="H3" s="418" t="s">
        <v>463</v>
      </c>
      <c r="I3" s="418" t="s">
        <v>70</v>
      </c>
    </row>
    <row r="4" spans="1:9" x14ac:dyDescent="0.35">
      <c r="A4" s="423">
        <f>ROW()</f>
        <v>4</v>
      </c>
    </row>
    <row r="5" spans="1:9" x14ac:dyDescent="0.35">
      <c r="A5" s="423">
        <f>ROW()</f>
        <v>5</v>
      </c>
      <c r="B5" s="381" t="s">
        <v>18</v>
      </c>
      <c r="C5" s="381"/>
      <c r="D5" s="427"/>
      <c r="F5" s="381" t="s">
        <v>17</v>
      </c>
      <c r="G5" s="381"/>
      <c r="I5" s="16" t="s">
        <v>199</v>
      </c>
    </row>
    <row r="6" spans="1:9" x14ac:dyDescent="0.35">
      <c r="A6" s="423">
        <f>ROW()</f>
        <v>6</v>
      </c>
    </row>
    <row r="7" spans="1:9" x14ac:dyDescent="0.35">
      <c r="A7" s="423">
        <f>ROW()</f>
        <v>7</v>
      </c>
      <c r="C7" s="1" t="s">
        <v>398</v>
      </c>
      <c r="D7" s="428">
        <v>0.4</v>
      </c>
      <c r="F7" s="1" t="s">
        <v>399</v>
      </c>
      <c r="G7" s="420">
        <f>(LN(D10/D11)+(D9-D12+(D7^2)/2)*D8)/(D7*SQRT(D8))</f>
        <v>0.22980970388562791</v>
      </c>
      <c r="I7" s="424" t="s">
        <v>710</v>
      </c>
    </row>
    <row r="8" spans="1:9" x14ac:dyDescent="0.35">
      <c r="A8" s="423">
        <f>ROW()</f>
        <v>8</v>
      </c>
      <c r="C8" s="1" t="s">
        <v>401</v>
      </c>
      <c r="D8" s="428">
        <v>0.5</v>
      </c>
      <c r="F8" s="1" t="s">
        <v>402</v>
      </c>
      <c r="G8" s="420">
        <f>+G7-D7*SQRT(D8)</f>
        <v>-5.3033008588991154E-2</v>
      </c>
      <c r="I8" s="424" t="s">
        <v>709</v>
      </c>
    </row>
    <row r="9" spans="1:9" x14ac:dyDescent="0.35">
      <c r="A9" s="423">
        <f>ROW()</f>
        <v>9</v>
      </c>
      <c r="C9" s="1" t="s">
        <v>403</v>
      </c>
      <c r="D9" s="428">
        <v>0.05</v>
      </c>
      <c r="F9" s="1" t="s">
        <v>404</v>
      </c>
      <c r="G9" s="420">
        <f>NORMSDIST(G7)</f>
        <v>0.59088017804431248</v>
      </c>
      <c r="I9" s="424" t="s">
        <v>708</v>
      </c>
    </row>
    <row r="10" spans="1:9" x14ac:dyDescent="0.35">
      <c r="A10" s="423">
        <f>ROW()</f>
        <v>10</v>
      </c>
      <c r="C10" s="1" t="s">
        <v>408</v>
      </c>
      <c r="D10" s="428">
        <v>110</v>
      </c>
      <c r="F10" s="1" t="s">
        <v>409</v>
      </c>
      <c r="G10" s="420">
        <f>NORMSDIST(G8)</f>
        <v>0.47885280382948187</v>
      </c>
      <c r="I10" s="424" t="s">
        <v>461</v>
      </c>
    </row>
    <row r="11" spans="1:9" x14ac:dyDescent="0.35">
      <c r="A11" s="423">
        <f>ROW()</f>
        <v>11</v>
      </c>
      <c r="C11" s="1" t="s">
        <v>360</v>
      </c>
      <c r="D11" s="428">
        <v>110</v>
      </c>
      <c r="G11" s="8" t="s">
        <v>411</v>
      </c>
      <c r="I11" s="425" t="s">
        <v>411</v>
      </c>
    </row>
    <row r="12" spans="1:9" x14ac:dyDescent="0.35">
      <c r="A12" s="423">
        <f>ROW()</f>
        <v>12</v>
      </c>
      <c r="C12" s="1" t="s">
        <v>413</v>
      </c>
      <c r="D12" s="428">
        <v>0</v>
      </c>
      <c r="F12" s="421" t="s">
        <v>435</v>
      </c>
      <c r="G12" s="422">
        <f>D11*EXP(-D9*D8)*(1-G10)-D10*EXP(-D12*D8)*(1-G9)</f>
        <v>10.907622450471194</v>
      </c>
      <c r="I12" s="426" t="s">
        <v>467</v>
      </c>
    </row>
    <row r="13" spans="1:9" x14ac:dyDescent="0.35">
      <c r="A13" s="423">
        <f>ROW()</f>
        <v>13</v>
      </c>
    </row>
    <row r="15" spans="1:9" x14ac:dyDescent="0.35">
      <c r="I15" s="1" t="s">
        <v>468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0160-C44B-4587-B27A-79E22C2A60D8}">
  <dimension ref="B1:N30"/>
  <sheetViews>
    <sheetView showGridLines="0" workbookViewId="0">
      <selection activeCell="I28" sqref="I28"/>
    </sheetView>
  </sheetViews>
  <sheetFormatPr defaultRowHeight="14.5" x14ac:dyDescent="0.35"/>
  <cols>
    <col min="1" max="1" width="2.81640625" customWidth="1"/>
    <col min="2" max="2" width="28.81640625" customWidth="1"/>
    <col min="7" max="7" width="5.6328125" customWidth="1"/>
    <col min="8" max="8" width="2.81640625" customWidth="1"/>
    <col min="9" max="9" width="29.54296875" customWidth="1"/>
    <col min="10" max="12" width="10.90625" customWidth="1"/>
    <col min="14" max="14" width="4.1796875" customWidth="1"/>
  </cols>
  <sheetData>
    <row r="1" spans="2:14" ht="20" x14ac:dyDescent="0.4">
      <c r="B1" s="429" t="s">
        <v>525</v>
      </c>
    </row>
    <row r="2" spans="2:14" x14ac:dyDescent="0.35">
      <c r="B2" s="481" t="s">
        <v>526</v>
      </c>
      <c r="I2" s="481" t="s">
        <v>527</v>
      </c>
    </row>
    <row r="3" spans="2:14" ht="65.75" customHeight="1" thickBot="1" x14ac:dyDescent="0.4">
      <c r="B3" s="432" t="s">
        <v>469</v>
      </c>
      <c r="C3" s="433" t="s">
        <v>470</v>
      </c>
      <c r="D3" s="433" t="s">
        <v>529</v>
      </c>
      <c r="E3" s="433" t="s">
        <v>528</v>
      </c>
      <c r="F3" s="434" t="s">
        <v>537</v>
      </c>
      <c r="G3" s="434" t="s">
        <v>462</v>
      </c>
      <c r="I3" s="432" t="s">
        <v>469</v>
      </c>
      <c r="J3" s="433" t="s">
        <v>471</v>
      </c>
      <c r="K3" s="433" t="s">
        <v>529</v>
      </c>
      <c r="L3" s="433" t="s">
        <v>528</v>
      </c>
      <c r="M3" s="434" t="s">
        <v>538</v>
      </c>
      <c r="N3" s="434" t="s">
        <v>462</v>
      </c>
    </row>
    <row r="4" spans="2:14" ht="15" thickTop="1" x14ac:dyDescent="0.35">
      <c r="B4" s="18" t="s">
        <v>472</v>
      </c>
      <c r="C4" s="2">
        <v>100</v>
      </c>
      <c r="F4" s="357"/>
      <c r="G4" s="357"/>
      <c r="I4" s="18" t="s">
        <v>472</v>
      </c>
      <c r="J4" s="2">
        <f>+C4</f>
        <v>100</v>
      </c>
      <c r="M4" s="357"/>
      <c r="N4" s="357"/>
    </row>
    <row r="5" spans="2:14" x14ac:dyDescent="0.35">
      <c r="B5" t="s">
        <v>473</v>
      </c>
      <c r="D5" s="435">
        <v>1.2</v>
      </c>
      <c r="E5" s="2">
        <f>+C4*D5</f>
        <v>120</v>
      </c>
      <c r="F5" s="436">
        <f>+E5-C9</f>
        <v>10</v>
      </c>
      <c r="G5" s="357"/>
      <c r="I5" t="s">
        <v>473</v>
      </c>
      <c r="K5" s="435">
        <v>1.2</v>
      </c>
      <c r="L5" s="2">
        <f>+J4*K5</f>
        <v>120</v>
      </c>
      <c r="M5" s="436">
        <v>0</v>
      </c>
      <c r="N5" s="357"/>
    </row>
    <row r="6" spans="2:14" x14ac:dyDescent="0.35">
      <c r="B6" t="s">
        <v>474</v>
      </c>
      <c r="D6" s="435">
        <v>0.9</v>
      </c>
      <c r="E6" s="437">
        <f>+C4*D6</f>
        <v>90</v>
      </c>
      <c r="F6" s="436">
        <v>0</v>
      </c>
      <c r="G6" s="357"/>
      <c r="I6" t="s">
        <v>474</v>
      </c>
      <c r="K6" s="435">
        <v>0.9</v>
      </c>
      <c r="L6" s="437">
        <f>+J4*K6</f>
        <v>90</v>
      </c>
      <c r="M6" s="436">
        <f>+J9-L6</f>
        <v>20</v>
      </c>
      <c r="N6" s="357"/>
    </row>
    <row r="7" spans="2:14" ht="15" thickBot="1" x14ac:dyDescent="0.4">
      <c r="B7" s="18" t="s">
        <v>475</v>
      </c>
      <c r="D7" s="14"/>
      <c r="E7" s="438">
        <f>+E5-E6</f>
        <v>30</v>
      </c>
      <c r="F7" s="438">
        <f>+F5-F6</f>
        <v>10</v>
      </c>
      <c r="G7" s="439">
        <f>+F7/E7</f>
        <v>0.33333333333333331</v>
      </c>
      <c r="I7" s="18" t="s">
        <v>476</v>
      </c>
      <c r="K7" s="14"/>
      <c r="L7" s="438">
        <f>+L5-L6</f>
        <v>30</v>
      </c>
      <c r="M7" s="440">
        <f>+M6-M5</f>
        <v>20</v>
      </c>
      <c r="N7" s="439">
        <f>+M7/L7</f>
        <v>0.66666666666666663</v>
      </c>
    </row>
    <row r="8" spans="2:14" ht="15" thickTop="1" x14ac:dyDescent="0.35"/>
    <row r="9" spans="2:14" x14ac:dyDescent="0.35">
      <c r="B9" s="18" t="s">
        <v>477</v>
      </c>
      <c r="C9" s="483">
        <v>110</v>
      </c>
      <c r="I9" s="18" t="s">
        <v>477</v>
      </c>
      <c r="J9" s="487">
        <f>+C9</f>
        <v>110</v>
      </c>
    </row>
    <row r="10" spans="2:14" x14ac:dyDescent="0.35">
      <c r="B10" t="s">
        <v>478</v>
      </c>
      <c r="C10" s="53">
        <v>1</v>
      </c>
      <c r="D10" t="s">
        <v>479</v>
      </c>
      <c r="I10" t="s">
        <v>478</v>
      </c>
      <c r="J10" s="170">
        <f>+C10</f>
        <v>1</v>
      </c>
      <c r="K10" t="s">
        <v>479</v>
      </c>
    </row>
    <row r="11" spans="2:14" x14ac:dyDescent="0.35">
      <c r="B11" s="18" t="s">
        <v>480</v>
      </c>
      <c r="C11" s="484">
        <v>0.05</v>
      </c>
      <c r="D11" t="s">
        <v>536</v>
      </c>
      <c r="I11" s="18" t="s">
        <v>480</v>
      </c>
      <c r="J11" s="488">
        <f>+C11</f>
        <v>0.05</v>
      </c>
      <c r="K11" t="s">
        <v>536</v>
      </c>
    </row>
    <row r="12" spans="2:14" x14ac:dyDescent="0.35">
      <c r="B12" s="379"/>
      <c r="C12" s="53"/>
      <c r="I12" s="379"/>
      <c r="J12" s="170"/>
    </row>
    <row r="13" spans="2:14" x14ac:dyDescent="0.35">
      <c r="B13" s="482" t="s">
        <v>533</v>
      </c>
      <c r="C13" s="342">
        <f>+E7</f>
        <v>30</v>
      </c>
      <c r="D13" s="8" t="s">
        <v>544</v>
      </c>
      <c r="I13" s="482" t="s">
        <v>533</v>
      </c>
      <c r="J13" s="489">
        <f>+L7</f>
        <v>30</v>
      </c>
      <c r="K13" s="8" t="s">
        <v>544</v>
      </c>
    </row>
    <row r="14" spans="2:14" x14ac:dyDescent="0.35">
      <c r="B14" s="482" t="s">
        <v>530</v>
      </c>
      <c r="C14" s="342">
        <f>+F7</f>
        <v>10</v>
      </c>
      <c r="D14" s="8" t="s">
        <v>545</v>
      </c>
      <c r="I14" s="482" t="s">
        <v>539</v>
      </c>
      <c r="J14" s="489">
        <f>+M7</f>
        <v>20</v>
      </c>
      <c r="K14" s="8" t="s">
        <v>545</v>
      </c>
    </row>
    <row r="15" spans="2:14" x14ac:dyDescent="0.35">
      <c r="B15" s="482" t="s">
        <v>531</v>
      </c>
      <c r="C15" s="485">
        <f>+G7</f>
        <v>0.33333333333333331</v>
      </c>
      <c r="D15" s="8" t="s">
        <v>547</v>
      </c>
      <c r="I15" s="482" t="s">
        <v>540</v>
      </c>
      <c r="J15" s="490">
        <f>+N7</f>
        <v>0.66666666666666663</v>
      </c>
      <c r="K15" s="8" t="s">
        <v>549</v>
      </c>
    </row>
    <row r="16" spans="2:14" x14ac:dyDescent="0.35">
      <c r="B16" s="12"/>
      <c r="C16" s="342"/>
      <c r="D16" s="8"/>
      <c r="J16" s="489"/>
      <c r="K16" s="8"/>
    </row>
    <row r="17" spans="2:14" x14ac:dyDescent="0.35">
      <c r="B17" s="482" t="s">
        <v>532</v>
      </c>
      <c r="C17" s="342">
        <f>+E6/(1+C11)^C10</f>
        <v>85.714285714285708</v>
      </c>
      <c r="D17" s="8" t="s">
        <v>546</v>
      </c>
      <c r="E17" s="4"/>
      <c r="I17" s="482" t="s">
        <v>541</v>
      </c>
      <c r="J17" s="489">
        <f>+L5/(1+J11)^J10</f>
        <v>114.28571428571428</v>
      </c>
      <c r="K17" s="8" t="s">
        <v>546</v>
      </c>
    </row>
    <row r="18" spans="2:14" x14ac:dyDescent="0.35">
      <c r="B18" s="482" t="s">
        <v>534</v>
      </c>
      <c r="C18" s="342">
        <f>+C4-C17</f>
        <v>14.285714285714292</v>
      </c>
      <c r="D18" s="8" t="s">
        <v>550</v>
      </c>
      <c r="I18" s="482" t="s">
        <v>542</v>
      </c>
      <c r="J18" s="489">
        <f>+J17-J4</f>
        <v>14.285714285714278</v>
      </c>
      <c r="K18" s="8" t="s">
        <v>551</v>
      </c>
    </row>
    <row r="19" spans="2:14" x14ac:dyDescent="0.35">
      <c r="B19" s="482" t="s">
        <v>535</v>
      </c>
      <c r="C19" s="342">
        <f>+C18*G7</f>
        <v>4.7619047619047636</v>
      </c>
      <c r="D19" s="8" t="s">
        <v>548</v>
      </c>
      <c r="I19" s="482" t="s">
        <v>543</v>
      </c>
      <c r="J19" s="489">
        <f>+J18*N7</f>
        <v>9.5238095238095184</v>
      </c>
      <c r="K19" s="8" t="s">
        <v>548</v>
      </c>
    </row>
    <row r="20" spans="2:14" ht="15" thickBot="1" x14ac:dyDescent="0.4">
      <c r="C20" s="342"/>
      <c r="D20" s="8"/>
      <c r="G20" s="4"/>
      <c r="J20" s="489"/>
    </row>
    <row r="21" spans="2:14" ht="15" thickBot="1" x14ac:dyDescent="0.4">
      <c r="B21" s="443" t="s">
        <v>481</v>
      </c>
      <c r="C21" s="444">
        <f>+C19</f>
        <v>4.7619047619047636</v>
      </c>
      <c r="D21" s="8"/>
      <c r="I21" s="443" t="s">
        <v>481</v>
      </c>
      <c r="J21" s="491">
        <f>+J19</f>
        <v>9.5238095238095184</v>
      </c>
    </row>
    <row r="22" spans="2:14" ht="15" thickBot="1" x14ac:dyDescent="0.4">
      <c r="C22" s="53"/>
      <c r="J22" s="170"/>
    </row>
    <row r="23" spans="2:14" ht="15" thickBot="1" x14ac:dyDescent="0.4">
      <c r="B23" s="445" t="s">
        <v>4</v>
      </c>
      <c r="C23" s="446">
        <f>+C9+C21</f>
        <v>114.76190476190476</v>
      </c>
      <c r="D23" t="s">
        <v>552</v>
      </c>
      <c r="I23" s="445" t="s">
        <v>4</v>
      </c>
      <c r="J23" s="492">
        <f>+J9-J21</f>
        <v>100.47619047619048</v>
      </c>
      <c r="K23" t="s">
        <v>553</v>
      </c>
    </row>
    <row r="24" spans="2:14" x14ac:dyDescent="0.35">
      <c r="B24" s="18" t="s">
        <v>482</v>
      </c>
      <c r="C24" s="342">
        <f>+C23-C4</f>
        <v>14.761904761904759</v>
      </c>
      <c r="D24" t="s">
        <v>554</v>
      </c>
      <c r="I24" s="18" t="s">
        <v>482</v>
      </c>
      <c r="J24" s="489">
        <f>+J23-J4</f>
        <v>0.4761904761904816</v>
      </c>
      <c r="K24" t="s">
        <v>556</v>
      </c>
    </row>
    <row r="25" spans="2:14" x14ac:dyDescent="0.35">
      <c r="B25" s="18" t="s">
        <v>483</v>
      </c>
      <c r="C25" s="486">
        <f>+C24/C4</f>
        <v>0.14761904761904759</v>
      </c>
      <c r="D25" t="s">
        <v>555</v>
      </c>
      <c r="I25" s="18" t="s">
        <v>483</v>
      </c>
      <c r="J25" s="493">
        <f>+J24/J4</f>
        <v>4.7619047619048161E-3</v>
      </c>
      <c r="K25" t="s">
        <v>555</v>
      </c>
    </row>
    <row r="26" spans="2:14" ht="15" thickBot="1" x14ac:dyDescent="0.4">
      <c r="H26" s="447"/>
    </row>
    <row r="27" spans="2:14" x14ac:dyDescent="0.35">
      <c r="B27" s="494" t="s">
        <v>558</v>
      </c>
      <c r="F27" s="1"/>
      <c r="G27" s="4"/>
    </row>
    <row r="28" spans="2:14" ht="15" thickBot="1" x14ac:dyDescent="0.4">
      <c r="B28" s="521">
        <f>+J9/(1+C11)-C4+C21</f>
        <v>9.5238095238095219</v>
      </c>
    </row>
    <row r="30" spans="2:14" x14ac:dyDescent="0.35">
      <c r="G30" s="1"/>
      <c r="N30" s="1" t="s">
        <v>557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BE34-93DB-45B7-B2BA-839A2F3A4A93}">
  <dimension ref="A1:H23"/>
  <sheetViews>
    <sheetView showGridLines="0" workbookViewId="0">
      <selection activeCell="I19" sqref="I19"/>
    </sheetView>
  </sheetViews>
  <sheetFormatPr defaultRowHeight="14.5" x14ac:dyDescent="0.35"/>
  <cols>
    <col min="1" max="1" width="4.1796875" customWidth="1"/>
    <col min="2" max="2" width="11.54296875" customWidth="1"/>
    <col min="3" max="3" width="26.36328125" customWidth="1"/>
    <col min="4" max="4" width="9.1796875" customWidth="1"/>
    <col min="5" max="5" width="9.90625" customWidth="1"/>
    <col min="6" max="6" width="10.08984375" customWidth="1"/>
    <col min="7" max="7" width="2.81640625" customWidth="1"/>
    <col min="8" max="8" width="29.54296875" customWidth="1"/>
    <col min="9" max="11" width="10.90625" customWidth="1"/>
  </cols>
  <sheetData>
    <row r="1" spans="1:8" ht="20" x14ac:dyDescent="0.4">
      <c r="B1" s="429" t="s">
        <v>525</v>
      </c>
    </row>
    <row r="2" spans="1:8" x14ac:dyDescent="0.35">
      <c r="B2" s="481" t="s">
        <v>485</v>
      </c>
      <c r="H2" s="481"/>
    </row>
    <row r="3" spans="1:8" ht="17.5" x14ac:dyDescent="0.35">
      <c r="A3" s="431"/>
    </row>
    <row r="4" spans="1:8" x14ac:dyDescent="0.35">
      <c r="B4" s="12" t="s">
        <v>566</v>
      </c>
      <c r="D4" s="1"/>
      <c r="F4" s="502">
        <v>5.25</v>
      </c>
    </row>
    <row r="5" spans="1:8" x14ac:dyDescent="0.35">
      <c r="B5" s="12" t="s">
        <v>572</v>
      </c>
      <c r="D5" s="1"/>
      <c r="F5" s="498">
        <v>4.76</v>
      </c>
    </row>
    <row r="6" spans="1:8" x14ac:dyDescent="0.35">
      <c r="B6" s="12" t="s">
        <v>567</v>
      </c>
      <c r="D6" s="1"/>
      <c r="F6" s="498">
        <v>100</v>
      </c>
    </row>
    <row r="7" spans="1:8" x14ac:dyDescent="0.35">
      <c r="B7" s="12" t="s">
        <v>568</v>
      </c>
      <c r="D7" s="1"/>
      <c r="F7" s="499">
        <v>0.33333333333333331</v>
      </c>
    </row>
    <row r="8" spans="1:8" x14ac:dyDescent="0.35">
      <c r="B8" s="12" t="s">
        <v>569</v>
      </c>
      <c r="D8" s="1"/>
      <c r="F8" s="498">
        <v>110</v>
      </c>
    </row>
    <row r="9" spans="1:8" x14ac:dyDescent="0.35">
      <c r="B9" s="12" t="s">
        <v>570</v>
      </c>
      <c r="D9" s="1"/>
      <c r="F9" s="500">
        <v>0.05</v>
      </c>
    </row>
    <row r="10" spans="1:8" x14ac:dyDescent="0.35">
      <c r="B10" s="12" t="s">
        <v>571</v>
      </c>
      <c r="D10" s="1"/>
      <c r="F10" s="501">
        <v>1</v>
      </c>
    </row>
    <row r="11" spans="1:8" x14ac:dyDescent="0.35">
      <c r="D11" s="501"/>
    </row>
    <row r="12" spans="1:8" x14ac:dyDescent="0.35">
      <c r="B12" s="427"/>
      <c r="C12" s="381"/>
      <c r="D12" s="427" t="s">
        <v>492</v>
      </c>
      <c r="E12" s="496" t="s">
        <v>562</v>
      </c>
      <c r="F12" s="496" t="s">
        <v>562</v>
      </c>
    </row>
    <row r="13" spans="1:8" x14ac:dyDescent="0.35">
      <c r="B13" s="495" t="s">
        <v>495</v>
      </c>
      <c r="C13" s="362" t="s">
        <v>496</v>
      </c>
      <c r="D13" s="382" t="s">
        <v>497</v>
      </c>
      <c r="E13" s="497">
        <v>90</v>
      </c>
      <c r="F13" s="497">
        <v>120</v>
      </c>
    </row>
    <row r="14" spans="1:8" x14ac:dyDescent="0.35">
      <c r="B14" s="12" t="s">
        <v>498</v>
      </c>
      <c r="C14" t="s">
        <v>559</v>
      </c>
      <c r="D14" s="66">
        <f>+F4/F7</f>
        <v>15.75</v>
      </c>
      <c r="E14" s="66">
        <v>0</v>
      </c>
      <c r="F14" s="66">
        <f>-(F13-F8)/F7</f>
        <v>-30</v>
      </c>
    </row>
    <row r="15" spans="1:8" x14ac:dyDescent="0.35">
      <c r="B15" s="12" t="s">
        <v>500</v>
      </c>
      <c r="C15" t="s">
        <v>560</v>
      </c>
      <c r="D15" s="66">
        <f>-F6</f>
        <v>-100</v>
      </c>
      <c r="E15" s="66">
        <f>+E13</f>
        <v>90</v>
      </c>
      <c r="F15" s="66">
        <f>+F13</f>
        <v>120</v>
      </c>
    </row>
    <row r="16" spans="1:8" x14ac:dyDescent="0.35">
      <c r="B16" s="12" t="s">
        <v>502</v>
      </c>
      <c r="C16" t="s">
        <v>561</v>
      </c>
      <c r="D16" s="464">
        <f>-D15-D14</f>
        <v>84.25</v>
      </c>
      <c r="E16" s="437">
        <f>-(+D16*(1+F9)^F10)</f>
        <v>-88.462500000000006</v>
      </c>
      <c r="F16" s="437">
        <f>+E16</f>
        <v>-88.462500000000006</v>
      </c>
    </row>
    <row r="17" spans="2:6" ht="15" thickBot="1" x14ac:dyDescent="0.4">
      <c r="B17" s="381" t="s">
        <v>505</v>
      </c>
      <c r="C17" s="381"/>
      <c r="D17" s="467">
        <f>+D14+D15+D16</f>
        <v>0</v>
      </c>
      <c r="E17" s="467">
        <f>SUM(E14:E16)</f>
        <v>1.5374999999999943</v>
      </c>
      <c r="F17" s="467">
        <f>SUM(F14:F16)</f>
        <v>1.5374999999999943</v>
      </c>
    </row>
    <row r="18" spans="2:6" ht="15" thickTop="1" x14ac:dyDescent="0.35">
      <c r="B18" t="s">
        <v>456</v>
      </c>
      <c r="D18" s="66"/>
      <c r="E18" s="66">
        <f>+E17/((1+F9)^F10)</f>
        <v>1.4642857142857089</v>
      </c>
      <c r="F18" s="66">
        <f>+E18</f>
        <v>1.4642857142857089</v>
      </c>
    </row>
    <row r="19" spans="2:6" x14ac:dyDescent="0.35">
      <c r="B19" t="s">
        <v>564</v>
      </c>
      <c r="E19" s="66">
        <f>+E18*F7</f>
        <v>0.48809523809523625</v>
      </c>
      <c r="F19" s="66">
        <f>+F18*F7</f>
        <v>0.48809523809523625</v>
      </c>
    </row>
    <row r="21" spans="2:6" x14ac:dyDescent="0.35">
      <c r="E21" s="1" t="s">
        <v>563</v>
      </c>
      <c r="F21" s="4">
        <f>+F19</f>
        <v>0.48809523809523625</v>
      </c>
    </row>
    <row r="23" spans="2:6" x14ac:dyDescent="0.35">
      <c r="F23" t="s">
        <v>565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46BE-1863-427B-9856-8D8071D23134}">
  <sheetPr>
    <pageSetUpPr fitToPage="1"/>
  </sheetPr>
  <dimension ref="B1:W98"/>
  <sheetViews>
    <sheetView zoomScale="120" zoomScaleNormal="120" workbookViewId="0">
      <selection activeCell="G18" sqref="G18"/>
    </sheetView>
  </sheetViews>
  <sheetFormatPr defaultRowHeight="14.5" x14ac:dyDescent="0.35"/>
  <cols>
    <col min="1" max="1" width="2.81640625" customWidth="1"/>
    <col min="3" max="3" width="10.54296875" customWidth="1"/>
    <col min="8" max="8" width="7.36328125" customWidth="1"/>
    <col min="9" max="9" width="2.36328125" customWidth="1"/>
    <col min="10" max="10" width="10.7265625" customWidth="1"/>
    <col min="11" max="11" width="32.1796875" customWidth="1"/>
    <col min="12" max="12" width="7.453125" style="14" customWidth="1"/>
    <col min="13" max="13" width="6.36328125" style="14" customWidth="1"/>
    <col min="14" max="14" width="8.81640625" style="527" customWidth="1"/>
    <col min="15" max="15" width="7.90625" style="14" bestFit="1" customWidth="1"/>
    <col min="16" max="16" width="3.36328125" customWidth="1"/>
    <col min="17" max="17" width="8.90625" style="527"/>
    <col min="18" max="18" width="7.36328125" bestFit="1" customWidth="1"/>
    <col min="19" max="19" width="8.6328125" bestFit="1" customWidth="1"/>
    <col min="20" max="20" width="8.81640625" style="529" bestFit="1" customWidth="1"/>
    <col min="21" max="21" width="10" customWidth="1"/>
    <col min="22" max="22" width="8.90625" customWidth="1"/>
  </cols>
  <sheetData>
    <row r="1" spans="2:23" ht="18.5" x14ac:dyDescent="0.45">
      <c r="B1" s="597" t="s">
        <v>637</v>
      </c>
      <c r="E1" s="613">
        <v>43881</v>
      </c>
      <c r="F1" s="614" t="s">
        <v>589</v>
      </c>
      <c r="G1" s="614"/>
    </row>
    <row r="2" spans="2:23" ht="8" customHeight="1" thickBot="1" x14ac:dyDescent="0.4"/>
    <row r="3" spans="2:23" s="601" customFormat="1" ht="18" customHeight="1" x14ac:dyDescent="0.35">
      <c r="B3" s="600" t="s">
        <v>19</v>
      </c>
      <c r="C3" s="759" t="s">
        <v>46</v>
      </c>
      <c r="D3" s="760"/>
      <c r="E3" s="761"/>
      <c r="F3" s="759" t="s">
        <v>45</v>
      </c>
      <c r="G3" s="760"/>
      <c r="H3" s="761"/>
      <c r="J3" s="602" t="s">
        <v>18</v>
      </c>
      <c r="K3" s="77"/>
      <c r="L3" s="603"/>
      <c r="M3" s="603"/>
      <c r="N3" s="604"/>
      <c r="O3" s="603"/>
      <c r="P3"/>
      <c r="Q3" s="604" t="s">
        <v>17</v>
      </c>
      <c r="R3" s="77"/>
      <c r="S3" s="77"/>
      <c r="T3" s="605"/>
      <c r="U3" s="605"/>
      <c r="V3" s="605"/>
    </row>
    <row r="4" spans="2:23" ht="46" customHeight="1" x14ac:dyDescent="0.35"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J4" s="80" t="s">
        <v>640</v>
      </c>
      <c r="K4" s="609" t="s">
        <v>641</v>
      </c>
      <c r="L4" s="609" t="s">
        <v>441</v>
      </c>
      <c r="M4" s="609"/>
      <c r="N4" s="610" t="s">
        <v>587</v>
      </c>
      <c r="O4" s="609" t="s">
        <v>588</v>
      </c>
      <c r="Q4" s="610" t="s">
        <v>6</v>
      </c>
      <c r="R4" s="609" t="s">
        <v>7</v>
      </c>
      <c r="S4" s="609" t="s">
        <v>5</v>
      </c>
      <c r="T4" s="611" t="s">
        <v>68</v>
      </c>
      <c r="U4" s="612" t="s">
        <v>638</v>
      </c>
      <c r="V4" s="612" t="s">
        <v>639</v>
      </c>
      <c r="W4" s="596"/>
    </row>
    <row r="5" spans="2:23" x14ac:dyDescent="0.35">
      <c r="B5" s="63">
        <v>150</v>
      </c>
      <c r="C5" s="61">
        <v>20</v>
      </c>
      <c r="D5" s="20">
        <v>21.5</v>
      </c>
      <c r="E5" s="224">
        <v>23</v>
      </c>
      <c r="F5" s="524">
        <v>3</v>
      </c>
      <c r="G5" s="525">
        <v>3.5</v>
      </c>
      <c r="H5" s="526">
        <v>4.45</v>
      </c>
      <c r="J5" s="598" t="s">
        <v>642</v>
      </c>
      <c r="K5" s="598" t="s">
        <v>644</v>
      </c>
      <c r="L5" s="615">
        <v>150</v>
      </c>
      <c r="M5" s="615"/>
      <c r="N5" s="619">
        <v>-20</v>
      </c>
      <c r="O5" s="615">
        <v>180</v>
      </c>
      <c r="P5" s="616"/>
      <c r="Q5" s="629">
        <f>+O5-L5</f>
        <v>30</v>
      </c>
      <c r="R5" s="629">
        <f>+Q5+N5</f>
        <v>10</v>
      </c>
      <c r="S5" s="629">
        <f>+L5-N5</f>
        <v>170</v>
      </c>
      <c r="T5" s="630">
        <f>+R5/-N5</f>
        <v>0.5</v>
      </c>
      <c r="U5" s="631" t="s">
        <v>650</v>
      </c>
      <c r="V5" s="629">
        <v>20</v>
      </c>
    </row>
    <row r="6" spans="2:23" x14ac:dyDescent="0.35">
      <c r="B6" s="63">
        <v>155</v>
      </c>
      <c r="C6" s="20">
        <v>15.5</v>
      </c>
      <c r="D6" s="20">
        <v>16.25</v>
      </c>
      <c r="E6" s="685">
        <v>17.75</v>
      </c>
      <c r="F6" s="524">
        <v>4.0999999999999996</v>
      </c>
      <c r="G6" s="224">
        <v>4.9000000000000004</v>
      </c>
      <c r="H6" s="526">
        <v>5.9</v>
      </c>
      <c r="J6" s="599" t="s">
        <v>642</v>
      </c>
      <c r="K6" s="599" t="s">
        <v>645</v>
      </c>
      <c r="L6" s="617">
        <v>155</v>
      </c>
      <c r="M6" s="617"/>
      <c r="N6" s="620">
        <v>-16.25</v>
      </c>
      <c r="O6" s="617">
        <v>170</v>
      </c>
      <c r="P6" s="616"/>
      <c r="Q6" s="632">
        <f>+O6-L6</f>
        <v>15</v>
      </c>
      <c r="R6" s="632">
        <f>+Q6+N6</f>
        <v>-1.25</v>
      </c>
      <c r="S6" s="632">
        <f>+L6-N6</f>
        <v>171.25</v>
      </c>
      <c r="T6" s="633">
        <f>+R6/-N6</f>
        <v>-7.6923076923076927E-2</v>
      </c>
      <c r="U6" s="631" t="s">
        <v>650</v>
      </c>
      <c r="V6" s="629">
        <f>-N6</f>
        <v>16.25</v>
      </c>
    </row>
    <row r="7" spans="2:23" x14ac:dyDescent="0.35">
      <c r="B7" s="63">
        <v>160</v>
      </c>
      <c r="C7" s="61">
        <v>12.5</v>
      </c>
      <c r="D7" s="20">
        <v>12.85</v>
      </c>
      <c r="E7" s="224">
        <v>13.5</v>
      </c>
      <c r="F7" s="524">
        <v>5.3</v>
      </c>
      <c r="G7" s="525">
        <v>6</v>
      </c>
      <c r="H7" s="526">
        <v>6.8</v>
      </c>
      <c r="J7" s="599" t="s">
        <v>642</v>
      </c>
      <c r="K7" s="599" t="s">
        <v>646</v>
      </c>
      <c r="L7" s="617">
        <v>150</v>
      </c>
      <c r="M7" s="617"/>
      <c r="N7" s="620">
        <v>-3</v>
      </c>
      <c r="O7" s="617">
        <v>140</v>
      </c>
      <c r="P7" s="616"/>
      <c r="Q7" s="632">
        <f>+L7-O7</f>
        <v>10</v>
      </c>
      <c r="R7" s="632">
        <f>+Q7+N7</f>
        <v>7</v>
      </c>
      <c r="S7" s="632">
        <f>+L7+N7</f>
        <v>147</v>
      </c>
      <c r="T7" s="633">
        <f>+R7/-N7</f>
        <v>2.3333333333333335</v>
      </c>
      <c r="U7" s="632">
        <v>147</v>
      </c>
      <c r="V7" s="632">
        <f>-N7</f>
        <v>3</v>
      </c>
    </row>
    <row r="8" spans="2:23" x14ac:dyDescent="0.35">
      <c r="B8" s="63">
        <v>165</v>
      </c>
      <c r="C8" s="20">
        <v>8.1</v>
      </c>
      <c r="D8" s="20">
        <v>9</v>
      </c>
      <c r="E8" s="685">
        <v>10.65</v>
      </c>
      <c r="F8" s="524">
        <v>7</v>
      </c>
      <c r="G8" s="224">
        <v>8</v>
      </c>
      <c r="H8" s="526">
        <v>9.1999999999999993</v>
      </c>
      <c r="J8" s="599" t="s">
        <v>642</v>
      </c>
      <c r="K8" s="599" t="s">
        <v>647</v>
      </c>
      <c r="L8" s="617">
        <v>170</v>
      </c>
      <c r="M8" s="617"/>
      <c r="N8" s="620">
        <v>-12.45</v>
      </c>
      <c r="O8" s="617">
        <v>165</v>
      </c>
      <c r="P8" s="616"/>
      <c r="Q8" s="632">
        <f>+L8-O8</f>
        <v>5</v>
      </c>
      <c r="R8" s="632">
        <f>+Q8+N8</f>
        <v>-7.4499999999999993</v>
      </c>
      <c r="S8" s="632">
        <f>+L8+N8</f>
        <v>157.55000000000001</v>
      </c>
      <c r="T8" s="633">
        <f>+R8/-N8</f>
        <v>-0.59839357429718876</v>
      </c>
      <c r="U8" s="632">
        <f>+L8+N8</f>
        <v>157.55000000000001</v>
      </c>
      <c r="V8" s="632">
        <f>-N8</f>
        <v>12.45</v>
      </c>
    </row>
    <row r="9" spans="2:23" x14ac:dyDescent="0.35">
      <c r="B9" s="63">
        <v>170</v>
      </c>
      <c r="C9" s="20">
        <v>5.2</v>
      </c>
      <c r="D9" s="20">
        <v>6.3</v>
      </c>
      <c r="E9" s="224">
        <v>8.5</v>
      </c>
      <c r="F9" s="524">
        <v>9.4</v>
      </c>
      <c r="G9" s="525">
        <v>10.75</v>
      </c>
      <c r="H9" s="526">
        <v>12.45</v>
      </c>
      <c r="J9" s="599" t="s">
        <v>643</v>
      </c>
      <c r="K9" s="599" t="s">
        <v>648</v>
      </c>
      <c r="L9" s="617">
        <v>180</v>
      </c>
      <c r="M9" s="617"/>
      <c r="N9" s="620">
        <v>4.45</v>
      </c>
      <c r="O9" s="617">
        <v>190</v>
      </c>
      <c r="P9" s="616"/>
      <c r="Q9" s="632">
        <f>+L9-O9</f>
        <v>-10</v>
      </c>
      <c r="R9" s="632">
        <f>+Q9+N9</f>
        <v>-5.55</v>
      </c>
      <c r="S9" s="632">
        <f>+L9+N9</f>
        <v>184.45</v>
      </c>
      <c r="T9" s="633" t="s">
        <v>651</v>
      </c>
      <c r="U9" s="632">
        <f>+N9</f>
        <v>4.45</v>
      </c>
      <c r="V9" s="632" t="s">
        <v>650</v>
      </c>
    </row>
    <row r="10" spans="2:23" x14ac:dyDescent="0.35">
      <c r="B10" s="63">
        <v>175</v>
      </c>
      <c r="C10" s="20">
        <v>3.25</v>
      </c>
      <c r="D10" s="20">
        <v>4.25</v>
      </c>
      <c r="E10" s="685">
        <v>5.75</v>
      </c>
      <c r="F10" s="524">
        <v>13</v>
      </c>
      <c r="G10" s="525">
        <v>14.3</v>
      </c>
      <c r="H10" s="526">
        <v>14.2</v>
      </c>
      <c r="J10" s="599" t="s">
        <v>643</v>
      </c>
      <c r="K10" s="599" t="s">
        <v>645</v>
      </c>
      <c r="L10" s="617">
        <v>165</v>
      </c>
      <c r="M10" s="617"/>
      <c r="N10" s="620">
        <v>9</v>
      </c>
      <c r="O10" s="617">
        <v>160</v>
      </c>
      <c r="P10" s="616"/>
      <c r="Q10" s="632">
        <v>0</v>
      </c>
      <c r="R10" s="632">
        <f>+N10</f>
        <v>9</v>
      </c>
      <c r="S10" s="632">
        <f>+L10+N10</f>
        <v>174</v>
      </c>
      <c r="T10" s="633" t="s">
        <v>651</v>
      </c>
      <c r="U10" s="632">
        <f>+N10</f>
        <v>9</v>
      </c>
      <c r="V10" s="632" t="s">
        <v>650</v>
      </c>
    </row>
    <row r="11" spans="2:23" x14ac:dyDescent="0.35">
      <c r="B11" s="63">
        <v>180</v>
      </c>
      <c r="C11" s="20">
        <v>2.5</v>
      </c>
      <c r="D11" s="20">
        <v>3.4</v>
      </c>
      <c r="E11" s="685">
        <v>4.45</v>
      </c>
      <c r="F11" s="524">
        <v>15</v>
      </c>
      <c r="G11" s="525">
        <v>16.100000000000001</v>
      </c>
      <c r="H11" s="526">
        <v>17.75</v>
      </c>
      <c r="J11" s="599" t="s">
        <v>643</v>
      </c>
      <c r="K11" s="599" t="s">
        <v>646</v>
      </c>
      <c r="L11" s="617">
        <v>180</v>
      </c>
      <c r="M11" s="617"/>
      <c r="N11" s="620">
        <v>15</v>
      </c>
      <c r="O11" s="617">
        <v>170</v>
      </c>
      <c r="P11" s="616"/>
      <c r="Q11" s="632">
        <v>-10</v>
      </c>
      <c r="R11" s="632">
        <f>+Q11+N11</f>
        <v>5</v>
      </c>
      <c r="S11" s="632">
        <f>+L11-N11</f>
        <v>165</v>
      </c>
      <c r="T11" s="633" t="s">
        <v>651</v>
      </c>
      <c r="U11" s="632">
        <f>+N11</f>
        <v>15</v>
      </c>
      <c r="V11" s="632">
        <f>+L11-N11</f>
        <v>165</v>
      </c>
    </row>
    <row r="12" spans="2:23" x14ac:dyDescent="0.35">
      <c r="J12" s="599" t="s">
        <v>643</v>
      </c>
      <c r="K12" s="599" t="s">
        <v>649</v>
      </c>
      <c r="L12" s="617">
        <v>165</v>
      </c>
      <c r="M12" s="617"/>
      <c r="N12" s="620">
        <v>8</v>
      </c>
      <c r="O12" s="617">
        <v>166</v>
      </c>
      <c r="P12" s="616"/>
      <c r="Q12" s="632">
        <v>0</v>
      </c>
      <c r="R12" s="632">
        <f>+N12</f>
        <v>8</v>
      </c>
      <c r="S12" s="632">
        <f>+L12-N12</f>
        <v>157</v>
      </c>
      <c r="T12" s="633" t="s">
        <v>651</v>
      </c>
      <c r="U12" s="632">
        <f>+N12</f>
        <v>8</v>
      </c>
      <c r="V12" s="632">
        <f>+L12-N12</f>
        <v>157</v>
      </c>
    </row>
    <row r="13" spans="2:23" s="319" customFormat="1" ht="15" customHeight="1" x14ac:dyDescent="0.35">
      <c r="B13" s="607" t="s">
        <v>199</v>
      </c>
      <c r="C13" s="608"/>
      <c r="D13" s="608"/>
      <c r="E13" s="608"/>
      <c r="F13" s="608"/>
      <c r="G13" s="608"/>
      <c r="H13" s="608"/>
      <c r="J13" s="87" t="s">
        <v>642</v>
      </c>
      <c r="K13" s="87" t="s">
        <v>652</v>
      </c>
      <c r="L13" s="618">
        <v>170</v>
      </c>
      <c r="M13" s="618"/>
      <c r="N13" s="621">
        <f>-(E9+H9)</f>
        <v>-20.95</v>
      </c>
      <c r="O13" s="618">
        <v>130</v>
      </c>
      <c r="P13" s="616"/>
      <c r="Q13" s="634">
        <f>+L13-O13</f>
        <v>40</v>
      </c>
      <c r="R13" s="634">
        <f>+Q13+N13</f>
        <v>19.05</v>
      </c>
      <c r="S13" s="635" t="s">
        <v>654</v>
      </c>
      <c r="T13" s="636">
        <f>+R13/-N13</f>
        <v>0.90930787589498818</v>
      </c>
      <c r="U13" s="637" t="s">
        <v>650</v>
      </c>
      <c r="V13" s="634">
        <f>-N13</f>
        <v>20.95</v>
      </c>
    </row>
    <row r="14" spans="2:23" x14ac:dyDescent="0.35">
      <c r="B14" s="53" t="s">
        <v>590</v>
      </c>
      <c r="J14" s="599" t="s">
        <v>643</v>
      </c>
      <c r="K14" s="599" t="s">
        <v>653</v>
      </c>
      <c r="L14" s="617">
        <v>175</v>
      </c>
      <c r="M14" s="617"/>
      <c r="N14" s="620">
        <f>+D10+G10</f>
        <v>18.55</v>
      </c>
      <c r="O14" s="617">
        <v>190</v>
      </c>
      <c r="P14" s="616"/>
      <c r="Q14" s="632">
        <f>+L14-O14</f>
        <v>-15</v>
      </c>
      <c r="R14" s="632">
        <f>+Q14+N14</f>
        <v>3.5500000000000007</v>
      </c>
      <c r="S14" s="635" t="s">
        <v>655</v>
      </c>
      <c r="T14" s="633" t="s">
        <v>651</v>
      </c>
      <c r="U14" s="632">
        <f>+N14</f>
        <v>18.55</v>
      </c>
      <c r="V14" s="632" t="s">
        <v>650</v>
      </c>
    </row>
    <row r="15" spans="2:23" x14ac:dyDescent="0.35">
      <c r="B15" s="53" t="s">
        <v>591</v>
      </c>
      <c r="L15"/>
      <c r="M15"/>
      <c r="N15"/>
      <c r="O15"/>
      <c r="Q15"/>
      <c r="R15" s="528"/>
      <c r="S15" s="528"/>
      <c r="T15"/>
      <c r="V15" s="528"/>
    </row>
    <row r="16" spans="2:23" ht="29" x14ac:dyDescent="0.35">
      <c r="B16" s="598"/>
      <c r="C16" s="598"/>
      <c r="D16" s="598"/>
      <c r="E16" s="598"/>
      <c r="F16" s="598"/>
      <c r="G16" s="598"/>
      <c r="H16" s="598"/>
      <c r="J16" s="638" t="s">
        <v>656</v>
      </c>
      <c r="K16" s="639"/>
      <c r="L16" s="609" t="s">
        <v>441</v>
      </c>
      <c r="M16" s="639"/>
      <c r="N16" s="610" t="s">
        <v>587</v>
      </c>
      <c r="O16" s="609" t="s">
        <v>588</v>
      </c>
      <c r="P16" s="622"/>
      <c r="Q16" s="610" t="s">
        <v>6</v>
      </c>
      <c r="R16" s="609" t="s">
        <v>7</v>
      </c>
      <c r="S16" s="609" t="s">
        <v>5</v>
      </c>
      <c r="T16" s="611" t="s">
        <v>68</v>
      </c>
      <c r="U16" s="612" t="s">
        <v>638</v>
      </c>
      <c r="V16" s="612" t="s">
        <v>639</v>
      </c>
      <c r="W16" s="622"/>
    </row>
    <row r="17" spans="2:23" x14ac:dyDescent="0.35">
      <c r="B17" s="53" t="s">
        <v>592</v>
      </c>
      <c r="C17" s="1"/>
      <c r="J17" s="639"/>
      <c r="K17" s="337" t="s">
        <v>702</v>
      </c>
      <c r="L17" s="639">
        <v>150</v>
      </c>
      <c r="M17" s="639" t="s">
        <v>586</v>
      </c>
      <c r="N17" s="640">
        <v>-20</v>
      </c>
      <c r="O17" s="680">
        <v>100</v>
      </c>
      <c r="P17" s="622"/>
      <c r="Q17" s="640">
        <f>MAX(0,O17-L17)</f>
        <v>0</v>
      </c>
      <c r="R17" s="640"/>
      <c r="S17" s="640"/>
      <c r="T17" s="639"/>
      <c r="U17" s="639"/>
      <c r="V17" s="640"/>
      <c r="W17" s="622"/>
    </row>
    <row r="18" spans="2:23" x14ac:dyDescent="0.35">
      <c r="B18" t="s">
        <v>593</v>
      </c>
      <c r="C18" s="1"/>
      <c r="J18" s="639" t="s">
        <v>496</v>
      </c>
      <c r="K18" s="639" t="s">
        <v>678</v>
      </c>
      <c r="L18" s="639">
        <v>160</v>
      </c>
      <c r="M18" s="639" t="s">
        <v>601</v>
      </c>
      <c r="N18" s="640">
        <v>12.5</v>
      </c>
      <c r="O18" s="680">
        <v>100</v>
      </c>
      <c r="P18" s="622"/>
      <c r="Q18" s="640">
        <f>-MAX(0,O18-L18)</f>
        <v>0</v>
      </c>
      <c r="R18" s="640"/>
      <c r="S18" s="640"/>
      <c r="T18" s="639"/>
      <c r="U18" s="639"/>
      <c r="V18" s="640"/>
      <c r="W18" s="622"/>
    </row>
    <row r="19" spans="2:23" x14ac:dyDescent="0.35">
      <c r="B19" t="s">
        <v>594</v>
      </c>
      <c r="C19" s="1"/>
      <c r="J19" s="639"/>
      <c r="K19" s="639"/>
      <c r="L19" s="639"/>
      <c r="M19" s="639"/>
      <c r="N19" s="640">
        <f>+N17+N18</f>
        <v>-7.5</v>
      </c>
      <c r="O19" s="681"/>
      <c r="P19" s="622"/>
      <c r="Q19" s="640">
        <f>+Q18+Q17</f>
        <v>0</v>
      </c>
      <c r="R19" s="640">
        <f>+Q19+N19</f>
        <v>-7.5</v>
      </c>
      <c r="S19" s="640">
        <f>+L17-N19</f>
        <v>157.5</v>
      </c>
      <c r="T19" s="641">
        <f>+R19/-N19</f>
        <v>-1</v>
      </c>
      <c r="U19" s="640">
        <v>2.5</v>
      </c>
      <c r="V19" s="640">
        <f>+N19</f>
        <v>-7.5</v>
      </c>
      <c r="W19" s="622"/>
    </row>
    <row r="20" spans="2:23" x14ac:dyDescent="0.35">
      <c r="C20" s="1"/>
      <c r="J20" s="642"/>
      <c r="K20" s="643" t="s">
        <v>703</v>
      </c>
      <c r="L20" s="642">
        <v>150</v>
      </c>
      <c r="M20" s="642" t="s">
        <v>601</v>
      </c>
      <c r="N20" s="644">
        <f>+H5</f>
        <v>4.45</v>
      </c>
      <c r="O20" s="680">
        <v>40</v>
      </c>
      <c r="P20" s="622"/>
      <c r="Q20" s="644">
        <f>-MAX(0,L20-O20)</f>
        <v>-110</v>
      </c>
      <c r="R20" s="625"/>
      <c r="S20" s="625"/>
      <c r="T20" s="624"/>
      <c r="U20" s="624"/>
      <c r="V20" s="625"/>
      <c r="W20" s="622"/>
    </row>
    <row r="21" spans="2:23" x14ac:dyDescent="0.35">
      <c r="B21" t="s">
        <v>595</v>
      </c>
      <c r="C21" s="1"/>
      <c r="J21" s="639"/>
      <c r="K21" s="639" t="s">
        <v>657</v>
      </c>
      <c r="L21" s="639">
        <v>180</v>
      </c>
      <c r="M21" s="639" t="s">
        <v>586</v>
      </c>
      <c r="N21" s="640">
        <f>-H11</f>
        <v>-17.75</v>
      </c>
      <c r="O21" s="680">
        <v>40</v>
      </c>
      <c r="P21" s="622"/>
      <c r="Q21" s="640">
        <f>MAX(0,L21-O21)</f>
        <v>140</v>
      </c>
      <c r="R21" s="623"/>
      <c r="S21" s="623"/>
      <c r="T21" s="622"/>
      <c r="U21" s="622"/>
      <c r="V21" s="623"/>
      <c r="W21" s="622"/>
    </row>
    <row r="22" spans="2:23" x14ac:dyDescent="0.35">
      <c r="B22" s="598" t="s">
        <v>596</v>
      </c>
      <c r="C22" s="606"/>
      <c r="D22" s="598"/>
      <c r="E22" s="598"/>
      <c r="F22" s="598"/>
      <c r="G22" s="598"/>
      <c r="H22" s="598"/>
      <c r="J22" s="639"/>
      <c r="K22" s="639"/>
      <c r="L22" s="639"/>
      <c r="M22" s="639"/>
      <c r="N22" s="640">
        <f>+N20+N21</f>
        <v>-13.3</v>
      </c>
      <c r="O22" s="681"/>
      <c r="P22" s="622"/>
      <c r="Q22" s="640">
        <f>+Q21+Q20</f>
        <v>30</v>
      </c>
      <c r="R22" s="640">
        <f>+Q22+N22</f>
        <v>16.7</v>
      </c>
      <c r="S22" s="640">
        <f>+L21+N22</f>
        <v>166.7</v>
      </c>
      <c r="T22" s="645">
        <f>+R22/-N22</f>
        <v>1.2556390977443608</v>
      </c>
      <c r="U22" s="640">
        <v>16.7</v>
      </c>
      <c r="V22" s="640">
        <f>+N22</f>
        <v>-13.3</v>
      </c>
      <c r="W22" s="622"/>
    </row>
    <row r="23" spans="2:23" x14ac:dyDescent="0.35">
      <c r="C23" s="1"/>
      <c r="J23" s="642"/>
      <c r="K23" s="643" t="s">
        <v>704</v>
      </c>
      <c r="L23" s="642">
        <v>155</v>
      </c>
      <c r="M23" s="642" t="s">
        <v>586</v>
      </c>
      <c r="N23" s="644">
        <f>-G6</f>
        <v>-4.9000000000000004</v>
      </c>
      <c r="O23" s="680">
        <v>161.9</v>
      </c>
      <c r="P23" s="622"/>
      <c r="Q23" s="644">
        <f>MAX(0,L23-O23)</f>
        <v>0</v>
      </c>
      <c r="R23" s="624"/>
      <c r="S23" s="625"/>
      <c r="T23" s="624"/>
      <c r="U23" s="624"/>
      <c r="V23" s="624"/>
      <c r="W23" s="622"/>
    </row>
    <row r="24" spans="2:23" x14ac:dyDescent="0.35">
      <c r="B24" s="53" t="s">
        <v>132</v>
      </c>
      <c r="C24" s="1"/>
      <c r="H24" s="523"/>
      <c r="I24" s="523"/>
      <c r="J24" s="639"/>
      <c r="K24" s="639" t="s">
        <v>658</v>
      </c>
      <c r="L24" s="639">
        <v>165</v>
      </c>
      <c r="M24" s="639" t="s">
        <v>601</v>
      </c>
      <c r="N24" s="646">
        <f>+G8</f>
        <v>8</v>
      </c>
      <c r="O24" s="680">
        <v>161.9</v>
      </c>
      <c r="P24" s="622"/>
      <c r="Q24" s="644">
        <f>-MAX(0,L24-O24)</f>
        <v>-3.0999999999999943</v>
      </c>
      <c r="R24" s="622"/>
      <c r="S24" s="623"/>
      <c r="T24" s="626"/>
      <c r="U24" s="622"/>
      <c r="V24" s="622"/>
      <c r="W24" s="622"/>
    </row>
    <row r="25" spans="2:23" x14ac:dyDescent="0.35">
      <c r="B25" t="s">
        <v>670</v>
      </c>
      <c r="C25" s="1"/>
      <c r="D25" t="s">
        <v>671</v>
      </c>
      <c r="J25" s="639"/>
      <c r="K25" s="639"/>
      <c r="L25" s="639"/>
      <c r="M25" s="639"/>
      <c r="N25" s="646">
        <f>+N24+N23</f>
        <v>3.0999999999999996</v>
      </c>
      <c r="O25" s="681"/>
      <c r="P25" s="622"/>
      <c r="Q25" s="646">
        <f>+Q24+Q23</f>
        <v>-3.0999999999999943</v>
      </c>
      <c r="R25" s="640">
        <f>+Q25+N25</f>
        <v>5.3290705182007514E-15</v>
      </c>
      <c r="S25" s="640">
        <f>+L24-N25</f>
        <v>161.9</v>
      </c>
      <c r="T25" s="647" t="s">
        <v>705</v>
      </c>
      <c r="U25" s="640">
        <f>+N25</f>
        <v>3.0999999999999996</v>
      </c>
      <c r="V25" s="646">
        <f>-((L24-L23)-U25)</f>
        <v>-6.9</v>
      </c>
      <c r="W25" s="622"/>
    </row>
    <row r="26" spans="2:23" x14ac:dyDescent="0.35">
      <c r="B26" t="s">
        <v>672</v>
      </c>
      <c r="C26" s="1"/>
      <c r="D26" s="8" t="s">
        <v>673</v>
      </c>
      <c r="J26" s="624"/>
      <c r="K26" s="643" t="s">
        <v>706</v>
      </c>
      <c r="L26" s="642">
        <v>155</v>
      </c>
      <c r="M26" s="642" t="s">
        <v>601</v>
      </c>
      <c r="N26" s="648">
        <f>+E6</f>
        <v>17.75</v>
      </c>
      <c r="O26" s="680">
        <v>168.3</v>
      </c>
      <c r="P26" s="622"/>
      <c r="Q26" s="648">
        <f>-MAX(0,O26-L26)</f>
        <v>-13.300000000000011</v>
      </c>
      <c r="R26" s="624"/>
      <c r="S26" s="625"/>
      <c r="T26" s="628"/>
      <c r="U26" s="624"/>
      <c r="V26" s="624"/>
      <c r="W26" s="622"/>
    </row>
    <row r="27" spans="2:23" x14ac:dyDescent="0.35">
      <c r="C27" s="1"/>
      <c r="D27" s="8"/>
      <c r="J27" s="622"/>
      <c r="K27" s="639" t="s">
        <v>659</v>
      </c>
      <c r="L27" s="639">
        <v>180</v>
      </c>
      <c r="M27" s="639" t="s">
        <v>586</v>
      </c>
      <c r="N27" s="646">
        <f>-E11</f>
        <v>-4.45</v>
      </c>
      <c r="O27" s="680">
        <v>168.3</v>
      </c>
      <c r="P27" s="622"/>
      <c r="Q27" s="648">
        <f>MAX(0,O27-L27)</f>
        <v>0</v>
      </c>
      <c r="R27" s="622"/>
      <c r="S27" s="623"/>
      <c r="T27" s="626"/>
      <c r="U27" s="622"/>
      <c r="V27" s="622"/>
      <c r="W27" s="622"/>
    </row>
    <row r="28" spans="2:23" x14ac:dyDescent="0.35">
      <c r="B28" t="s">
        <v>597</v>
      </c>
      <c r="C28" s="1"/>
      <c r="D28" t="s">
        <v>674</v>
      </c>
      <c r="J28" s="622"/>
      <c r="K28" s="639"/>
      <c r="L28" s="639"/>
      <c r="M28" s="639"/>
      <c r="N28" s="646">
        <f>+N27+N26</f>
        <v>13.3</v>
      </c>
      <c r="O28" s="681"/>
      <c r="P28" s="622"/>
      <c r="Q28" s="646">
        <f>+Q27+Q26</f>
        <v>-13.300000000000011</v>
      </c>
      <c r="R28" s="640">
        <f>+Q28+N28</f>
        <v>0</v>
      </c>
      <c r="S28" s="640">
        <f>+L26+N28</f>
        <v>168.3</v>
      </c>
      <c r="T28" s="647" t="s">
        <v>705</v>
      </c>
      <c r="U28" s="640">
        <f>+N28</f>
        <v>13.3</v>
      </c>
      <c r="V28" s="640">
        <v>-11.7</v>
      </c>
      <c r="W28" s="622"/>
    </row>
    <row r="29" spans="2:23" x14ac:dyDescent="0.35">
      <c r="B29" t="s">
        <v>598</v>
      </c>
      <c r="C29" s="1"/>
      <c r="D29" t="s">
        <v>675</v>
      </c>
      <c r="J29" s="642" t="s">
        <v>660</v>
      </c>
      <c r="K29" s="643" t="s">
        <v>664</v>
      </c>
      <c r="L29" s="642"/>
      <c r="M29" s="642"/>
      <c r="N29" s="648"/>
      <c r="O29" s="680"/>
      <c r="P29" s="622"/>
      <c r="Q29" s="627"/>
      <c r="R29" s="624"/>
      <c r="S29" s="625"/>
      <c r="T29" s="628"/>
      <c r="U29" s="624"/>
      <c r="V29" s="624"/>
      <c r="W29" s="622"/>
    </row>
    <row r="30" spans="2:23" x14ac:dyDescent="0.35">
      <c r="B30" t="s">
        <v>599</v>
      </c>
      <c r="C30" s="1"/>
      <c r="D30" t="s">
        <v>676</v>
      </c>
      <c r="J30" s="639"/>
      <c r="K30" s="639" t="s">
        <v>661</v>
      </c>
      <c r="L30" s="639">
        <v>150</v>
      </c>
      <c r="M30" s="639" t="s">
        <v>586</v>
      </c>
      <c r="N30" s="646">
        <f>-E5</f>
        <v>-23</v>
      </c>
      <c r="O30" s="680">
        <f>+L30-N34</f>
        <v>154.5</v>
      </c>
      <c r="P30" s="622"/>
      <c r="Q30" s="646">
        <f>+O30-L30</f>
        <v>4.5</v>
      </c>
      <c r="R30" s="639"/>
      <c r="S30" s="640"/>
      <c r="T30" s="647"/>
      <c r="U30" s="639"/>
      <c r="V30" s="639"/>
      <c r="W30" s="622"/>
    </row>
    <row r="31" spans="2:23" x14ac:dyDescent="0.35">
      <c r="B31" t="s">
        <v>600</v>
      </c>
      <c r="C31" s="1"/>
      <c r="D31" t="s">
        <v>677</v>
      </c>
      <c r="J31" s="639"/>
      <c r="K31" s="639" t="s">
        <v>663</v>
      </c>
      <c r="L31" s="639">
        <v>160</v>
      </c>
      <c r="M31" s="639" t="s">
        <v>601</v>
      </c>
      <c r="N31" s="646">
        <f>+E7</f>
        <v>13.5</v>
      </c>
      <c r="O31" s="680">
        <f>+O30</f>
        <v>154.5</v>
      </c>
      <c r="P31" s="622"/>
      <c r="Q31" s="646">
        <v>0</v>
      </c>
      <c r="R31" s="639"/>
      <c r="S31" s="640"/>
      <c r="T31" s="647"/>
      <c r="U31" s="639"/>
      <c r="V31" s="639"/>
      <c r="W31" s="622"/>
    </row>
    <row r="32" spans="2:23" x14ac:dyDescent="0.35">
      <c r="C32" s="1"/>
      <c r="J32" s="639"/>
      <c r="K32" s="639" t="s">
        <v>663</v>
      </c>
      <c r="L32" s="639">
        <v>160</v>
      </c>
      <c r="M32" s="639" t="s">
        <v>601</v>
      </c>
      <c r="N32" s="646">
        <f>+E7</f>
        <v>13.5</v>
      </c>
      <c r="O32" s="680">
        <f>+O31</f>
        <v>154.5</v>
      </c>
      <c r="P32" s="622"/>
      <c r="Q32" s="646">
        <v>0</v>
      </c>
      <c r="R32" s="639"/>
      <c r="S32" s="639"/>
      <c r="T32" s="647"/>
      <c r="U32" s="639"/>
      <c r="V32" s="639"/>
      <c r="W32" s="622"/>
    </row>
    <row r="33" spans="2:23" x14ac:dyDescent="0.35">
      <c r="B33" s="53" t="s">
        <v>679</v>
      </c>
      <c r="C33" s="1"/>
      <c r="J33" s="639"/>
      <c r="K33" s="639" t="s">
        <v>662</v>
      </c>
      <c r="L33" s="639">
        <v>170</v>
      </c>
      <c r="M33" s="684" t="s">
        <v>586</v>
      </c>
      <c r="N33" s="646">
        <f>-E9</f>
        <v>-8.5</v>
      </c>
      <c r="O33" s="680">
        <f>+O32</f>
        <v>154.5</v>
      </c>
      <c r="P33" s="622"/>
      <c r="Q33" s="646">
        <v>0</v>
      </c>
      <c r="R33" s="639"/>
      <c r="S33" s="639"/>
      <c r="T33" s="647"/>
      <c r="U33" s="639"/>
      <c r="V33" s="639"/>
      <c r="W33" s="622"/>
    </row>
    <row r="34" spans="2:23" x14ac:dyDescent="0.35">
      <c r="B34" t="s">
        <v>661</v>
      </c>
      <c r="C34" s="1"/>
      <c r="J34" s="639"/>
      <c r="K34" s="639"/>
      <c r="L34" s="639"/>
      <c r="M34" s="649"/>
      <c r="N34" s="646">
        <f>SUM(N30:N33)</f>
        <v>-4.5</v>
      </c>
      <c r="O34" s="680"/>
      <c r="P34" s="622"/>
      <c r="Q34" s="646">
        <f>SUM(Q30:Q33)</f>
        <v>4.5</v>
      </c>
      <c r="R34" s="640">
        <f>+Q34+N34</f>
        <v>0</v>
      </c>
      <c r="S34" s="646">
        <v>154.5</v>
      </c>
      <c r="T34" s="647">
        <f>+R34/-N34</f>
        <v>0</v>
      </c>
      <c r="U34" s="640">
        <v>5.5</v>
      </c>
      <c r="V34" s="640">
        <f>+N34</f>
        <v>-4.5</v>
      </c>
      <c r="W34" s="622"/>
    </row>
    <row r="35" spans="2:23" x14ac:dyDescent="0.35">
      <c r="B35" t="s">
        <v>681</v>
      </c>
      <c r="C35" s="1"/>
      <c r="J35" s="642" t="s">
        <v>660</v>
      </c>
      <c r="K35" s="643" t="s">
        <v>666</v>
      </c>
      <c r="L35" s="639"/>
      <c r="M35" s="649"/>
      <c r="N35" s="646"/>
      <c r="O35" s="680"/>
      <c r="P35" s="639"/>
      <c r="Q35" s="646"/>
      <c r="R35" s="639"/>
      <c r="S35" s="639"/>
      <c r="T35" s="647"/>
      <c r="U35" s="639"/>
      <c r="V35" s="639"/>
      <c r="W35" s="622"/>
    </row>
    <row r="36" spans="2:23" x14ac:dyDescent="0.35">
      <c r="B36" t="s">
        <v>681</v>
      </c>
      <c r="C36" s="1"/>
      <c r="J36" s="639"/>
      <c r="K36" s="639" t="s">
        <v>661</v>
      </c>
      <c r="L36" s="639">
        <v>150</v>
      </c>
      <c r="M36" s="639" t="s">
        <v>586</v>
      </c>
      <c r="N36" s="646">
        <f>-E5</f>
        <v>-23</v>
      </c>
      <c r="O36" s="680">
        <v>165</v>
      </c>
      <c r="P36" s="639"/>
      <c r="Q36" s="646">
        <f>+O36-L36</f>
        <v>15</v>
      </c>
      <c r="R36" s="639"/>
      <c r="S36" s="639"/>
      <c r="T36" s="647"/>
      <c r="U36" s="639"/>
      <c r="V36" s="639"/>
      <c r="W36" s="622"/>
    </row>
    <row r="37" spans="2:23" x14ac:dyDescent="0.35">
      <c r="B37" t="s">
        <v>680</v>
      </c>
      <c r="C37" s="1"/>
      <c r="D37" s="8"/>
      <c r="J37" s="639"/>
      <c r="K37" s="639" t="s">
        <v>663</v>
      </c>
      <c r="L37" s="639">
        <v>165</v>
      </c>
      <c r="M37" s="639" t="s">
        <v>601</v>
      </c>
      <c r="N37" s="646">
        <f>+E8</f>
        <v>10.65</v>
      </c>
      <c r="O37" s="680">
        <v>165</v>
      </c>
      <c r="P37" s="639"/>
      <c r="Q37" s="646">
        <v>0</v>
      </c>
      <c r="R37" s="639"/>
      <c r="S37" s="639"/>
      <c r="T37" s="647"/>
      <c r="U37" s="639"/>
      <c r="V37" s="639"/>
      <c r="W37" s="622"/>
    </row>
    <row r="38" spans="2:23" x14ac:dyDescent="0.35">
      <c r="C38" s="1"/>
      <c r="J38" s="639"/>
      <c r="K38" s="639" t="s">
        <v>663</v>
      </c>
      <c r="L38" s="639">
        <v>165</v>
      </c>
      <c r="M38" s="639" t="s">
        <v>601</v>
      </c>
      <c r="N38" s="646">
        <f>+E8</f>
        <v>10.65</v>
      </c>
      <c r="O38" s="680">
        <v>165</v>
      </c>
      <c r="P38" s="639"/>
      <c r="Q38" s="646">
        <v>0</v>
      </c>
      <c r="R38" s="639"/>
      <c r="S38" s="639"/>
      <c r="T38" s="647"/>
      <c r="U38" s="639"/>
      <c r="V38" s="639"/>
      <c r="W38" s="622"/>
    </row>
    <row r="39" spans="2:23" x14ac:dyDescent="0.35">
      <c r="B39" s="53" t="s">
        <v>682</v>
      </c>
      <c r="C39" s="1"/>
      <c r="J39" s="639"/>
      <c r="K39" s="639" t="s">
        <v>662</v>
      </c>
      <c r="L39" s="639">
        <v>180</v>
      </c>
      <c r="M39" s="684" t="s">
        <v>586</v>
      </c>
      <c r="N39" s="646">
        <f>-E11</f>
        <v>-4.45</v>
      </c>
      <c r="O39" s="680">
        <v>165</v>
      </c>
      <c r="P39" s="639"/>
      <c r="Q39" s="646">
        <v>0</v>
      </c>
      <c r="R39" s="639"/>
      <c r="S39" s="639"/>
      <c r="T39" s="647"/>
      <c r="U39" s="639"/>
      <c r="V39" s="639"/>
      <c r="W39" s="622"/>
    </row>
    <row r="40" spans="2:23" x14ac:dyDescent="0.35">
      <c r="B40" t="s">
        <v>667</v>
      </c>
      <c r="C40" s="1"/>
      <c r="J40" s="639"/>
      <c r="K40" s="639"/>
      <c r="L40" s="639"/>
      <c r="M40" s="649"/>
      <c r="N40" s="646">
        <f>SUM(N36:N39)</f>
        <v>-6.1499999999999995</v>
      </c>
      <c r="O40" s="681"/>
      <c r="P40" s="639"/>
      <c r="Q40" s="646">
        <f>SUM(Q36:Q39)</f>
        <v>15</v>
      </c>
      <c r="R40" s="640">
        <f>+Q40+N40</f>
        <v>8.8500000000000014</v>
      </c>
      <c r="S40" s="640">
        <f>+L36-N40</f>
        <v>156.15</v>
      </c>
      <c r="T40" s="647">
        <f>+R40/-N40</f>
        <v>1.4390243902439028</v>
      </c>
      <c r="U40" s="640">
        <v>8.85</v>
      </c>
      <c r="V40" s="640">
        <f>+N40</f>
        <v>-6.1499999999999995</v>
      </c>
      <c r="W40" s="622"/>
    </row>
    <row r="41" spans="2:23" x14ac:dyDescent="0.35">
      <c r="B41" t="s">
        <v>684</v>
      </c>
      <c r="C41" s="1"/>
      <c r="J41" s="642" t="s">
        <v>665</v>
      </c>
      <c r="K41" s="643" t="s">
        <v>666</v>
      </c>
      <c r="L41" s="650"/>
      <c r="M41" s="650"/>
      <c r="N41" s="648"/>
      <c r="O41" s="680"/>
      <c r="P41" s="639"/>
      <c r="Q41" s="648"/>
      <c r="R41" s="642"/>
      <c r="S41" s="642"/>
      <c r="T41" s="651"/>
      <c r="U41" s="642"/>
      <c r="V41" s="642"/>
      <c r="W41" s="622"/>
    </row>
    <row r="42" spans="2:23" x14ac:dyDescent="0.35">
      <c r="B42" t="s">
        <v>684</v>
      </c>
      <c r="C42" s="1"/>
      <c r="J42" s="639"/>
      <c r="K42" s="639" t="s">
        <v>667</v>
      </c>
      <c r="L42" s="649">
        <v>150</v>
      </c>
      <c r="M42" s="649" t="s">
        <v>601</v>
      </c>
      <c r="N42" s="646">
        <f>+E5</f>
        <v>23</v>
      </c>
      <c r="O42" s="680">
        <v>140</v>
      </c>
      <c r="P42" s="639"/>
      <c r="Q42" s="646">
        <v>0</v>
      </c>
      <c r="R42" s="639"/>
      <c r="S42" s="639"/>
      <c r="T42" s="647"/>
      <c r="U42" s="639"/>
      <c r="V42" s="639"/>
      <c r="W42" s="622"/>
    </row>
    <row r="43" spans="2:23" x14ac:dyDescent="0.35">
      <c r="B43" t="s">
        <v>683</v>
      </c>
      <c r="C43" s="1"/>
      <c r="J43" s="639"/>
      <c r="K43" s="639" t="s">
        <v>669</v>
      </c>
      <c r="L43" s="649">
        <v>165</v>
      </c>
      <c r="M43" s="649" t="s">
        <v>586</v>
      </c>
      <c r="N43" s="646">
        <f>-E8</f>
        <v>-10.65</v>
      </c>
      <c r="O43" s="680">
        <v>140</v>
      </c>
      <c r="P43" s="639"/>
      <c r="Q43" s="646">
        <v>0</v>
      </c>
      <c r="R43" s="639"/>
      <c r="S43" s="639"/>
      <c r="T43" s="647"/>
      <c r="U43" s="639"/>
      <c r="V43" s="639"/>
      <c r="W43" s="622"/>
    </row>
    <row r="44" spans="2:23" x14ac:dyDescent="0.35">
      <c r="C44" s="1"/>
      <c r="J44" s="639"/>
      <c r="K44" s="639" t="s">
        <v>669</v>
      </c>
      <c r="L44" s="649">
        <v>165</v>
      </c>
      <c r="M44" s="649" t="s">
        <v>586</v>
      </c>
      <c r="N44" s="646">
        <f>-E8</f>
        <v>-10.65</v>
      </c>
      <c r="O44" s="680">
        <v>140</v>
      </c>
      <c r="P44" s="639"/>
      <c r="Q44" s="646">
        <v>0</v>
      </c>
      <c r="R44" s="639"/>
      <c r="S44" s="639"/>
      <c r="T44" s="647"/>
      <c r="U44" s="639"/>
      <c r="V44" s="639"/>
      <c r="W44" s="622"/>
    </row>
    <row r="45" spans="2:23" x14ac:dyDescent="0.35">
      <c r="C45" s="1"/>
      <c r="J45" s="639"/>
      <c r="K45" s="639" t="s">
        <v>668</v>
      </c>
      <c r="L45" s="649">
        <v>180</v>
      </c>
      <c r="M45" s="649" t="s">
        <v>601</v>
      </c>
      <c r="N45" s="646">
        <f>+E11</f>
        <v>4.45</v>
      </c>
      <c r="O45" s="680">
        <v>140</v>
      </c>
      <c r="P45" s="639"/>
      <c r="Q45" s="646">
        <v>0</v>
      </c>
      <c r="R45" s="639"/>
      <c r="S45" s="639"/>
      <c r="T45" s="647"/>
      <c r="U45" s="639"/>
      <c r="V45" s="639"/>
      <c r="W45" s="622"/>
    </row>
    <row r="46" spans="2:23" x14ac:dyDescent="0.35">
      <c r="C46" s="1"/>
      <c r="J46" s="639"/>
      <c r="K46" s="639"/>
      <c r="L46" s="649"/>
      <c r="M46" s="649"/>
      <c r="N46" s="646">
        <f>SUM(N42:N45)</f>
        <v>6.1499999999999995</v>
      </c>
      <c r="O46" s="680"/>
      <c r="P46" s="639"/>
      <c r="Q46" s="646">
        <f>SUM(Q42:Q45)</f>
        <v>0</v>
      </c>
      <c r="R46" s="640">
        <f>+Q46+N46</f>
        <v>6.1499999999999995</v>
      </c>
      <c r="S46" s="639"/>
      <c r="T46" s="647"/>
      <c r="U46" s="639"/>
      <c r="V46" s="639"/>
      <c r="W46" s="622"/>
    </row>
    <row r="47" spans="2:23" x14ac:dyDescent="0.35">
      <c r="J47" s="639"/>
      <c r="K47" s="639"/>
      <c r="L47" s="649"/>
      <c r="M47" s="649"/>
      <c r="N47" s="649"/>
      <c r="O47" s="682"/>
      <c r="P47" s="649"/>
      <c r="Q47" s="649"/>
      <c r="R47" s="649"/>
      <c r="S47" s="639"/>
      <c r="T47" s="647"/>
      <c r="U47" s="639"/>
      <c r="V47" s="639"/>
    </row>
    <row r="48" spans="2:23" x14ac:dyDescent="0.35">
      <c r="J48" s="639"/>
      <c r="K48" s="639"/>
      <c r="L48" s="649"/>
      <c r="M48" s="649"/>
      <c r="N48" s="649"/>
      <c r="O48" s="682"/>
      <c r="P48" s="649"/>
      <c r="Q48" s="649"/>
      <c r="R48" s="649"/>
      <c r="S48" s="639"/>
      <c r="T48" s="647"/>
      <c r="U48" s="639"/>
      <c r="V48" s="639"/>
    </row>
    <row r="49" spans="10:21" x14ac:dyDescent="0.35">
      <c r="N49" s="14"/>
      <c r="O49" s="683"/>
      <c r="P49" s="14"/>
      <c r="Q49" s="14"/>
      <c r="R49" s="14"/>
    </row>
    <row r="50" spans="10:21" x14ac:dyDescent="0.35">
      <c r="J50" s="639"/>
      <c r="K50" s="639"/>
      <c r="L50" s="649"/>
      <c r="M50" s="649"/>
      <c r="N50" s="649"/>
      <c r="O50" s="682"/>
      <c r="P50" s="649"/>
      <c r="Q50" s="649"/>
      <c r="R50" s="649"/>
      <c r="S50" s="639"/>
      <c r="T50" s="647"/>
      <c r="U50" s="639"/>
    </row>
    <row r="51" spans="10:21" x14ac:dyDescent="0.35">
      <c r="N51" s="14"/>
      <c r="O51" s="683"/>
      <c r="P51" s="14"/>
      <c r="Q51" s="14"/>
      <c r="R51" s="14"/>
    </row>
    <row r="52" spans="10:21" x14ac:dyDescent="0.35">
      <c r="J52" s="639"/>
      <c r="K52" s="639"/>
      <c r="L52" s="649"/>
      <c r="M52" s="649"/>
      <c r="N52" s="649"/>
      <c r="O52" s="649"/>
      <c r="P52" s="649"/>
      <c r="Q52" s="649"/>
      <c r="R52" s="649"/>
      <c r="S52" s="639"/>
      <c r="T52" s="647"/>
      <c r="U52" s="639"/>
    </row>
    <row r="53" spans="10:21" x14ac:dyDescent="0.35">
      <c r="N53" s="14"/>
      <c r="P53" s="14"/>
      <c r="Q53" s="14"/>
      <c r="R53" s="14"/>
    </row>
    <row r="54" spans="10:21" x14ac:dyDescent="0.35">
      <c r="J54" s="639"/>
      <c r="K54" s="639"/>
      <c r="L54" s="649"/>
      <c r="M54" s="649"/>
      <c r="N54" s="649"/>
      <c r="O54" s="649"/>
      <c r="P54" s="649"/>
      <c r="Q54" s="649"/>
      <c r="R54" s="649"/>
      <c r="S54" s="639"/>
      <c r="T54" s="647"/>
      <c r="U54" s="639"/>
    </row>
    <row r="55" spans="10:21" x14ac:dyDescent="0.35">
      <c r="N55" s="14"/>
      <c r="P55" s="14"/>
      <c r="Q55" s="14"/>
      <c r="R55" s="14"/>
    </row>
    <row r="56" spans="10:21" x14ac:dyDescent="0.35">
      <c r="J56" s="639"/>
      <c r="K56" s="639"/>
      <c r="L56" s="649"/>
      <c r="M56" s="649"/>
      <c r="N56" s="649"/>
      <c r="O56" s="649"/>
      <c r="P56" s="649"/>
      <c r="Q56" s="649"/>
      <c r="R56" s="649"/>
      <c r="S56" s="639"/>
      <c r="T56" s="647"/>
      <c r="U56" s="639"/>
    </row>
    <row r="57" spans="10:21" x14ac:dyDescent="0.35">
      <c r="N57" s="14"/>
      <c r="P57" s="14"/>
      <c r="Q57" s="14"/>
      <c r="R57" s="14"/>
    </row>
    <row r="58" spans="10:21" x14ac:dyDescent="0.35">
      <c r="J58" s="639"/>
      <c r="K58" s="639"/>
      <c r="L58" s="649"/>
      <c r="M58" s="649"/>
      <c r="N58" s="649"/>
      <c r="O58" s="649"/>
      <c r="P58" s="649"/>
      <c r="Q58" s="649"/>
      <c r="R58" s="649"/>
      <c r="S58" s="639"/>
      <c r="T58" s="647"/>
      <c r="U58" s="639"/>
    </row>
    <row r="59" spans="10:21" x14ac:dyDescent="0.35">
      <c r="N59" s="14"/>
      <c r="P59" s="14"/>
      <c r="Q59" s="14"/>
      <c r="R59" s="14"/>
    </row>
    <row r="60" spans="10:21" x14ac:dyDescent="0.35">
      <c r="J60" s="639"/>
      <c r="K60" s="639"/>
      <c r="L60" s="649"/>
      <c r="M60" s="649"/>
      <c r="N60" s="649"/>
      <c r="O60" s="649"/>
      <c r="P60" s="649"/>
      <c r="Q60" s="649"/>
      <c r="R60" s="649"/>
      <c r="S60" s="639"/>
      <c r="T60" s="647"/>
      <c r="U60" s="639"/>
    </row>
    <row r="61" spans="10:21" x14ac:dyDescent="0.35">
      <c r="N61" s="14"/>
      <c r="P61" s="14"/>
      <c r="Q61" s="14"/>
      <c r="R61" s="14"/>
    </row>
    <row r="62" spans="10:21" x14ac:dyDescent="0.35">
      <c r="J62" s="639"/>
      <c r="K62" s="639"/>
      <c r="L62" s="649"/>
      <c r="M62" s="649"/>
      <c r="N62" s="649"/>
      <c r="O62" s="649"/>
      <c r="P62" s="649"/>
      <c r="Q62" s="649"/>
      <c r="R62" s="649"/>
      <c r="S62" s="639"/>
      <c r="T62" s="647"/>
      <c r="U62" s="639"/>
    </row>
    <row r="63" spans="10:21" x14ac:dyDescent="0.35">
      <c r="N63" s="14"/>
      <c r="P63" s="14"/>
      <c r="Q63" s="14"/>
      <c r="R63" s="14"/>
    </row>
    <row r="64" spans="10:21" x14ac:dyDescent="0.35">
      <c r="J64" s="639"/>
      <c r="K64" s="639"/>
      <c r="L64" s="649"/>
      <c r="M64" s="649"/>
      <c r="N64" s="649"/>
      <c r="O64" s="649"/>
      <c r="P64" s="649"/>
      <c r="Q64" s="649"/>
      <c r="R64" s="649"/>
      <c r="S64" s="639"/>
      <c r="T64" s="647"/>
      <c r="U64" s="639"/>
    </row>
    <row r="65" spans="10:21" x14ac:dyDescent="0.35">
      <c r="N65" s="14"/>
      <c r="P65" s="14"/>
      <c r="Q65" s="14"/>
      <c r="R65" s="14"/>
    </row>
    <row r="66" spans="10:21" x14ac:dyDescent="0.35">
      <c r="J66" s="639"/>
      <c r="K66" s="639"/>
      <c r="L66" s="649"/>
      <c r="M66" s="649"/>
      <c r="N66" s="649"/>
      <c r="O66" s="649"/>
      <c r="P66" s="649"/>
      <c r="Q66" s="649"/>
      <c r="R66" s="649"/>
      <c r="S66" s="639"/>
      <c r="T66" s="647"/>
      <c r="U66" s="639"/>
    </row>
    <row r="67" spans="10:21" x14ac:dyDescent="0.35">
      <c r="N67" s="14"/>
      <c r="P67" s="14"/>
      <c r="Q67" s="14"/>
      <c r="R67" s="14"/>
    </row>
    <row r="68" spans="10:21" x14ac:dyDescent="0.35">
      <c r="J68" s="639"/>
      <c r="K68" s="639"/>
      <c r="L68" s="649"/>
      <c r="M68" s="649"/>
      <c r="N68" s="649"/>
      <c r="O68" s="649"/>
      <c r="P68" s="649"/>
      <c r="Q68" s="649"/>
      <c r="R68" s="649"/>
      <c r="S68" s="639"/>
      <c r="T68" s="647"/>
      <c r="U68" s="639"/>
    </row>
    <row r="69" spans="10:21" x14ac:dyDescent="0.35">
      <c r="N69" s="14"/>
      <c r="P69" s="14"/>
      <c r="Q69" s="14"/>
      <c r="R69" s="14"/>
    </row>
    <row r="70" spans="10:21" x14ac:dyDescent="0.35">
      <c r="J70" s="639"/>
      <c r="K70" s="639"/>
      <c r="L70" s="649"/>
      <c r="M70" s="649"/>
      <c r="N70" s="649"/>
      <c r="O70" s="649"/>
      <c r="P70" s="649"/>
      <c r="Q70" s="649"/>
      <c r="R70" s="649"/>
      <c r="S70" s="639"/>
      <c r="T70" s="647"/>
      <c r="U70" s="639"/>
    </row>
    <row r="71" spans="10:21" x14ac:dyDescent="0.35">
      <c r="N71" s="14"/>
      <c r="P71" s="14"/>
      <c r="Q71" s="14"/>
      <c r="R71" s="14"/>
    </row>
    <row r="72" spans="10:21" x14ac:dyDescent="0.35">
      <c r="J72" s="639"/>
      <c r="K72" s="639"/>
      <c r="L72" s="649"/>
      <c r="M72" s="649"/>
      <c r="N72" s="649"/>
      <c r="O72" s="649"/>
      <c r="P72" s="649"/>
      <c r="Q72" s="649"/>
      <c r="R72" s="649"/>
      <c r="S72" s="639"/>
      <c r="T72" s="647"/>
      <c r="U72" s="639"/>
    </row>
    <row r="73" spans="10:21" x14ac:dyDescent="0.35">
      <c r="N73" s="14"/>
      <c r="P73" s="14"/>
      <c r="Q73" s="14"/>
      <c r="R73" s="14"/>
    </row>
    <row r="74" spans="10:21" x14ac:dyDescent="0.35">
      <c r="J74" s="639"/>
      <c r="K74" s="639"/>
      <c r="L74" s="649"/>
      <c r="M74" s="649"/>
      <c r="N74" s="649"/>
      <c r="O74" s="649"/>
      <c r="P74" s="649"/>
      <c r="Q74" s="649"/>
      <c r="R74" s="649"/>
      <c r="S74" s="639"/>
      <c r="T74" s="647"/>
      <c r="U74" s="639"/>
    </row>
    <row r="75" spans="10:21" x14ac:dyDescent="0.35">
      <c r="N75" s="14"/>
      <c r="P75" s="14"/>
      <c r="Q75" s="14"/>
      <c r="R75" s="14"/>
    </row>
    <row r="76" spans="10:21" x14ac:dyDescent="0.35">
      <c r="J76" s="639"/>
      <c r="K76" s="639"/>
      <c r="L76" s="649"/>
      <c r="M76" s="649"/>
      <c r="N76" s="649"/>
      <c r="O76" s="649"/>
      <c r="P76" s="649"/>
      <c r="Q76" s="649"/>
      <c r="R76" s="649"/>
      <c r="S76" s="639"/>
      <c r="T76" s="647"/>
      <c r="U76" s="639"/>
    </row>
    <row r="77" spans="10:21" x14ac:dyDescent="0.35">
      <c r="N77" s="14"/>
      <c r="P77" s="14"/>
      <c r="Q77" s="14"/>
      <c r="R77" s="14"/>
    </row>
    <row r="78" spans="10:21" x14ac:dyDescent="0.35">
      <c r="J78" s="639"/>
      <c r="K78" s="639"/>
      <c r="L78" s="649"/>
      <c r="M78" s="649"/>
      <c r="N78" s="649"/>
      <c r="O78" s="649"/>
      <c r="P78" s="649"/>
      <c r="Q78" s="649"/>
      <c r="R78" s="649"/>
      <c r="S78" s="639"/>
      <c r="T78" s="647"/>
      <c r="U78" s="639"/>
    </row>
    <row r="79" spans="10:21" x14ac:dyDescent="0.35">
      <c r="N79" s="14"/>
      <c r="P79" s="14"/>
      <c r="Q79" s="14"/>
      <c r="R79" s="14"/>
    </row>
    <row r="80" spans="10:21" x14ac:dyDescent="0.35">
      <c r="J80" s="639"/>
      <c r="K80" s="639"/>
      <c r="L80" s="649"/>
      <c r="M80" s="649"/>
      <c r="N80" s="649"/>
      <c r="O80" s="649"/>
      <c r="P80" s="649"/>
      <c r="Q80" s="649"/>
      <c r="R80" s="649"/>
      <c r="S80" s="639"/>
      <c r="T80" s="647"/>
      <c r="U80" s="639"/>
    </row>
    <row r="81" spans="10:21" x14ac:dyDescent="0.35">
      <c r="N81" s="14"/>
      <c r="P81" s="14"/>
      <c r="Q81" s="14"/>
      <c r="R81" s="14"/>
    </row>
    <row r="82" spans="10:21" x14ac:dyDescent="0.35">
      <c r="J82" s="639"/>
      <c r="K82" s="639"/>
      <c r="L82" s="649"/>
      <c r="M82" s="649"/>
      <c r="N82" s="649"/>
      <c r="O82" s="649"/>
      <c r="P82" s="649"/>
      <c r="Q82" s="649"/>
      <c r="R82" s="649"/>
      <c r="S82" s="639"/>
      <c r="T82" s="647"/>
      <c r="U82" s="639"/>
    </row>
    <row r="83" spans="10:21" x14ac:dyDescent="0.35">
      <c r="N83" s="14"/>
      <c r="P83" s="14"/>
      <c r="Q83" s="14"/>
      <c r="R83" s="14"/>
    </row>
    <row r="84" spans="10:21" x14ac:dyDescent="0.35">
      <c r="J84" s="639"/>
      <c r="K84" s="639"/>
      <c r="L84" s="649"/>
      <c r="M84" s="649"/>
      <c r="N84" s="649"/>
      <c r="O84" s="649"/>
      <c r="P84" s="649"/>
      <c r="Q84" s="649"/>
      <c r="R84" s="649"/>
      <c r="S84" s="639"/>
      <c r="T84" s="647"/>
      <c r="U84" s="639"/>
    </row>
    <row r="85" spans="10:21" x14ac:dyDescent="0.35">
      <c r="N85" s="14"/>
      <c r="P85" s="14"/>
      <c r="Q85" s="14"/>
      <c r="R85" s="14"/>
    </row>
    <row r="86" spans="10:21" x14ac:dyDescent="0.35">
      <c r="J86" s="639"/>
      <c r="K86" s="639"/>
      <c r="L86" s="649"/>
      <c r="M86" s="649"/>
      <c r="N86" s="649"/>
      <c r="O86" s="649"/>
      <c r="P86" s="649"/>
      <c r="Q86" s="649"/>
      <c r="R86" s="649"/>
      <c r="S86" s="639"/>
      <c r="T86" s="647"/>
      <c r="U86" s="639"/>
    </row>
    <row r="87" spans="10:21" x14ac:dyDescent="0.35">
      <c r="N87" s="14"/>
      <c r="P87" s="14"/>
      <c r="Q87" s="14"/>
      <c r="R87" s="14"/>
    </row>
    <row r="88" spans="10:21" x14ac:dyDescent="0.35">
      <c r="J88" s="639"/>
      <c r="K88" s="639"/>
      <c r="L88" s="649"/>
      <c r="M88" s="649"/>
      <c r="N88" s="649"/>
      <c r="O88" s="649"/>
      <c r="P88" s="649"/>
      <c r="Q88" s="649"/>
      <c r="R88" s="649"/>
      <c r="S88" s="639"/>
      <c r="T88" s="647"/>
      <c r="U88" s="639"/>
    </row>
    <row r="89" spans="10:21" x14ac:dyDescent="0.35">
      <c r="N89" s="14"/>
      <c r="P89" s="14"/>
      <c r="Q89" s="14"/>
      <c r="R89" s="14"/>
    </row>
    <row r="90" spans="10:21" x14ac:dyDescent="0.35">
      <c r="J90" s="639"/>
      <c r="K90" s="639"/>
      <c r="L90" s="649"/>
      <c r="M90" s="649"/>
      <c r="N90" s="649"/>
      <c r="O90" s="649"/>
      <c r="P90" s="649"/>
      <c r="Q90" s="649"/>
      <c r="R90" s="649"/>
      <c r="S90" s="639"/>
      <c r="T90" s="647"/>
      <c r="U90" s="639"/>
    </row>
    <row r="91" spans="10:21" x14ac:dyDescent="0.35">
      <c r="N91" s="14"/>
      <c r="P91" s="14"/>
      <c r="Q91" s="14"/>
      <c r="R91" s="14"/>
    </row>
    <row r="92" spans="10:21" x14ac:dyDescent="0.35">
      <c r="J92" s="639"/>
      <c r="K92" s="639"/>
      <c r="L92" s="649"/>
      <c r="M92" s="649"/>
      <c r="N92" s="649"/>
      <c r="O92" s="649"/>
      <c r="P92" s="649"/>
      <c r="Q92" s="649"/>
      <c r="R92" s="649"/>
      <c r="S92" s="639"/>
      <c r="T92" s="647"/>
      <c r="U92" s="639"/>
    </row>
    <row r="93" spans="10:21" x14ac:dyDescent="0.35">
      <c r="N93" s="14"/>
      <c r="P93" s="14"/>
      <c r="Q93" s="14"/>
      <c r="R93" s="14"/>
    </row>
    <row r="94" spans="10:21" x14ac:dyDescent="0.35">
      <c r="J94" s="639"/>
      <c r="K94" s="639"/>
      <c r="L94" s="649"/>
      <c r="M94" s="649"/>
      <c r="N94" s="649"/>
      <c r="O94" s="649"/>
      <c r="P94" s="649"/>
      <c r="Q94" s="649"/>
      <c r="R94" s="649"/>
      <c r="S94" s="639"/>
      <c r="T94" s="647"/>
      <c r="U94" s="639"/>
    </row>
    <row r="95" spans="10:21" x14ac:dyDescent="0.35">
      <c r="N95" s="14"/>
      <c r="P95" s="14"/>
      <c r="Q95" s="14"/>
      <c r="R95" s="14"/>
    </row>
    <row r="96" spans="10:21" x14ac:dyDescent="0.35">
      <c r="J96" s="639"/>
      <c r="K96" s="639"/>
      <c r="L96" s="649"/>
      <c r="M96" s="649"/>
      <c r="N96" s="649"/>
      <c r="O96" s="649"/>
      <c r="P96" s="649"/>
      <c r="Q96" s="649"/>
      <c r="R96" s="649"/>
      <c r="S96" s="639"/>
      <c r="T96" s="647"/>
      <c r="U96" s="639"/>
    </row>
    <row r="97" spans="10:21" x14ac:dyDescent="0.35">
      <c r="N97" s="14"/>
      <c r="P97" s="14"/>
      <c r="Q97" s="14"/>
      <c r="R97" s="14"/>
    </row>
    <row r="98" spans="10:21" x14ac:dyDescent="0.35">
      <c r="J98" s="639"/>
      <c r="K98" s="639"/>
      <c r="L98" s="649"/>
      <c r="M98" s="649"/>
      <c r="N98" s="649"/>
      <c r="O98" s="649"/>
      <c r="P98" s="649"/>
      <c r="Q98" s="649"/>
      <c r="R98" s="649"/>
      <c r="S98" s="639"/>
      <c r="T98" s="647"/>
      <c r="U98" s="639"/>
    </row>
  </sheetData>
  <mergeCells count="2">
    <mergeCell ref="C3:E3"/>
    <mergeCell ref="F3:H3"/>
  </mergeCells>
  <phoneticPr fontId="51" type="noConversion"/>
  <pageMargins left="0.7" right="0.7" top="0.75" bottom="0.75" header="0.3" footer="0.3"/>
  <pageSetup scale="6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26F1-4E8E-4493-B8B9-416F0A35F300}">
  <dimension ref="A1:Q395"/>
  <sheetViews>
    <sheetView workbookViewId="0">
      <selection activeCell="G5" sqref="G5"/>
    </sheetView>
  </sheetViews>
  <sheetFormatPr defaultRowHeight="14.5" x14ac:dyDescent="0.35"/>
  <cols>
    <col min="1" max="1" width="4.1796875" customWidth="1"/>
    <col min="2" max="2" width="10.1796875" customWidth="1"/>
    <col min="3" max="3" width="10" customWidth="1"/>
    <col min="4" max="4" width="11.1796875" style="14" customWidth="1"/>
    <col min="5" max="5" width="2.36328125" customWidth="1"/>
    <col min="6" max="6" width="10.26953125" bestFit="1" customWidth="1"/>
    <col min="7" max="7" width="8.36328125" style="14" bestFit="1" customWidth="1"/>
    <col min="8" max="8" width="8.54296875" customWidth="1"/>
    <col min="9" max="9" width="2.08984375" customWidth="1"/>
    <col min="10" max="10" width="1.81640625" customWidth="1"/>
    <col min="11" max="11" width="10.08984375" customWidth="1"/>
    <col min="12" max="12" width="8.36328125" bestFit="1" customWidth="1"/>
    <col min="13" max="13" width="7.453125" customWidth="1"/>
    <col min="14" max="14" width="8.90625" customWidth="1"/>
    <col min="17" max="17" width="11.90625" style="616" bestFit="1" customWidth="1"/>
    <col min="19" max="19" width="9.26953125" bestFit="1" customWidth="1"/>
    <col min="20" max="23" width="7.36328125" bestFit="1" customWidth="1"/>
    <col min="24" max="24" width="9.90625" bestFit="1" customWidth="1"/>
    <col min="25" max="25" width="9.7265625" bestFit="1" customWidth="1"/>
  </cols>
  <sheetData>
    <row r="1" spans="1:17" ht="20" x14ac:dyDescent="0.4">
      <c r="A1" s="429" t="s">
        <v>464</v>
      </c>
    </row>
    <row r="2" spans="1:17" ht="15.5" x14ac:dyDescent="0.35">
      <c r="A2" s="430"/>
    </row>
    <row r="3" spans="1:17" ht="15.5" x14ac:dyDescent="0.35">
      <c r="A3" s="430"/>
    </row>
    <row r="4" spans="1:17" ht="15.5" x14ac:dyDescent="0.35">
      <c r="A4" s="652"/>
      <c r="B4" s="13"/>
      <c r="C4" s="13"/>
      <c r="D4" s="653" t="s">
        <v>685</v>
      </c>
      <c r="G4" s="654" t="s">
        <v>686</v>
      </c>
      <c r="H4" s="654" t="s">
        <v>687</v>
      </c>
      <c r="K4" s="671" t="s">
        <v>686</v>
      </c>
      <c r="L4" s="671"/>
      <c r="M4" s="655"/>
      <c r="N4" s="671" t="s">
        <v>687</v>
      </c>
      <c r="O4" s="671"/>
    </row>
    <row r="5" spans="1:17" ht="16" thickBot="1" x14ac:dyDescent="0.4">
      <c r="A5" s="430"/>
      <c r="C5" s="1" t="s">
        <v>398</v>
      </c>
      <c r="D5" s="656">
        <f>+D22*4</f>
        <v>0.40147457967714884</v>
      </c>
      <c r="F5" s="1" t="s">
        <v>399</v>
      </c>
      <c r="G5" s="420" t="e">
        <f ca="1">(LN(D8/D9)+(D7-D10+(D5^2)/2)*D6)/(D5*SQRT(D6))</f>
        <v>#NUM!</v>
      </c>
      <c r="H5" s="420" t="e">
        <f ca="1">(LN(D8/D9)+(D7-D10+(D5^2)/2)*D6)/(D5*SQRT(D6))</f>
        <v>#NUM!</v>
      </c>
      <c r="K5" s="673" t="e">
        <f ca="1">+G10</f>
        <v>#NUM!</v>
      </c>
      <c r="L5" s="672">
        <f>+D8</f>
        <v>512</v>
      </c>
      <c r="N5" s="673" t="e">
        <f ca="1">+H10</f>
        <v>#NUM!</v>
      </c>
      <c r="O5" s="672">
        <f>+L5</f>
        <v>512</v>
      </c>
    </row>
    <row r="6" spans="1:17" ht="16" thickTop="1" x14ac:dyDescent="0.35">
      <c r="A6" s="430"/>
      <c r="C6" s="1" t="s">
        <v>401</v>
      </c>
      <c r="D6" s="657">
        <f ca="1">+(B16-B14)/365</f>
        <v>-2.2717217275494677</v>
      </c>
      <c r="F6" s="1" t="s">
        <v>402</v>
      </c>
      <c r="G6" s="420" t="e">
        <f ca="1">+G5-D5*SQRT(D6)</f>
        <v>#NUM!</v>
      </c>
      <c r="H6" s="420" t="e">
        <f ca="1">+H5-D5*SQRT(D6)</f>
        <v>#NUM!</v>
      </c>
      <c r="K6" s="674">
        <f>+D9</f>
        <v>520</v>
      </c>
      <c r="L6" s="2">
        <v>36.308457327844167</v>
      </c>
      <c r="N6" s="674">
        <f>+K6</f>
        <v>520</v>
      </c>
      <c r="O6" s="2">
        <v>43.700292560110483</v>
      </c>
    </row>
    <row r="7" spans="1:17" ht="15.5" x14ac:dyDescent="0.35">
      <c r="A7" s="430"/>
      <c r="C7" s="1" t="s">
        <v>403</v>
      </c>
      <c r="D7" s="658">
        <v>5.0000000000000001E-3</v>
      </c>
      <c r="F7" s="1" t="s">
        <v>404</v>
      </c>
      <c r="G7" s="420" t="e">
        <f ca="1">NORMSDIST(G5)</f>
        <v>#NUM!</v>
      </c>
      <c r="H7" s="420" t="e">
        <f ca="1">NORMSDIST(H5)</f>
        <v>#NUM!</v>
      </c>
      <c r="K7" s="674">
        <f>+K6+10</f>
        <v>530</v>
      </c>
      <c r="L7" s="2">
        <v>32.183997028880498</v>
      </c>
      <c r="N7" s="674">
        <f t="shared" ref="N7:N10" si="0">+K7</f>
        <v>530</v>
      </c>
      <c r="O7" s="2">
        <v>49.564136779912872</v>
      </c>
    </row>
    <row r="8" spans="1:17" ht="15.5" x14ac:dyDescent="0.35">
      <c r="A8" s="430"/>
      <c r="C8" s="1" t="s">
        <v>408</v>
      </c>
      <c r="D8" s="659">
        <f>+C14</f>
        <v>512</v>
      </c>
      <c r="F8" s="1" t="s">
        <v>409</v>
      </c>
      <c r="G8" s="420" t="e">
        <f ca="1">NORMSDIST(G6)</f>
        <v>#NUM!</v>
      </c>
      <c r="H8" s="420" t="e">
        <f ca="1">NORMSDIST(H6)</f>
        <v>#NUM!</v>
      </c>
      <c r="K8" s="674">
        <f t="shared" ref="K8:K10" si="1">+K7+10</f>
        <v>540</v>
      </c>
      <c r="L8" s="2">
        <v>25.036607563109726</v>
      </c>
      <c r="N8" s="674">
        <f t="shared" si="0"/>
        <v>540</v>
      </c>
      <c r="O8" s="2">
        <v>62.393356372146116</v>
      </c>
    </row>
    <row r="9" spans="1:17" ht="15.5" x14ac:dyDescent="0.35">
      <c r="A9" s="430"/>
      <c r="C9" s="1" t="s">
        <v>360</v>
      </c>
      <c r="D9" s="659">
        <f>+C16</f>
        <v>520</v>
      </c>
      <c r="G9" s="660" t="s">
        <v>411</v>
      </c>
      <c r="H9" s="8" t="s">
        <v>411</v>
      </c>
      <c r="K9" s="674">
        <f t="shared" si="1"/>
        <v>550</v>
      </c>
      <c r="L9" s="2">
        <v>16.776377750690102</v>
      </c>
      <c r="N9" s="674">
        <f t="shared" si="0"/>
        <v>550</v>
      </c>
      <c r="O9" s="2">
        <v>84.098040093321003</v>
      </c>
    </row>
    <row r="10" spans="1:17" ht="15.5" x14ac:dyDescent="0.35">
      <c r="A10" s="430"/>
      <c r="C10" s="1" t="s">
        <v>413</v>
      </c>
      <c r="D10" s="428">
        <v>0</v>
      </c>
      <c r="F10" s="661" t="s">
        <v>587</v>
      </c>
      <c r="G10" s="662" t="e">
        <f ca="1">+D8*EXP(-D10*D6)*G7-D9*EXP(-D7*D6)*G8</f>
        <v>#NUM!</v>
      </c>
      <c r="H10" s="662" t="e">
        <f ca="1">D9*EXP(-D7*D6)*(1-H8)-D8*EXP(-D10*D6)*(1-H7)</f>
        <v>#NUM!</v>
      </c>
      <c r="K10" s="674">
        <f t="shared" si="1"/>
        <v>560</v>
      </c>
      <c r="L10" s="2">
        <v>9.4470312711992932</v>
      </c>
      <c r="N10" s="674">
        <f t="shared" si="0"/>
        <v>560</v>
      </c>
      <c r="O10" s="2">
        <v>116.72191164590572</v>
      </c>
    </row>
    <row r="11" spans="1:17" ht="15.5" x14ac:dyDescent="0.35">
      <c r="A11" s="430"/>
    </row>
    <row r="12" spans="1:17" ht="15.5" x14ac:dyDescent="0.35">
      <c r="A12" s="430"/>
      <c r="F12" s="663" t="s">
        <v>688</v>
      </c>
      <c r="G12" s="664"/>
    </row>
    <row r="13" spans="1:17" ht="58" x14ac:dyDescent="0.35">
      <c r="B13" s="665" t="s">
        <v>689</v>
      </c>
      <c r="C13" s="666" t="s">
        <v>690</v>
      </c>
      <c r="F13" s="666" t="s">
        <v>691</v>
      </c>
      <c r="G13" s="666" t="s">
        <v>692</v>
      </c>
      <c r="K13" s="675" t="s">
        <v>701</v>
      </c>
      <c r="L13" s="675"/>
      <c r="M13" s="675"/>
      <c r="N13" s="675"/>
      <c r="O13" s="675"/>
      <c r="P13" s="675"/>
      <c r="Q13" s="678"/>
    </row>
    <row r="14" spans="1:17" ht="15" thickBot="1" x14ac:dyDescent="0.4">
      <c r="B14" s="667">
        <f ca="1">NOW()</f>
        <v>45222.178430555556</v>
      </c>
      <c r="C14" s="668">
        <v>512</v>
      </c>
      <c r="F14" s="14"/>
      <c r="K14" s="676" t="s">
        <v>689</v>
      </c>
      <c r="L14" s="677" t="s">
        <v>696</v>
      </c>
      <c r="M14" s="677" t="s">
        <v>697</v>
      </c>
      <c r="N14" s="677" t="s">
        <v>698</v>
      </c>
      <c r="O14" s="677" t="s">
        <v>694</v>
      </c>
      <c r="P14" s="677" t="s">
        <v>699</v>
      </c>
      <c r="Q14" s="679" t="s">
        <v>700</v>
      </c>
    </row>
    <row r="15" spans="1:17" ht="15" thickTop="1" x14ac:dyDescent="0.35">
      <c r="B15" s="667"/>
      <c r="C15" s="668"/>
      <c r="F15" s="14"/>
      <c r="K15" s="667">
        <v>44287</v>
      </c>
      <c r="L15" s="527">
        <v>529.92999299999997</v>
      </c>
      <c r="M15" s="527">
        <v>563.55999799999995</v>
      </c>
      <c r="N15" s="527">
        <v>527.03002900000001</v>
      </c>
      <c r="O15" s="527">
        <v>549.57000700000003</v>
      </c>
      <c r="P15" s="527">
        <v>549.57000700000003</v>
      </c>
      <c r="Q15" s="616">
        <v>50984400</v>
      </c>
    </row>
    <row r="16" spans="1:17" x14ac:dyDescent="0.35">
      <c r="B16" s="667">
        <v>44393</v>
      </c>
      <c r="C16" s="668">
        <v>520</v>
      </c>
      <c r="F16" s="668">
        <v>28.78</v>
      </c>
      <c r="G16" s="668">
        <v>37.700000000000003</v>
      </c>
      <c r="K16" s="667">
        <v>44256</v>
      </c>
      <c r="L16" s="527">
        <v>545.57000700000003</v>
      </c>
      <c r="M16" s="527">
        <v>556.98999000000003</v>
      </c>
      <c r="N16" s="527">
        <v>492.85000600000001</v>
      </c>
      <c r="O16" s="527">
        <v>521.65997300000004</v>
      </c>
      <c r="P16" s="527">
        <v>521.65997300000004</v>
      </c>
      <c r="Q16" s="616">
        <v>90094400</v>
      </c>
    </row>
    <row r="17" spans="2:17" x14ac:dyDescent="0.35">
      <c r="B17" s="667">
        <f>+B16</f>
        <v>44393</v>
      </c>
      <c r="C17" s="668">
        <v>530</v>
      </c>
      <c r="F17" s="668">
        <v>23.5</v>
      </c>
      <c r="G17" s="668">
        <v>41.95</v>
      </c>
      <c r="K17" s="667">
        <v>44228</v>
      </c>
      <c r="L17" s="527">
        <v>536.78997800000002</v>
      </c>
      <c r="M17" s="527">
        <v>566.65002400000003</v>
      </c>
      <c r="N17" s="527">
        <v>518.28002900000001</v>
      </c>
      <c r="O17" s="527">
        <v>538.84997599999997</v>
      </c>
      <c r="P17" s="527">
        <v>538.84997599999997</v>
      </c>
      <c r="Q17" s="616">
        <v>61894300</v>
      </c>
    </row>
    <row r="18" spans="2:17" x14ac:dyDescent="0.35">
      <c r="B18" s="667">
        <f>+B17</f>
        <v>44393</v>
      </c>
      <c r="C18" s="668">
        <v>540</v>
      </c>
      <c r="F18" s="668">
        <v>20.55</v>
      </c>
      <c r="G18" s="668">
        <v>49.35</v>
      </c>
      <c r="K18" s="667">
        <v>44197</v>
      </c>
      <c r="L18" s="527">
        <v>539</v>
      </c>
      <c r="M18" s="527">
        <v>593.28997800000002</v>
      </c>
      <c r="N18" s="527">
        <v>485.67001299999998</v>
      </c>
      <c r="O18" s="527">
        <v>532.39001499999995</v>
      </c>
      <c r="P18" s="527">
        <v>532.39001499999995</v>
      </c>
      <c r="Q18" s="616">
        <v>140029800</v>
      </c>
    </row>
    <row r="19" spans="2:17" x14ac:dyDescent="0.35">
      <c r="B19" s="667">
        <f>+B18</f>
        <v>44393</v>
      </c>
      <c r="C19" s="668">
        <v>550</v>
      </c>
      <c r="F19" s="668">
        <v>17.399999999999999</v>
      </c>
      <c r="G19" s="668">
        <v>55.25</v>
      </c>
      <c r="K19" s="667">
        <v>44166</v>
      </c>
      <c r="L19" s="527">
        <v>492.33999599999999</v>
      </c>
      <c r="M19" s="527">
        <v>545.5</v>
      </c>
      <c r="N19" s="527">
        <v>491.290009</v>
      </c>
      <c r="O19" s="527">
        <v>540.72997999999995</v>
      </c>
      <c r="P19" s="527">
        <v>540.72997999999995</v>
      </c>
      <c r="Q19" s="616">
        <v>77577900</v>
      </c>
    </row>
    <row r="20" spans="2:17" x14ac:dyDescent="0.35">
      <c r="B20" s="667">
        <f>+B19</f>
        <v>44393</v>
      </c>
      <c r="C20" s="668">
        <v>560</v>
      </c>
      <c r="F20" s="668">
        <v>14.1</v>
      </c>
      <c r="G20" s="668">
        <v>62.55</v>
      </c>
      <c r="K20" s="667">
        <v>44136</v>
      </c>
      <c r="L20" s="527">
        <v>478.86999500000002</v>
      </c>
      <c r="M20" s="527">
        <v>518.72997999999995</v>
      </c>
      <c r="N20" s="527">
        <v>463.41000400000001</v>
      </c>
      <c r="O20" s="527">
        <v>490.70001200000002</v>
      </c>
      <c r="P20" s="527">
        <v>490.70001200000002</v>
      </c>
      <c r="Q20" s="616">
        <v>91788900</v>
      </c>
    </row>
    <row r="21" spans="2:17" x14ac:dyDescent="0.35">
      <c r="K21" s="667">
        <v>44105</v>
      </c>
      <c r="L21" s="527">
        <v>506.02999899999998</v>
      </c>
      <c r="M21" s="527">
        <v>572.48999000000003</v>
      </c>
      <c r="N21" s="527">
        <v>472.209991</v>
      </c>
      <c r="O21" s="527">
        <v>475.73998999999998</v>
      </c>
      <c r="P21" s="527">
        <v>475.73998999999998</v>
      </c>
      <c r="Q21" s="616">
        <v>154313500</v>
      </c>
    </row>
    <row r="22" spans="2:17" x14ac:dyDescent="0.35">
      <c r="B22" s="53" t="s">
        <v>693</v>
      </c>
      <c r="D22" s="669">
        <f>_xlfn.STDEV.P(D27:D86)</f>
        <v>0.10036864491928721</v>
      </c>
      <c r="G22"/>
      <c r="K22" s="667">
        <v>44075</v>
      </c>
      <c r="L22" s="527">
        <v>532.59997599999997</v>
      </c>
      <c r="M22" s="527">
        <v>557.39001499999995</v>
      </c>
      <c r="N22" s="527">
        <v>458.60000600000001</v>
      </c>
      <c r="O22" s="527">
        <v>500.02999899999998</v>
      </c>
      <c r="P22" s="527">
        <v>500.02999899999998</v>
      </c>
      <c r="Q22" s="616">
        <v>118806100</v>
      </c>
    </row>
    <row r="23" spans="2:17" x14ac:dyDescent="0.35">
      <c r="D23"/>
      <c r="G23"/>
      <c r="K23" s="667">
        <v>44044</v>
      </c>
      <c r="L23" s="527">
        <v>490.85998499999999</v>
      </c>
      <c r="M23" s="527">
        <v>549.03997800000002</v>
      </c>
      <c r="N23" s="527">
        <v>466.54998799999998</v>
      </c>
      <c r="O23" s="527">
        <v>529.55999799999995</v>
      </c>
      <c r="P23" s="527">
        <v>529.55999799999995</v>
      </c>
      <c r="Q23" s="616">
        <v>116269200</v>
      </c>
    </row>
    <row r="24" spans="2:17" x14ac:dyDescent="0.35">
      <c r="B24" s="653" t="s">
        <v>689</v>
      </c>
      <c r="C24" s="653" t="s">
        <v>694</v>
      </c>
      <c r="D24" s="653" t="s">
        <v>695</v>
      </c>
      <c r="G24"/>
      <c r="K24" s="667">
        <v>44013</v>
      </c>
      <c r="L24" s="527">
        <v>454</v>
      </c>
      <c r="M24" s="527">
        <v>575.36999500000002</v>
      </c>
      <c r="N24" s="527">
        <v>454</v>
      </c>
      <c r="O24" s="527">
        <v>488.88000499999998</v>
      </c>
      <c r="P24" s="527">
        <v>488.88000499999998</v>
      </c>
      <c r="Q24" s="616">
        <v>232227800</v>
      </c>
    </row>
    <row r="25" spans="2:17" x14ac:dyDescent="0.35">
      <c r="B25" s="667">
        <f ca="1">+B14</f>
        <v>45222.178430555556</v>
      </c>
      <c r="C25" s="4">
        <f>+C14</f>
        <v>512</v>
      </c>
      <c r="D25" s="670">
        <f>+C25/C27-1</f>
        <v>-6.8362549850723653E-2</v>
      </c>
      <c r="G25"/>
      <c r="K25" s="667">
        <v>43983</v>
      </c>
      <c r="L25" s="527">
        <v>418.82998700000002</v>
      </c>
      <c r="M25" s="527">
        <v>474.01001000000002</v>
      </c>
      <c r="N25" s="527">
        <v>404.25</v>
      </c>
      <c r="O25" s="527">
        <v>455.040009</v>
      </c>
      <c r="P25" s="527">
        <v>455.040009</v>
      </c>
      <c r="Q25" s="616">
        <v>117279900</v>
      </c>
    </row>
    <row r="26" spans="2:17" x14ac:dyDescent="0.35">
      <c r="G26"/>
      <c r="K26" s="667">
        <v>43952</v>
      </c>
      <c r="L26" s="527">
        <v>415.10000600000001</v>
      </c>
      <c r="M26" s="527">
        <v>458.97000100000002</v>
      </c>
      <c r="N26" s="527">
        <v>397.85998499999999</v>
      </c>
      <c r="O26" s="527">
        <v>419.73001099999999</v>
      </c>
      <c r="P26" s="527">
        <v>419.73001099999999</v>
      </c>
      <c r="Q26" s="616">
        <v>135083200</v>
      </c>
    </row>
    <row r="27" spans="2:17" x14ac:dyDescent="0.35">
      <c r="B27" s="667">
        <f t="shared" ref="B27:B58" si="2">+K15</f>
        <v>44287</v>
      </c>
      <c r="C27" s="2">
        <f t="shared" ref="C27:C58" si="3">+P15</f>
        <v>549.57000700000003</v>
      </c>
      <c r="G27"/>
      <c r="K27" s="667">
        <v>43922</v>
      </c>
      <c r="L27" s="527">
        <v>376.04998799999998</v>
      </c>
      <c r="M27" s="527">
        <v>449.51998900000001</v>
      </c>
      <c r="N27" s="527">
        <v>357.51001000000002</v>
      </c>
      <c r="O27" s="527">
        <v>419.85000600000001</v>
      </c>
      <c r="P27" s="527">
        <v>419.85000600000001</v>
      </c>
      <c r="Q27" s="616">
        <v>225162100</v>
      </c>
    </row>
    <row r="28" spans="2:17" x14ac:dyDescent="0.35">
      <c r="B28" s="667">
        <f t="shared" si="2"/>
        <v>44256</v>
      </c>
      <c r="C28" s="2">
        <f t="shared" si="3"/>
        <v>521.65997300000004</v>
      </c>
      <c r="D28" s="670">
        <f>+C27/C28-1</f>
        <v>5.3502349125030602E-2</v>
      </c>
      <c r="G28"/>
      <c r="K28" s="667">
        <v>43891</v>
      </c>
      <c r="L28" s="527">
        <v>373.10998499999999</v>
      </c>
      <c r="M28" s="527">
        <v>393.51998900000001</v>
      </c>
      <c r="N28" s="527">
        <v>290.25</v>
      </c>
      <c r="O28" s="527">
        <v>375.5</v>
      </c>
      <c r="P28" s="527">
        <v>375.5</v>
      </c>
      <c r="Q28" s="616">
        <v>201979100</v>
      </c>
    </row>
    <row r="29" spans="2:17" x14ac:dyDescent="0.35">
      <c r="B29" s="667">
        <f t="shared" si="2"/>
        <v>44228</v>
      </c>
      <c r="C29" s="2">
        <f t="shared" si="3"/>
        <v>538.84997599999997</v>
      </c>
      <c r="D29" s="670">
        <f t="shared" ref="D29:D86" si="4">+C28/C29-1</f>
        <v>-3.1901278214030993E-2</v>
      </c>
      <c r="G29"/>
      <c r="K29" s="667">
        <v>43862</v>
      </c>
      <c r="L29" s="527">
        <v>347.23998999999998</v>
      </c>
      <c r="M29" s="527">
        <v>392.95001200000002</v>
      </c>
      <c r="N29" s="527">
        <v>346.27999899999998</v>
      </c>
      <c r="O29" s="527">
        <v>369.02999899999998</v>
      </c>
      <c r="P29" s="527">
        <v>369.02999899999998</v>
      </c>
      <c r="Q29" s="616">
        <v>114070300</v>
      </c>
    </row>
    <row r="30" spans="2:17" x14ac:dyDescent="0.35">
      <c r="B30" s="667">
        <f t="shared" si="2"/>
        <v>44197</v>
      </c>
      <c r="C30" s="2">
        <f t="shared" si="3"/>
        <v>532.39001499999995</v>
      </c>
      <c r="D30" s="670">
        <f t="shared" si="4"/>
        <v>1.2133888348751176E-2</v>
      </c>
      <c r="G30"/>
      <c r="K30" s="667">
        <v>43831</v>
      </c>
      <c r="L30" s="527">
        <v>326.10000600000001</v>
      </c>
      <c r="M30" s="527">
        <v>359.85000600000001</v>
      </c>
      <c r="N30" s="527">
        <v>321.20001200000002</v>
      </c>
      <c r="O30" s="527">
        <v>345.08999599999999</v>
      </c>
      <c r="P30" s="527">
        <v>345.08999599999999</v>
      </c>
      <c r="Q30" s="616">
        <v>169874000</v>
      </c>
    </row>
    <row r="31" spans="2:17" x14ac:dyDescent="0.35">
      <c r="B31" s="667">
        <f t="shared" si="2"/>
        <v>44166</v>
      </c>
      <c r="C31" s="2">
        <f t="shared" si="3"/>
        <v>540.72997999999995</v>
      </c>
      <c r="D31" s="670">
        <f t="shared" si="4"/>
        <v>-1.542352987344997E-2</v>
      </c>
      <c r="G31"/>
      <c r="K31" s="667">
        <v>43800</v>
      </c>
      <c r="L31" s="527">
        <v>314.39001500000001</v>
      </c>
      <c r="M31" s="527">
        <v>338</v>
      </c>
      <c r="N31" s="527">
        <v>292.01998900000001</v>
      </c>
      <c r="O31" s="527">
        <v>323.57000699999998</v>
      </c>
      <c r="P31" s="527">
        <v>323.57000699999998</v>
      </c>
      <c r="Q31" s="616">
        <v>124723600</v>
      </c>
    </row>
    <row r="32" spans="2:17" x14ac:dyDescent="0.35">
      <c r="B32" s="667">
        <f t="shared" si="2"/>
        <v>44136</v>
      </c>
      <c r="C32" s="2">
        <f t="shared" si="3"/>
        <v>490.70001200000002</v>
      </c>
      <c r="D32" s="670">
        <f t="shared" si="4"/>
        <v>0.10195632112599151</v>
      </c>
      <c r="G32"/>
      <c r="K32" s="667">
        <v>43770</v>
      </c>
      <c r="L32" s="527">
        <v>288.70001200000002</v>
      </c>
      <c r="M32" s="527">
        <v>316.82000699999998</v>
      </c>
      <c r="N32" s="527">
        <v>281.14001500000001</v>
      </c>
      <c r="O32" s="527">
        <v>314.66000400000001</v>
      </c>
      <c r="P32" s="527">
        <v>314.66000400000001</v>
      </c>
      <c r="Q32" s="616">
        <v>113645900</v>
      </c>
    </row>
    <row r="33" spans="2:17" x14ac:dyDescent="0.35">
      <c r="B33" s="667">
        <f t="shared" si="2"/>
        <v>44105</v>
      </c>
      <c r="C33" s="2">
        <f t="shared" si="3"/>
        <v>475.73998999999998</v>
      </c>
      <c r="D33" s="670">
        <f t="shared" si="4"/>
        <v>3.1445794582036335E-2</v>
      </c>
      <c r="G33"/>
      <c r="K33" s="667">
        <v>43739</v>
      </c>
      <c r="L33" s="527">
        <v>267.35000600000001</v>
      </c>
      <c r="M33" s="527">
        <v>308.75</v>
      </c>
      <c r="N33" s="527">
        <v>257.01001000000002</v>
      </c>
      <c r="O33" s="527">
        <v>287.41000400000001</v>
      </c>
      <c r="P33" s="527">
        <v>287.41000400000001</v>
      </c>
      <c r="Q33" s="616">
        <v>231556400</v>
      </c>
    </row>
    <row r="34" spans="2:17" x14ac:dyDescent="0.35">
      <c r="B34" s="667">
        <f t="shared" si="2"/>
        <v>44075</v>
      </c>
      <c r="C34" s="2">
        <f t="shared" si="3"/>
        <v>500.02999899999998</v>
      </c>
      <c r="D34" s="670">
        <f t="shared" si="4"/>
        <v>-4.8577103470945904E-2</v>
      </c>
      <c r="G34"/>
      <c r="K34" s="667">
        <v>43709</v>
      </c>
      <c r="L34" s="527">
        <v>290.82000699999998</v>
      </c>
      <c r="M34" s="527">
        <v>301.54998799999998</v>
      </c>
      <c r="N34" s="527">
        <v>252.279999</v>
      </c>
      <c r="O34" s="527">
        <v>267.61999500000002</v>
      </c>
      <c r="P34" s="527">
        <v>267.61999500000002</v>
      </c>
      <c r="Q34" s="616">
        <v>175411300</v>
      </c>
    </row>
    <row r="35" spans="2:17" x14ac:dyDescent="0.35">
      <c r="B35" s="667">
        <f t="shared" si="2"/>
        <v>44044</v>
      </c>
      <c r="C35" s="2">
        <f t="shared" si="3"/>
        <v>529.55999799999995</v>
      </c>
      <c r="D35" s="670">
        <f t="shared" si="4"/>
        <v>-5.5763273494082832E-2</v>
      </c>
      <c r="G35"/>
      <c r="K35" s="667">
        <v>43678</v>
      </c>
      <c r="L35" s="527">
        <v>324.25</v>
      </c>
      <c r="M35" s="527">
        <v>328.57998700000002</v>
      </c>
      <c r="N35" s="527">
        <v>287.20001200000002</v>
      </c>
      <c r="O35" s="527">
        <v>293.75</v>
      </c>
      <c r="P35" s="527">
        <v>293.75</v>
      </c>
      <c r="Q35" s="616">
        <v>137076700</v>
      </c>
    </row>
    <row r="36" spans="2:17" x14ac:dyDescent="0.35">
      <c r="B36" s="667">
        <f t="shared" si="2"/>
        <v>44013</v>
      </c>
      <c r="C36" s="2">
        <f t="shared" si="3"/>
        <v>488.88000499999998</v>
      </c>
      <c r="D36" s="670">
        <f t="shared" si="4"/>
        <v>8.3210588659685447E-2</v>
      </c>
      <c r="G36"/>
      <c r="K36" s="667">
        <v>43647</v>
      </c>
      <c r="L36" s="527">
        <v>373.5</v>
      </c>
      <c r="M36" s="527">
        <v>384.76001000000002</v>
      </c>
      <c r="N36" s="527">
        <v>305.80999800000001</v>
      </c>
      <c r="O36" s="527">
        <v>322.98998999999998</v>
      </c>
      <c r="P36" s="527">
        <v>322.98998999999998</v>
      </c>
      <c r="Q36" s="616">
        <v>196652500</v>
      </c>
    </row>
    <row r="37" spans="2:17" x14ac:dyDescent="0.35">
      <c r="B37" s="667">
        <f t="shared" si="2"/>
        <v>43983</v>
      </c>
      <c r="C37" s="2">
        <f t="shared" si="3"/>
        <v>455.040009</v>
      </c>
      <c r="D37" s="670">
        <f t="shared" si="4"/>
        <v>7.4367078346291082E-2</v>
      </c>
      <c r="G37"/>
      <c r="K37" s="667">
        <v>43617</v>
      </c>
      <c r="L37" s="527">
        <v>343.55999800000001</v>
      </c>
      <c r="M37" s="527">
        <v>375</v>
      </c>
      <c r="N37" s="527">
        <v>332.64999399999999</v>
      </c>
      <c r="O37" s="527">
        <v>367.32000699999998</v>
      </c>
      <c r="P37" s="527">
        <v>367.32000699999998</v>
      </c>
      <c r="Q37" s="616">
        <v>111052000</v>
      </c>
    </row>
    <row r="38" spans="2:17" x14ac:dyDescent="0.35">
      <c r="B38" s="667">
        <f t="shared" si="2"/>
        <v>43952</v>
      </c>
      <c r="C38" s="2">
        <f t="shared" si="3"/>
        <v>419.73001099999999</v>
      </c>
      <c r="D38" s="670">
        <f t="shared" si="4"/>
        <v>8.4125502286278131E-2</v>
      </c>
      <c r="G38"/>
      <c r="K38" s="667">
        <v>43586</v>
      </c>
      <c r="L38" s="527">
        <v>374</v>
      </c>
      <c r="M38" s="527">
        <v>385.98998999999998</v>
      </c>
      <c r="N38" s="527">
        <v>341.39001500000001</v>
      </c>
      <c r="O38" s="527">
        <v>343.27999899999998</v>
      </c>
      <c r="P38" s="527">
        <v>343.27999899999998</v>
      </c>
      <c r="Q38" s="616">
        <v>125298300</v>
      </c>
    </row>
    <row r="39" spans="2:17" x14ac:dyDescent="0.35">
      <c r="B39" s="667">
        <f t="shared" si="2"/>
        <v>43922</v>
      </c>
      <c r="C39" s="2">
        <f t="shared" si="3"/>
        <v>419.85000600000001</v>
      </c>
      <c r="D39" s="670">
        <f t="shared" si="4"/>
        <v>-2.8580444988735021E-4</v>
      </c>
      <c r="G39"/>
      <c r="K39" s="667">
        <v>43556</v>
      </c>
      <c r="L39" s="527">
        <v>359</v>
      </c>
      <c r="M39" s="527">
        <v>384.79998799999998</v>
      </c>
      <c r="N39" s="527">
        <v>342.26998900000001</v>
      </c>
      <c r="O39" s="527">
        <v>370.540009</v>
      </c>
      <c r="P39" s="527">
        <v>370.540009</v>
      </c>
      <c r="Q39" s="616">
        <v>165079400</v>
      </c>
    </row>
    <row r="40" spans="2:17" x14ac:dyDescent="0.35">
      <c r="B40" s="667">
        <f t="shared" si="2"/>
        <v>43891</v>
      </c>
      <c r="C40" s="2">
        <f t="shared" si="3"/>
        <v>375.5</v>
      </c>
      <c r="D40" s="670">
        <f t="shared" si="4"/>
        <v>0.1181092037283622</v>
      </c>
      <c r="G40"/>
      <c r="K40" s="667">
        <v>43525</v>
      </c>
      <c r="L40" s="527">
        <v>362.26001000000002</v>
      </c>
      <c r="M40" s="527">
        <v>379</v>
      </c>
      <c r="N40" s="527">
        <v>342.47000100000002</v>
      </c>
      <c r="O40" s="527">
        <v>356.55999800000001</v>
      </c>
      <c r="P40" s="527">
        <v>356.55999800000001</v>
      </c>
      <c r="Q40" s="616">
        <v>144843100</v>
      </c>
    </row>
    <row r="41" spans="2:17" x14ac:dyDescent="0.35">
      <c r="B41" s="667">
        <f t="shared" si="2"/>
        <v>43862</v>
      </c>
      <c r="C41" s="2">
        <f t="shared" si="3"/>
        <v>369.02999899999998</v>
      </c>
      <c r="D41" s="670">
        <f t="shared" si="4"/>
        <v>1.7532452693636014E-2</v>
      </c>
      <c r="G41"/>
      <c r="K41" s="667">
        <v>43497</v>
      </c>
      <c r="L41" s="527">
        <v>337.17999300000002</v>
      </c>
      <c r="M41" s="527">
        <v>371.48998999999998</v>
      </c>
      <c r="N41" s="527">
        <v>336.5</v>
      </c>
      <c r="O41" s="527">
        <v>358.10000600000001</v>
      </c>
      <c r="P41" s="527">
        <v>358.10000600000001</v>
      </c>
      <c r="Q41" s="616">
        <v>148192100</v>
      </c>
    </row>
    <row r="42" spans="2:17" x14ac:dyDescent="0.35">
      <c r="B42" s="667">
        <f t="shared" si="2"/>
        <v>43831</v>
      </c>
      <c r="C42" s="2">
        <f t="shared" si="3"/>
        <v>345.08999599999999</v>
      </c>
      <c r="D42" s="670">
        <f t="shared" si="4"/>
        <v>6.9373216486982692E-2</v>
      </c>
      <c r="G42"/>
      <c r="K42" s="667">
        <v>43466</v>
      </c>
      <c r="L42" s="527">
        <v>259.27999899999998</v>
      </c>
      <c r="M42" s="527">
        <v>358.85000600000001</v>
      </c>
      <c r="N42" s="527">
        <v>256.57998700000002</v>
      </c>
      <c r="O42" s="527">
        <v>339.5</v>
      </c>
      <c r="P42" s="527">
        <v>339.5</v>
      </c>
      <c r="Q42" s="616">
        <v>306616400</v>
      </c>
    </row>
    <row r="43" spans="2:17" x14ac:dyDescent="0.35">
      <c r="B43" s="667">
        <f t="shared" si="2"/>
        <v>43800</v>
      </c>
      <c r="C43" s="2">
        <f t="shared" si="3"/>
        <v>323.57000699999998</v>
      </c>
      <c r="D43" s="670">
        <f t="shared" si="4"/>
        <v>6.6507984468412218E-2</v>
      </c>
      <c r="G43"/>
      <c r="K43" s="667">
        <v>43435</v>
      </c>
      <c r="L43" s="527">
        <v>293.19000199999999</v>
      </c>
      <c r="M43" s="527">
        <v>298.72000100000002</v>
      </c>
      <c r="N43" s="527">
        <v>231.229996</v>
      </c>
      <c r="O43" s="527">
        <v>267.66000400000001</v>
      </c>
      <c r="P43" s="527">
        <v>267.66000400000001</v>
      </c>
      <c r="Q43" s="616">
        <v>234310000</v>
      </c>
    </row>
    <row r="44" spans="2:17" x14ac:dyDescent="0.35">
      <c r="B44" s="667">
        <f t="shared" si="2"/>
        <v>43770</v>
      </c>
      <c r="C44" s="2">
        <f t="shared" si="3"/>
        <v>314.66000400000001</v>
      </c>
      <c r="D44" s="670">
        <f t="shared" si="4"/>
        <v>2.8316287061383116E-2</v>
      </c>
      <c r="G44"/>
      <c r="K44" s="667">
        <v>43405</v>
      </c>
      <c r="L44" s="527">
        <v>304.58999599999999</v>
      </c>
      <c r="M44" s="527">
        <v>332.04998799999998</v>
      </c>
      <c r="N44" s="527">
        <v>250</v>
      </c>
      <c r="O44" s="527">
        <v>286.13000499999998</v>
      </c>
      <c r="P44" s="527">
        <v>286.13000499999998</v>
      </c>
      <c r="Q44" s="616">
        <v>257126400</v>
      </c>
    </row>
    <row r="45" spans="2:17" x14ac:dyDescent="0.35">
      <c r="B45" s="667">
        <f t="shared" si="2"/>
        <v>43739</v>
      </c>
      <c r="C45" s="2">
        <f t="shared" si="3"/>
        <v>287.41000400000001</v>
      </c>
      <c r="D45" s="670">
        <f t="shared" si="4"/>
        <v>9.4812287744862278E-2</v>
      </c>
      <c r="G45"/>
      <c r="K45" s="667">
        <v>43374</v>
      </c>
      <c r="L45" s="527">
        <v>375.85000600000001</v>
      </c>
      <c r="M45" s="527">
        <v>386.79998799999998</v>
      </c>
      <c r="N45" s="527">
        <v>271.209991</v>
      </c>
      <c r="O45" s="527">
        <v>301.77999899999998</v>
      </c>
      <c r="P45" s="527">
        <v>301.77999899999998</v>
      </c>
      <c r="Q45" s="616">
        <v>363589800</v>
      </c>
    </row>
    <row r="46" spans="2:17" x14ac:dyDescent="0.35">
      <c r="B46" s="667">
        <f t="shared" si="2"/>
        <v>43709</v>
      </c>
      <c r="C46" s="2">
        <f t="shared" si="3"/>
        <v>267.61999500000002</v>
      </c>
      <c r="D46" s="670">
        <f t="shared" si="4"/>
        <v>7.3948170427250659E-2</v>
      </c>
      <c r="G46"/>
      <c r="K46" s="667">
        <v>43344</v>
      </c>
      <c r="L46" s="527">
        <v>366.47000100000002</v>
      </c>
      <c r="M46" s="527">
        <v>383.20001200000002</v>
      </c>
      <c r="N46" s="527">
        <v>335.82998700000002</v>
      </c>
      <c r="O46" s="527">
        <v>374.13000499999998</v>
      </c>
      <c r="P46" s="527">
        <v>374.13000499999998</v>
      </c>
      <c r="Q46" s="616">
        <v>170832100</v>
      </c>
    </row>
    <row r="47" spans="2:17" x14ac:dyDescent="0.35">
      <c r="B47" s="667">
        <f t="shared" si="2"/>
        <v>43678</v>
      </c>
      <c r="C47" s="2">
        <f t="shared" si="3"/>
        <v>293.75</v>
      </c>
      <c r="D47" s="670">
        <f t="shared" si="4"/>
        <v>-8.895320851063826E-2</v>
      </c>
      <c r="G47"/>
      <c r="K47" s="667">
        <v>43313</v>
      </c>
      <c r="L47" s="527">
        <v>335.86999500000002</v>
      </c>
      <c r="M47" s="527">
        <v>376.80999800000001</v>
      </c>
      <c r="N47" s="527">
        <v>310.92999300000002</v>
      </c>
      <c r="O47" s="527">
        <v>367.67999300000002</v>
      </c>
      <c r="P47" s="527">
        <v>367.67999300000002</v>
      </c>
      <c r="Q47" s="616">
        <v>213122300</v>
      </c>
    </row>
    <row r="48" spans="2:17" x14ac:dyDescent="0.35">
      <c r="B48" s="667">
        <f t="shared" si="2"/>
        <v>43647</v>
      </c>
      <c r="C48" s="2">
        <f t="shared" si="3"/>
        <v>322.98998999999998</v>
      </c>
      <c r="D48" s="670">
        <f t="shared" si="4"/>
        <v>-9.0529090390695899E-2</v>
      </c>
      <c r="G48"/>
      <c r="K48" s="667">
        <v>43282</v>
      </c>
      <c r="L48" s="527">
        <v>385.45001200000002</v>
      </c>
      <c r="M48" s="527">
        <v>419.76998900000001</v>
      </c>
      <c r="N48" s="527">
        <v>328</v>
      </c>
      <c r="O48" s="527">
        <v>337.45001200000002</v>
      </c>
      <c r="P48" s="527">
        <v>337.45001200000002</v>
      </c>
      <c r="Q48" s="616">
        <v>305393800</v>
      </c>
    </row>
    <row r="49" spans="2:17" x14ac:dyDescent="0.35">
      <c r="B49" s="667">
        <f t="shared" si="2"/>
        <v>43617</v>
      </c>
      <c r="C49" s="2">
        <f t="shared" si="3"/>
        <v>367.32000699999998</v>
      </c>
      <c r="D49" s="670">
        <f t="shared" si="4"/>
        <v>-0.12068500532289272</v>
      </c>
      <c r="G49"/>
      <c r="K49" s="667">
        <v>43252</v>
      </c>
      <c r="L49" s="527">
        <v>353.88000499999998</v>
      </c>
      <c r="M49" s="527">
        <v>423.209991</v>
      </c>
      <c r="N49" s="527">
        <v>352.82000699999998</v>
      </c>
      <c r="O49" s="527">
        <v>391.42999300000002</v>
      </c>
      <c r="P49" s="527">
        <v>391.42999300000002</v>
      </c>
      <c r="Q49" s="616">
        <v>244031800</v>
      </c>
    </row>
    <row r="50" spans="2:17" x14ac:dyDescent="0.35">
      <c r="B50" s="667">
        <f t="shared" si="2"/>
        <v>43586</v>
      </c>
      <c r="C50" s="2">
        <f t="shared" si="3"/>
        <v>343.27999899999998</v>
      </c>
      <c r="D50" s="670">
        <f t="shared" si="4"/>
        <v>7.0030319476900305E-2</v>
      </c>
      <c r="G50"/>
      <c r="K50" s="667">
        <v>43221</v>
      </c>
      <c r="L50" s="527">
        <v>310.35998499999999</v>
      </c>
      <c r="M50" s="527">
        <v>356.10000600000001</v>
      </c>
      <c r="N50" s="527">
        <v>305.73001099999999</v>
      </c>
      <c r="O50" s="527">
        <v>351.60000600000001</v>
      </c>
      <c r="P50" s="527">
        <v>351.60000600000001</v>
      </c>
      <c r="Q50" s="616">
        <v>142050800</v>
      </c>
    </row>
    <row r="51" spans="2:17" x14ac:dyDescent="0.35">
      <c r="B51" s="667">
        <f t="shared" si="2"/>
        <v>43556</v>
      </c>
      <c r="C51" s="2">
        <f t="shared" si="3"/>
        <v>370.540009</v>
      </c>
      <c r="D51" s="670">
        <f t="shared" si="4"/>
        <v>-7.3568330916729763E-2</v>
      </c>
      <c r="G51"/>
      <c r="K51" s="667">
        <v>43191</v>
      </c>
      <c r="L51" s="527">
        <v>291.94000199999999</v>
      </c>
      <c r="M51" s="527">
        <v>338.82000699999998</v>
      </c>
      <c r="N51" s="527">
        <v>271.22000100000002</v>
      </c>
      <c r="O51" s="527">
        <v>312.459991</v>
      </c>
      <c r="P51" s="527">
        <v>312.459991</v>
      </c>
      <c r="Q51" s="616">
        <v>262006000</v>
      </c>
    </row>
    <row r="52" spans="2:17" x14ac:dyDescent="0.35">
      <c r="B52" s="667">
        <f t="shared" si="2"/>
        <v>43525</v>
      </c>
      <c r="C52" s="2">
        <f t="shared" si="3"/>
        <v>356.55999800000001</v>
      </c>
      <c r="D52" s="670">
        <f t="shared" si="4"/>
        <v>3.9208018505766384E-2</v>
      </c>
      <c r="G52"/>
      <c r="K52" s="667">
        <v>43160</v>
      </c>
      <c r="L52" s="527">
        <v>292.75</v>
      </c>
      <c r="M52" s="527">
        <v>333.98001099999999</v>
      </c>
      <c r="N52" s="527">
        <v>275.89999399999999</v>
      </c>
      <c r="O52" s="527">
        <v>295.35000600000001</v>
      </c>
      <c r="P52" s="527">
        <v>295.35000600000001</v>
      </c>
      <c r="Q52" s="616">
        <v>263449400</v>
      </c>
    </row>
    <row r="53" spans="2:17" x14ac:dyDescent="0.35">
      <c r="B53" s="667">
        <f t="shared" si="2"/>
        <v>43497</v>
      </c>
      <c r="C53" s="2">
        <f t="shared" si="3"/>
        <v>358.10000600000001</v>
      </c>
      <c r="D53" s="670">
        <f t="shared" si="4"/>
        <v>-4.3004969958029271E-3</v>
      </c>
      <c r="G53"/>
      <c r="K53" s="667">
        <v>43132</v>
      </c>
      <c r="L53" s="527">
        <v>266.41000400000001</v>
      </c>
      <c r="M53" s="527">
        <v>297.35998499999999</v>
      </c>
      <c r="N53" s="527">
        <v>236.11000100000001</v>
      </c>
      <c r="O53" s="527">
        <v>291.38000499999998</v>
      </c>
      <c r="P53" s="527">
        <v>291.38000499999998</v>
      </c>
      <c r="Q53" s="616">
        <v>184585800</v>
      </c>
    </row>
    <row r="54" spans="2:17" x14ac:dyDescent="0.35">
      <c r="B54" s="667">
        <f t="shared" si="2"/>
        <v>43466</v>
      </c>
      <c r="C54" s="2">
        <f t="shared" si="3"/>
        <v>339.5</v>
      </c>
      <c r="D54" s="670">
        <f t="shared" si="4"/>
        <v>5.478646833578793E-2</v>
      </c>
      <c r="G54"/>
      <c r="K54" s="667">
        <v>43101</v>
      </c>
      <c r="L54" s="527">
        <v>196.10000600000001</v>
      </c>
      <c r="M54" s="527">
        <v>286.80999800000001</v>
      </c>
      <c r="N54" s="527">
        <v>195.41999799999999</v>
      </c>
      <c r="O54" s="527">
        <v>270.29998799999998</v>
      </c>
      <c r="P54" s="527">
        <v>270.29998799999998</v>
      </c>
      <c r="Q54" s="616">
        <v>238377600</v>
      </c>
    </row>
    <row r="55" spans="2:17" x14ac:dyDescent="0.35">
      <c r="B55" s="667">
        <f t="shared" si="2"/>
        <v>43435</v>
      </c>
      <c r="C55" s="2">
        <f t="shared" si="3"/>
        <v>267.66000400000001</v>
      </c>
      <c r="D55" s="670">
        <f t="shared" si="4"/>
        <v>0.26840019026525908</v>
      </c>
      <c r="G55"/>
      <c r="K55" s="667">
        <v>43070</v>
      </c>
      <c r="L55" s="527">
        <v>186.990005</v>
      </c>
      <c r="M55" s="527">
        <v>194.490005</v>
      </c>
      <c r="N55" s="527">
        <v>178.38000500000001</v>
      </c>
      <c r="O55" s="527">
        <v>191.96000699999999</v>
      </c>
      <c r="P55" s="527">
        <v>191.96000699999999</v>
      </c>
      <c r="Q55" s="616">
        <v>115103700</v>
      </c>
    </row>
    <row r="56" spans="2:17" x14ac:dyDescent="0.35">
      <c r="B56" s="667">
        <f t="shared" si="2"/>
        <v>43405</v>
      </c>
      <c r="C56" s="2">
        <f t="shared" si="3"/>
        <v>286.13000499999998</v>
      </c>
      <c r="D56" s="670">
        <f t="shared" si="4"/>
        <v>-6.455108054815839E-2</v>
      </c>
      <c r="G56"/>
      <c r="K56" s="667">
        <v>43040</v>
      </c>
      <c r="L56" s="527">
        <v>197.240005</v>
      </c>
      <c r="M56" s="527">
        <v>202.479996</v>
      </c>
      <c r="N56" s="527">
        <v>184.320007</v>
      </c>
      <c r="O56" s="527">
        <v>187.58000200000001</v>
      </c>
      <c r="P56" s="527">
        <v>187.58000200000001</v>
      </c>
      <c r="Q56" s="616">
        <v>110996600</v>
      </c>
    </row>
    <row r="57" spans="2:17" x14ac:dyDescent="0.35">
      <c r="B57" s="667">
        <f t="shared" si="2"/>
        <v>43374</v>
      </c>
      <c r="C57" s="2">
        <f t="shared" si="3"/>
        <v>301.77999899999998</v>
      </c>
      <c r="D57" s="670">
        <f t="shared" si="4"/>
        <v>-5.1858950400486936E-2</v>
      </c>
      <c r="G57"/>
      <c r="K57" s="667">
        <v>43009</v>
      </c>
      <c r="L57" s="527">
        <v>182.11000100000001</v>
      </c>
      <c r="M57" s="527">
        <v>204.38000500000001</v>
      </c>
      <c r="N57" s="527">
        <v>176.58000200000001</v>
      </c>
      <c r="O57" s="527">
        <v>196.429993</v>
      </c>
      <c r="P57" s="527">
        <v>196.429993</v>
      </c>
      <c r="Q57" s="616">
        <v>208657800</v>
      </c>
    </row>
    <row r="58" spans="2:17" x14ac:dyDescent="0.35">
      <c r="B58" s="667">
        <f t="shared" si="2"/>
        <v>43344</v>
      </c>
      <c r="C58" s="2">
        <f t="shared" si="3"/>
        <v>374.13000499999998</v>
      </c>
      <c r="D58" s="670">
        <f t="shared" si="4"/>
        <v>-0.19338199297861713</v>
      </c>
      <c r="G58"/>
      <c r="K58" s="667">
        <v>42979</v>
      </c>
      <c r="L58" s="527">
        <v>175.550003</v>
      </c>
      <c r="M58" s="527">
        <v>189.949997</v>
      </c>
      <c r="N58" s="527">
        <v>172.44000199999999</v>
      </c>
      <c r="O58" s="527">
        <v>181.35000600000001</v>
      </c>
      <c r="P58" s="527">
        <v>181.35000600000001</v>
      </c>
      <c r="Q58" s="616">
        <v>111427900</v>
      </c>
    </row>
    <row r="59" spans="2:17" x14ac:dyDescent="0.35">
      <c r="B59" s="667">
        <f t="shared" ref="B59:B86" si="5">+K47</f>
        <v>43313</v>
      </c>
      <c r="C59" s="2">
        <f t="shared" ref="C59:C86" si="6">+P47</f>
        <v>367.67999300000002</v>
      </c>
      <c r="D59" s="670">
        <f t="shared" si="4"/>
        <v>1.7542461169487655E-2</v>
      </c>
      <c r="G59"/>
      <c r="K59" s="667">
        <v>42948</v>
      </c>
      <c r="L59" s="527">
        <v>182.490005</v>
      </c>
      <c r="M59" s="527">
        <v>184.61999499999999</v>
      </c>
      <c r="N59" s="527">
        <v>164.229996</v>
      </c>
      <c r="O59" s="527">
        <v>174.71000699999999</v>
      </c>
      <c r="P59" s="527">
        <v>174.71000699999999</v>
      </c>
      <c r="Q59" s="616">
        <v>136534400</v>
      </c>
    </row>
    <row r="60" spans="2:17" x14ac:dyDescent="0.35">
      <c r="B60" s="667">
        <f t="shared" si="5"/>
        <v>43282</v>
      </c>
      <c r="C60" s="2">
        <f t="shared" si="6"/>
        <v>337.45001200000002</v>
      </c>
      <c r="D60" s="670">
        <f t="shared" si="4"/>
        <v>8.9583582530736505E-2</v>
      </c>
      <c r="G60"/>
      <c r="K60" s="667">
        <v>42917</v>
      </c>
      <c r="L60" s="527">
        <v>149.800003</v>
      </c>
      <c r="M60" s="527">
        <v>191.5</v>
      </c>
      <c r="N60" s="527">
        <v>144.25</v>
      </c>
      <c r="O60" s="527">
        <v>181.66000399999999</v>
      </c>
      <c r="P60" s="527">
        <v>181.66000399999999</v>
      </c>
      <c r="Q60" s="616">
        <v>185144700</v>
      </c>
    </row>
    <row r="61" spans="2:17" x14ac:dyDescent="0.35">
      <c r="B61" s="667">
        <f t="shared" si="5"/>
        <v>43252</v>
      </c>
      <c r="C61" s="2">
        <f t="shared" si="6"/>
        <v>391.42999300000002</v>
      </c>
      <c r="D61" s="670">
        <f t="shared" si="4"/>
        <v>-0.13790456011376728</v>
      </c>
      <c r="G61"/>
      <c r="K61" s="667">
        <v>42887</v>
      </c>
      <c r="L61" s="527">
        <v>163.520004</v>
      </c>
      <c r="M61" s="527">
        <v>166.86999499999999</v>
      </c>
      <c r="N61" s="527">
        <v>147.300003</v>
      </c>
      <c r="O61" s="527">
        <v>149.41000399999999</v>
      </c>
      <c r="P61" s="527">
        <v>149.41000399999999</v>
      </c>
      <c r="Q61" s="616">
        <v>135699700</v>
      </c>
    </row>
    <row r="62" spans="2:17" x14ac:dyDescent="0.35">
      <c r="B62" s="667">
        <f t="shared" si="5"/>
        <v>43221</v>
      </c>
      <c r="C62" s="2">
        <f t="shared" si="6"/>
        <v>351.60000600000001</v>
      </c>
      <c r="D62" s="670">
        <f t="shared" si="4"/>
        <v>0.11328209988710869</v>
      </c>
      <c r="G62"/>
      <c r="K62" s="667">
        <v>42856</v>
      </c>
      <c r="L62" s="527">
        <v>151.91000399999999</v>
      </c>
      <c r="M62" s="527">
        <v>164.75</v>
      </c>
      <c r="N62" s="527">
        <v>151.61000100000001</v>
      </c>
      <c r="O62" s="527">
        <v>163.070007</v>
      </c>
      <c r="P62" s="527">
        <v>163.070007</v>
      </c>
      <c r="Q62" s="616">
        <v>116795800</v>
      </c>
    </row>
    <row r="63" spans="2:17" x14ac:dyDescent="0.35">
      <c r="B63" s="667">
        <f t="shared" si="5"/>
        <v>43191</v>
      </c>
      <c r="C63" s="2">
        <f t="shared" si="6"/>
        <v>312.459991</v>
      </c>
      <c r="D63" s="670">
        <f t="shared" si="4"/>
        <v>0.12526408541053824</v>
      </c>
      <c r="G63"/>
      <c r="K63" s="667">
        <v>42826</v>
      </c>
      <c r="L63" s="527">
        <v>146.699997</v>
      </c>
      <c r="M63" s="527">
        <v>153.520004</v>
      </c>
      <c r="N63" s="527">
        <v>138.66000399999999</v>
      </c>
      <c r="O63" s="527">
        <v>152.199997</v>
      </c>
      <c r="P63" s="527">
        <v>152.199997</v>
      </c>
      <c r="Q63" s="616">
        <v>149779000</v>
      </c>
    </row>
    <row r="64" spans="2:17" x14ac:dyDescent="0.35">
      <c r="B64" s="667">
        <f t="shared" si="5"/>
        <v>43160</v>
      </c>
      <c r="C64" s="2">
        <f t="shared" si="6"/>
        <v>295.35000600000001</v>
      </c>
      <c r="D64" s="670">
        <f t="shared" si="4"/>
        <v>5.7931216023066501E-2</v>
      </c>
      <c r="G64"/>
      <c r="K64" s="667">
        <v>42795</v>
      </c>
      <c r="L64" s="527">
        <v>142.83999600000001</v>
      </c>
      <c r="M64" s="527">
        <v>148.28999300000001</v>
      </c>
      <c r="N64" s="527">
        <v>138.259995</v>
      </c>
      <c r="O64" s="527">
        <v>147.80999800000001</v>
      </c>
      <c r="P64" s="527">
        <v>147.80999800000001</v>
      </c>
      <c r="Q64" s="616">
        <v>110692700</v>
      </c>
    </row>
    <row r="65" spans="2:17" x14ac:dyDescent="0.35">
      <c r="B65" s="667">
        <f t="shared" si="5"/>
        <v>43132</v>
      </c>
      <c r="C65" s="2">
        <f t="shared" si="6"/>
        <v>291.38000499999998</v>
      </c>
      <c r="D65" s="670">
        <f t="shared" si="4"/>
        <v>1.3624823021058052E-2</v>
      </c>
      <c r="G65"/>
      <c r="K65" s="667">
        <v>42767</v>
      </c>
      <c r="L65" s="527">
        <v>141.199997</v>
      </c>
      <c r="M65" s="527">
        <v>145.949997</v>
      </c>
      <c r="N65" s="527">
        <v>139.050003</v>
      </c>
      <c r="O65" s="527">
        <v>142.13000500000001</v>
      </c>
      <c r="P65" s="527">
        <v>142.13000500000001</v>
      </c>
      <c r="Q65" s="616">
        <v>91444800</v>
      </c>
    </row>
    <row r="66" spans="2:17" x14ac:dyDescent="0.35">
      <c r="B66" s="667">
        <f t="shared" si="5"/>
        <v>43101</v>
      </c>
      <c r="C66" s="2">
        <f t="shared" si="6"/>
        <v>270.29998799999998</v>
      </c>
      <c r="D66" s="670">
        <f t="shared" si="4"/>
        <v>7.7987487738993222E-2</v>
      </c>
      <c r="G66"/>
      <c r="K66" s="667">
        <v>42736</v>
      </c>
      <c r="L66" s="527">
        <v>124.959999</v>
      </c>
      <c r="M66" s="527">
        <v>143.46000699999999</v>
      </c>
      <c r="N66" s="527">
        <v>124.30999799999999</v>
      </c>
      <c r="O66" s="527">
        <v>140.71000699999999</v>
      </c>
      <c r="P66" s="527">
        <v>140.71000699999999</v>
      </c>
      <c r="Q66" s="616">
        <v>181814100</v>
      </c>
    </row>
    <row r="67" spans="2:17" x14ac:dyDescent="0.35">
      <c r="B67" s="667">
        <f t="shared" si="5"/>
        <v>43070</v>
      </c>
      <c r="C67" s="2">
        <f t="shared" si="6"/>
        <v>191.96000699999999</v>
      </c>
      <c r="D67" s="670">
        <f t="shared" si="4"/>
        <v>0.40810574152562928</v>
      </c>
      <c r="G67"/>
      <c r="K67" s="667">
        <v>42705</v>
      </c>
      <c r="L67" s="527">
        <v>117.519997</v>
      </c>
      <c r="M67" s="527">
        <v>129.070007</v>
      </c>
      <c r="N67" s="527">
        <v>113.949997</v>
      </c>
      <c r="O67" s="527">
        <v>123.800003</v>
      </c>
      <c r="P67" s="527">
        <v>123.800003</v>
      </c>
      <c r="Q67" s="616">
        <v>128528700</v>
      </c>
    </row>
    <row r="68" spans="2:17" x14ac:dyDescent="0.35">
      <c r="B68" s="667">
        <f t="shared" si="5"/>
        <v>43040</v>
      </c>
      <c r="C68" s="2">
        <f t="shared" si="6"/>
        <v>187.58000200000001</v>
      </c>
      <c r="D68" s="670">
        <f t="shared" si="4"/>
        <v>2.3350063723743819E-2</v>
      </c>
      <c r="G68"/>
      <c r="K68" s="667">
        <v>42675</v>
      </c>
      <c r="L68" s="527">
        <v>124.980003</v>
      </c>
      <c r="M68" s="527">
        <v>125.83000199999999</v>
      </c>
      <c r="N68" s="527">
        <v>110.68</v>
      </c>
      <c r="O68" s="527">
        <v>117</v>
      </c>
      <c r="P68" s="527">
        <v>117</v>
      </c>
      <c r="Q68" s="616">
        <v>147513000</v>
      </c>
    </row>
    <row r="69" spans="2:17" x14ac:dyDescent="0.35">
      <c r="B69" s="667">
        <f t="shared" si="5"/>
        <v>43009</v>
      </c>
      <c r="C69" s="2">
        <f t="shared" si="6"/>
        <v>196.429993</v>
      </c>
      <c r="D69" s="670">
        <f t="shared" si="4"/>
        <v>-4.5054173575213574E-2</v>
      </c>
      <c r="G69"/>
      <c r="K69" s="667">
        <v>42644</v>
      </c>
      <c r="L69" s="527">
        <v>98</v>
      </c>
      <c r="M69" s="527">
        <v>129.28999300000001</v>
      </c>
      <c r="N69" s="527">
        <v>97.629997000000003</v>
      </c>
      <c r="O69" s="527">
        <v>124.870003</v>
      </c>
      <c r="P69" s="527">
        <v>124.870003</v>
      </c>
      <c r="Q69" s="616">
        <v>274097800</v>
      </c>
    </row>
    <row r="70" spans="2:17" x14ac:dyDescent="0.35">
      <c r="B70" s="667">
        <f t="shared" si="5"/>
        <v>42979</v>
      </c>
      <c r="C70" s="2">
        <f t="shared" si="6"/>
        <v>181.35000600000001</v>
      </c>
      <c r="D70" s="670">
        <f t="shared" si="4"/>
        <v>8.3154047428043665E-2</v>
      </c>
      <c r="G70"/>
      <c r="K70" s="667">
        <v>42614</v>
      </c>
      <c r="L70" s="527">
        <v>97.809997999999993</v>
      </c>
      <c r="M70" s="527">
        <v>100.349998</v>
      </c>
      <c r="N70" s="527">
        <v>93.260002</v>
      </c>
      <c r="O70" s="527">
        <v>98.550003000000004</v>
      </c>
      <c r="P70" s="527">
        <v>98.550003000000004</v>
      </c>
      <c r="Q70" s="616">
        <v>169670600</v>
      </c>
    </row>
    <row r="71" spans="2:17" x14ac:dyDescent="0.35">
      <c r="B71" s="667">
        <f t="shared" si="5"/>
        <v>42948</v>
      </c>
      <c r="C71" s="2">
        <f t="shared" si="6"/>
        <v>174.71000699999999</v>
      </c>
      <c r="D71" s="670">
        <f t="shared" si="4"/>
        <v>3.8005830999709334E-2</v>
      </c>
      <c r="G71"/>
      <c r="K71" s="667">
        <v>42583</v>
      </c>
      <c r="L71" s="527">
        <v>91.230002999999996</v>
      </c>
      <c r="M71" s="527">
        <v>98.849997999999999</v>
      </c>
      <c r="N71" s="527">
        <v>90.5</v>
      </c>
      <c r="O71" s="527">
        <v>97.449996999999996</v>
      </c>
      <c r="P71" s="527">
        <v>97.449996999999996</v>
      </c>
      <c r="Q71" s="616">
        <v>182611000</v>
      </c>
    </row>
    <row r="72" spans="2:17" x14ac:dyDescent="0.35">
      <c r="B72" s="667">
        <f t="shared" si="5"/>
        <v>42917</v>
      </c>
      <c r="C72" s="2">
        <f t="shared" si="6"/>
        <v>181.66000399999999</v>
      </c>
      <c r="D72" s="670">
        <f t="shared" si="4"/>
        <v>-3.8258267350913422E-2</v>
      </c>
      <c r="G72"/>
      <c r="K72" s="667">
        <v>42552</v>
      </c>
      <c r="L72" s="527">
        <v>95</v>
      </c>
      <c r="M72" s="527">
        <v>101.269997</v>
      </c>
      <c r="N72" s="527">
        <v>84.5</v>
      </c>
      <c r="O72" s="527">
        <v>91.25</v>
      </c>
      <c r="P72" s="527">
        <v>91.25</v>
      </c>
      <c r="Q72" s="616">
        <v>320138000</v>
      </c>
    </row>
    <row r="73" spans="2:17" x14ac:dyDescent="0.35">
      <c r="B73" s="667">
        <f t="shared" si="5"/>
        <v>42887</v>
      </c>
      <c r="C73" s="2">
        <f t="shared" si="6"/>
        <v>149.41000399999999</v>
      </c>
      <c r="D73" s="670">
        <f t="shared" si="4"/>
        <v>0.21584900031192022</v>
      </c>
      <c r="G73"/>
      <c r="K73" s="667">
        <v>42522</v>
      </c>
      <c r="L73" s="527">
        <v>101.5</v>
      </c>
      <c r="M73" s="527">
        <v>102.150002</v>
      </c>
      <c r="N73" s="527">
        <v>84.809997999999993</v>
      </c>
      <c r="O73" s="527">
        <v>91.480002999999996</v>
      </c>
      <c r="P73" s="527">
        <v>91.480002999999996</v>
      </c>
      <c r="Q73" s="616">
        <v>218216500</v>
      </c>
    </row>
    <row r="74" spans="2:17" x14ac:dyDescent="0.35">
      <c r="B74" s="667">
        <f t="shared" si="5"/>
        <v>42856</v>
      </c>
      <c r="C74" s="2">
        <f t="shared" si="6"/>
        <v>163.070007</v>
      </c>
      <c r="D74" s="670">
        <f t="shared" si="4"/>
        <v>-8.3767721920806837E-2</v>
      </c>
      <c r="G74"/>
      <c r="K74" s="667">
        <v>42491</v>
      </c>
      <c r="L74" s="527">
        <v>90.410004000000001</v>
      </c>
      <c r="M74" s="527">
        <v>104</v>
      </c>
      <c r="N74" s="527">
        <v>85.739998</v>
      </c>
      <c r="O74" s="527">
        <v>102.57</v>
      </c>
      <c r="P74" s="527">
        <v>102.57</v>
      </c>
      <c r="Q74" s="616">
        <v>264997900</v>
      </c>
    </row>
    <row r="75" spans="2:17" x14ac:dyDescent="0.35">
      <c r="B75" s="667">
        <f t="shared" si="5"/>
        <v>42826</v>
      </c>
      <c r="C75" s="2">
        <f t="shared" si="6"/>
        <v>152.199997</v>
      </c>
      <c r="D75" s="670">
        <f t="shared" si="4"/>
        <v>7.1419252393283505E-2</v>
      </c>
      <c r="G75"/>
    </row>
    <row r="76" spans="2:17" x14ac:dyDescent="0.35">
      <c r="B76" s="667">
        <f t="shared" si="5"/>
        <v>42795</v>
      </c>
      <c r="C76" s="2">
        <f t="shared" si="6"/>
        <v>147.80999800000001</v>
      </c>
      <c r="D76" s="670">
        <f t="shared" si="4"/>
        <v>2.9700284550440159E-2</v>
      </c>
      <c r="G76"/>
    </row>
    <row r="77" spans="2:17" x14ac:dyDescent="0.35">
      <c r="B77" s="667">
        <f t="shared" si="5"/>
        <v>42767</v>
      </c>
      <c r="C77" s="2">
        <f t="shared" si="6"/>
        <v>142.13000500000001</v>
      </c>
      <c r="D77" s="670">
        <f t="shared" si="4"/>
        <v>3.9963363119560835E-2</v>
      </c>
      <c r="G77"/>
    </row>
    <row r="78" spans="2:17" x14ac:dyDescent="0.35">
      <c r="B78" s="667">
        <f t="shared" si="5"/>
        <v>42736</v>
      </c>
      <c r="C78" s="2">
        <f t="shared" si="6"/>
        <v>140.71000699999999</v>
      </c>
      <c r="D78" s="670">
        <f t="shared" si="4"/>
        <v>1.0091663203456669E-2</v>
      </c>
      <c r="G78"/>
    </row>
    <row r="79" spans="2:17" x14ac:dyDescent="0.35">
      <c r="B79" s="667">
        <f t="shared" si="5"/>
        <v>42705</v>
      </c>
      <c r="C79" s="2">
        <f t="shared" si="6"/>
        <v>123.800003</v>
      </c>
      <c r="D79" s="670">
        <f t="shared" si="4"/>
        <v>0.13659130525223007</v>
      </c>
      <c r="G79"/>
    </row>
    <row r="80" spans="2:17" x14ac:dyDescent="0.35">
      <c r="B80" s="667">
        <f t="shared" si="5"/>
        <v>42675</v>
      </c>
      <c r="C80" s="2">
        <f t="shared" si="6"/>
        <v>117</v>
      </c>
      <c r="D80" s="670">
        <f t="shared" si="4"/>
        <v>5.8119683760683882E-2</v>
      </c>
      <c r="G80"/>
    </row>
    <row r="81" spans="2:7" x14ac:dyDescent="0.35">
      <c r="B81" s="667">
        <f t="shared" si="5"/>
        <v>42644</v>
      </c>
      <c r="C81" s="2">
        <f t="shared" si="6"/>
        <v>124.870003</v>
      </c>
      <c r="D81" s="670">
        <f t="shared" si="4"/>
        <v>-6.3025569079228738E-2</v>
      </c>
      <c r="G81"/>
    </row>
    <row r="82" spans="2:7" x14ac:dyDescent="0.35">
      <c r="B82" s="667">
        <f t="shared" si="5"/>
        <v>42614</v>
      </c>
      <c r="C82" s="2">
        <f t="shared" si="6"/>
        <v>98.550003000000004</v>
      </c>
      <c r="D82" s="670">
        <f t="shared" si="4"/>
        <v>0.26707254387399648</v>
      </c>
      <c r="G82"/>
    </row>
    <row r="83" spans="2:7" x14ac:dyDescent="0.35">
      <c r="B83" s="667">
        <f t="shared" si="5"/>
        <v>42583</v>
      </c>
      <c r="C83" s="2">
        <f t="shared" si="6"/>
        <v>97.449996999999996</v>
      </c>
      <c r="D83" s="670">
        <f t="shared" si="4"/>
        <v>1.1287901835440817E-2</v>
      </c>
      <c r="G83"/>
    </row>
    <row r="84" spans="2:7" x14ac:dyDescent="0.35">
      <c r="B84" s="667">
        <f t="shared" si="5"/>
        <v>42552</v>
      </c>
      <c r="C84" s="2">
        <f t="shared" si="6"/>
        <v>91.25</v>
      </c>
      <c r="D84" s="670">
        <f t="shared" si="4"/>
        <v>6.7945172602739579E-2</v>
      </c>
      <c r="G84"/>
    </row>
    <row r="85" spans="2:7" x14ac:dyDescent="0.35">
      <c r="B85" s="667">
        <f t="shared" si="5"/>
        <v>42522</v>
      </c>
      <c r="C85" s="2">
        <f t="shared" si="6"/>
        <v>91.480002999999996</v>
      </c>
      <c r="D85" s="670">
        <f t="shared" si="4"/>
        <v>-2.5142434680505144E-3</v>
      </c>
      <c r="G85"/>
    </row>
    <row r="86" spans="2:7" x14ac:dyDescent="0.35">
      <c r="B86" s="667">
        <f t="shared" si="5"/>
        <v>42491</v>
      </c>
      <c r="C86" s="2">
        <f t="shared" si="6"/>
        <v>102.57</v>
      </c>
      <c r="D86" s="670">
        <f t="shared" si="4"/>
        <v>-0.10812125377790771</v>
      </c>
      <c r="G86"/>
    </row>
    <row r="87" spans="2:7" x14ac:dyDescent="0.35">
      <c r="B87" s="667"/>
      <c r="C87" s="2"/>
      <c r="D87" s="670"/>
      <c r="G87"/>
    </row>
    <row r="88" spans="2:7" x14ac:dyDescent="0.35">
      <c r="B88" s="667"/>
      <c r="C88" s="2"/>
      <c r="D88" s="670"/>
      <c r="G88"/>
    </row>
    <row r="89" spans="2:7" x14ac:dyDescent="0.35">
      <c r="B89" s="667"/>
      <c r="C89" s="2"/>
      <c r="D89" s="670"/>
      <c r="G89"/>
    </row>
    <row r="90" spans="2:7" x14ac:dyDescent="0.35">
      <c r="B90" s="667"/>
      <c r="C90" s="2"/>
      <c r="G90"/>
    </row>
    <row r="91" spans="2:7" x14ac:dyDescent="0.35">
      <c r="B91" s="667"/>
      <c r="C91" s="2"/>
      <c r="G91"/>
    </row>
    <row r="92" spans="2:7" x14ac:dyDescent="0.35">
      <c r="B92" s="667"/>
      <c r="C92" s="2"/>
      <c r="G92"/>
    </row>
    <row r="93" spans="2:7" x14ac:dyDescent="0.35">
      <c r="B93" s="667"/>
      <c r="C93" s="2"/>
      <c r="G93"/>
    </row>
    <row r="94" spans="2:7" x14ac:dyDescent="0.35">
      <c r="B94" s="667"/>
      <c r="C94" s="2"/>
      <c r="G94"/>
    </row>
    <row r="95" spans="2:7" x14ac:dyDescent="0.35">
      <c r="B95" s="667"/>
      <c r="C95" s="2"/>
      <c r="G95"/>
    </row>
    <row r="96" spans="2:7" x14ac:dyDescent="0.35">
      <c r="B96" s="667"/>
      <c r="C96" s="2"/>
      <c r="G96"/>
    </row>
    <row r="97" spans="2:7" x14ac:dyDescent="0.35">
      <c r="B97" s="667"/>
      <c r="C97" s="2"/>
      <c r="G97"/>
    </row>
    <row r="98" spans="2:7" x14ac:dyDescent="0.35">
      <c r="B98" s="667"/>
      <c r="C98" s="2"/>
      <c r="G98"/>
    </row>
    <row r="99" spans="2:7" x14ac:dyDescent="0.35">
      <c r="B99" s="667"/>
      <c r="C99" s="2"/>
      <c r="G99"/>
    </row>
    <row r="100" spans="2:7" x14ac:dyDescent="0.35">
      <c r="B100" s="667"/>
      <c r="C100" s="2"/>
      <c r="G100"/>
    </row>
    <row r="101" spans="2:7" x14ac:dyDescent="0.35">
      <c r="B101" s="667"/>
      <c r="C101" s="2"/>
      <c r="G101"/>
    </row>
    <row r="102" spans="2:7" x14ac:dyDescent="0.35">
      <c r="B102" s="667"/>
      <c r="C102" s="2"/>
      <c r="G102"/>
    </row>
    <row r="103" spans="2:7" x14ac:dyDescent="0.35">
      <c r="B103" s="667"/>
      <c r="C103" s="2"/>
      <c r="G103"/>
    </row>
    <row r="104" spans="2:7" x14ac:dyDescent="0.35">
      <c r="B104" s="667"/>
      <c r="C104" s="2"/>
      <c r="G104"/>
    </row>
    <row r="105" spans="2:7" x14ac:dyDescent="0.35">
      <c r="B105" s="667"/>
      <c r="C105" s="2"/>
      <c r="G105"/>
    </row>
    <row r="106" spans="2:7" x14ac:dyDescent="0.35">
      <c r="B106" s="667"/>
      <c r="C106" s="2"/>
      <c r="G106"/>
    </row>
    <row r="107" spans="2:7" x14ac:dyDescent="0.35">
      <c r="B107" s="667"/>
      <c r="C107" s="2"/>
      <c r="G107"/>
    </row>
    <row r="108" spans="2:7" x14ac:dyDescent="0.35">
      <c r="B108" s="667"/>
      <c r="C108" s="2"/>
      <c r="G108"/>
    </row>
    <row r="109" spans="2:7" x14ac:dyDescent="0.35">
      <c r="B109" s="667"/>
      <c r="C109" s="2"/>
      <c r="G109"/>
    </row>
    <row r="110" spans="2:7" x14ac:dyDescent="0.35">
      <c r="B110" s="667"/>
      <c r="C110" s="2"/>
      <c r="G110"/>
    </row>
    <row r="111" spans="2:7" x14ac:dyDescent="0.35">
      <c r="B111" s="667"/>
      <c r="C111" s="2"/>
      <c r="G111"/>
    </row>
    <row r="112" spans="2:7" x14ac:dyDescent="0.35">
      <c r="B112" s="667"/>
      <c r="C112" s="2"/>
      <c r="G112"/>
    </row>
    <row r="113" spans="2:7" x14ac:dyDescent="0.35">
      <c r="B113" s="667"/>
      <c r="C113" s="2"/>
      <c r="G113"/>
    </row>
    <row r="114" spans="2:7" x14ac:dyDescent="0.35">
      <c r="B114" s="667"/>
      <c r="C114" s="2"/>
      <c r="G114"/>
    </row>
    <row r="115" spans="2:7" x14ac:dyDescent="0.35">
      <c r="B115" s="667"/>
      <c r="C115" s="2"/>
      <c r="G115"/>
    </row>
    <row r="116" spans="2:7" x14ac:dyDescent="0.35">
      <c r="B116" s="667"/>
      <c r="C116" s="2"/>
      <c r="G116"/>
    </row>
    <row r="117" spans="2:7" x14ac:dyDescent="0.35">
      <c r="B117" s="667"/>
      <c r="C117" s="2"/>
      <c r="G117"/>
    </row>
    <row r="118" spans="2:7" x14ac:dyDescent="0.35">
      <c r="B118" s="667"/>
      <c r="C118" s="2"/>
      <c r="G118"/>
    </row>
    <row r="119" spans="2:7" x14ac:dyDescent="0.35">
      <c r="B119" s="667"/>
      <c r="C119" s="2"/>
      <c r="G119"/>
    </row>
    <row r="120" spans="2:7" x14ac:dyDescent="0.35">
      <c r="B120" s="667"/>
      <c r="C120" s="2"/>
      <c r="G120"/>
    </row>
    <row r="121" spans="2:7" x14ac:dyDescent="0.35">
      <c r="B121" s="667"/>
      <c r="C121" s="2"/>
      <c r="G121"/>
    </row>
    <row r="122" spans="2:7" x14ac:dyDescent="0.35">
      <c r="B122" s="667"/>
      <c r="C122" s="2"/>
      <c r="G122"/>
    </row>
    <row r="123" spans="2:7" x14ac:dyDescent="0.35">
      <c r="B123" s="667"/>
      <c r="C123" s="2"/>
      <c r="G123"/>
    </row>
    <row r="124" spans="2:7" x14ac:dyDescent="0.35">
      <c r="B124" s="667"/>
      <c r="C124" s="2"/>
      <c r="G124"/>
    </row>
    <row r="125" spans="2:7" x14ac:dyDescent="0.35">
      <c r="B125" s="667"/>
      <c r="C125" s="2"/>
      <c r="G125"/>
    </row>
    <row r="126" spans="2:7" x14ac:dyDescent="0.35">
      <c r="B126" s="667"/>
      <c r="C126" s="2"/>
      <c r="G126"/>
    </row>
    <row r="127" spans="2:7" x14ac:dyDescent="0.35">
      <c r="B127" s="667"/>
      <c r="C127" s="2"/>
      <c r="G127"/>
    </row>
    <row r="128" spans="2:7" x14ac:dyDescent="0.35">
      <c r="B128" s="667"/>
      <c r="C128" s="2"/>
      <c r="G128"/>
    </row>
    <row r="129" spans="2:7" x14ac:dyDescent="0.35">
      <c r="B129" s="667"/>
      <c r="C129" s="2"/>
      <c r="G129"/>
    </row>
    <row r="130" spans="2:7" x14ac:dyDescent="0.35">
      <c r="B130" s="667"/>
      <c r="C130" s="2"/>
      <c r="G130"/>
    </row>
    <row r="131" spans="2:7" x14ac:dyDescent="0.35">
      <c r="B131" s="667"/>
      <c r="C131" s="2"/>
      <c r="G131"/>
    </row>
    <row r="132" spans="2:7" x14ac:dyDescent="0.35">
      <c r="B132" s="667"/>
      <c r="C132" s="2"/>
      <c r="G132"/>
    </row>
    <row r="133" spans="2:7" x14ac:dyDescent="0.35">
      <c r="B133" s="667"/>
      <c r="C133" s="2"/>
      <c r="G133"/>
    </row>
    <row r="134" spans="2:7" x14ac:dyDescent="0.35">
      <c r="B134" s="667"/>
      <c r="C134" s="2"/>
      <c r="G134"/>
    </row>
    <row r="135" spans="2:7" x14ac:dyDescent="0.35">
      <c r="B135" s="667"/>
      <c r="C135" s="2"/>
      <c r="G135"/>
    </row>
    <row r="136" spans="2:7" x14ac:dyDescent="0.35">
      <c r="B136" s="667"/>
      <c r="C136" s="2"/>
      <c r="G136"/>
    </row>
    <row r="137" spans="2:7" x14ac:dyDescent="0.35">
      <c r="B137" s="667"/>
      <c r="C137" s="2"/>
      <c r="G137"/>
    </row>
    <row r="138" spans="2:7" x14ac:dyDescent="0.35">
      <c r="B138" s="667"/>
      <c r="C138" s="2"/>
      <c r="G138"/>
    </row>
    <row r="139" spans="2:7" x14ac:dyDescent="0.35">
      <c r="B139" s="667"/>
      <c r="C139" s="2"/>
      <c r="G139"/>
    </row>
    <row r="140" spans="2:7" x14ac:dyDescent="0.35">
      <c r="B140" s="667"/>
      <c r="C140" s="2"/>
      <c r="G140"/>
    </row>
    <row r="141" spans="2:7" x14ac:dyDescent="0.35">
      <c r="B141" s="667"/>
      <c r="C141" s="2"/>
      <c r="G141"/>
    </row>
    <row r="142" spans="2:7" x14ac:dyDescent="0.35">
      <c r="B142" s="667"/>
      <c r="C142" s="2"/>
      <c r="G142"/>
    </row>
    <row r="143" spans="2:7" x14ac:dyDescent="0.35">
      <c r="B143" s="667"/>
      <c r="C143" s="2"/>
      <c r="G143"/>
    </row>
    <row r="144" spans="2:7" x14ac:dyDescent="0.35">
      <c r="B144" s="667"/>
      <c r="C144" s="2"/>
      <c r="G144"/>
    </row>
    <row r="145" spans="2:7" x14ac:dyDescent="0.35">
      <c r="B145" s="667"/>
      <c r="C145" s="2"/>
      <c r="G145"/>
    </row>
    <row r="146" spans="2:7" x14ac:dyDescent="0.35">
      <c r="B146" s="667"/>
      <c r="C146" s="2"/>
      <c r="G146"/>
    </row>
    <row r="147" spans="2:7" x14ac:dyDescent="0.35">
      <c r="B147" s="667"/>
      <c r="C147" s="2"/>
      <c r="G147"/>
    </row>
    <row r="148" spans="2:7" x14ac:dyDescent="0.35">
      <c r="B148" s="667"/>
      <c r="C148" s="2"/>
      <c r="G148"/>
    </row>
    <row r="149" spans="2:7" x14ac:dyDescent="0.35">
      <c r="B149" s="667"/>
      <c r="C149" s="2"/>
      <c r="G149"/>
    </row>
    <row r="150" spans="2:7" x14ac:dyDescent="0.35">
      <c r="B150" s="667"/>
      <c r="C150" s="2"/>
      <c r="G150"/>
    </row>
    <row r="151" spans="2:7" x14ac:dyDescent="0.35">
      <c r="B151" s="667"/>
      <c r="C151" s="2"/>
      <c r="G151"/>
    </row>
    <row r="152" spans="2:7" x14ac:dyDescent="0.35">
      <c r="B152" s="667"/>
      <c r="C152" s="2"/>
      <c r="G152"/>
    </row>
    <row r="153" spans="2:7" x14ac:dyDescent="0.35">
      <c r="B153" s="667"/>
      <c r="C153" s="2"/>
      <c r="G153"/>
    </row>
    <row r="154" spans="2:7" x14ac:dyDescent="0.35">
      <c r="B154" s="667"/>
      <c r="C154" s="2"/>
      <c r="G154"/>
    </row>
    <row r="155" spans="2:7" x14ac:dyDescent="0.35">
      <c r="B155" s="667"/>
      <c r="C155" s="2"/>
      <c r="G155"/>
    </row>
    <row r="156" spans="2:7" x14ac:dyDescent="0.35">
      <c r="B156" s="667"/>
      <c r="C156" s="2"/>
      <c r="G156"/>
    </row>
    <row r="157" spans="2:7" x14ac:dyDescent="0.35">
      <c r="B157" s="667"/>
      <c r="C157" s="2"/>
      <c r="G157"/>
    </row>
    <row r="158" spans="2:7" x14ac:dyDescent="0.35">
      <c r="B158" s="667"/>
      <c r="C158" s="2"/>
      <c r="G158"/>
    </row>
    <row r="159" spans="2:7" x14ac:dyDescent="0.35">
      <c r="B159" s="667"/>
      <c r="C159" s="2"/>
      <c r="G159"/>
    </row>
    <row r="160" spans="2:7" x14ac:dyDescent="0.35">
      <c r="B160" s="667"/>
      <c r="C160" s="2"/>
      <c r="G160"/>
    </row>
    <row r="161" spans="2:7" x14ac:dyDescent="0.35">
      <c r="B161" s="667"/>
      <c r="C161" s="2"/>
      <c r="G161"/>
    </row>
    <row r="162" spans="2:7" x14ac:dyDescent="0.35">
      <c r="B162" s="667"/>
      <c r="C162" s="2"/>
      <c r="G162"/>
    </row>
    <row r="163" spans="2:7" x14ac:dyDescent="0.35">
      <c r="B163" s="667"/>
      <c r="C163" s="2"/>
      <c r="G163"/>
    </row>
    <row r="164" spans="2:7" x14ac:dyDescent="0.35">
      <c r="B164" s="667"/>
      <c r="C164" s="2"/>
      <c r="G164"/>
    </row>
    <row r="165" spans="2:7" x14ac:dyDescent="0.35">
      <c r="B165" s="667"/>
      <c r="C165" s="2"/>
      <c r="G165"/>
    </row>
    <row r="166" spans="2:7" x14ac:dyDescent="0.35">
      <c r="B166" s="667"/>
      <c r="C166" s="2"/>
      <c r="G166"/>
    </row>
    <row r="167" spans="2:7" x14ac:dyDescent="0.35">
      <c r="B167" s="667"/>
      <c r="C167" s="2"/>
      <c r="G167"/>
    </row>
    <row r="168" spans="2:7" x14ac:dyDescent="0.35">
      <c r="B168" s="667"/>
      <c r="C168" s="2"/>
      <c r="G168"/>
    </row>
    <row r="169" spans="2:7" x14ac:dyDescent="0.35">
      <c r="B169" s="667"/>
      <c r="C169" s="2"/>
      <c r="G169"/>
    </row>
    <row r="170" spans="2:7" x14ac:dyDescent="0.35">
      <c r="B170" s="667"/>
      <c r="C170" s="2"/>
      <c r="G170"/>
    </row>
    <row r="171" spans="2:7" x14ac:dyDescent="0.35">
      <c r="B171" s="667"/>
      <c r="C171" s="2"/>
      <c r="G171"/>
    </row>
    <row r="172" spans="2:7" x14ac:dyDescent="0.35">
      <c r="B172" s="667"/>
      <c r="C172" s="2"/>
      <c r="G172"/>
    </row>
    <row r="173" spans="2:7" x14ac:dyDescent="0.35">
      <c r="B173" s="667"/>
      <c r="C173" s="2"/>
      <c r="G173"/>
    </row>
    <row r="174" spans="2:7" x14ac:dyDescent="0.35">
      <c r="B174" s="667"/>
      <c r="C174" s="2"/>
      <c r="G174"/>
    </row>
    <row r="175" spans="2:7" x14ac:dyDescent="0.35">
      <c r="B175" s="667"/>
      <c r="C175" s="2"/>
      <c r="G175"/>
    </row>
    <row r="176" spans="2:7" x14ac:dyDescent="0.35">
      <c r="B176" s="667"/>
      <c r="C176" s="2"/>
      <c r="G176"/>
    </row>
    <row r="177" spans="2:7" x14ac:dyDescent="0.35">
      <c r="B177" s="667"/>
      <c r="C177" s="2"/>
      <c r="G177"/>
    </row>
    <row r="178" spans="2:7" x14ac:dyDescent="0.35">
      <c r="B178" s="667"/>
      <c r="C178" s="2"/>
      <c r="G178"/>
    </row>
    <row r="179" spans="2:7" x14ac:dyDescent="0.35">
      <c r="B179" s="667"/>
      <c r="C179" s="2"/>
      <c r="G179"/>
    </row>
    <row r="180" spans="2:7" x14ac:dyDescent="0.35">
      <c r="B180" s="667"/>
      <c r="C180" s="2"/>
      <c r="G180"/>
    </row>
    <row r="181" spans="2:7" x14ac:dyDescent="0.35">
      <c r="B181" s="667"/>
      <c r="C181" s="2"/>
      <c r="G181"/>
    </row>
    <row r="182" spans="2:7" x14ac:dyDescent="0.35">
      <c r="B182" s="667"/>
      <c r="C182" s="2"/>
      <c r="G182"/>
    </row>
    <row r="183" spans="2:7" x14ac:dyDescent="0.35">
      <c r="B183" s="667"/>
      <c r="C183" s="2"/>
      <c r="G183"/>
    </row>
    <row r="184" spans="2:7" x14ac:dyDescent="0.35">
      <c r="B184" s="667"/>
      <c r="C184" s="2"/>
      <c r="G184"/>
    </row>
    <row r="185" spans="2:7" x14ac:dyDescent="0.35">
      <c r="B185" s="667"/>
      <c r="C185" s="2"/>
      <c r="G185"/>
    </row>
    <row r="186" spans="2:7" x14ac:dyDescent="0.35">
      <c r="B186" s="667"/>
      <c r="C186" s="2"/>
      <c r="G186"/>
    </row>
    <row r="187" spans="2:7" x14ac:dyDescent="0.35">
      <c r="B187" s="667"/>
      <c r="C187" s="2"/>
      <c r="G187"/>
    </row>
    <row r="188" spans="2:7" x14ac:dyDescent="0.35">
      <c r="B188" s="667"/>
      <c r="C188" s="2"/>
      <c r="G188"/>
    </row>
    <row r="189" spans="2:7" x14ac:dyDescent="0.35">
      <c r="B189" s="667"/>
      <c r="C189" s="2"/>
      <c r="G189"/>
    </row>
    <row r="190" spans="2:7" x14ac:dyDescent="0.35">
      <c r="B190" s="667"/>
      <c r="C190" s="2"/>
      <c r="G190"/>
    </row>
    <row r="191" spans="2:7" x14ac:dyDescent="0.35">
      <c r="B191" s="667"/>
      <c r="C191" s="2"/>
    </row>
    <row r="192" spans="2:7" x14ac:dyDescent="0.35">
      <c r="B192" s="667"/>
      <c r="C192" s="2"/>
    </row>
    <row r="193" spans="2:3" x14ac:dyDescent="0.35">
      <c r="B193" s="667"/>
      <c r="C193" s="2"/>
    </row>
    <row r="194" spans="2:3" x14ac:dyDescent="0.35">
      <c r="B194" s="667"/>
      <c r="C194" s="2"/>
    </row>
    <row r="195" spans="2:3" x14ac:dyDescent="0.35">
      <c r="B195" s="667"/>
      <c r="C195" s="2"/>
    </row>
    <row r="196" spans="2:3" x14ac:dyDescent="0.35">
      <c r="B196" s="667"/>
      <c r="C196" s="2"/>
    </row>
    <row r="197" spans="2:3" x14ac:dyDescent="0.35">
      <c r="B197" s="667"/>
      <c r="C197" s="2"/>
    </row>
    <row r="198" spans="2:3" x14ac:dyDescent="0.35">
      <c r="B198" s="667"/>
      <c r="C198" s="2"/>
    </row>
    <row r="199" spans="2:3" x14ac:dyDescent="0.35">
      <c r="B199" s="667"/>
      <c r="C199" s="2"/>
    </row>
    <row r="200" spans="2:3" x14ac:dyDescent="0.35">
      <c r="B200" s="667"/>
      <c r="C200" s="2"/>
    </row>
    <row r="201" spans="2:3" x14ac:dyDescent="0.35">
      <c r="B201" s="667"/>
      <c r="C201" s="2"/>
    </row>
    <row r="202" spans="2:3" x14ac:dyDescent="0.35">
      <c r="B202" s="667"/>
      <c r="C202" s="2"/>
    </row>
    <row r="203" spans="2:3" x14ac:dyDescent="0.35">
      <c r="B203" s="667"/>
      <c r="C203" s="2"/>
    </row>
    <row r="204" spans="2:3" x14ac:dyDescent="0.35">
      <c r="B204" s="667"/>
      <c r="C204" s="2"/>
    </row>
    <row r="205" spans="2:3" x14ac:dyDescent="0.35">
      <c r="B205" s="667"/>
      <c r="C205" s="2"/>
    </row>
    <row r="206" spans="2:3" x14ac:dyDescent="0.35">
      <c r="B206" s="667"/>
      <c r="C206" s="2"/>
    </row>
    <row r="207" spans="2:3" x14ac:dyDescent="0.35">
      <c r="B207" s="667"/>
      <c r="C207" s="2"/>
    </row>
    <row r="208" spans="2:3" x14ac:dyDescent="0.35">
      <c r="B208" s="667"/>
      <c r="C208" s="2"/>
    </row>
    <row r="209" spans="2:3" x14ac:dyDescent="0.35">
      <c r="B209" s="667"/>
      <c r="C209" s="2"/>
    </row>
    <row r="210" spans="2:3" x14ac:dyDescent="0.35">
      <c r="B210" s="667"/>
      <c r="C210" s="2"/>
    </row>
    <row r="211" spans="2:3" x14ac:dyDescent="0.35">
      <c r="B211" s="667"/>
      <c r="C211" s="2"/>
    </row>
    <row r="212" spans="2:3" x14ac:dyDescent="0.35">
      <c r="B212" s="667"/>
      <c r="C212" s="2"/>
    </row>
    <row r="213" spans="2:3" x14ac:dyDescent="0.35">
      <c r="B213" s="667"/>
      <c r="C213" s="2"/>
    </row>
    <row r="214" spans="2:3" x14ac:dyDescent="0.35">
      <c r="B214" s="667"/>
      <c r="C214" s="2"/>
    </row>
    <row r="215" spans="2:3" x14ac:dyDescent="0.35">
      <c r="B215" s="667"/>
      <c r="C215" s="2"/>
    </row>
    <row r="216" spans="2:3" x14ac:dyDescent="0.35">
      <c r="B216" s="667"/>
      <c r="C216" s="2"/>
    </row>
    <row r="217" spans="2:3" x14ac:dyDescent="0.35">
      <c r="B217" s="667"/>
      <c r="C217" s="2"/>
    </row>
    <row r="218" spans="2:3" x14ac:dyDescent="0.35">
      <c r="B218" s="667"/>
      <c r="C218" s="2"/>
    </row>
    <row r="219" spans="2:3" x14ac:dyDescent="0.35">
      <c r="B219" s="667"/>
      <c r="C219" s="2"/>
    </row>
    <row r="220" spans="2:3" x14ac:dyDescent="0.35">
      <c r="B220" s="667"/>
      <c r="C220" s="2"/>
    </row>
    <row r="221" spans="2:3" x14ac:dyDescent="0.35">
      <c r="B221" s="667"/>
      <c r="C221" s="2"/>
    </row>
    <row r="222" spans="2:3" x14ac:dyDescent="0.35">
      <c r="B222" s="667"/>
      <c r="C222" s="2"/>
    </row>
    <row r="223" spans="2:3" x14ac:dyDescent="0.35">
      <c r="B223" s="667"/>
      <c r="C223" s="2"/>
    </row>
    <row r="224" spans="2:3" x14ac:dyDescent="0.35">
      <c r="B224" s="667"/>
      <c r="C224" s="2"/>
    </row>
    <row r="225" spans="2:3" x14ac:dyDescent="0.35">
      <c r="B225" s="667"/>
      <c r="C225" s="2"/>
    </row>
    <row r="226" spans="2:3" x14ac:dyDescent="0.35">
      <c r="B226" s="667"/>
      <c r="C226" s="2"/>
    </row>
    <row r="227" spans="2:3" x14ac:dyDescent="0.35">
      <c r="B227" s="667"/>
      <c r="C227" s="2"/>
    </row>
    <row r="228" spans="2:3" x14ac:dyDescent="0.35">
      <c r="B228" s="667"/>
      <c r="C228" s="2"/>
    </row>
    <row r="229" spans="2:3" x14ac:dyDescent="0.35">
      <c r="B229" s="667"/>
      <c r="C229" s="2"/>
    </row>
    <row r="230" spans="2:3" x14ac:dyDescent="0.35">
      <c r="B230" s="667"/>
      <c r="C230" s="2"/>
    </row>
    <row r="231" spans="2:3" x14ac:dyDescent="0.35">
      <c r="B231" s="667"/>
      <c r="C231" s="2"/>
    </row>
    <row r="232" spans="2:3" x14ac:dyDescent="0.35">
      <c r="B232" s="667"/>
      <c r="C232" s="2"/>
    </row>
    <row r="233" spans="2:3" x14ac:dyDescent="0.35">
      <c r="B233" s="667"/>
      <c r="C233" s="2"/>
    </row>
    <row r="234" spans="2:3" x14ac:dyDescent="0.35">
      <c r="B234" s="667"/>
      <c r="C234" s="2"/>
    </row>
    <row r="235" spans="2:3" x14ac:dyDescent="0.35">
      <c r="B235" s="667"/>
      <c r="C235" s="2"/>
    </row>
    <row r="236" spans="2:3" x14ac:dyDescent="0.35">
      <c r="B236" s="667"/>
      <c r="C236" s="2"/>
    </row>
    <row r="237" spans="2:3" x14ac:dyDescent="0.35">
      <c r="B237" s="667"/>
      <c r="C237" s="2"/>
    </row>
    <row r="238" spans="2:3" x14ac:dyDescent="0.35">
      <c r="B238" s="667"/>
      <c r="C238" s="2"/>
    </row>
    <row r="239" spans="2:3" x14ac:dyDescent="0.35">
      <c r="B239" s="667"/>
      <c r="C239" s="2"/>
    </row>
    <row r="240" spans="2:3" x14ac:dyDescent="0.35">
      <c r="B240" s="667"/>
      <c r="C240" s="2"/>
    </row>
    <row r="241" spans="2:3" x14ac:dyDescent="0.35">
      <c r="B241" s="667"/>
      <c r="C241" s="2"/>
    </row>
    <row r="242" spans="2:3" x14ac:dyDescent="0.35">
      <c r="B242" s="667"/>
      <c r="C242" s="2"/>
    </row>
    <row r="243" spans="2:3" x14ac:dyDescent="0.35">
      <c r="B243" s="667"/>
      <c r="C243" s="2"/>
    </row>
    <row r="244" spans="2:3" x14ac:dyDescent="0.35">
      <c r="B244" s="667"/>
      <c r="C244" s="2"/>
    </row>
    <row r="245" spans="2:3" x14ac:dyDescent="0.35">
      <c r="B245" s="667"/>
      <c r="C245" s="2"/>
    </row>
    <row r="246" spans="2:3" x14ac:dyDescent="0.35">
      <c r="B246" s="667"/>
      <c r="C246" s="2"/>
    </row>
    <row r="247" spans="2:3" x14ac:dyDescent="0.35">
      <c r="B247" s="667"/>
      <c r="C247" s="2"/>
    </row>
    <row r="248" spans="2:3" x14ac:dyDescent="0.35">
      <c r="B248" s="667"/>
      <c r="C248" s="2"/>
    </row>
    <row r="249" spans="2:3" x14ac:dyDescent="0.35">
      <c r="B249" s="667"/>
      <c r="C249" s="2"/>
    </row>
    <row r="250" spans="2:3" x14ac:dyDescent="0.35">
      <c r="B250" s="667"/>
      <c r="C250" s="2"/>
    </row>
    <row r="251" spans="2:3" x14ac:dyDescent="0.35">
      <c r="B251" s="667"/>
      <c r="C251" s="2"/>
    </row>
    <row r="252" spans="2:3" x14ac:dyDescent="0.35">
      <c r="B252" s="667"/>
      <c r="C252" s="2"/>
    </row>
    <row r="253" spans="2:3" x14ac:dyDescent="0.35">
      <c r="B253" s="667"/>
      <c r="C253" s="2"/>
    </row>
    <row r="254" spans="2:3" x14ac:dyDescent="0.35">
      <c r="B254" s="667"/>
      <c r="C254" s="2"/>
    </row>
    <row r="255" spans="2:3" x14ac:dyDescent="0.35">
      <c r="B255" s="667"/>
      <c r="C255" s="2"/>
    </row>
    <row r="256" spans="2:3" x14ac:dyDescent="0.35">
      <c r="B256" s="667"/>
      <c r="C256" s="2"/>
    </row>
    <row r="257" spans="2:3" x14ac:dyDescent="0.35">
      <c r="B257" s="667"/>
      <c r="C257" s="2"/>
    </row>
    <row r="258" spans="2:3" x14ac:dyDescent="0.35">
      <c r="B258" s="667"/>
      <c r="C258" s="2"/>
    </row>
    <row r="259" spans="2:3" x14ac:dyDescent="0.35">
      <c r="B259" s="667"/>
      <c r="C259" s="2"/>
    </row>
    <row r="260" spans="2:3" x14ac:dyDescent="0.35">
      <c r="B260" s="667"/>
      <c r="C260" s="2"/>
    </row>
    <row r="261" spans="2:3" x14ac:dyDescent="0.35">
      <c r="B261" s="667"/>
      <c r="C261" s="2"/>
    </row>
    <row r="262" spans="2:3" x14ac:dyDescent="0.35">
      <c r="B262" s="667"/>
      <c r="C262" s="2"/>
    </row>
    <row r="263" spans="2:3" x14ac:dyDescent="0.35">
      <c r="B263" s="667"/>
      <c r="C263" s="2"/>
    </row>
    <row r="264" spans="2:3" x14ac:dyDescent="0.35">
      <c r="B264" s="667"/>
      <c r="C264" s="2"/>
    </row>
    <row r="265" spans="2:3" x14ac:dyDescent="0.35">
      <c r="B265" s="667"/>
      <c r="C265" s="2"/>
    </row>
    <row r="266" spans="2:3" x14ac:dyDescent="0.35">
      <c r="B266" s="667"/>
      <c r="C266" s="2"/>
    </row>
    <row r="267" spans="2:3" x14ac:dyDescent="0.35">
      <c r="B267" s="667"/>
      <c r="C267" s="2"/>
    </row>
    <row r="268" spans="2:3" x14ac:dyDescent="0.35">
      <c r="B268" s="667"/>
      <c r="C268" s="2"/>
    </row>
    <row r="269" spans="2:3" x14ac:dyDescent="0.35">
      <c r="B269" s="667"/>
      <c r="C269" s="2"/>
    </row>
    <row r="270" spans="2:3" x14ac:dyDescent="0.35">
      <c r="B270" s="667"/>
      <c r="C270" s="2"/>
    </row>
    <row r="271" spans="2:3" x14ac:dyDescent="0.35">
      <c r="B271" s="667"/>
      <c r="C271" s="2"/>
    </row>
    <row r="272" spans="2:3" x14ac:dyDescent="0.35">
      <c r="B272" s="667"/>
      <c r="C272" s="2"/>
    </row>
    <row r="273" spans="2:3" x14ac:dyDescent="0.35">
      <c r="B273" s="667"/>
      <c r="C273" s="2"/>
    </row>
    <row r="274" spans="2:3" x14ac:dyDescent="0.35">
      <c r="B274" s="667"/>
      <c r="C274" s="2"/>
    </row>
    <row r="275" spans="2:3" x14ac:dyDescent="0.35">
      <c r="B275" s="667"/>
      <c r="C275" s="2"/>
    </row>
    <row r="276" spans="2:3" x14ac:dyDescent="0.35">
      <c r="B276" s="667"/>
      <c r="C276" s="2"/>
    </row>
    <row r="277" spans="2:3" x14ac:dyDescent="0.35">
      <c r="B277" s="667"/>
      <c r="C277" s="2"/>
    </row>
    <row r="278" spans="2:3" x14ac:dyDescent="0.35">
      <c r="B278" s="667"/>
      <c r="C278" s="2"/>
    </row>
    <row r="279" spans="2:3" x14ac:dyDescent="0.35">
      <c r="B279" s="667"/>
      <c r="C279" s="2"/>
    </row>
    <row r="280" spans="2:3" x14ac:dyDescent="0.35">
      <c r="B280" s="667"/>
      <c r="C280" s="2"/>
    </row>
    <row r="281" spans="2:3" x14ac:dyDescent="0.35">
      <c r="B281" s="667"/>
      <c r="C281" s="2"/>
    </row>
    <row r="282" spans="2:3" x14ac:dyDescent="0.35">
      <c r="B282" s="667"/>
      <c r="C282" s="2"/>
    </row>
    <row r="283" spans="2:3" x14ac:dyDescent="0.35">
      <c r="B283" s="667"/>
      <c r="C283" s="2"/>
    </row>
    <row r="284" spans="2:3" x14ac:dyDescent="0.35">
      <c r="B284" s="667"/>
      <c r="C284" s="2"/>
    </row>
    <row r="285" spans="2:3" x14ac:dyDescent="0.35">
      <c r="B285" s="667"/>
      <c r="C285" s="2"/>
    </row>
    <row r="286" spans="2:3" x14ac:dyDescent="0.35">
      <c r="B286" s="667"/>
      <c r="C286" s="2"/>
    </row>
    <row r="287" spans="2:3" x14ac:dyDescent="0.35">
      <c r="B287" s="667"/>
      <c r="C287" s="2"/>
    </row>
    <row r="288" spans="2:3" x14ac:dyDescent="0.35">
      <c r="B288" s="667"/>
      <c r="C288" s="2"/>
    </row>
    <row r="289" spans="2:3" x14ac:dyDescent="0.35">
      <c r="B289" s="667"/>
      <c r="C289" s="2"/>
    </row>
    <row r="290" spans="2:3" x14ac:dyDescent="0.35">
      <c r="B290" s="667"/>
      <c r="C290" s="2"/>
    </row>
    <row r="291" spans="2:3" x14ac:dyDescent="0.35">
      <c r="B291" s="667"/>
      <c r="C291" s="2"/>
    </row>
    <row r="292" spans="2:3" x14ac:dyDescent="0.35">
      <c r="B292" s="667"/>
      <c r="C292" s="2"/>
    </row>
    <row r="293" spans="2:3" x14ac:dyDescent="0.35">
      <c r="B293" s="667"/>
      <c r="C293" s="2"/>
    </row>
    <row r="294" spans="2:3" x14ac:dyDescent="0.35">
      <c r="B294" s="667"/>
      <c r="C294" s="2"/>
    </row>
    <row r="295" spans="2:3" x14ac:dyDescent="0.35">
      <c r="B295" s="667"/>
      <c r="C295" s="2"/>
    </row>
    <row r="296" spans="2:3" x14ac:dyDescent="0.35">
      <c r="B296" s="667"/>
      <c r="C296" s="2"/>
    </row>
    <row r="297" spans="2:3" x14ac:dyDescent="0.35">
      <c r="B297" s="667"/>
      <c r="C297" s="2"/>
    </row>
    <row r="298" spans="2:3" x14ac:dyDescent="0.35">
      <c r="B298" s="667"/>
      <c r="C298" s="2"/>
    </row>
    <row r="299" spans="2:3" x14ac:dyDescent="0.35">
      <c r="B299" s="667"/>
      <c r="C299" s="2"/>
    </row>
    <row r="300" spans="2:3" x14ac:dyDescent="0.35">
      <c r="B300" s="667"/>
      <c r="C300" s="2"/>
    </row>
    <row r="301" spans="2:3" x14ac:dyDescent="0.35">
      <c r="B301" s="667"/>
      <c r="C301" s="2"/>
    </row>
    <row r="302" spans="2:3" x14ac:dyDescent="0.35">
      <c r="B302" s="667"/>
      <c r="C302" s="2"/>
    </row>
    <row r="303" spans="2:3" x14ac:dyDescent="0.35">
      <c r="B303" s="667"/>
      <c r="C303" s="2"/>
    </row>
    <row r="304" spans="2:3" x14ac:dyDescent="0.35">
      <c r="B304" s="667"/>
      <c r="C304" s="2"/>
    </row>
    <row r="305" spans="2:3" x14ac:dyDescent="0.35">
      <c r="B305" s="667"/>
      <c r="C305" s="2"/>
    </row>
    <row r="306" spans="2:3" x14ac:dyDescent="0.35">
      <c r="B306" s="667"/>
      <c r="C306" s="2"/>
    </row>
    <row r="307" spans="2:3" x14ac:dyDescent="0.35">
      <c r="B307" s="667"/>
      <c r="C307" s="2"/>
    </row>
    <row r="308" spans="2:3" x14ac:dyDescent="0.35">
      <c r="B308" s="667"/>
      <c r="C308" s="2"/>
    </row>
    <row r="309" spans="2:3" x14ac:dyDescent="0.35">
      <c r="B309" s="667"/>
      <c r="C309" s="2"/>
    </row>
    <row r="310" spans="2:3" x14ac:dyDescent="0.35">
      <c r="B310" s="667"/>
      <c r="C310" s="2"/>
    </row>
    <row r="311" spans="2:3" x14ac:dyDescent="0.35">
      <c r="B311" s="667"/>
      <c r="C311" s="2"/>
    </row>
    <row r="312" spans="2:3" x14ac:dyDescent="0.35">
      <c r="B312" s="667"/>
      <c r="C312" s="2"/>
    </row>
    <row r="313" spans="2:3" x14ac:dyDescent="0.35">
      <c r="B313" s="667"/>
      <c r="C313" s="2"/>
    </row>
    <row r="314" spans="2:3" x14ac:dyDescent="0.35">
      <c r="B314" s="667"/>
      <c r="C314" s="2"/>
    </row>
    <row r="315" spans="2:3" x14ac:dyDescent="0.35">
      <c r="B315" s="667"/>
      <c r="C315" s="2"/>
    </row>
    <row r="316" spans="2:3" x14ac:dyDescent="0.35">
      <c r="B316" s="667"/>
      <c r="C316" s="2"/>
    </row>
    <row r="317" spans="2:3" x14ac:dyDescent="0.35">
      <c r="B317" s="667"/>
      <c r="C317" s="2"/>
    </row>
    <row r="318" spans="2:3" x14ac:dyDescent="0.35">
      <c r="B318" s="667"/>
      <c r="C318" s="2"/>
    </row>
    <row r="319" spans="2:3" x14ac:dyDescent="0.35">
      <c r="B319" s="667"/>
      <c r="C319" s="2"/>
    </row>
    <row r="320" spans="2:3" x14ac:dyDescent="0.35">
      <c r="B320" s="667"/>
      <c r="C320" s="2"/>
    </row>
    <row r="321" spans="2:3" x14ac:dyDescent="0.35">
      <c r="B321" s="667"/>
      <c r="C321" s="2"/>
    </row>
    <row r="322" spans="2:3" x14ac:dyDescent="0.35">
      <c r="B322" s="667"/>
      <c r="C322" s="2"/>
    </row>
    <row r="323" spans="2:3" x14ac:dyDescent="0.35">
      <c r="B323" s="667"/>
      <c r="C323" s="2"/>
    </row>
    <row r="324" spans="2:3" x14ac:dyDescent="0.35">
      <c r="B324" s="667"/>
      <c r="C324" s="2"/>
    </row>
    <row r="325" spans="2:3" x14ac:dyDescent="0.35">
      <c r="B325" s="667"/>
      <c r="C325" s="2"/>
    </row>
    <row r="326" spans="2:3" x14ac:dyDescent="0.35">
      <c r="B326" s="667"/>
      <c r="C326" s="2"/>
    </row>
    <row r="327" spans="2:3" x14ac:dyDescent="0.35">
      <c r="B327" s="667"/>
      <c r="C327" s="2"/>
    </row>
    <row r="328" spans="2:3" x14ac:dyDescent="0.35">
      <c r="B328" s="667"/>
      <c r="C328" s="2"/>
    </row>
    <row r="329" spans="2:3" x14ac:dyDescent="0.35">
      <c r="B329" s="667"/>
      <c r="C329" s="2"/>
    </row>
    <row r="330" spans="2:3" x14ac:dyDescent="0.35">
      <c r="B330" s="667"/>
      <c r="C330" s="2"/>
    </row>
    <row r="331" spans="2:3" x14ac:dyDescent="0.35">
      <c r="B331" s="667"/>
      <c r="C331" s="2"/>
    </row>
    <row r="332" spans="2:3" x14ac:dyDescent="0.35">
      <c r="B332" s="667"/>
      <c r="C332" s="2"/>
    </row>
    <row r="333" spans="2:3" x14ac:dyDescent="0.35">
      <c r="B333" s="667"/>
      <c r="C333" s="2"/>
    </row>
    <row r="334" spans="2:3" x14ac:dyDescent="0.35">
      <c r="B334" s="667"/>
      <c r="C334" s="2"/>
    </row>
    <row r="335" spans="2:3" x14ac:dyDescent="0.35">
      <c r="B335" s="667"/>
      <c r="C335" s="2"/>
    </row>
    <row r="336" spans="2:3" x14ac:dyDescent="0.35">
      <c r="B336" s="667"/>
      <c r="C336" s="2"/>
    </row>
    <row r="337" spans="2:3" x14ac:dyDescent="0.35">
      <c r="B337" s="667"/>
      <c r="C337" s="2"/>
    </row>
    <row r="338" spans="2:3" x14ac:dyDescent="0.35">
      <c r="B338" s="667"/>
      <c r="C338" s="2"/>
    </row>
    <row r="339" spans="2:3" x14ac:dyDescent="0.35">
      <c r="B339" s="667"/>
      <c r="C339" s="2"/>
    </row>
    <row r="340" spans="2:3" x14ac:dyDescent="0.35">
      <c r="B340" s="667"/>
      <c r="C340" s="2"/>
    </row>
    <row r="341" spans="2:3" x14ac:dyDescent="0.35">
      <c r="B341" s="667"/>
      <c r="C341" s="2"/>
    </row>
    <row r="342" spans="2:3" x14ac:dyDescent="0.35">
      <c r="B342" s="667"/>
      <c r="C342" s="2"/>
    </row>
    <row r="343" spans="2:3" x14ac:dyDescent="0.35">
      <c r="B343" s="667"/>
      <c r="C343" s="2"/>
    </row>
    <row r="344" spans="2:3" x14ac:dyDescent="0.35">
      <c r="B344" s="667"/>
      <c r="C344" s="2"/>
    </row>
    <row r="345" spans="2:3" x14ac:dyDescent="0.35">
      <c r="B345" s="667"/>
      <c r="C345" s="2"/>
    </row>
    <row r="346" spans="2:3" x14ac:dyDescent="0.35">
      <c r="B346" s="667"/>
      <c r="C346" s="2"/>
    </row>
    <row r="347" spans="2:3" x14ac:dyDescent="0.35">
      <c r="B347" s="667"/>
      <c r="C347" s="2"/>
    </row>
    <row r="348" spans="2:3" x14ac:dyDescent="0.35">
      <c r="B348" s="667"/>
      <c r="C348" s="2"/>
    </row>
    <row r="349" spans="2:3" x14ac:dyDescent="0.35">
      <c r="B349" s="667"/>
      <c r="C349" s="2"/>
    </row>
    <row r="350" spans="2:3" x14ac:dyDescent="0.35">
      <c r="B350" s="667"/>
      <c r="C350" s="2"/>
    </row>
    <row r="351" spans="2:3" x14ac:dyDescent="0.35">
      <c r="B351" s="667"/>
      <c r="C351" s="2"/>
    </row>
    <row r="352" spans="2:3" x14ac:dyDescent="0.35">
      <c r="B352" s="667"/>
      <c r="C352" s="2"/>
    </row>
    <row r="353" spans="2:3" x14ac:dyDescent="0.35">
      <c r="B353" s="667"/>
      <c r="C353" s="2"/>
    </row>
    <row r="354" spans="2:3" x14ac:dyDescent="0.35">
      <c r="B354" s="667"/>
      <c r="C354" s="2"/>
    </row>
    <row r="355" spans="2:3" x14ac:dyDescent="0.35">
      <c r="B355" s="667"/>
      <c r="C355" s="2"/>
    </row>
    <row r="356" spans="2:3" x14ac:dyDescent="0.35">
      <c r="B356" s="667"/>
      <c r="C356" s="2"/>
    </row>
    <row r="357" spans="2:3" x14ac:dyDescent="0.35">
      <c r="B357" s="667"/>
      <c r="C357" s="2"/>
    </row>
    <row r="358" spans="2:3" x14ac:dyDescent="0.35">
      <c r="B358" s="667"/>
      <c r="C358" s="2"/>
    </row>
    <row r="359" spans="2:3" x14ac:dyDescent="0.35">
      <c r="B359" s="667"/>
      <c r="C359" s="2"/>
    </row>
    <row r="360" spans="2:3" x14ac:dyDescent="0.35">
      <c r="B360" s="667"/>
      <c r="C360" s="2"/>
    </row>
    <row r="361" spans="2:3" x14ac:dyDescent="0.35">
      <c r="B361" s="667"/>
      <c r="C361" s="2"/>
    </row>
    <row r="362" spans="2:3" x14ac:dyDescent="0.35">
      <c r="B362" s="667"/>
      <c r="C362" s="2"/>
    </row>
    <row r="363" spans="2:3" x14ac:dyDescent="0.35">
      <c r="B363" s="667"/>
      <c r="C363" s="2"/>
    </row>
    <row r="364" spans="2:3" x14ac:dyDescent="0.35">
      <c r="B364" s="667"/>
      <c r="C364" s="2"/>
    </row>
    <row r="365" spans="2:3" x14ac:dyDescent="0.35">
      <c r="B365" s="667"/>
      <c r="C365" s="2"/>
    </row>
    <row r="366" spans="2:3" x14ac:dyDescent="0.35">
      <c r="B366" s="667"/>
      <c r="C366" s="2"/>
    </row>
    <row r="367" spans="2:3" x14ac:dyDescent="0.35">
      <c r="B367" s="667"/>
      <c r="C367" s="2"/>
    </row>
    <row r="368" spans="2:3" x14ac:dyDescent="0.35">
      <c r="B368" s="667"/>
      <c r="C368" s="2"/>
    </row>
    <row r="369" spans="2:3" x14ac:dyDescent="0.35">
      <c r="B369" s="667"/>
      <c r="C369" s="2"/>
    </row>
    <row r="370" spans="2:3" x14ac:dyDescent="0.35">
      <c r="B370" s="667"/>
      <c r="C370" s="2"/>
    </row>
    <row r="371" spans="2:3" x14ac:dyDescent="0.35">
      <c r="B371" s="667"/>
      <c r="C371" s="2"/>
    </row>
    <row r="372" spans="2:3" x14ac:dyDescent="0.35">
      <c r="B372" s="667"/>
      <c r="C372" s="2"/>
    </row>
    <row r="373" spans="2:3" x14ac:dyDescent="0.35">
      <c r="B373" s="667"/>
      <c r="C373" s="2"/>
    </row>
    <row r="374" spans="2:3" x14ac:dyDescent="0.35">
      <c r="B374" s="667"/>
      <c r="C374" s="2"/>
    </row>
    <row r="375" spans="2:3" x14ac:dyDescent="0.35">
      <c r="B375" s="667"/>
      <c r="C375" s="2"/>
    </row>
    <row r="376" spans="2:3" x14ac:dyDescent="0.35">
      <c r="B376" s="667"/>
      <c r="C376" s="2"/>
    </row>
    <row r="377" spans="2:3" x14ac:dyDescent="0.35">
      <c r="B377" s="667"/>
      <c r="C377" s="2"/>
    </row>
    <row r="378" spans="2:3" x14ac:dyDescent="0.35">
      <c r="B378" s="667"/>
      <c r="C378" s="2"/>
    </row>
    <row r="379" spans="2:3" x14ac:dyDescent="0.35">
      <c r="B379" s="667"/>
      <c r="C379" s="2"/>
    </row>
    <row r="380" spans="2:3" x14ac:dyDescent="0.35">
      <c r="B380" s="667"/>
      <c r="C380" s="2"/>
    </row>
    <row r="381" spans="2:3" x14ac:dyDescent="0.35">
      <c r="B381" s="667"/>
      <c r="C381" s="2"/>
    </row>
    <row r="382" spans="2:3" x14ac:dyDescent="0.35">
      <c r="B382" s="667"/>
      <c r="C382" s="2"/>
    </row>
    <row r="383" spans="2:3" x14ac:dyDescent="0.35">
      <c r="B383" s="667"/>
      <c r="C383" s="2"/>
    </row>
    <row r="384" spans="2:3" x14ac:dyDescent="0.35">
      <c r="B384" s="667"/>
      <c r="C384" s="2"/>
    </row>
    <row r="385" spans="2:3" x14ac:dyDescent="0.35">
      <c r="B385" s="667"/>
      <c r="C385" s="2"/>
    </row>
    <row r="386" spans="2:3" x14ac:dyDescent="0.35">
      <c r="B386" s="667"/>
      <c r="C386" s="2"/>
    </row>
    <row r="387" spans="2:3" x14ac:dyDescent="0.35">
      <c r="B387" s="667"/>
      <c r="C387" s="2"/>
    </row>
    <row r="388" spans="2:3" x14ac:dyDescent="0.35">
      <c r="B388" s="667"/>
      <c r="C388" s="2"/>
    </row>
    <row r="389" spans="2:3" x14ac:dyDescent="0.35">
      <c r="B389" s="667"/>
      <c r="C389" s="2"/>
    </row>
    <row r="390" spans="2:3" x14ac:dyDescent="0.35">
      <c r="B390" s="667"/>
      <c r="C390" s="2"/>
    </row>
    <row r="391" spans="2:3" x14ac:dyDescent="0.35">
      <c r="B391" s="667"/>
      <c r="C391" s="2"/>
    </row>
    <row r="392" spans="2:3" x14ac:dyDescent="0.35">
      <c r="B392" s="667"/>
      <c r="C392" s="2"/>
    </row>
    <row r="393" spans="2:3" x14ac:dyDescent="0.35">
      <c r="B393" s="667"/>
      <c r="C393" s="2"/>
    </row>
    <row r="394" spans="2:3" x14ac:dyDescent="0.35">
      <c r="B394" s="667"/>
      <c r="C394" s="2"/>
    </row>
    <row r="395" spans="2:3" x14ac:dyDescent="0.35">
      <c r="B395" s="667"/>
      <c r="C395" s="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3A7E-E090-4433-8B67-1CFC3E1AB552}">
  <dimension ref="A1:H28"/>
  <sheetViews>
    <sheetView workbookViewId="0">
      <selection activeCell="J23" sqref="J23"/>
    </sheetView>
  </sheetViews>
  <sheetFormatPr defaultColWidth="9.1796875" defaultRowHeight="12.5" x14ac:dyDescent="0.25"/>
  <cols>
    <col min="1" max="1" width="10.453125" style="531" bestFit="1" customWidth="1"/>
    <col min="2" max="6" width="9.1796875" style="531"/>
    <col min="7" max="7" width="10.36328125" style="531" bestFit="1" customWidth="1"/>
    <col min="8" max="8" width="9.1796875" style="531"/>
    <col min="9" max="9" width="10.36328125" style="531" bestFit="1" customWidth="1"/>
    <col min="10" max="16384" width="9.1796875" style="531"/>
  </cols>
  <sheetData>
    <row r="1" spans="1:8" ht="13.5" thickBot="1" x14ac:dyDescent="0.35">
      <c r="A1" s="762" t="s">
        <v>603</v>
      </c>
      <c r="B1" s="763"/>
      <c r="E1" s="532"/>
      <c r="G1" s="764" t="s">
        <v>604</v>
      </c>
      <c r="H1" s="765"/>
    </row>
    <row r="2" spans="1:8" ht="13.5" thickBot="1" x14ac:dyDescent="0.35">
      <c r="A2" s="533" t="s">
        <v>605</v>
      </c>
      <c r="B2" s="534">
        <v>100</v>
      </c>
      <c r="G2" s="535" t="s">
        <v>606</v>
      </c>
      <c r="H2" s="536">
        <v>100</v>
      </c>
    </row>
    <row r="3" spans="1:8" ht="14.5" x14ac:dyDescent="0.35">
      <c r="A3" s="537" t="s">
        <v>607</v>
      </c>
      <c r="B3" s="538">
        <v>0.25</v>
      </c>
      <c r="D3" s="539"/>
    </row>
    <row r="4" spans="1:8" ht="14.5" x14ac:dyDescent="0.35">
      <c r="A4" s="537" t="s">
        <v>608</v>
      </c>
      <c r="B4" s="540">
        <v>0.23438000000000001</v>
      </c>
      <c r="D4" s="539"/>
    </row>
    <row r="5" spans="1:8" ht="13" x14ac:dyDescent="0.3">
      <c r="A5" s="537" t="s">
        <v>609</v>
      </c>
      <c r="B5" s="541">
        <v>3</v>
      </c>
      <c r="D5" s="542"/>
    </row>
    <row r="6" spans="1:8" ht="15" thickBot="1" x14ac:dyDescent="0.4">
      <c r="A6" s="537" t="s">
        <v>610</v>
      </c>
      <c r="B6" s="538">
        <v>1.0100100000000001</v>
      </c>
      <c r="D6" s="542"/>
    </row>
    <row r="7" spans="1:8" ht="13" x14ac:dyDescent="0.3">
      <c r="A7" s="543" t="s">
        <v>611</v>
      </c>
      <c r="B7" s="544">
        <v>1.07</v>
      </c>
    </row>
    <row r="8" spans="1:8" ht="13" x14ac:dyDescent="0.3">
      <c r="A8" s="546" t="s">
        <v>451</v>
      </c>
      <c r="B8" s="547">
        <f>1/B7</f>
        <v>0.93457943925233644</v>
      </c>
      <c r="G8" s="545"/>
    </row>
    <row r="9" spans="1:8" ht="13" x14ac:dyDescent="0.3">
      <c r="A9" s="546" t="s">
        <v>612</v>
      </c>
      <c r="B9" s="548">
        <f>(B6 - B8) / (B7 - B8)</f>
        <v>0.55700966183574907</v>
      </c>
      <c r="G9" s="545"/>
    </row>
    <row r="10" spans="1:8" ht="13.5" thickBot="1" x14ac:dyDescent="0.35">
      <c r="A10" s="549" t="s">
        <v>613</v>
      </c>
      <c r="B10" s="550">
        <f>1 - B9</f>
        <v>0.44299033816425093</v>
      </c>
      <c r="D10" s="551"/>
      <c r="F10" s="545"/>
    </row>
    <row r="11" spans="1:8" ht="13" x14ac:dyDescent="0.3">
      <c r="D11" s="551"/>
      <c r="F11" s="545"/>
      <c r="G11" s="552"/>
    </row>
    <row r="12" spans="1:8" ht="13" thickBot="1" x14ac:dyDescent="0.3">
      <c r="G12" s="552"/>
    </row>
    <row r="13" spans="1:8" ht="13.5" thickBot="1" x14ac:dyDescent="0.35">
      <c r="A13" s="552"/>
      <c r="B13" s="766" t="s">
        <v>614</v>
      </c>
      <c r="C13" s="767"/>
      <c r="D13" s="553"/>
      <c r="E13" s="554"/>
      <c r="F13" s="552"/>
      <c r="G13" s="552"/>
    </row>
    <row r="14" spans="1:8" x14ac:dyDescent="0.25">
      <c r="A14" s="552"/>
      <c r="B14" s="565"/>
      <c r="C14" s="566"/>
      <c r="D14" s="566"/>
      <c r="E14" s="567">
        <f>B2 * (B7 ^ (3)) * (B8 ^ (0))</f>
        <v>122.50430000000001</v>
      </c>
      <c r="F14" s="552"/>
      <c r="G14" s="552"/>
    </row>
    <row r="15" spans="1:8" x14ac:dyDescent="0.25">
      <c r="A15" s="552"/>
      <c r="B15" s="565"/>
      <c r="C15" s="566"/>
      <c r="D15" s="566">
        <f>B2 * (B7 ^ (2)) * (B8 ^ (0))</f>
        <v>114.49000000000001</v>
      </c>
      <c r="E15" s="567">
        <f>B2 * (B7 ^ (2)) * (B8 ^ (1))</f>
        <v>107.00000000000001</v>
      </c>
      <c r="F15" s="552"/>
      <c r="G15" s="552"/>
    </row>
    <row r="16" spans="1:8" x14ac:dyDescent="0.25">
      <c r="A16" s="552"/>
      <c r="B16" s="565"/>
      <c r="C16" s="566">
        <f>B2 * (B7 ^ (1)) * (B8 ^ (0))</f>
        <v>107</v>
      </c>
      <c r="D16" s="566">
        <f>B2 * (B7 ^ (1)) * (B8 ^ (1))</f>
        <v>100</v>
      </c>
      <c r="E16" s="567">
        <f>B2 * (B7 ^ (1)) * (B8 ^ (2))</f>
        <v>93.45794392523365</v>
      </c>
      <c r="F16" s="552"/>
      <c r="G16" s="552"/>
    </row>
    <row r="17" spans="1:7" ht="13" x14ac:dyDescent="0.3">
      <c r="A17" s="552"/>
      <c r="B17" s="565">
        <f>B2 * (B7 ^ (0)) * (B8 ^ (0))</f>
        <v>100</v>
      </c>
      <c r="C17" s="566">
        <f>B2 * (B7 ^ (0)) * (B8 ^ (1))</f>
        <v>93.45794392523365</v>
      </c>
      <c r="D17" s="566">
        <f>B2 * (B7 ^ (0)) * (B8 ^ (2))</f>
        <v>87.343872827321164</v>
      </c>
      <c r="E17" s="567">
        <f>B2 * (B7 ^ (0)) * (B8 ^ (3))</f>
        <v>81.629787689085191</v>
      </c>
      <c r="F17" s="552"/>
      <c r="G17" s="558"/>
    </row>
    <row r="18" spans="1:7" x14ac:dyDescent="0.25">
      <c r="A18" s="552"/>
      <c r="B18" s="559"/>
      <c r="C18" s="552"/>
      <c r="D18" s="552"/>
      <c r="E18" s="560"/>
      <c r="F18" s="552"/>
    </row>
    <row r="19" spans="1:7" ht="13.5" thickBot="1" x14ac:dyDescent="0.35">
      <c r="A19" s="558"/>
      <c r="B19" s="561" t="s">
        <v>615</v>
      </c>
      <c r="C19" s="562" t="s">
        <v>616</v>
      </c>
      <c r="D19" s="562" t="s">
        <v>617</v>
      </c>
      <c r="E19" s="563" t="s">
        <v>618</v>
      </c>
      <c r="F19" s="558"/>
    </row>
    <row r="20" spans="1:7" x14ac:dyDescent="0.25">
      <c r="G20" s="552"/>
    </row>
    <row r="21" spans="1:7" ht="13" thickBot="1" x14ac:dyDescent="0.3">
      <c r="G21" s="552"/>
    </row>
    <row r="22" spans="1:7" ht="13.5" thickBot="1" x14ac:dyDescent="0.35">
      <c r="A22" s="552"/>
      <c r="B22" s="766" t="s">
        <v>619</v>
      </c>
      <c r="C22" s="767"/>
      <c r="D22" s="553"/>
      <c r="E22" s="554"/>
      <c r="F22" s="552"/>
      <c r="G22" s="552"/>
    </row>
    <row r="23" spans="1:7" x14ac:dyDescent="0.25">
      <c r="A23" s="552"/>
      <c r="B23" s="565"/>
      <c r="C23" s="566"/>
      <c r="D23" s="566"/>
      <c r="E23" s="567">
        <f>MAX($E$14 - $H$2, 0)</f>
        <v>22.504300000000015</v>
      </c>
      <c r="F23" s="552"/>
      <c r="G23" s="552"/>
    </row>
    <row r="24" spans="1:7" x14ac:dyDescent="0.25">
      <c r="A24" s="552"/>
      <c r="B24" s="565"/>
      <c r="C24" s="566"/>
      <c r="D24" s="566">
        <f xml:space="preserve"> ($B$9 *$E$23 + $B$10 *$E$24)/$B$6</f>
        <v>15.48107929624461</v>
      </c>
      <c r="E24" s="567">
        <f>MAX($E$15 - $H$2, 0)</f>
        <v>7.0000000000000142</v>
      </c>
      <c r="F24" s="552"/>
      <c r="G24" s="552"/>
    </row>
    <row r="25" spans="1:7" x14ac:dyDescent="0.25">
      <c r="A25" s="552"/>
      <c r="B25" s="565"/>
      <c r="C25" s="566">
        <f>($B$9 *$D$24 + $B$10 *$D$25)/$B$6</f>
        <v>10.230831004401377</v>
      </c>
      <c r="D25" s="566">
        <f xml:space="preserve"> ($B$9 *$E$24 + $B$10 *$E$25)/$B$6</f>
        <v>3.860424780794498</v>
      </c>
      <c r="E25" s="567">
        <f>MAX($E$16 - $H$2, 0)</f>
        <v>0</v>
      </c>
      <c r="F25" s="552"/>
      <c r="G25" s="552"/>
    </row>
    <row r="26" spans="1:7" ht="13" x14ac:dyDescent="0.3">
      <c r="A26" s="552"/>
      <c r="B26" s="565">
        <f xml:space="preserve"> ($B$9 *$C$25 + $B$10 *$C$26)/$B$6</f>
        <v>6.5759651107427004</v>
      </c>
      <c r="C26" s="566">
        <f xml:space="preserve"> ($B$9 *$D$25 + $B$10 *$D$26)/$B$6</f>
        <v>2.1289827840246027</v>
      </c>
      <c r="D26" s="566">
        <f xml:space="preserve"> ($B$9 *$E$25 + $B$10 *$E$26)/$B$6</f>
        <v>0</v>
      </c>
      <c r="E26" s="567">
        <f>MAX($E$17 - $H$2, 0)</f>
        <v>0</v>
      </c>
      <c r="F26" s="552"/>
      <c r="G26" s="558"/>
    </row>
    <row r="27" spans="1:7" x14ac:dyDescent="0.25">
      <c r="A27" s="552"/>
      <c r="B27" s="565"/>
      <c r="C27" s="566"/>
      <c r="D27" s="566"/>
      <c r="E27" s="567"/>
      <c r="F27" s="552"/>
    </row>
    <row r="28" spans="1:7" ht="13.5" thickBot="1" x14ac:dyDescent="0.35">
      <c r="A28" s="558"/>
      <c r="B28" s="561" t="s">
        <v>615</v>
      </c>
      <c r="C28" s="562" t="s">
        <v>616</v>
      </c>
      <c r="D28" s="562" t="s">
        <v>617</v>
      </c>
      <c r="E28" s="563" t="s">
        <v>618</v>
      </c>
      <c r="F28" s="558"/>
    </row>
  </sheetData>
  <mergeCells count="4">
    <mergeCell ref="A1:B1"/>
    <mergeCell ref="G1:H1"/>
    <mergeCell ref="B13:C13"/>
    <mergeCell ref="B22:C2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5F2E-ADAD-40B9-B56C-6CC0BA2D84C0}">
  <dimension ref="A1:H28"/>
  <sheetViews>
    <sheetView workbookViewId="0">
      <selection activeCell="I20" sqref="I20"/>
    </sheetView>
  </sheetViews>
  <sheetFormatPr defaultColWidth="9.1796875" defaultRowHeight="12.5" x14ac:dyDescent="0.25"/>
  <cols>
    <col min="1" max="1" width="10.453125" style="531" bestFit="1" customWidth="1"/>
    <col min="2" max="6" width="9.1796875" style="531"/>
    <col min="7" max="7" width="10.36328125" style="531" bestFit="1" customWidth="1"/>
    <col min="8" max="8" width="9.1796875" style="531"/>
    <col min="9" max="9" width="10.36328125" style="531" bestFit="1" customWidth="1"/>
    <col min="10" max="16384" width="9.1796875" style="531"/>
  </cols>
  <sheetData>
    <row r="1" spans="1:8" ht="13.5" thickBot="1" x14ac:dyDescent="0.35">
      <c r="A1" s="762" t="s">
        <v>603</v>
      </c>
      <c r="B1" s="763"/>
      <c r="E1" s="532"/>
      <c r="G1" s="764" t="s">
        <v>604</v>
      </c>
      <c r="H1" s="765"/>
    </row>
    <row r="2" spans="1:8" ht="13.5" thickBot="1" x14ac:dyDescent="0.35">
      <c r="A2" s="533" t="s">
        <v>605</v>
      </c>
      <c r="B2" s="534">
        <v>100</v>
      </c>
      <c r="G2" s="535" t="s">
        <v>606</v>
      </c>
      <c r="H2" s="536">
        <v>100</v>
      </c>
    </row>
    <row r="3" spans="1:8" ht="14.5" x14ac:dyDescent="0.35">
      <c r="A3" s="537" t="s">
        <v>607</v>
      </c>
      <c r="B3" s="538">
        <v>0.25</v>
      </c>
      <c r="D3" s="539"/>
    </row>
    <row r="4" spans="1:8" ht="14.5" x14ac:dyDescent="0.35">
      <c r="A4" s="537" t="s">
        <v>608</v>
      </c>
      <c r="B4" s="540">
        <v>0.23438000000000001</v>
      </c>
      <c r="D4" s="539"/>
    </row>
    <row r="5" spans="1:8" ht="13" x14ac:dyDescent="0.3">
      <c r="A5" s="537" t="s">
        <v>609</v>
      </c>
      <c r="B5" s="541">
        <v>3</v>
      </c>
      <c r="D5" s="542"/>
    </row>
    <row r="6" spans="1:8" ht="15" thickBot="1" x14ac:dyDescent="0.4">
      <c r="A6" s="537" t="s">
        <v>610</v>
      </c>
      <c r="B6" s="538">
        <v>1.0100100000000001</v>
      </c>
      <c r="D6" s="542"/>
    </row>
    <row r="7" spans="1:8" ht="13" x14ac:dyDescent="0.3">
      <c r="A7" s="543" t="s">
        <v>611</v>
      </c>
      <c r="B7" s="544">
        <v>1.07</v>
      </c>
      <c r="G7" s="545"/>
    </row>
    <row r="8" spans="1:8" ht="13" x14ac:dyDescent="0.3">
      <c r="A8" s="546" t="s">
        <v>451</v>
      </c>
      <c r="B8" s="547">
        <f>1/B7</f>
        <v>0.93457943925233644</v>
      </c>
      <c r="G8" s="545"/>
    </row>
    <row r="9" spans="1:8" ht="13" x14ac:dyDescent="0.3">
      <c r="A9" s="546" t="s">
        <v>612</v>
      </c>
      <c r="B9" s="548">
        <f>(B6 - B8) / (B7 - B8)</f>
        <v>0.55700966183574907</v>
      </c>
    </row>
    <row r="10" spans="1:8" ht="13.5" thickBot="1" x14ac:dyDescent="0.35">
      <c r="A10" s="549" t="s">
        <v>613</v>
      </c>
      <c r="B10" s="550">
        <f>1 - B9</f>
        <v>0.44299033816425093</v>
      </c>
      <c r="D10" s="551"/>
      <c r="F10" s="545"/>
      <c r="G10" s="552"/>
    </row>
    <row r="11" spans="1:8" ht="13" x14ac:dyDescent="0.3">
      <c r="D11" s="551"/>
      <c r="F11" s="545"/>
      <c r="G11" s="552"/>
    </row>
    <row r="12" spans="1:8" ht="13" thickBot="1" x14ac:dyDescent="0.3">
      <c r="G12" s="552"/>
    </row>
    <row r="13" spans="1:8" ht="13.5" thickBot="1" x14ac:dyDescent="0.35">
      <c r="A13" s="552"/>
      <c r="B13" s="766" t="s">
        <v>614</v>
      </c>
      <c r="C13" s="767"/>
      <c r="D13" s="553"/>
      <c r="E13" s="554"/>
      <c r="F13" s="552"/>
      <c r="G13" s="552"/>
    </row>
    <row r="14" spans="1:8" x14ac:dyDescent="0.25">
      <c r="A14" s="552"/>
      <c r="B14" s="555"/>
      <c r="C14" s="556"/>
      <c r="D14" s="556"/>
      <c r="E14" s="557">
        <f>B2 * (B7 ^ (3)) * (B8 ^ (0))</f>
        <v>122.50430000000001</v>
      </c>
      <c r="F14" s="552"/>
      <c r="G14" s="552"/>
    </row>
    <row r="15" spans="1:8" x14ac:dyDescent="0.25">
      <c r="A15" s="552"/>
      <c r="B15" s="555"/>
      <c r="C15" s="556"/>
      <c r="D15" s="556">
        <f>B2 * (B7 ^ (2)) * (B8 ^ (0))</f>
        <v>114.49000000000001</v>
      </c>
      <c r="E15" s="557">
        <f>B2 * (B7 ^ (2)) * (B8 ^ (1))</f>
        <v>107.00000000000001</v>
      </c>
      <c r="F15" s="552"/>
      <c r="G15" s="552"/>
    </row>
    <row r="16" spans="1:8" ht="13" x14ac:dyDescent="0.3">
      <c r="A16" s="552"/>
      <c r="B16" s="555"/>
      <c r="C16" s="556">
        <f>B2 * (B7 ^ (1)) * (B8 ^ (0))</f>
        <v>107</v>
      </c>
      <c r="D16" s="556">
        <f>B2 * (B7 ^ (1)) * (B8 ^ (1))</f>
        <v>100</v>
      </c>
      <c r="E16" s="557">
        <f>B2 * (B7 ^ (1)) * (B8 ^ (2))</f>
        <v>93.45794392523365</v>
      </c>
      <c r="F16" s="552"/>
      <c r="G16" s="558"/>
    </row>
    <row r="17" spans="1:7" x14ac:dyDescent="0.25">
      <c r="A17" s="552"/>
      <c r="B17" s="555">
        <f>B2 * (B7 ^ (0)) * (B8 ^ (0))</f>
        <v>100</v>
      </c>
      <c r="C17" s="556">
        <f>B2 * (B7 ^ (0)) * (B8 ^ (1))</f>
        <v>93.45794392523365</v>
      </c>
      <c r="D17" s="556">
        <f>B2 * (B7 ^ (0)) * (B8 ^ (2))</f>
        <v>87.343872827321164</v>
      </c>
      <c r="E17" s="557">
        <f>B2 * (B7 ^ (0)) * (B8 ^ (3))</f>
        <v>81.629787689085191</v>
      </c>
      <c r="F17" s="552"/>
    </row>
    <row r="18" spans="1:7" x14ac:dyDescent="0.25">
      <c r="A18" s="552"/>
      <c r="B18" s="559"/>
      <c r="C18" s="552"/>
      <c r="D18" s="552"/>
      <c r="E18" s="560"/>
      <c r="F18" s="552"/>
    </row>
    <row r="19" spans="1:7" ht="13.5" thickBot="1" x14ac:dyDescent="0.35">
      <c r="A19" s="558"/>
      <c r="B19" s="561" t="s">
        <v>615</v>
      </c>
      <c r="C19" s="562" t="s">
        <v>616</v>
      </c>
      <c r="D19" s="562" t="s">
        <v>617</v>
      </c>
      <c r="E19" s="563" t="s">
        <v>618</v>
      </c>
      <c r="F19" s="558"/>
      <c r="G19" s="552"/>
    </row>
    <row r="20" spans="1:7" x14ac:dyDescent="0.25">
      <c r="G20" s="552"/>
    </row>
    <row r="21" spans="1:7" ht="13" thickBot="1" x14ac:dyDescent="0.3">
      <c r="G21" s="552"/>
    </row>
    <row r="22" spans="1:7" ht="13.5" thickBot="1" x14ac:dyDescent="0.35">
      <c r="A22" s="552"/>
      <c r="B22" s="766" t="s">
        <v>619</v>
      </c>
      <c r="C22" s="767"/>
      <c r="D22" s="553"/>
      <c r="E22" s="554"/>
      <c r="F22" s="552"/>
      <c r="G22" s="552"/>
    </row>
    <row r="23" spans="1:7" x14ac:dyDescent="0.25">
      <c r="A23" s="552"/>
      <c r="B23" s="559"/>
      <c r="C23" s="552"/>
      <c r="D23" s="552"/>
      <c r="E23" s="560">
        <f>MAX( $H$2 - $E$14, 0)</f>
        <v>0</v>
      </c>
      <c r="F23" s="552"/>
      <c r="G23" s="552"/>
    </row>
    <row r="24" spans="1:7" x14ac:dyDescent="0.25">
      <c r="A24" s="552"/>
      <c r="B24" s="559"/>
      <c r="C24" s="552"/>
      <c r="D24" s="552">
        <f>MAX(MAX($H$2 - $D$15, 0),  ($B$9 *$E$23 + $B$10 *$E$24)/$B$6)</f>
        <v>0</v>
      </c>
      <c r="E24" s="560">
        <f>MAX( $H$2 - $E$15, 0)</f>
        <v>0</v>
      </c>
      <c r="F24" s="552"/>
      <c r="G24" s="552"/>
    </row>
    <row r="25" spans="1:7" ht="13" x14ac:dyDescent="0.3">
      <c r="A25" s="552"/>
      <c r="B25" s="559"/>
      <c r="C25" s="552">
        <f>MAX(MAX($H$2 - $C$16, 0),  ($B$9 *$D$24 + $B$10 *$D$25)/$B$6)</f>
        <v>1.2584947936266209</v>
      </c>
      <c r="D25" s="552">
        <f>MAX(MAX($H$2 - $D$16, 0),  ($B$9 *$E$24 + $B$10 *$E$25)/$B$6)</f>
        <v>2.8693454845498927</v>
      </c>
      <c r="E25" s="560">
        <f>MAX( $H$2 - $E$16, 0)</f>
        <v>6.5420560747663501</v>
      </c>
      <c r="F25" s="552"/>
      <c r="G25" s="558"/>
    </row>
    <row r="26" spans="1:7" x14ac:dyDescent="0.25">
      <c r="A26" s="552"/>
      <c r="B26" s="559">
        <f>MAX(MAX($H$2 - $B$17, 0),  ($B$9 *$C$25 + $B$10 *$C$26)/$B$6)</f>
        <v>3.822750862961048</v>
      </c>
      <c r="C26" s="552">
        <f>MAX(MAX($H$2 - $C$17, 0),  ($B$9 *$D$25 + $B$10 *$D$26)/$B$6)</f>
        <v>7.1333899804099286</v>
      </c>
      <c r="D26" s="564">
        <f>MAX(MAX($H$2 - $D$17, 0),  ($B$9 *$E$25 + $B$10 *$E$26)/$B$6)</f>
        <v>12.656127172678836</v>
      </c>
      <c r="E26" s="560">
        <f>MAX( $H$2 - $E$17, 0)</f>
        <v>18.370212310914809</v>
      </c>
      <c r="F26" s="552"/>
    </row>
    <row r="27" spans="1:7" x14ac:dyDescent="0.25">
      <c r="A27" s="552"/>
      <c r="B27" s="559"/>
      <c r="C27" s="552"/>
      <c r="D27" s="552"/>
      <c r="E27" s="560"/>
      <c r="F27" s="552"/>
    </row>
    <row r="28" spans="1:7" ht="13.5" thickBot="1" x14ac:dyDescent="0.35">
      <c r="A28" s="558"/>
      <c r="B28" s="561" t="s">
        <v>615</v>
      </c>
      <c r="C28" s="562" t="s">
        <v>616</v>
      </c>
      <c r="D28" s="562" t="s">
        <v>617</v>
      </c>
      <c r="E28" s="563" t="s">
        <v>618</v>
      </c>
      <c r="F28" s="558"/>
    </row>
  </sheetData>
  <mergeCells count="4">
    <mergeCell ref="A1:B1"/>
    <mergeCell ref="G1:H1"/>
    <mergeCell ref="B13:C13"/>
    <mergeCell ref="B22:C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E95B-8606-44E1-A1D6-CEF7E14A695F}">
  <dimension ref="A1:N58"/>
  <sheetViews>
    <sheetView workbookViewId="0">
      <selection activeCell="N18" sqref="N18"/>
    </sheetView>
  </sheetViews>
  <sheetFormatPr defaultColWidth="9.1796875" defaultRowHeight="12.5" x14ac:dyDescent="0.25"/>
  <cols>
    <col min="1" max="1" width="10.453125" style="531" bestFit="1" customWidth="1"/>
    <col min="2" max="6" width="9.1796875" style="531"/>
    <col min="7" max="7" width="10.36328125" style="531" bestFit="1" customWidth="1"/>
    <col min="8" max="8" width="9.1796875" style="531"/>
    <col min="9" max="9" width="10.36328125" style="531" bestFit="1" customWidth="1"/>
    <col min="10" max="16384" width="9.1796875" style="531"/>
  </cols>
  <sheetData>
    <row r="1" spans="1:14" ht="13" thickBot="1" x14ac:dyDescent="0.3">
      <c r="A1" s="762" t="s">
        <v>603</v>
      </c>
      <c r="B1" s="763"/>
      <c r="E1" s="762" t="s">
        <v>620</v>
      </c>
      <c r="F1" s="763"/>
      <c r="I1" s="762" t="s">
        <v>604</v>
      </c>
      <c r="J1" s="763"/>
    </row>
    <row r="2" spans="1:14" ht="13.5" thickBot="1" x14ac:dyDescent="0.35">
      <c r="A2" s="533" t="s">
        <v>605</v>
      </c>
      <c r="B2" s="534">
        <v>100</v>
      </c>
      <c r="E2" s="568" t="s">
        <v>621</v>
      </c>
      <c r="F2" s="569">
        <v>10</v>
      </c>
      <c r="I2" s="570" t="s">
        <v>622</v>
      </c>
      <c r="J2" s="571">
        <v>-1</v>
      </c>
    </row>
    <row r="3" spans="1:14" ht="14.5" x14ac:dyDescent="0.35">
      <c r="A3" s="537" t="s">
        <v>607</v>
      </c>
      <c r="B3" s="538">
        <v>0.5</v>
      </c>
      <c r="D3" s="539"/>
      <c r="I3" s="572" t="s">
        <v>606</v>
      </c>
      <c r="J3" s="541">
        <v>100</v>
      </c>
    </row>
    <row r="4" spans="1:14" ht="14.5" x14ac:dyDescent="0.35">
      <c r="A4" s="537" t="s">
        <v>608</v>
      </c>
      <c r="B4" s="540">
        <v>0.2</v>
      </c>
      <c r="D4" s="539"/>
      <c r="I4" s="572" t="s">
        <v>621</v>
      </c>
      <c r="J4" s="541">
        <v>10</v>
      </c>
    </row>
    <row r="5" spans="1:14" ht="13.5" thickBot="1" x14ac:dyDescent="0.35">
      <c r="A5" s="537" t="s">
        <v>609</v>
      </c>
      <c r="B5" s="541">
        <v>10</v>
      </c>
      <c r="D5" s="542"/>
      <c r="G5" s="545"/>
      <c r="H5" s="545"/>
      <c r="I5" s="573" t="s">
        <v>623</v>
      </c>
      <c r="J5" s="574" t="s">
        <v>624</v>
      </c>
    </row>
    <row r="6" spans="1:14" ht="14.5" x14ac:dyDescent="0.35">
      <c r="A6" s="537" t="s">
        <v>625</v>
      </c>
      <c r="B6" s="575">
        <v>0.02</v>
      </c>
      <c r="D6" s="542"/>
    </row>
    <row r="7" spans="1:14" ht="15" thickBot="1" x14ac:dyDescent="0.4">
      <c r="A7" s="576" t="s">
        <v>626</v>
      </c>
      <c r="B7" s="577">
        <v>0.01</v>
      </c>
    </row>
    <row r="8" spans="1:14" ht="13" x14ac:dyDescent="0.3">
      <c r="A8" s="543" t="s">
        <v>611</v>
      </c>
      <c r="B8" s="544">
        <f>EXP(B4*SQRT(B3/B5))</f>
        <v>1.0457364348384068</v>
      </c>
    </row>
    <row r="9" spans="1:14" ht="13" x14ac:dyDescent="0.3">
      <c r="A9" s="546" t="s">
        <v>451</v>
      </c>
      <c r="B9" s="547">
        <f>1/B8</f>
        <v>0.95626389851714955</v>
      </c>
    </row>
    <row r="10" spans="1:14" ht="13" x14ac:dyDescent="0.3">
      <c r="A10" s="546" t="s">
        <v>612</v>
      </c>
      <c r="B10" s="548">
        <f>(EXP((B6 - B7) * B3/B5) - B9) / (B8 - B9)</f>
        <v>0.49441122742796845</v>
      </c>
      <c r="D10" s="551"/>
      <c r="F10" s="545"/>
      <c r="G10" s="545"/>
    </row>
    <row r="11" spans="1:14" ht="13.5" thickBot="1" x14ac:dyDescent="0.35">
      <c r="A11" s="549" t="s">
        <v>613</v>
      </c>
      <c r="B11" s="550">
        <f>1 - B10</f>
        <v>0.50558877257203161</v>
      </c>
      <c r="D11" s="551"/>
      <c r="F11" s="545"/>
      <c r="G11" s="545"/>
    </row>
    <row r="12" spans="1:14" ht="13" thickBot="1" x14ac:dyDescent="0.3"/>
    <row r="13" spans="1:14" ht="13.5" thickBot="1" x14ac:dyDescent="0.35">
      <c r="A13" s="552"/>
      <c r="B13" s="766" t="s">
        <v>614</v>
      </c>
      <c r="C13" s="767"/>
      <c r="D13" s="553"/>
      <c r="E13" s="553"/>
      <c r="F13" s="553"/>
      <c r="G13" s="553"/>
      <c r="H13" s="553"/>
      <c r="I13" s="553"/>
      <c r="J13" s="553"/>
      <c r="K13" s="553"/>
      <c r="L13" s="554"/>
      <c r="M13" s="552"/>
      <c r="N13" s="552"/>
    </row>
    <row r="14" spans="1:14" x14ac:dyDescent="0.25">
      <c r="A14" s="552"/>
      <c r="B14" s="559"/>
      <c r="C14" s="552"/>
      <c r="D14" s="552"/>
      <c r="E14" s="552"/>
      <c r="F14" s="552"/>
      <c r="G14" s="552"/>
      <c r="H14" s="552"/>
      <c r="I14" s="552"/>
      <c r="J14" s="552"/>
      <c r="K14" s="552"/>
      <c r="L14" s="560">
        <f>B2 * (B8 ^ (10)) * (B9 ^ (0))</f>
        <v>156.39483159353705</v>
      </c>
      <c r="M14" s="552"/>
      <c r="N14" s="552"/>
    </row>
    <row r="15" spans="1:14" x14ac:dyDescent="0.25">
      <c r="A15" s="552"/>
      <c r="B15" s="559"/>
      <c r="C15" s="552"/>
      <c r="D15" s="552"/>
      <c r="E15" s="552"/>
      <c r="F15" s="552"/>
      <c r="G15" s="552"/>
      <c r="H15" s="552"/>
      <c r="I15" s="552"/>
      <c r="J15" s="552"/>
      <c r="K15" s="552">
        <f>B2 * (B8 ^ (9)) * (B9 ^ (0))</f>
        <v>149.55473136756879</v>
      </c>
      <c r="L15" s="560">
        <f>B2 * (B8 ^ (9)) * (B9 ^ (1))</f>
        <v>143.01379045923636</v>
      </c>
      <c r="M15" s="552"/>
      <c r="N15" s="552"/>
    </row>
    <row r="16" spans="1:14" x14ac:dyDescent="0.25">
      <c r="A16" s="552"/>
      <c r="B16" s="559"/>
      <c r="C16" s="552"/>
      <c r="D16" s="552"/>
      <c r="E16" s="552"/>
      <c r="F16" s="552"/>
      <c r="G16" s="552"/>
      <c r="H16" s="552"/>
      <c r="I16" s="552"/>
      <c r="J16" s="552">
        <f>B2 * (B8 ^ (8)) * (B9 ^ (0))</f>
        <v>143.01379045923636</v>
      </c>
      <c r="K16" s="552">
        <f>B2 * (B8 ^ (8)) * (B9 ^ (1))</f>
        <v>136.75892480626408</v>
      </c>
      <c r="L16" s="560">
        <f>B2 * (B8 ^ (8)) * (B9 ^ (2))</f>
        <v>130.77762259225182</v>
      </c>
      <c r="M16" s="552"/>
      <c r="N16" s="552"/>
    </row>
    <row r="17" spans="1:14" x14ac:dyDescent="0.25">
      <c r="A17" s="552"/>
      <c r="B17" s="559"/>
      <c r="C17" s="552"/>
      <c r="D17" s="552"/>
      <c r="E17" s="552"/>
      <c r="F17" s="552"/>
      <c r="G17" s="552"/>
      <c r="H17" s="552"/>
      <c r="I17" s="552">
        <f>B2 * (B8 ^ (7)) * (B9 ^ (0))</f>
        <v>136.7589248062641</v>
      </c>
      <c r="J17" s="552">
        <f>B2 * (B8 ^ (7)) * (B9 ^ (1))</f>
        <v>130.77762259225182</v>
      </c>
      <c r="K17" s="552">
        <f>B2 * (B8 ^ (7)) * (B9 ^ (2))</f>
        <v>125.05791921887119</v>
      </c>
      <c r="L17" s="560">
        <f>B2 * (B8 ^ (7)) * (B9 ^ (3))</f>
        <v>119.58837337268052</v>
      </c>
      <c r="M17" s="552"/>
      <c r="N17" s="552"/>
    </row>
    <row r="18" spans="1:14" x14ac:dyDescent="0.25">
      <c r="A18" s="552"/>
      <c r="B18" s="559"/>
      <c r="C18" s="552"/>
      <c r="D18" s="552"/>
      <c r="E18" s="552"/>
      <c r="F18" s="552"/>
      <c r="G18" s="552"/>
      <c r="H18" s="552">
        <f>B2 * (B8 ^ (6)) * (B9 ^ (0))</f>
        <v>130.77762259225182</v>
      </c>
      <c r="I18" s="552">
        <f>B2 * (B8 ^ (6)) * (B9 ^ (1))</f>
        <v>125.05791921887118</v>
      </c>
      <c r="J18" s="552">
        <f>B2 * (B8 ^ (6)) * (B9 ^ (2))</f>
        <v>119.58837337268052</v>
      </c>
      <c r="K18" s="552">
        <f>B2 * (B8 ^ (6)) * (B9 ^ (3))</f>
        <v>114.35804413868395</v>
      </c>
      <c r="L18" s="560">
        <f>B2 * (B8 ^ (6)) * (B9 ^ (4))</f>
        <v>109.35646911485418</v>
      </c>
      <c r="M18" s="552"/>
      <c r="N18" s="552"/>
    </row>
    <row r="19" spans="1:14" x14ac:dyDescent="0.25">
      <c r="A19" s="552"/>
      <c r="B19" s="559"/>
      <c r="C19" s="552"/>
      <c r="D19" s="552"/>
      <c r="E19" s="552"/>
      <c r="F19" s="552"/>
      <c r="G19" s="552">
        <f>B2 * (B8 ^ (5)) * (B9 ^ (0))</f>
        <v>125.05791921887115</v>
      </c>
      <c r="H19" s="552">
        <f>B2 * (B8 ^ (5)) * (B9 ^ (1))</f>
        <v>119.58837337268048</v>
      </c>
      <c r="I19" s="552">
        <f>B2 * (B8 ^ (5)) * (B9 ^ (2))</f>
        <v>114.35804413868392</v>
      </c>
      <c r="J19" s="552">
        <f>B2 * (B8 ^ (5)) * (B9 ^ (3))</f>
        <v>109.35646911485415</v>
      </c>
      <c r="K19" s="552">
        <f>B2 * (B8 ^ (5)) * (B9 ^ (4))</f>
        <v>104.5736434838407</v>
      </c>
      <c r="L19" s="560">
        <f>B2 * (B8 ^ (5)) * (B9 ^ (5))</f>
        <v>100.00000000000003</v>
      </c>
      <c r="M19" s="552"/>
      <c r="N19" s="552"/>
    </row>
    <row r="20" spans="1:14" x14ac:dyDescent="0.25">
      <c r="A20" s="552"/>
      <c r="B20" s="559"/>
      <c r="C20" s="552"/>
      <c r="D20" s="552"/>
      <c r="E20" s="552"/>
      <c r="F20" s="552">
        <f>B2 * (B8 ^ (4)) * (B9 ^ (0))</f>
        <v>119.58837337268049</v>
      </c>
      <c r="G20" s="552">
        <f>B2 * (B8 ^ (4)) * (B9 ^ (1))</f>
        <v>114.35804413868392</v>
      </c>
      <c r="H20" s="552">
        <f>B2 * (B8 ^ (4)) * (B9 ^ (2))</f>
        <v>109.35646911485416</v>
      </c>
      <c r="I20" s="552">
        <f>B2 * (B8 ^ (4)) * (B9 ^ (3))</f>
        <v>104.5736434838407</v>
      </c>
      <c r="J20" s="552">
        <f>B2 * (B8 ^ (4)) * (B9 ^ (4))</f>
        <v>100.00000000000003</v>
      </c>
      <c r="K20" s="552">
        <f>B2 * (B8 ^ (4)) * (B9 ^ (5))</f>
        <v>95.626389851714976</v>
      </c>
      <c r="L20" s="560">
        <f>B2 * (B8 ^ (4)) * (B9 ^ (6))</f>
        <v>91.444064360721754</v>
      </c>
      <c r="M20" s="552"/>
      <c r="N20" s="552"/>
    </row>
    <row r="21" spans="1:14" x14ac:dyDescent="0.25">
      <c r="A21" s="552"/>
      <c r="B21" s="559"/>
      <c r="C21" s="552"/>
      <c r="D21" s="552"/>
      <c r="E21" s="552">
        <f>B2 * (B8 ^ (3)) * (B9 ^ (0))</f>
        <v>114.35804413868394</v>
      </c>
      <c r="F21" s="552">
        <f>B2 * (B8 ^ (3)) * (B9 ^ (1))</f>
        <v>109.35646911485416</v>
      </c>
      <c r="G21" s="552">
        <f>B2 * (B8 ^ (3)) * (B9 ^ (2))</f>
        <v>104.57364348384071</v>
      </c>
      <c r="H21" s="552">
        <f>B2 * (B8 ^ (3)) * (B9 ^ (3))</f>
        <v>100.00000000000003</v>
      </c>
      <c r="I21" s="552">
        <f>B2 * (B8 ^ (3)) * (B9 ^ (4))</f>
        <v>95.62638985171499</v>
      </c>
      <c r="J21" s="552">
        <f>B2 * (B8 ^ (3)) * (B9 ^ (5))</f>
        <v>91.444064360721754</v>
      </c>
      <c r="K21" s="552">
        <f>B2 * (B8 ^ (3)) * (B9 ^ (6))</f>
        <v>87.444657481836927</v>
      </c>
      <c r="L21" s="560">
        <f>B2 * (B8 ^ (3)) * (B9 ^ (7))</f>
        <v>83.620169068078198</v>
      </c>
      <c r="M21" s="552"/>
      <c r="N21" s="552"/>
    </row>
    <row r="22" spans="1:14" x14ac:dyDescent="0.25">
      <c r="A22" s="552"/>
      <c r="B22" s="559"/>
      <c r="C22" s="552"/>
      <c r="D22" s="552">
        <f>B2 * (B8 ^ (2)) * (B9 ^ (0))</f>
        <v>109.35646911485415</v>
      </c>
      <c r="E22" s="552">
        <f>B2 * (B8 ^ (2)) * (B9 ^ (1))</f>
        <v>104.57364348384068</v>
      </c>
      <c r="F22" s="552">
        <f>B2 * (B8 ^ (2)) * (B9 ^ (2))</f>
        <v>100.00000000000001</v>
      </c>
      <c r="G22" s="552">
        <f>B2 * (B8 ^ (2)) * (B9 ^ (3))</f>
        <v>95.626389851714961</v>
      </c>
      <c r="H22" s="552">
        <f>B2 * (B8 ^ (2)) * (B9 ^ (4))</f>
        <v>91.44406436072174</v>
      </c>
      <c r="I22" s="552">
        <f>B2 * (B8 ^ (2)) * (B9 ^ (5))</f>
        <v>87.444657481836913</v>
      </c>
      <c r="J22" s="552">
        <f>B2 * (B8 ^ (2)) * (B9 ^ (6))</f>
        <v>83.620169068078198</v>
      </c>
      <c r="K22" s="552">
        <f>B2 * (B8 ^ (2)) * (B9 ^ (7))</f>
        <v>79.962948867703616</v>
      </c>
      <c r="L22" s="560">
        <f>B2 * (B8 ^ (2)) * (B9 ^ (8))</f>
        <v>76.465681221157752</v>
      </c>
      <c r="M22" s="552"/>
      <c r="N22" s="552"/>
    </row>
    <row r="23" spans="1:14" x14ac:dyDescent="0.25">
      <c r="A23" s="552"/>
      <c r="B23" s="559"/>
      <c r="C23" s="552">
        <f>B2 * (B8 ^ (1)) * (B9 ^ (0))</f>
        <v>104.57364348384068</v>
      </c>
      <c r="D23" s="552">
        <f>B2 * (B8 ^ (1)) * (B9 ^ (1))</f>
        <v>100</v>
      </c>
      <c r="E23" s="552">
        <f>B2 * (B8 ^ (1)) * (B9 ^ (2))</f>
        <v>95.626389851714961</v>
      </c>
      <c r="F23" s="552">
        <f>B2 * (B8 ^ (1)) * (B9 ^ (3))</f>
        <v>91.44406436072174</v>
      </c>
      <c r="G23" s="552">
        <f>B2 * (B8 ^ (1)) * (B9 ^ (4))</f>
        <v>87.444657481836913</v>
      </c>
      <c r="H23" s="552">
        <f>B2 * (B8 ^ (1)) * (B9 ^ (5))</f>
        <v>83.620169068078198</v>
      </c>
      <c r="I23" s="552">
        <f>B2 * (B8 ^ (1)) * (B9 ^ (6))</f>
        <v>79.962948867703616</v>
      </c>
      <c r="J23" s="552">
        <f>B2 * (B8 ^ (1)) * (B9 ^ (7))</f>
        <v>76.465681221157737</v>
      </c>
      <c r="K23" s="552">
        <f>B2 * (B8 ^ (1)) * (B9 ^ (8))</f>
        <v>73.121370427313906</v>
      </c>
      <c r="L23" s="560">
        <f>B2 * (B8 ^ (1)) * (B9 ^ (9))</f>
        <v>69.923326749739815</v>
      </c>
      <c r="M23" s="552"/>
      <c r="N23" s="552"/>
    </row>
    <row r="24" spans="1:14" x14ac:dyDescent="0.25">
      <c r="A24" s="552"/>
      <c r="B24" s="559">
        <f>B2 * (B8 ^ (0)) * (B9 ^ (0))</f>
        <v>100</v>
      </c>
      <c r="C24" s="552">
        <f>B2 * (B8 ^ (0)) * (B9 ^ (1))</f>
        <v>95.626389851714961</v>
      </c>
      <c r="D24" s="552">
        <f>B2 * (B8 ^ (0)) * (B9 ^ (2))</f>
        <v>91.44406436072174</v>
      </c>
      <c r="E24" s="552">
        <f>B2 * (B8 ^ (0)) * (B9 ^ (3))</f>
        <v>87.444657481836899</v>
      </c>
      <c r="F24" s="552">
        <f>B2 * (B8 ^ (0)) * (B9 ^ (4))</f>
        <v>83.620169068078184</v>
      </c>
      <c r="G24" s="552">
        <f>B2 * (B8 ^ (0)) * (B9 ^ (5))</f>
        <v>79.962948867703602</v>
      </c>
      <c r="H24" s="552">
        <f>B2 * (B8 ^ (0)) * (B9 ^ (6))</f>
        <v>76.465681221157737</v>
      </c>
      <c r="I24" s="552">
        <f>B2 * (B8 ^ (0)) * (B9 ^ (7))</f>
        <v>73.121370427313892</v>
      </c>
      <c r="J24" s="552">
        <f>B2 * (B8 ^ (0)) * (B9 ^ (8))</f>
        <v>69.9233267497398</v>
      </c>
      <c r="K24" s="552">
        <f>B2 * (B8 ^ (0)) * (B9 ^ (9))</f>
        <v>66.865153034994677</v>
      </c>
      <c r="L24" s="560">
        <f>B2 * (B8 ^ (0)) * (B9 ^ (10))</f>
        <v>63.940731916189819</v>
      </c>
      <c r="M24" s="552"/>
      <c r="N24" s="552"/>
    </row>
    <row r="25" spans="1:14" x14ac:dyDescent="0.25">
      <c r="A25" s="552"/>
      <c r="B25" s="559"/>
      <c r="C25" s="552"/>
      <c r="D25" s="552"/>
      <c r="E25" s="552"/>
      <c r="F25" s="552"/>
      <c r="G25" s="552"/>
      <c r="H25" s="552"/>
      <c r="I25" s="552"/>
      <c r="J25" s="552"/>
      <c r="K25" s="552"/>
      <c r="L25" s="560"/>
      <c r="M25" s="552"/>
      <c r="N25" s="552"/>
    </row>
    <row r="26" spans="1:14" ht="13.5" thickBot="1" x14ac:dyDescent="0.35">
      <c r="A26" s="558"/>
      <c r="B26" s="561" t="s">
        <v>615</v>
      </c>
      <c r="C26" s="562" t="s">
        <v>616</v>
      </c>
      <c r="D26" s="562" t="s">
        <v>617</v>
      </c>
      <c r="E26" s="562" t="s">
        <v>618</v>
      </c>
      <c r="F26" s="562" t="s">
        <v>627</v>
      </c>
      <c r="G26" s="562" t="s">
        <v>628</v>
      </c>
      <c r="H26" s="562" t="s">
        <v>629</v>
      </c>
      <c r="I26" s="562" t="s">
        <v>630</v>
      </c>
      <c r="J26" s="562" t="s">
        <v>631</v>
      </c>
      <c r="K26" s="562" t="s">
        <v>632</v>
      </c>
      <c r="L26" s="563" t="s">
        <v>633</v>
      </c>
      <c r="M26" s="558"/>
      <c r="N26" s="558"/>
    </row>
    <row r="28" spans="1:14" ht="13" thickBot="1" x14ac:dyDescent="0.3"/>
    <row r="29" spans="1:14" ht="13.5" thickBot="1" x14ac:dyDescent="0.35">
      <c r="A29" s="552"/>
      <c r="B29" s="766" t="s">
        <v>634</v>
      </c>
      <c r="C29" s="767"/>
      <c r="D29" s="553"/>
      <c r="E29" s="553"/>
      <c r="F29" s="553"/>
      <c r="G29" s="553"/>
      <c r="H29" s="553"/>
      <c r="I29" s="553"/>
      <c r="J29" s="553"/>
      <c r="K29" s="553"/>
      <c r="L29" s="554"/>
      <c r="M29" s="552"/>
      <c r="N29" s="552"/>
    </row>
    <row r="30" spans="1:14" x14ac:dyDescent="0.25">
      <c r="A30" s="552"/>
      <c r="B30" s="559"/>
      <c r="C30" s="552"/>
      <c r="D30" s="552"/>
      <c r="E30" s="552"/>
      <c r="F30" s="552"/>
      <c r="G30" s="552"/>
      <c r="H30" s="552"/>
      <c r="I30" s="552"/>
      <c r="J30" s="552"/>
      <c r="K30" s="552"/>
      <c r="L30" s="560">
        <f>$L$14</f>
        <v>156.39483159353705</v>
      </c>
      <c r="M30" s="552"/>
      <c r="N30" s="552"/>
    </row>
    <row r="31" spans="1:14" x14ac:dyDescent="0.25">
      <c r="A31" s="552"/>
      <c r="B31" s="559"/>
      <c r="C31" s="552"/>
      <c r="D31" s="552"/>
      <c r="E31" s="552"/>
      <c r="F31" s="552"/>
      <c r="G31" s="552"/>
      <c r="H31" s="552"/>
      <c r="I31" s="552"/>
      <c r="J31" s="552"/>
      <c r="K31" s="552">
        <f>($B$10 *$L$30 + $B$11 *$L$31)</f>
        <v>149.62952743071011</v>
      </c>
      <c r="L31" s="560">
        <f>$L$15</f>
        <v>143.01379045923636</v>
      </c>
      <c r="M31" s="552"/>
      <c r="N31" s="552"/>
    </row>
    <row r="32" spans="1:14" x14ac:dyDescent="0.25">
      <c r="A32" s="552"/>
      <c r="B32" s="559"/>
      <c r="C32" s="552"/>
      <c r="D32" s="552"/>
      <c r="E32" s="552"/>
      <c r="F32" s="552"/>
      <c r="G32" s="552"/>
      <c r="H32" s="552"/>
      <c r="I32" s="552"/>
      <c r="J32" s="552">
        <f>($B$10 *$K$31 + $B$11 *$K$32)</f>
        <v>143.15687578043242</v>
      </c>
      <c r="K32" s="552">
        <f>($B$10 *$L$31 + $B$11 *$L$32)</f>
        <v>136.82732136638231</v>
      </c>
      <c r="L32" s="560">
        <f>$L$16</f>
        <v>130.77762259225182</v>
      </c>
      <c r="M32" s="552"/>
      <c r="N32" s="552"/>
    </row>
    <row r="33" spans="1:14" x14ac:dyDescent="0.25">
      <c r="A33" s="552"/>
      <c r="B33" s="559"/>
      <c r="C33" s="552"/>
      <c r="D33" s="552"/>
      <c r="E33" s="552"/>
      <c r="F33" s="552"/>
      <c r="G33" s="552"/>
      <c r="H33" s="552"/>
      <c r="I33" s="552">
        <f>($B$10 *$J$32 + $B$11 *$J$33)</f>
        <v>136.96421712421963</v>
      </c>
      <c r="J33" s="552">
        <f>($B$10 *$K$32 + $B$11 *$K$33)</f>
        <v>130.90846562545707</v>
      </c>
      <c r="K33" s="552">
        <f>($B$10 *$L$32 + $B$11 *$L$33)</f>
        <v>125.12046381332621</v>
      </c>
      <c r="L33" s="560">
        <f>$L$17</f>
        <v>119.58837337268052</v>
      </c>
      <c r="M33" s="552"/>
      <c r="N33" s="552"/>
    </row>
    <row r="34" spans="1:14" x14ac:dyDescent="0.25">
      <c r="A34" s="552"/>
      <c r="B34" s="559"/>
      <c r="C34" s="552"/>
      <c r="D34" s="552"/>
      <c r="E34" s="552"/>
      <c r="F34" s="552"/>
      <c r="G34" s="552"/>
      <c r="H34" s="552">
        <f>($B$10 *$I$33 + $B$11 *$I$34)</f>
        <v>131.03943956713886</v>
      </c>
      <c r="I34" s="552">
        <f>($B$10 *$J$33 + $B$11 *$J$34)</f>
        <v>125.24564685823006</v>
      </c>
      <c r="J34" s="552">
        <f>($B$10 *$K$33 + $B$11 *$K$34)</f>
        <v>119.70802156017626</v>
      </c>
      <c r="K34" s="552">
        <f>($B$10 *$L$33 + $B$11 *$L$34)</f>
        <v>114.41523745789156</v>
      </c>
      <c r="L34" s="560">
        <f>$L$18</f>
        <v>109.35646911485418</v>
      </c>
      <c r="M34" s="552"/>
      <c r="N34" s="552"/>
    </row>
    <row r="35" spans="1:14" x14ac:dyDescent="0.25">
      <c r="A35" s="552"/>
      <c r="B35" s="559"/>
      <c r="C35" s="552"/>
      <c r="D35" s="552"/>
      <c r="E35" s="552"/>
      <c r="F35" s="552"/>
      <c r="G35" s="552">
        <f>($B$10 *$H$34 + $B$11 *$H$35)</f>
        <v>125.37095514879118</v>
      </c>
      <c r="H35" s="552">
        <f>($B$10 *$I$34 + $B$11 *$I$35)</f>
        <v>119.82778945570351</v>
      </c>
      <c r="I35" s="552">
        <f>($B$10 *$J$34 + $B$11 *$J$35)</f>
        <v>114.52970992204214</v>
      </c>
      <c r="J35" s="552">
        <f>($B$10 *$K$34 + $B$11 *$K$35)</f>
        <v>109.46588028043422</v>
      </c>
      <c r="K35" s="552">
        <f>($B$10 *$L$34 + $B$11 *$L$35)</f>
        <v>104.62594337946695</v>
      </c>
      <c r="L35" s="560">
        <f>$L$19</f>
        <v>100.00000000000003</v>
      </c>
      <c r="M35" s="552"/>
      <c r="N35" s="552"/>
    </row>
    <row r="36" spans="1:14" x14ac:dyDescent="0.25">
      <c r="A36" s="552"/>
      <c r="B36" s="559"/>
      <c r="C36" s="552"/>
      <c r="D36" s="552"/>
      <c r="E36" s="552"/>
      <c r="F36" s="552">
        <f>($B$10 *$G$35 + $B$11 *$G$36)</f>
        <v>119.94767717903022</v>
      </c>
      <c r="G36" s="552">
        <f>($B$10 *$H$35 + $B$11 *$H$36)</f>
        <v>114.64429691591218</v>
      </c>
      <c r="H36" s="552">
        <f>($B$10 *$I$35 + $B$11 *$I$36)</f>
        <v>109.57540091190364</v>
      </c>
      <c r="I36" s="552">
        <f>($B$10 *$J$35 + $B$11 *$J$36)</f>
        <v>104.73062165326012</v>
      </c>
      <c r="J36" s="552">
        <f>($B$10 *$K$35 + $B$11 *$K$36)</f>
        <v>100.10005001667085</v>
      </c>
      <c r="K36" s="552">
        <f>($B$10 *$L$35 + $B$11 *$L$36)</f>
        <v>95.674215001932026</v>
      </c>
      <c r="L36" s="560">
        <f>$L$20</f>
        <v>91.444064360721754</v>
      </c>
      <c r="M36" s="552"/>
      <c r="N36" s="552"/>
    </row>
    <row r="37" spans="1:14" x14ac:dyDescent="0.25">
      <c r="A37" s="552"/>
      <c r="B37" s="559"/>
      <c r="C37" s="552"/>
      <c r="D37" s="552"/>
      <c r="E37" s="552">
        <f>($B$10 *$F$36 + $B$11 *$F$37)</f>
        <v>114.75899855408869</v>
      </c>
      <c r="F37" s="552">
        <f>($B$10 *$G$36 + $B$11 *$G$37)</f>
        <v>109.68503111878312</v>
      </c>
      <c r="G37" s="552">
        <f>($B$10 *$H$36 + $B$11 *$H$37)</f>
        <v>104.83540465768365</v>
      </c>
      <c r="H37" s="552">
        <f>($B$10 *$I$36 + $B$11 *$I$37)</f>
        <v>100.20020013340002</v>
      </c>
      <c r="I37" s="552">
        <f>($B$10 *$J$36 + $B$11 *$J$37)</f>
        <v>95.76993706999113</v>
      </c>
      <c r="J37" s="552">
        <f>($B$10 *$K$36 + $B$11 *$K$37)</f>
        <v>91.535554162359119</v>
      </c>
      <c r="K37" s="552">
        <f>($B$10 *$L$36 + $B$11 *$L$37)</f>
        <v>87.488390742982006</v>
      </c>
      <c r="L37" s="560">
        <f>$L$21</f>
        <v>83.620169068078198</v>
      </c>
      <c r="M37" s="552"/>
      <c r="N37" s="552"/>
    </row>
    <row r="38" spans="1:14" x14ac:dyDescent="0.25">
      <c r="A38" s="552"/>
      <c r="B38" s="559"/>
      <c r="C38" s="552"/>
      <c r="D38" s="552">
        <f>($B$10 *$E$37 + $B$11 *$E$38)</f>
        <v>109.79477101070285</v>
      </c>
      <c r="E38" s="552">
        <f>($B$10 *$F$37 + $B$11 *$F$38)</f>
        <v>104.94029249752057</v>
      </c>
      <c r="F38" s="552">
        <f>($B$10 *$G$37 + $B$11 *$G$38)</f>
        <v>100.30045045033769</v>
      </c>
      <c r="G38" s="552">
        <f>($B$10 *$H$37 + $B$11 *$H$38)</f>
        <v>95.865754907995296</v>
      </c>
      <c r="H38" s="552">
        <f>($B$10 *$I$37 + $B$11 *$I$38)</f>
        <v>91.627135499558293</v>
      </c>
      <c r="I38" s="552">
        <f>($B$10 *$J$37 + $B$11 *$J$38)</f>
        <v>87.575922892505389</v>
      </c>
      <c r="J38" s="552">
        <f>($B$10 *$K$37 + $B$11 *$K$38)</f>
        <v>83.703831061170973</v>
      </c>
      <c r="K38" s="552">
        <f>($B$10 *$L$37 + $B$11 *$L$38)</f>
        <v>80.00294033917217</v>
      </c>
      <c r="L38" s="560">
        <f>$L$22</f>
        <v>76.465681221157752</v>
      </c>
      <c r="M38" s="552"/>
      <c r="N38" s="552"/>
    </row>
    <row r="39" spans="1:14" x14ac:dyDescent="0.25">
      <c r="A39" s="552"/>
      <c r="B39" s="559"/>
      <c r="C39" s="552">
        <f>($B$10 *$D$38 + $B$11 *$D$39)</f>
        <v>105.04528527765876</v>
      </c>
      <c r="D39" s="552">
        <f>($B$10 *$E$38 + $B$11 *$E$39)</f>
        <v>100.40080106773416</v>
      </c>
      <c r="E39" s="552">
        <f>($B$10 *$F$38 + $B$11 *$F$39)</f>
        <v>95.961668611762363</v>
      </c>
      <c r="F39" s="552">
        <f>($B$10 *$G$38 + $B$11 *$G$39)</f>
        <v>91.718808463900601</v>
      </c>
      <c r="G39" s="552">
        <f>($B$10 *$H$38 + $B$11 *$H$39)</f>
        <v>87.663542617958967</v>
      </c>
      <c r="H39" s="552">
        <f>($B$10 *$I$38 + $B$11 *$I$39)</f>
        <v>83.787576758101807</v>
      </c>
      <c r="I39" s="552">
        <f>($B$10 *$J$38 + $B$11 *$J$39)</f>
        <v>80.082983294318666</v>
      </c>
      <c r="J39" s="552">
        <f>($B$10 *$K$38 + $B$11 *$K$39)</f>
        <v>76.542185147966961</v>
      </c>
      <c r="K39" s="552">
        <f>($B$10 *$L$38 + $B$11 *$L$39)</f>
        <v>73.15794025422241</v>
      </c>
      <c r="L39" s="560">
        <f>$L$23</f>
        <v>69.923326749739815</v>
      </c>
      <c r="M39" s="552"/>
      <c r="N39" s="552"/>
    </row>
    <row r="40" spans="1:14" x14ac:dyDescent="0.25">
      <c r="A40" s="552"/>
      <c r="B40" s="555">
        <f>($B$10 *$C$39 + $B$11 *$C$40)</f>
        <v>100.50125208594008</v>
      </c>
      <c r="C40" s="552">
        <f>($B$10 *$D$39 + $B$11 *$D$40)</f>
        <v>96.057678277206037</v>
      </c>
      <c r="D40" s="552">
        <f>($B$10 *$E$39 + $B$11 *$E$40)</f>
        <v>91.810573147059017</v>
      </c>
      <c r="E40" s="552">
        <f>($B$10 *$F$39 + $B$11 *$F$40)</f>
        <v>87.751250006962465</v>
      </c>
      <c r="F40" s="552">
        <f>($B$10 *$G$39 + $B$11 *$G$40)</f>
        <v>83.871406242616359</v>
      </c>
      <c r="G40" s="552">
        <f>($B$10 *$H$39 + $B$11 *$H$40)</f>
        <v>80.163106332455129</v>
      </c>
      <c r="H40" s="552">
        <f>($B$10 *$I$39 + $B$11 *$I$40)</f>
        <v>76.618765616967721</v>
      </c>
      <c r="I40" s="552">
        <f>($B$10 *$J$39 + $B$11 *$J$40)</f>
        <v>73.23113478564278</v>
      </c>
      <c r="J40" s="552">
        <f>($B$10 *$K$39 + $B$11 *$K$40)</f>
        <v>69.993285049809714</v>
      </c>
      <c r="K40" s="552">
        <f>($B$10 *$L$39 + $B$11 *$L$40)</f>
        <v>66.898593971049507</v>
      </c>
      <c r="L40" s="560">
        <f>$L$24</f>
        <v>63.940731916189819</v>
      </c>
      <c r="M40" s="552"/>
      <c r="N40" s="552"/>
    </row>
    <row r="41" spans="1:14" x14ac:dyDescent="0.25">
      <c r="A41" s="552"/>
      <c r="B41" s="559"/>
      <c r="C41" s="552"/>
      <c r="D41" s="552"/>
      <c r="E41" s="552"/>
      <c r="F41" s="552"/>
      <c r="G41" s="552"/>
      <c r="H41" s="552"/>
      <c r="I41" s="552"/>
      <c r="J41" s="552"/>
      <c r="K41" s="552"/>
      <c r="L41" s="560"/>
      <c r="M41" s="552"/>
      <c r="N41" s="552"/>
    </row>
    <row r="42" spans="1:14" ht="13.5" thickBot="1" x14ac:dyDescent="0.35">
      <c r="A42" s="558"/>
      <c r="B42" s="561" t="s">
        <v>615</v>
      </c>
      <c r="C42" s="562" t="s">
        <v>616</v>
      </c>
      <c r="D42" s="562" t="s">
        <v>617</v>
      </c>
      <c r="E42" s="562" t="s">
        <v>618</v>
      </c>
      <c r="F42" s="562" t="s">
        <v>627</v>
      </c>
      <c r="G42" s="562" t="s">
        <v>628</v>
      </c>
      <c r="H42" s="562" t="s">
        <v>629</v>
      </c>
      <c r="I42" s="562" t="s">
        <v>630</v>
      </c>
      <c r="J42" s="562" t="s">
        <v>631</v>
      </c>
      <c r="K42" s="562" t="s">
        <v>632</v>
      </c>
      <c r="L42" s="563" t="s">
        <v>633</v>
      </c>
      <c r="M42" s="558"/>
      <c r="N42" s="558"/>
    </row>
    <row r="44" spans="1:14" ht="13" thickBot="1" x14ac:dyDescent="0.3"/>
    <row r="45" spans="1:14" ht="13.5" thickBot="1" x14ac:dyDescent="0.35">
      <c r="A45" s="552"/>
      <c r="B45" s="766" t="s">
        <v>619</v>
      </c>
      <c r="C45" s="767"/>
      <c r="D45" s="553"/>
      <c r="E45" s="553"/>
      <c r="F45" s="553"/>
      <c r="G45" s="553"/>
      <c r="H45" s="553"/>
      <c r="I45" s="553"/>
      <c r="J45" s="553"/>
      <c r="K45" s="553"/>
      <c r="L45" s="554"/>
      <c r="M45" s="552"/>
      <c r="N45" s="552"/>
    </row>
    <row r="46" spans="1:14" x14ac:dyDescent="0.25">
      <c r="A46" s="552"/>
      <c r="B46" s="559"/>
      <c r="C46" s="552"/>
      <c r="D46" s="552"/>
      <c r="E46" s="552"/>
      <c r="F46" s="552"/>
      <c r="G46" s="552"/>
      <c r="H46" s="552"/>
      <c r="I46" s="552"/>
      <c r="J46" s="552"/>
      <c r="K46" s="552"/>
      <c r="L46" s="560">
        <f>MAX($J$2*( L30-$J$3), 0)</f>
        <v>0</v>
      </c>
      <c r="M46" s="552"/>
      <c r="N46" s="552"/>
    </row>
    <row r="47" spans="1:14" x14ac:dyDescent="0.25">
      <c r="A47" s="552"/>
      <c r="B47" s="559"/>
      <c r="C47" s="552"/>
      <c r="D47" s="552"/>
      <c r="E47" s="552"/>
      <c r="F47" s="552"/>
      <c r="G47" s="552"/>
      <c r="H47" s="552"/>
      <c r="I47" s="552"/>
      <c r="J47" s="552"/>
      <c r="K47" s="552">
        <f>EXP(-$B$6 * $B$3/$B$5) * ($B$10 *$L$46 + $B$11 *$L$47)</f>
        <v>0</v>
      </c>
      <c r="L47" s="560">
        <f t="shared" ref="L47:L56" si="0">MAX($J$2*( L31-$J$3), 0)</f>
        <v>0</v>
      </c>
      <c r="M47" s="552"/>
      <c r="N47" s="552"/>
    </row>
    <row r="48" spans="1:14" x14ac:dyDescent="0.25">
      <c r="A48" s="552"/>
      <c r="B48" s="559"/>
      <c r="C48" s="552"/>
      <c r="D48" s="552"/>
      <c r="E48" s="552"/>
      <c r="F48" s="552"/>
      <c r="G48" s="552"/>
      <c r="H48" s="552"/>
      <c r="I48" s="552"/>
      <c r="J48" s="552">
        <f>EXP(-$B$6 * $B$3/$B$5) * ($B$10 *$K$47 + $B$11 *$K$48)</f>
        <v>0</v>
      </c>
      <c r="K48" s="552">
        <f>EXP(-$B$6 * $B$3/$B$5) * ($B$10 *$L$47 + $B$11 *$L$48)</f>
        <v>0</v>
      </c>
      <c r="L48" s="560">
        <f t="shared" si="0"/>
        <v>0</v>
      </c>
      <c r="M48" s="552"/>
      <c r="N48" s="552"/>
    </row>
    <row r="49" spans="1:14" x14ac:dyDescent="0.25">
      <c r="A49" s="552"/>
      <c r="B49" s="559"/>
      <c r="C49" s="552"/>
      <c r="D49" s="552"/>
      <c r="E49" s="552"/>
      <c r="F49" s="552"/>
      <c r="G49" s="552"/>
      <c r="H49" s="552"/>
      <c r="I49" s="552">
        <f>EXP(-$B$6 * $B$3/$B$5) * ($B$10 *$J$48 + $B$11 *$J$49)</f>
        <v>0</v>
      </c>
      <c r="J49" s="552">
        <f>EXP(-$B$6 * $B$3/$B$5) * ($B$10 *$K$48 + $B$11 *$K$49)</f>
        <v>0</v>
      </c>
      <c r="K49" s="552">
        <f>EXP(-$B$6 * $B$3/$B$5) * ($B$10 *$L$48 + $B$11 *$L$49)</f>
        <v>0</v>
      </c>
      <c r="L49" s="560">
        <f t="shared" si="0"/>
        <v>0</v>
      </c>
      <c r="M49" s="552"/>
      <c r="N49" s="552"/>
    </row>
    <row r="50" spans="1:14" x14ac:dyDescent="0.25">
      <c r="A50" s="552"/>
      <c r="B50" s="559"/>
      <c r="C50" s="552"/>
      <c r="D50" s="552"/>
      <c r="E50" s="552"/>
      <c r="F50" s="552"/>
      <c r="G50" s="552"/>
      <c r="H50" s="552">
        <f>EXP(-$B$6 * $B$3/$B$5) * ($B$10 *$I$49 + $B$11 *$I$50)</f>
        <v>0</v>
      </c>
      <c r="I50" s="552">
        <f>EXP(-$B$6 * $B$3/$B$5) * ($B$10 *$J$49 + $B$11 *$J$50)</f>
        <v>0</v>
      </c>
      <c r="J50" s="552">
        <f>EXP(-$B$6 * $B$3/$B$5) * ($B$10 *$K$49 + $B$11 *$K$50)</f>
        <v>0</v>
      </c>
      <c r="K50" s="552">
        <f>EXP(-$B$6 * $B$3/$B$5) * ($B$10 *$L$49 + $B$11 *$L$50)</f>
        <v>0</v>
      </c>
      <c r="L50" s="560">
        <f t="shared" si="0"/>
        <v>0</v>
      </c>
      <c r="M50" s="552"/>
      <c r="N50" s="552"/>
    </row>
    <row r="51" spans="1:14" x14ac:dyDescent="0.25">
      <c r="A51" s="552"/>
      <c r="B51" s="559"/>
      <c r="C51" s="552"/>
      <c r="D51" s="552"/>
      <c r="E51" s="552"/>
      <c r="F51" s="552"/>
      <c r="G51" s="552">
        <f>EXP(-$B$6 * $B$3/$B$5) * ($B$10 *$H$50 + $B$11 *$H$51)</f>
        <v>0</v>
      </c>
      <c r="H51" s="552">
        <f>EXP(-$B$6 * $B$3/$B$5) * ($B$10 *$I$50 + $B$11 *$I$51)</f>
        <v>0</v>
      </c>
      <c r="I51" s="552">
        <f>EXP(-$B$6 * $B$3/$B$5) * ($B$10 *$J$50 + $B$11 *$J$51)</f>
        <v>0</v>
      </c>
      <c r="J51" s="552">
        <f>EXP(-$B$6 * $B$3/$B$5) * ($B$10 *$K$50 + $B$11 *$K$51)</f>
        <v>0</v>
      </c>
      <c r="K51" s="552">
        <f>EXP(-$B$6 * $B$3/$B$5) * ($B$10 *$L$50 + $B$11 *$L$51)</f>
        <v>0</v>
      </c>
      <c r="L51" s="560">
        <f t="shared" si="0"/>
        <v>0</v>
      </c>
      <c r="M51" s="552"/>
      <c r="N51" s="552"/>
    </row>
    <row r="52" spans="1:14" x14ac:dyDescent="0.25">
      <c r="A52" s="552"/>
      <c r="B52" s="559"/>
      <c r="C52" s="552"/>
      <c r="D52" s="552"/>
      <c r="E52" s="552"/>
      <c r="F52" s="552">
        <f>EXP(-$B$6 * $B$3/$B$5) * ($B$10 *$G$51 + $B$11 *$G$52)</f>
        <v>0.14205164556275252</v>
      </c>
      <c r="G52" s="552">
        <f>EXP(-$B$6 * $B$3/$B$5) * ($B$10 *$H$51 + $B$11 *$H$52)</f>
        <v>0.28124391990441361</v>
      </c>
      <c r="H52" s="552">
        <f>EXP(-$B$6 * $B$3/$B$5) * ($B$10 *$I$51 + $B$11 *$I$52)</f>
        <v>0.55682665392466668</v>
      </c>
      <c r="I52" s="552">
        <f>EXP(-$B$6 * $B$3/$B$5) * ($B$10 *$J$51 + $B$11 *$J$52)</f>
        <v>1.1024448906355708</v>
      </c>
      <c r="J52" s="552">
        <f>EXP(-$B$6 * $B$3/$B$5) * ($B$10 *$K$51 + $B$11 *$K$52)</f>
        <v>2.182698562150557</v>
      </c>
      <c r="K52" s="552">
        <f>EXP(-$B$6 * $B$3/$B$5) * ($B$10 *$L$51 + $B$11 *$L$52)</f>
        <v>4.3214613752416362</v>
      </c>
      <c r="L52" s="560">
        <f t="shared" si="0"/>
        <v>8.5559356392782462</v>
      </c>
      <c r="M52" s="552"/>
      <c r="N52" s="552"/>
    </row>
    <row r="53" spans="1:14" x14ac:dyDescent="0.25">
      <c r="A53" s="552"/>
      <c r="B53" s="559"/>
      <c r="C53" s="552"/>
      <c r="D53" s="552"/>
      <c r="E53" s="552">
        <f>EXP(-$B$6 * $B$3/$B$5) * ($B$10 *$F$52 + $B$11 *$F$53)</f>
        <v>0.62848928092611778</v>
      </c>
      <c r="F53" s="552">
        <f>EXP(-$B$6 * $B$3/$B$5) * ($B$10 *$G$52 + $B$11 *$G$53)</f>
        <v>1.1054164697377467</v>
      </c>
      <c r="G53" s="552">
        <f>EXP(-$B$6 * $B$3/$B$5) * ($B$10 *$H$52 + $B$11 *$H$53)</f>
        <v>1.9135557194667938</v>
      </c>
      <c r="H53" s="552">
        <f>EXP(-$B$6 * $B$3/$B$5) * ($B$10 *$I$52 + $B$11 *$I$53)</f>
        <v>3.2440769491532704</v>
      </c>
      <c r="I53" s="552">
        <f>EXP(-$B$6 * $B$3/$B$5) * ($B$10 *$J$52 + $B$11 *$J$53)</f>
        <v>5.3447814977851289</v>
      </c>
      <c r="J53" s="552">
        <f>EXP(-$B$6 * $B$3/$B$5) * ($B$10 *$K$52 + $B$11 *$K$53)</f>
        <v>8.4475338635769912</v>
      </c>
      <c r="K53" s="552">
        <f>EXP(-$B$6 * $B$3/$B$5) * ($B$10 *$L$52 + $B$11 *$L$53)</f>
        <v>12.499103901480861</v>
      </c>
      <c r="L53" s="560">
        <f t="shared" si="0"/>
        <v>16.379830931921802</v>
      </c>
      <c r="M53" s="552"/>
      <c r="N53" s="552"/>
    </row>
    <row r="54" spans="1:14" x14ac:dyDescent="0.25">
      <c r="A54" s="552"/>
      <c r="B54" s="559"/>
      <c r="C54" s="552"/>
      <c r="D54" s="552">
        <f>EXP(-$B$6 * $B$3/$B$5) * ($B$10 *$E$53 + $B$11 *$E$54)</f>
        <v>1.6127381817862809</v>
      </c>
      <c r="E54" s="552">
        <f>EXP(-$B$6 * $B$3/$B$5) * ($B$10 *$F$53 + $B$11 *$F$54)</f>
        <v>2.5784187476439344</v>
      </c>
      <c r="F54" s="552">
        <f>EXP(-$B$6 * $B$3/$B$5) * ($B$10 *$G$53 + $B$11 *$G$54)</f>
        <v>4.0239583091588775</v>
      </c>
      <c r="G54" s="552">
        <f>EXP(-$B$6 * $B$3/$B$5) * ($B$10 *$H$53 + $B$11 *$H$54)</f>
        <v>6.0956671019935502</v>
      </c>
      <c r="H54" s="552">
        <f>EXP(-$B$6 * $B$3/$B$5) * ($B$10 *$I$53 + $B$11 *$I$54)</f>
        <v>8.8962769658869991</v>
      </c>
      <c r="I54" s="552">
        <f>EXP(-$B$6 * $B$3/$B$5) * ($B$10 *$J$53 + $B$11 *$J$54)</f>
        <v>12.386860728652685</v>
      </c>
      <c r="J54" s="552">
        <f>EXP(-$B$6 * $B$3/$B$5) * ($B$10 *$K$53 + $B$11 *$K$54)</f>
        <v>16.263609171571886</v>
      </c>
      <c r="K54" s="552">
        <f>EXP(-$B$6 * $B$3/$B$5) * ($B$10 *$L$53 + $B$11 *$L$54)</f>
        <v>19.977072596364824</v>
      </c>
      <c r="L54" s="560">
        <f t="shared" si="0"/>
        <v>23.534318778842248</v>
      </c>
      <c r="M54" s="552"/>
      <c r="N54" s="552"/>
    </row>
    <row r="55" spans="1:14" x14ac:dyDescent="0.25">
      <c r="A55" s="552"/>
      <c r="B55" s="559"/>
      <c r="C55" s="552">
        <f>EXP(-$B$6 * $B$3/$B$5) * ($B$10 *$D$54 + $B$11 *$D$55)</f>
        <v>3.1515262467941501</v>
      </c>
      <c r="D55" s="552">
        <f>EXP(-$B$6 * $B$3/$B$5) * ($B$10 *$E$54 + $B$11 *$E$55)</f>
        <v>4.6625313164300906</v>
      </c>
      <c r="E55" s="552">
        <f>EXP(-$B$6 * $B$3/$B$5) * ($B$10 *$F$54 + $B$11 *$F$55)</f>
        <v>6.7097949677278894</v>
      </c>
      <c r="F55" s="552">
        <f>EXP(-$B$6 * $B$3/$B$5) * ($B$10 *$G$54 + $B$11 *$G$55)</f>
        <v>9.3495310979992254</v>
      </c>
      <c r="G55" s="552">
        <f>EXP(-$B$6 * $B$3/$B$5) * ($B$10 *$H$54 + $B$11 *$H$55)</f>
        <v>12.549960354644755</v>
      </c>
      <c r="H55" s="552">
        <f>EXP(-$B$6 * $B$3/$B$5) * ($B$10 *$I$54 + $B$11 *$I$55)</f>
        <v>16.147703075556844</v>
      </c>
      <c r="I55" s="552">
        <f>EXP(-$B$6 * $B$3/$B$5) * ($B$10 *$J$54 + $B$11 *$J$55)</f>
        <v>19.857355192580084</v>
      </c>
      <c r="J55" s="552">
        <f>EXP(-$B$6 * $B$3/$B$5) * ($B$10 *$K$54 + $B$11 *$K$55)</f>
        <v>23.410946106697217</v>
      </c>
      <c r="K55" s="552">
        <f>EXP(-$B$6 * $B$3/$B$5) * ($B$10 *$L$54 + $B$11 *$L$55)</f>
        <v>26.815231102589127</v>
      </c>
      <c r="L55" s="560">
        <f t="shared" si="0"/>
        <v>30.076673250260185</v>
      </c>
      <c r="M55" s="552"/>
      <c r="N55" s="552"/>
    </row>
    <row r="56" spans="1:14" x14ac:dyDescent="0.25">
      <c r="A56" s="552"/>
      <c r="B56" s="565">
        <f>EXP(-$B$6 * $B$3/$B$5) * ($B$10 *$C$55 + $B$11 *$C$56)</f>
        <v>5.2124490701033386</v>
      </c>
      <c r="C56" s="552">
        <f>EXP(-$B$6 * $B$3/$B$5) * ($B$10 *$D$55 + $B$11 *$D$56)</f>
        <v>7.2381238762508477</v>
      </c>
      <c r="D56" s="552">
        <f>EXP(-$B$6 * $B$3/$B$5) * ($B$10 *$E$55 + $B$11 *$E$56)</f>
        <v>9.7710986820110239</v>
      </c>
      <c r="E56" s="552">
        <f>EXP(-$B$6 * $B$3/$B$5) * ($B$10 *$F$55 + $B$11 *$F$56)</f>
        <v>12.784059007493271</v>
      </c>
      <c r="F56" s="552">
        <f>EXP(-$B$6 * $B$3/$B$5) * ($B$10 *$G$55 + $B$11 *$G$56)</f>
        <v>16.167954586964477</v>
      </c>
      <c r="G56" s="552">
        <f>EXP(-$B$6 * $B$3/$B$5) * ($B$10 *$H$55 + $B$11 *$H$56)</f>
        <v>19.737956747625475</v>
      </c>
      <c r="H56" s="552">
        <f>EXP(-$B$6 * $B$3/$B$5) * ($B$10 *$I$55 + $B$11 *$I$56)</f>
        <v>23.287896246224594</v>
      </c>
      <c r="I56" s="552">
        <f>EXP(-$B$6 * $B$3/$B$5) * ($B$10 *$J$55 + $B$11 *$J$56)</f>
        <v>26.688678958238015</v>
      </c>
      <c r="J56" s="552">
        <f>EXP(-$B$6 * $B$3/$B$5) * ($B$10 *$K$55 + $B$11 *$K$56)</f>
        <v>29.946761493730861</v>
      </c>
      <c r="K56" s="552">
        <f>EXP(-$B$6 * $B$3/$B$5) * ($B$10 *$L$55 + $B$11 *$L$56)</f>
        <v>33.068321168109051</v>
      </c>
      <c r="L56" s="560">
        <f t="shared" si="0"/>
        <v>36.059268083810181</v>
      </c>
      <c r="M56" s="552"/>
      <c r="N56" s="552"/>
    </row>
    <row r="57" spans="1:14" x14ac:dyDescent="0.25">
      <c r="A57" s="552"/>
      <c r="B57" s="559"/>
      <c r="C57" s="552"/>
      <c r="D57" s="552"/>
      <c r="E57" s="552"/>
      <c r="F57" s="552"/>
      <c r="G57" s="552"/>
      <c r="H57" s="552"/>
      <c r="I57" s="552"/>
      <c r="J57" s="552"/>
      <c r="K57" s="552"/>
      <c r="L57" s="560"/>
      <c r="M57" s="552"/>
      <c r="N57" s="552"/>
    </row>
    <row r="58" spans="1:14" ht="13.5" thickBot="1" x14ac:dyDescent="0.35">
      <c r="A58" s="558"/>
      <c r="B58" s="561" t="s">
        <v>615</v>
      </c>
      <c r="C58" s="562" t="s">
        <v>616</v>
      </c>
      <c r="D58" s="562" t="s">
        <v>617</v>
      </c>
      <c r="E58" s="562" t="s">
        <v>618</v>
      </c>
      <c r="F58" s="562" t="s">
        <v>627</v>
      </c>
      <c r="G58" s="562" t="s">
        <v>628</v>
      </c>
      <c r="H58" s="562" t="s">
        <v>629</v>
      </c>
      <c r="I58" s="562" t="s">
        <v>630</v>
      </c>
      <c r="J58" s="562" t="s">
        <v>631</v>
      </c>
      <c r="K58" s="562" t="s">
        <v>632</v>
      </c>
      <c r="L58" s="563" t="s">
        <v>633</v>
      </c>
      <c r="M58" s="558"/>
      <c r="N58" s="558"/>
    </row>
  </sheetData>
  <mergeCells count="6">
    <mergeCell ref="B45:C45"/>
    <mergeCell ref="A1:B1"/>
    <mergeCell ref="E1:F1"/>
    <mergeCell ref="I1:J1"/>
    <mergeCell ref="B13:C13"/>
    <mergeCell ref="B29:C29"/>
  </mergeCells>
  <dataValidations count="2">
    <dataValidation type="list" allowBlank="1" showInputMessage="1" showErrorMessage="1" sqref="J2" xr:uid="{92E81E2D-A718-4EDD-A07D-7298F52CDBC3}">
      <formula1>"1, -1"</formula1>
    </dataValidation>
    <dataValidation type="list" allowBlank="1" showInputMessage="1" showErrorMessage="1" sqref="J5 H5" xr:uid="{99F705BC-8032-404E-A94C-B733B78AEB27}">
      <formula1>"European, American"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8DDB-4F32-4DAD-9E09-1A37FB42A9E5}">
  <dimension ref="A1:AZ34"/>
  <sheetViews>
    <sheetView showGridLines="0" workbookViewId="0">
      <selection activeCell="Q4" sqref="Q4"/>
    </sheetView>
  </sheetViews>
  <sheetFormatPr defaultRowHeight="14.5" x14ac:dyDescent="0.35"/>
  <cols>
    <col min="1" max="1" width="2.7265625" customWidth="1"/>
    <col min="2" max="2" width="13.36328125" customWidth="1"/>
    <col min="3" max="3" width="8.7265625" customWidth="1"/>
    <col min="4" max="4" width="9.6328125" customWidth="1"/>
    <col min="6" max="6" width="9.6328125" customWidth="1"/>
    <col min="7" max="7" width="3.7265625" customWidth="1"/>
    <col min="8" max="8" width="9.6328125" customWidth="1"/>
    <col min="9" max="9" width="8.7265625" customWidth="1"/>
    <col min="10" max="10" width="12.26953125" customWidth="1"/>
    <col min="11" max="11" width="9" customWidth="1"/>
    <col min="12" max="12" width="8.90625" customWidth="1"/>
    <col min="13" max="13" width="9.7265625" customWidth="1"/>
    <col min="14" max="14" width="8.54296875" customWidth="1"/>
    <col min="16" max="16" width="8.90625" customWidth="1"/>
  </cols>
  <sheetData>
    <row r="1" spans="1:52" ht="24" customHeight="1" x14ac:dyDescent="0.45">
      <c r="B1" s="15" t="s">
        <v>48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5" t="s">
        <v>102</v>
      </c>
      <c r="O1" s="78">
        <v>163</v>
      </c>
      <c r="P1" s="79" t="s">
        <v>584</v>
      </c>
    </row>
    <row r="2" spans="1:52" ht="9.5" customHeight="1" thickBot="1" x14ac:dyDescent="0.4"/>
    <row r="3" spans="1:52" ht="22.75" customHeight="1" x14ac:dyDescent="0.35">
      <c r="A3" s="17"/>
      <c r="B3" s="62" t="s">
        <v>19</v>
      </c>
      <c r="D3" s="696" t="s">
        <v>46</v>
      </c>
      <c r="E3" s="697"/>
      <c r="F3" s="698"/>
      <c r="H3" s="686" t="s">
        <v>45</v>
      </c>
      <c r="I3" s="687"/>
      <c r="J3" s="68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ht="49.75" customHeight="1" x14ac:dyDescent="0.35">
      <c r="A4" s="17"/>
      <c r="B4" s="85" t="s">
        <v>9</v>
      </c>
      <c r="D4" s="10" t="s">
        <v>10</v>
      </c>
      <c r="E4" s="9" t="s">
        <v>11</v>
      </c>
      <c r="F4" s="11" t="s">
        <v>12</v>
      </c>
      <c r="H4" s="10" t="s">
        <v>10</v>
      </c>
      <c r="I4" s="71" t="s">
        <v>11</v>
      </c>
      <c r="J4" s="11" t="s">
        <v>12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28" customHeight="1" x14ac:dyDescent="0.35">
      <c r="A5" s="17"/>
      <c r="B5" s="63">
        <v>150</v>
      </c>
      <c r="D5" s="20">
        <v>20</v>
      </c>
      <c r="E5" s="21">
        <v>21.5</v>
      </c>
      <c r="F5" s="22">
        <v>23</v>
      </c>
      <c r="H5" s="23">
        <v>3</v>
      </c>
      <c r="I5" s="72">
        <v>3.5</v>
      </c>
      <c r="J5" s="25">
        <v>4.45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28" customHeight="1" x14ac:dyDescent="0.35">
      <c r="A6" s="17"/>
      <c r="B6" s="63">
        <v>155</v>
      </c>
      <c r="D6" s="20">
        <v>15.5</v>
      </c>
      <c r="E6" s="21">
        <v>16.25</v>
      </c>
      <c r="F6" s="22">
        <v>17.75</v>
      </c>
      <c r="H6" s="20">
        <v>4.0999999999999996</v>
      </c>
      <c r="I6" s="72">
        <v>4.9000000000000004</v>
      </c>
      <c r="J6" s="25">
        <v>5.9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ht="28" customHeight="1" x14ac:dyDescent="0.35">
      <c r="A7" s="17"/>
      <c r="B7" s="63">
        <v>160</v>
      </c>
      <c r="D7" s="20">
        <v>12.5</v>
      </c>
      <c r="E7" s="21">
        <v>12.85</v>
      </c>
      <c r="F7" s="22">
        <v>13.5</v>
      </c>
      <c r="H7" s="20">
        <v>5.3</v>
      </c>
      <c r="I7" s="72">
        <v>6</v>
      </c>
      <c r="J7" s="25">
        <v>6.8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28" customHeight="1" x14ac:dyDescent="0.35">
      <c r="A8" s="17"/>
      <c r="B8" s="65">
        <v>165</v>
      </c>
      <c r="D8" s="20">
        <v>8.1</v>
      </c>
      <c r="E8" s="21">
        <v>9</v>
      </c>
      <c r="F8" s="46">
        <v>10.65</v>
      </c>
      <c r="H8" s="20">
        <v>7</v>
      </c>
      <c r="I8" s="72">
        <v>8</v>
      </c>
      <c r="J8" s="46">
        <v>9.1999999999999993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8" customHeight="1" x14ac:dyDescent="0.35">
      <c r="A9" s="17"/>
      <c r="B9" s="63">
        <v>170</v>
      </c>
      <c r="D9" s="20">
        <v>5.2</v>
      </c>
      <c r="E9" s="21">
        <v>6.3</v>
      </c>
      <c r="F9" s="22">
        <v>8.5</v>
      </c>
      <c r="H9" s="20">
        <v>9.4</v>
      </c>
      <c r="I9" s="72">
        <v>10.75</v>
      </c>
      <c r="J9" s="25">
        <v>12.45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ht="28" customHeight="1" x14ac:dyDescent="0.35">
      <c r="A10" s="17"/>
      <c r="B10" s="63">
        <v>175</v>
      </c>
      <c r="D10" s="20">
        <v>3.25</v>
      </c>
      <c r="E10" s="21">
        <v>4.25</v>
      </c>
      <c r="F10" s="22">
        <v>5.75</v>
      </c>
      <c r="H10" s="20">
        <v>13</v>
      </c>
      <c r="I10" s="72">
        <v>14.3</v>
      </c>
      <c r="J10" s="25">
        <v>14.2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ht="28" customHeight="1" thickBot="1" x14ac:dyDescent="0.4">
      <c r="A11" s="17"/>
      <c r="B11" s="64">
        <v>180</v>
      </c>
      <c r="D11" s="26">
        <v>2.5</v>
      </c>
      <c r="E11" s="27">
        <v>3.4</v>
      </c>
      <c r="F11" s="28">
        <v>4.45</v>
      </c>
      <c r="H11" s="29">
        <v>15</v>
      </c>
      <c r="I11" s="73">
        <v>16.100000000000001</v>
      </c>
      <c r="J11" s="31">
        <v>17.75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3" spans="1:52" x14ac:dyDescent="0.35">
      <c r="B13" s="53" t="s">
        <v>21</v>
      </c>
    </row>
    <row r="14" spans="1:52" ht="15.4" customHeight="1" x14ac:dyDescent="0.35">
      <c r="B14" t="s">
        <v>49</v>
      </c>
      <c r="C14" s="1"/>
      <c r="E14" s="8"/>
      <c r="I14" s="1" t="s">
        <v>60</v>
      </c>
      <c r="J14" s="4">
        <f>+D15+D16</f>
        <v>184.85</v>
      </c>
      <c r="K14" s="4">
        <f>+D15-D16</f>
        <v>145.15</v>
      </c>
    </row>
    <row r="15" spans="1:52" ht="16.5" customHeight="1" x14ac:dyDescent="0.5">
      <c r="C15" s="3" t="s">
        <v>50</v>
      </c>
      <c r="D15" s="2">
        <f>+B8</f>
        <v>165</v>
      </c>
      <c r="E15" s="8"/>
      <c r="I15" s="1" t="s">
        <v>37</v>
      </c>
      <c r="J15" s="4">
        <f>D21</f>
        <v>-19.850000000000001</v>
      </c>
      <c r="M15" s="32"/>
      <c r="N15" t="s">
        <v>35</v>
      </c>
    </row>
    <row r="16" spans="1:52" x14ac:dyDescent="0.35">
      <c r="B16" s="1"/>
      <c r="C16" s="1" t="s">
        <v>51</v>
      </c>
      <c r="D16" s="2">
        <f>+F8+J8</f>
        <v>19.850000000000001</v>
      </c>
      <c r="E16" s="8" t="s">
        <v>57</v>
      </c>
      <c r="I16" s="1" t="s">
        <v>16</v>
      </c>
      <c r="J16" s="4" t="s">
        <v>8</v>
      </c>
      <c r="M16" s="45"/>
      <c r="N16" t="s">
        <v>36</v>
      </c>
    </row>
    <row r="17" spans="2:23" ht="15" thickBot="1" x14ac:dyDescent="0.4">
      <c r="B17" s="1"/>
      <c r="C17" s="1"/>
      <c r="D17" s="2"/>
      <c r="E17" s="8"/>
      <c r="H17" s="1"/>
      <c r="I17" s="4"/>
    </row>
    <row r="18" spans="2:23" ht="34" customHeight="1" x14ac:dyDescent="0.35">
      <c r="B18" s="689" t="s">
        <v>18</v>
      </c>
      <c r="C18" s="690"/>
      <c r="D18" s="690"/>
      <c r="E18" s="8"/>
      <c r="F18" s="701" t="s">
        <v>22</v>
      </c>
      <c r="G18" s="702"/>
      <c r="I18" s="699" t="s">
        <v>17</v>
      </c>
      <c r="J18" s="700"/>
      <c r="K18" s="700"/>
      <c r="L18" s="700"/>
      <c r="M18" s="700"/>
      <c r="N18" s="700"/>
    </row>
    <row r="19" spans="2:23" ht="30.4" customHeight="1" x14ac:dyDescent="0.35">
      <c r="B19" s="51"/>
      <c r="C19" s="51" t="s">
        <v>0</v>
      </c>
      <c r="D19" s="52" t="s">
        <v>24</v>
      </c>
      <c r="E19" s="50"/>
      <c r="F19" s="703" t="s">
        <v>25</v>
      </c>
      <c r="G19" s="704"/>
      <c r="I19" s="51"/>
      <c r="J19" s="52" t="s">
        <v>52</v>
      </c>
      <c r="K19" s="52" t="s">
        <v>30</v>
      </c>
      <c r="L19" s="52" t="s">
        <v>31</v>
      </c>
      <c r="M19" s="51" t="s">
        <v>32</v>
      </c>
      <c r="N19" s="51" t="s">
        <v>55</v>
      </c>
      <c r="U19" t="s">
        <v>41</v>
      </c>
    </row>
    <row r="20" spans="2:23" ht="43.5" x14ac:dyDescent="0.35">
      <c r="B20" s="7" t="s">
        <v>21</v>
      </c>
      <c r="C20" s="7" t="s">
        <v>2</v>
      </c>
      <c r="D20" s="7" t="s">
        <v>23</v>
      </c>
      <c r="E20" s="8"/>
      <c r="F20" s="705" t="s">
        <v>1</v>
      </c>
      <c r="G20" s="706"/>
      <c r="I20" s="7" t="s">
        <v>13</v>
      </c>
      <c r="J20" s="7" t="s">
        <v>28</v>
      </c>
      <c r="K20" s="7" t="s">
        <v>27</v>
      </c>
      <c r="L20" s="7" t="s">
        <v>3</v>
      </c>
      <c r="M20" s="7" t="s">
        <v>53</v>
      </c>
      <c r="N20" s="7" t="s">
        <v>54</v>
      </c>
      <c r="U20" s="14"/>
      <c r="V20" s="14" t="s">
        <v>6</v>
      </c>
      <c r="W20" s="14" t="s">
        <v>7</v>
      </c>
    </row>
    <row r="21" spans="2:23" x14ac:dyDescent="0.35">
      <c r="B21" s="5" t="s">
        <v>14</v>
      </c>
      <c r="C21" s="5">
        <f t="shared" ref="C21:C31" si="0">+$D$15</f>
        <v>165</v>
      </c>
      <c r="D21" s="6">
        <f t="shared" ref="D21:D31" si="1">-$D$16</f>
        <v>-19.850000000000001</v>
      </c>
      <c r="F21" s="693">
        <v>125</v>
      </c>
      <c r="G21" s="692"/>
      <c r="I21" s="60" t="s">
        <v>58</v>
      </c>
      <c r="J21" s="45">
        <f t="shared" ref="J21:J31" si="2">IF(C21-F21&gt;0,+C21-F21,F21-C21)</f>
        <v>40</v>
      </c>
      <c r="K21" s="45">
        <f t="shared" ref="K21:K31" si="3">+J21+D21</f>
        <v>20.149999999999999</v>
      </c>
      <c r="L21" s="58">
        <f t="shared" ref="L21:L31" si="4">-K21/D21</f>
        <v>1.0151133501259444</v>
      </c>
      <c r="M21" s="45">
        <f t="shared" ref="M21:M31" si="5">+C21-D21</f>
        <v>184.85</v>
      </c>
      <c r="N21" s="45">
        <f>+$K$14</f>
        <v>145.15</v>
      </c>
      <c r="T21">
        <v>-40</v>
      </c>
      <c r="U21" s="4">
        <f t="shared" ref="U21:U31" si="6">+F21</f>
        <v>125</v>
      </c>
      <c r="V21" s="4">
        <f t="shared" ref="V21:V31" si="7">+J21</f>
        <v>40</v>
      </c>
      <c r="W21" s="4">
        <f t="shared" ref="W21:W31" si="8">+K21</f>
        <v>20.149999999999999</v>
      </c>
    </row>
    <row r="22" spans="2:23" x14ac:dyDescent="0.35">
      <c r="B22" s="5" t="s">
        <v>14</v>
      </c>
      <c r="C22" s="5">
        <f t="shared" si="0"/>
        <v>165</v>
      </c>
      <c r="D22" s="6">
        <f t="shared" si="1"/>
        <v>-19.850000000000001</v>
      </c>
      <c r="F22" s="693">
        <f>+F21+10</f>
        <v>135</v>
      </c>
      <c r="G22" s="692"/>
      <c r="I22" s="60" t="s">
        <v>58</v>
      </c>
      <c r="J22" s="45">
        <f t="shared" si="2"/>
        <v>30</v>
      </c>
      <c r="K22" s="45">
        <f t="shared" si="3"/>
        <v>10.149999999999999</v>
      </c>
      <c r="L22" s="58">
        <f t="shared" si="4"/>
        <v>0.51133501259445835</v>
      </c>
      <c r="M22" s="45">
        <f t="shared" si="5"/>
        <v>184.85</v>
      </c>
      <c r="N22" s="45">
        <f t="shared" ref="N22:N31" si="9">+$K$14</f>
        <v>145.15</v>
      </c>
      <c r="T22">
        <f>+T21+10</f>
        <v>-30</v>
      </c>
      <c r="U22" s="4">
        <f t="shared" si="6"/>
        <v>135</v>
      </c>
      <c r="V22" s="4">
        <f t="shared" si="7"/>
        <v>30</v>
      </c>
      <c r="W22" s="4">
        <f t="shared" si="8"/>
        <v>10.149999999999999</v>
      </c>
    </row>
    <row r="23" spans="2:23" x14ac:dyDescent="0.35">
      <c r="B23" s="5" t="s">
        <v>14</v>
      </c>
      <c r="C23" s="5">
        <f t="shared" si="0"/>
        <v>165</v>
      </c>
      <c r="D23" s="6">
        <f t="shared" si="1"/>
        <v>-19.850000000000001</v>
      </c>
      <c r="F23" s="693">
        <f t="shared" ref="F23:F30" si="10">+F22+10</f>
        <v>145</v>
      </c>
      <c r="G23" s="692"/>
      <c r="I23" s="60" t="s">
        <v>58</v>
      </c>
      <c r="J23" s="45">
        <f t="shared" si="2"/>
        <v>20</v>
      </c>
      <c r="K23" s="45">
        <f t="shared" si="3"/>
        <v>0.14999999999999858</v>
      </c>
      <c r="L23" s="58">
        <f t="shared" si="4"/>
        <v>7.55667506297222E-3</v>
      </c>
      <c r="M23" s="45">
        <f t="shared" si="5"/>
        <v>184.85</v>
      </c>
      <c r="N23" s="45">
        <f t="shared" si="9"/>
        <v>145.15</v>
      </c>
      <c r="T23">
        <f t="shared" ref="T23:T31" si="11">+T22+10</f>
        <v>-20</v>
      </c>
      <c r="U23" s="4">
        <f t="shared" si="6"/>
        <v>145</v>
      </c>
      <c r="V23" s="4">
        <f t="shared" si="7"/>
        <v>20</v>
      </c>
      <c r="W23" s="4">
        <f t="shared" si="8"/>
        <v>0.14999999999999858</v>
      </c>
    </row>
    <row r="24" spans="2:23" x14ac:dyDescent="0.35">
      <c r="B24" s="503" t="s">
        <v>14</v>
      </c>
      <c r="C24" s="503">
        <f t="shared" si="0"/>
        <v>165</v>
      </c>
      <c r="D24" s="504">
        <f t="shared" si="1"/>
        <v>-19.850000000000001</v>
      </c>
      <c r="E24" s="133"/>
      <c r="F24" s="694">
        <f>+F26+D24</f>
        <v>145.15</v>
      </c>
      <c r="G24" s="695"/>
      <c r="H24" s="133"/>
      <c r="I24" s="505" t="s">
        <v>58</v>
      </c>
      <c r="J24" s="137">
        <f t="shared" ref="J24" si="12">IF(C24-F24&gt;0,+C24-F24,F24-C24)</f>
        <v>19.849999999999994</v>
      </c>
      <c r="K24" s="137">
        <f t="shared" ref="K24" si="13">+J24+D24</f>
        <v>0</v>
      </c>
      <c r="L24" s="506">
        <f t="shared" ref="L24" si="14">-K24/D24</f>
        <v>0</v>
      </c>
      <c r="M24" s="137">
        <f t="shared" ref="M24" si="15">+C24-D24</f>
        <v>184.85</v>
      </c>
      <c r="N24" s="137">
        <f t="shared" si="9"/>
        <v>145.15</v>
      </c>
      <c r="O24" s="53" t="s">
        <v>152</v>
      </c>
      <c r="U24" s="4"/>
      <c r="V24" s="4"/>
      <c r="W24" s="4"/>
    </row>
    <row r="25" spans="2:23" x14ac:dyDescent="0.35">
      <c r="B25" s="5" t="s">
        <v>14</v>
      </c>
      <c r="C25" s="5">
        <f t="shared" si="0"/>
        <v>165</v>
      </c>
      <c r="D25" s="6">
        <f t="shared" si="1"/>
        <v>-19.850000000000001</v>
      </c>
      <c r="F25" s="693">
        <f>+F23+10</f>
        <v>155</v>
      </c>
      <c r="G25" s="692"/>
      <c r="I25" s="60" t="s">
        <v>58</v>
      </c>
      <c r="J25" s="45">
        <f t="shared" si="2"/>
        <v>10</v>
      </c>
      <c r="K25" s="45">
        <f t="shared" si="3"/>
        <v>-9.8500000000000014</v>
      </c>
      <c r="L25" s="58">
        <f t="shared" si="4"/>
        <v>-0.4962216624685139</v>
      </c>
      <c r="M25" s="45">
        <f t="shared" si="5"/>
        <v>184.85</v>
      </c>
      <c r="N25" s="45">
        <f t="shared" si="9"/>
        <v>145.15</v>
      </c>
      <c r="T25">
        <f>+T23+10</f>
        <v>-10</v>
      </c>
      <c r="U25" s="4">
        <f t="shared" si="6"/>
        <v>155</v>
      </c>
      <c r="V25" s="4">
        <f t="shared" si="7"/>
        <v>10</v>
      </c>
      <c r="W25" s="4">
        <f t="shared" si="8"/>
        <v>-9.8500000000000014</v>
      </c>
    </row>
    <row r="26" spans="2:23" x14ac:dyDescent="0.35">
      <c r="B26" s="5" t="s">
        <v>14</v>
      </c>
      <c r="C26" s="5">
        <f t="shared" si="0"/>
        <v>165</v>
      </c>
      <c r="D26" s="6">
        <f t="shared" si="1"/>
        <v>-19.850000000000001</v>
      </c>
      <c r="F26" s="691">
        <f t="shared" si="10"/>
        <v>165</v>
      </c>
      <c r="G26" s="692"/>
      <c r="I26" s="32" t="s">
        <v>59</v>
      </c>
      <c r="J26" s="32">
        <f t="shared" si="2"/>
        <v>0</v>
      </c>
      <c r="K26" s="6">
        <f t="shared" si="3"/>
        <v>-19.850000000000001</v>
      </c>
      <c r="L26" s="55">
        <f t="shared" si="4"/>
        <v>-1</v>
      </c>
      <c r="M26" s="56">
        <f t="shared" si="5"/>
        <v>184.85</v>
      </c>
      <c r="N26" s="56">
        <f t="shared" si="9"/>
        <v>145.15</v>
      </c>
      <c r="T26">
        <f t="shared" si="11"/>
        <v>0</v>
      </c>
      <c r="U26" s="4">
        <f t="shared" si="6"/>
        <v>165</v>
      </c>
      <c r="V26" s="4">
        <f t="shared" si="7"/>
        <v>0</v>
      </c>
      <c r="W26" s="4">
        <f t="shared" si="8"/>
        <v>-19.850000000000001</v>
      </c>
    </row>
    <row r="27" spans="2:23" x14ac:dyDescent="0.35">
      <c r="B27" s="5" t="s">
        <v>14</v>
      </c>
      <c r="C27" s="5">
        <f t="shared" si="0"/>
        <v>165</v>
      </c>
      <c r="D27" s="6">
        <f t="shared" si="1"/>
        <v>-19.850000000000001</v>
      </c>
      <c r="F27" s="693">
        <f t="shared" si="10"/>
        <v>175</v>
      </c>
      <c r="G27" s="692"/>
      <c r="I27" s="60" t="s">
        <v>58</v>
      </c>
      <c r="J27" s="45">
        <f t="shared" si="2"/>
        <v>10</v>
      </c>
      <c r="K27" s="45">
        <f t="shared" si="3"/>
        <v>-9.8500000000000014</v>
      </c>
      <c r="L27" s="58">
        <f t="shared" si="4"/>
        <v>-0.4962216624685139</v>
      </c>
      <c r="M27" s="45">
        <f t="shared" si="5"/>
        <v>184.85</v>
      </c>
      <c r="N27" s="45">
        <f t="shared" si="9"/>
        <v>145.15</v>
      </c>
      <c r="T27">
        <f t="shared" si="11"/>
        <v>10</v>
      </c>
      <c r="U27" s="4">
        <f t="shared" si="6"/>
        <v>175</v>
      </c>
      <c r="V27" s="4">
        <f t="shared" si="7"/>
        <v>10</v>
      </c>
      <c r="W27" s="4">
        <f t="shared" si="8"/>
        <v>-9.8500000000000014</v>
      </c>
    </row>
    <row r="28" spans="2:23" x14ac:dyDescent="0.35">
      <c r="B28" s="503" t="s">
        <v>14</v>
      </c>
      <c r="C28" s="503">
        <f t="shared" si="0"/>
        <v>165</v>
      </c>
      <c r="D28" s="504">
        <f t="shared" si="1"/>
        <v>-19.850000000000001</v>
      </c>
      <c r="E28" s="133"/>
      <c r="F28" s="694">
        <f>+F26-D28</f>
        <v>184.85</v>
      </c>
      <c r="G28" s="695"/>
      <c r="H28" s="133"/>
      <c r="I28" s="505" t="s">
        <v>58</v>
      </c>
      <c r="J28" s="137">
        <f t="shared" ref="J28" si="16">IF(C28-F28&gt;0,+C28-F28,F28-C28)</f>
        <v>19.849999999999994</v>
      </c>
      <c r="K28" s="137">
        <f t="shared" ref="K28" si="17">+J28+D28</f>
        <v>0</v>
      </c>
      <c r="L28" s="506">
        <f t="shared" ref="L28" si="18">-K28/D28</f>
        <v>0</v>
      </c>
      <c r="M28" s="137">
        <f t="shared" ref="M28" si="19">+C28-D28</f>
        <v>184.85</v>
      </c>
      <c r="N28" s="137">
        <f t="shared" si="9"/>
        <v>145.15</v>
      </c>
      <c r="O28" s="53" t="s">
        <v>152</v>
      </c>
      <c r="U28" s="4"/>
      <c r="V28" s="4"/>
      <c r="W28" s="4"/>
    </row>
    <row r="29" spans="2:23" x14ac:dyDescent="0.35">
      <c r="B29" s="5" t="s">
        <v>14</v>
      </c>
      <c r="C29" s="5">
        <f t="shared" si="0"/>
        <v>165</v>
      </c>
      <c r="D29" s="6">
        <f t="shared" si="1"/>
        <v>-19.850000000000001</v>
      </c>
      <c r="F29" s="693">
        <f>+F27+10</f>
        <v>185</v>
      </c>
      <c r="G29" s="692"/>
      <c r="I29" s="60" t="s">
        <v>58</v>
      </c>
      <c r="J29" s="45">
        <f t="shared" si="2"/>
        <v>20</v>
      </c>
      <c r="K29" s="45">
        <f t="shared" si="3"/>
        <v>0.14999999999999858</v>
      </c>
      <c r="L29" s="58">
        <f t="shared" si="4"/>
        <v>7.55667506297222E-3</v>
      </c>
      <c r="M29" s="45">
        <f t="shared" si="5"/>
        <v>184.85</v>
      </c>
      <c r="N29" s="45">
        <f t="shared" si="9"/>
        <v>145.15</v>
      </c>
      <c r="T29">
        <f>+T27+10</f>
        <v>20</v>
      </c>
      <c r="U29" s="4">
        <f t="shared" si="6"/>
        <v>185</v>
      </c>
      <c r="V29" s="4">
        <f t="shared" si="7"/>
        <v>20</v>
      </c>
      <c r="W29" s="4">
        <f t="shared" si="8"/>
        <v>0.14999999999999858</v>
      </c>
    </row>
    <row r="30" spans="2:23" x14ac:dyDescent="0.35">
      <c r="B30" s="5" t="s">
        <v>14</v>
      </c>
      <c r="C30" s="5">
        <f t="shared" si="0"/>
        <v>165</v>
      </c>
      <c r="D30" s="6">
        <f t="shared" si="1"/>
        <v>-19.850000000000001</v>
      </c>
      <c r="F30" s="693">
        <f t="shared" si="10"/>
        <v>195</v>
      </c>
      <c r="G30" s="692"/>
      <c r="I30" s="60" t="s">
        <v>58</v>
      </c>
      <c r="J30" s="45">
        <f t="shared" si="2"/>
        <v>30</v>
      </c>
      <c r="K30" s="45">
        <f t="shared" si="3"/>
        <v>10.149999999999999</v>
      </c>
      <c r="L30" s="58">
        <f t="shared" si="4"/>
        <v>0.51133501259445835</v>
      </c>
      <c r="M30" s="45">
        <f t="shared" si="5"/>
        <v>184.85</v>
      </c>
      <c r="N30" s="45">
        <f t="shared" si="9"/>
        <v>145.15</v>
      </c>
      <c r="T30">
        <f t="shared" si="11"/>
        <v>30</v>
      </c>
      <c r="U30" s="4">
        <f t="shared" si="6"/>
        <v>195</v>
      </c>
      <c r="V30" s="4">
        <f t="shared" si="7"/>
        <v>30</v>
      </c>
      <c r="W30" s="4">
        <f t="shared" si="8"/>
        <v>10.149999999999999</v>
      </c>
    </row>
    <row r="31" spans="2:23" x14ac:dyDescent="0.35">
      <c r="B31" s="5" t="s">
        <v>14</v>
      </c>
      <c r="C31" s="5">
        <f t="shared" si="0"/>
        <v>165</v>
      </c>
      <c r="D31" s="6">
        <f t="shared" si="1"/>
        <v>-19.850000000000001</v>
      </c>
      <c r="F31" s="693">
        <f t="shared" ref="F31" si="20">+F30+10</f>
        <v>205</v>
      </c>
      <c r="G31" s="692"/>
      <c r="I31" s="60" t="s">
        <v>58</v>
      </c>
      <c r="J31" s="45">
        <f t="shared" si="2"/>
        <v>40</v>
      </c>
      <c r="K31" s="45">
        <f t="shared" si="3"/>
        <v>20.149999999999999</v>
      </c>
      <c r="L31" s="58">
        <f t="shared" si="4"/>
        <v>1.0151133501259444</v>
      </c>
      <c r="M31" s="45">
        <f t="shared" si="5"/>
        <v>184.85</v>
      </c>
      <c r="N31" s="45">
        <f t="shared" si="9"/>
        <v>145.15</v>
      </c>
      <c r="T31">
        <f t="shared" si="11"/>
        <v>40</v>
      </c>
      <c r="U31" s="4">
        <f t="shared" si="6"/>
        <v>205</v>
      </c>
      <c r="V31" s="4">
        <f t="shared" si="7"/>
        <v>40</v>
      </c>
      <c r="W31" s="4">
        <f t="shared" si="8"/>
        <v>20.149999999999999</v>
      </c>
    </row>
    <row r="32" spans="2:23" x14ac:dyDescent="0.35">
      <c r="B32" s="66"/>
      <c r="C32" s="66"/>
      <c r="D32" s="4"/>
      <c r="F32" s="67"/>
      <c r="H32" s="68"/>
      <c r="I32" s="4"/>
      <c r="J32" s="4"/>
      <c r="K32" s="69"/>
      <c r="L32" s="70"/>
      <c r="M32" s="70"/>
    </row>
    <row r="33" spans="9:16" x14ac:dyDescent="0.35">
      <c r="L33" s="1"/>
      <c r="M33" s="1"/>
      <c r="P33" s="1" t="s">
        <v>56</v>
      </c>
    </row>
    <row r="34" spans="9:16" x14ac:dyDescent="0.35">
      <c r="I34" s="1"/>
      <c r="J34" s="4"/>
    </row>
  </sheetData>
  <mergeCells count="18">
    <mergeCell ref="F25:G25"/>
    <mergeCell ref="B18:D18"/>
    <mergeCell ref="D3:F3"/>
    <mergeCell ref="H3:J3"/>
    <mergeCell ref="I18:N18"/>
    <mergeCell ref="F18:G18"/>
    <mergeCell ref="F19:G19"/>
    <mergeCell ref="F20:G20"/>
    <mergeCell ref="F21:G21"/>
    <mergeCell ref="F22:G22"/>
    <mergeCell ref="F23:G23"/>
    <mergeCell ref="F24:G24"/>
    <mergeCell ref="F26:G26"/>
    <mergeCell ref="F27:G27"/>
    <mergeCell ref="F29:G29"/>
    <mergeCell ref="F30:G30"/>
    <mergeCell ref="F31:G31"/>
    <mergeCell ref="F28:G28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7FA1-3E7E-44CE-86CA-F3864D118E13}">
  <dimension ref="A1:X46"/>
  <sheetViews>
    <sheetView workbookViewId="0">
      <selection activeCell="N12" sqref="N12"/>
    </sheetView>
  </sheetViews>
  <sheetFormatPr defaultColWidth="8.81640625" defaultRowHeight="13" x14ac:dyDescent="0.3"/>
  <cols>
    <col min="1" max="5" width="8.81640625" style="578"/>
    <col min="6" max="6" width="9.36328125" style="578" customWidth="1"/>
    <col min="7" max="7" width="8.36328125" style="578" bestFit="1" customWidth="1"/>
    <col min="8" max="262" width="8.81640625" style="578"/>
    <col min="263" max="263" width="8.36328125" style="578" bestFit="1" customWidth="1"/>
    <col min="264" max="518" width="8.81640625" style="578"/>
    <col min="519" max="519" width="8.36328125" style="578" bestFit="1" customWidth="1"/>
    <col min="520" max="774" width="8.81640625" style="578"/>
    <col min="775" max="775" width="8.36328125" style="578" bestFit="1" customWidth="1"/>
    <col min="776" max="1030" width="8.81640625" style="578"/>
    <col min="1031" max="1031" width="8.36328125" style="578" bestFit="1" customWidth="1"/>
    <col min="1032" max="1286" width="8.81640625" style="578"/>
    <col min="1287" max="1287" width="8.36328125" style="578" bestFit="1" customWidth="1"/>
    <col min="1288" max="1542" width="8.81640625" style="578"/>
    <col min="1543" max="1543" width="8.36328125" style="578" bestFit="1" customWidth="1"/>
    <col min="1544" max="1798" width="8.81640625" style="578"/>
    <col min="1799" max="1799" width="8.36328125" style="578" bestFit="1" customWidth="1"/>
    <col min="1800" max="2054" width="8.81640625" style="578"/>
    <col min="2055" max="2055" width="8.36328125" style="578" bestFit="1" customWidth="1"/>
    <col min="2056" max="2310" width="8.81640625" style="578"/>
    <col min="2311" max="2311" width="8.36328125" style="578" bestFit="1" customWidth="1"/>
    <col min="2312" max="2566" width="8.81640625" style="578"/>
    <col min="2567" max="2567" width="8.36328125" style="578" bestFit="1" customWidth="1"/>
    <col min="2568" max="2822" width="8.81640625" style="578"/>
    <col min="2823" max="2823" width="8.36328125" style="578" bestFit="1" customWidth="1"/>
    <col min="2824" max="3078" width="8.81640625" style="578"/>
    <col min="3079" max="3079" width="8.36328125" style="578" bestFit="1" customWidth="1"/>
    <col min="3080" max="3334" width="8.81640625" style="578"/>
    <col min="3335" max="3335" width="8.36328125" style="578" bestFit="1" customWidth="1"/>
    <col min="3336" max="3590" width="8.81640625" style="578"/>
    <col min="3591" max="3591" width="8.36328125" style="578" bestFit="1" customWidth="1"/>
    <col min="3592" max="3846" width="8.81640625" style="578"/>
    <col min="3847" max="3847" width="8.36328125" style="578" bestFit="1" customWidth="1"/>
    <col min="3848" max="4102" width="8.81640625" style="578"/>
    <col min="4103" max="4103" width="8.36328125" style="578" bestFit="1" customWidth="1"/>
    <col min="4104" max="4358" width="8.81640625" style="578"/>
    <col min="4359" max="4359" width="8.36328125" style="578" bestFit="1" customWidth="1"/>
    <col min="4360" max="4614" width="8.81640625" style="578"/>
    <col min="4615" max="4615" width="8.36328125" style="578" bestFit="1" customWidth="1"/>
    <col min="4616" max="4870" width="8.81640625" style="578"/>
    <col min="4871" max="4871" width="8.36328125" style="578" bestFit="1" customWidth="1"/>
    <col min="4872" max="5126" width="8.81640625" style="578"/>
    <col min="5127" max="5127" width="8.36328125" style="578" bestFit="1" customWidth="1"/>
    <col min="5128" max="5382" width="8.81640625" style="578"/>
    <col min="5383" max="5383" width="8.36328125" style="578" bestFit="1" customWidth="1"/>
    <col min="5384" max="5638" width="8.81640625" style="578"/>
    <col min="5639" max="5639" width="8.36328125" style="578" bestFit="1" customWidth="1"/>
    <col min="5640" max="5894" width="8.81640625" style="578"/>
    <col min="5895" max="5895" width="8.36328125" style="578" bestFit="1" customWidth="1"/>
    <col min="5896" max="6150" width="8.81640625" style="578"/>
    <col min="6151" max="6151" width="8.36328125" style="578" bestFit="1" customWidth="1"/>
    <col min="6152" max="6406" width="8.81640625" style="578"/>
    <col min="6407" max="6407" width="8.36328125" style="578" bestFit="1" customWidth="1"/>
    <col min="6408" max="6662" width="8.81640625" style="578"/>
    <col min="6663" max="6663" width="8.36328125" style="578" bestFit="1" customWidth="1"/>
    <col min="6664" max="6918" width="8.81640625" style="578"/>
    <col min="6919" max="6919" width="8.36328125" style="578" bestFit="1" customWidth="1"/>
    <col min="6920" max="7174" width="8.81640625" style="578"/>
    <col min="7175" max="7175" width="8.36328125" style="578" bestFit="1" customWidth="1"/>
    <col min="7176" max="7430" width="8.81640625" style="578"/>
    <col min="7431" max="7431" width="8.36328125" style="578" bestFit="1" customWidth="1"/>
    <col min="7432" max="7686" width="8.81640625" style="578"/>
    <col min="7687" max="7687" width="8.36328125" style="578" bestFit="1" customWidth="1"/>
    <col min="7688" max="7942" width="8.81640625" style="578"/>
    <col min="7943" max="7943" width="8.36328125" style="578" bestFit="1" customWidth="1"/>
    <col min="7944" max="8198" width="8.81640625" style="578"/>
    <col min="8199" max="8199" width="8.36328125" style="578" bestFit="1" customWidth="1"/>
    <col min="8200" max="8454" width="8.81640625" style="578"/>
    <col min="8455" max="8455" width="8.36328125" style="578" bestFit="1" customWidth="1"/>
    <col min="8456" max="8710" width="8.81640625" style="578"/>
    <col min="8711" max="8711" width="8.36328125" style="578" bestFit="1" customWidth="1"/>
    <col min="8712" max="8966" width="8.81640625" style="578"/>
    <col min="8967" max="8967" width="8.36328125" style="578" bestFit="1" customWidth="1"/>
    <col min="8968" max="9222" width="8.81640625" style="578"/>
    <col min="9223" max="9223" width="8.36328125" style="578" bestFit="1" customWidth="1"/>
    <col min="9224" max="9478" width="8.81640625" style="578"/>
    <col min="9479" max="9479" width="8.36328125" style="578" bestFit="1" customWidth="1"/>
    <col min="9480" max="9734" width="8.81640625" style="578"/>
    <col min="9735" max="9735" width="8.36328125" style="578" bestFit="1" customWidth="1"/>
    <col min="9736" max="9990" width="8.81640625" style="578"/>
    <col min="9991" max="9991" width="8.36328125" style="578" bestFit="1" customWidth="1"/>
    <col min="9992" max="10246" width="8.81640625" style="578"/>
    <col min="10247" max="10247" width="8.36328125" style="578" bestFit="1" customWidth="1"/>
    <col min="10248" max="10502" width="8.81640625" style="578"/>
    <col min="10503" max="10503" width="8.36328125" style="578" bestFit="1" customWidth="1"/>
    <col min="10504" max="10758" width="8.81640625" style="578"/>
    <col min="10759" max="10759" width="8.36328125" style="578" bestFit="1" customWidth="1"/>
    <col min="10760" max="11014" width="8.81640625" style="578"/>
    <col min="11015" max="11015" width="8.36328125" style="578" bestFit="1" customWidth="1"/>
    <col min="11016" max="11270" width="8.81640625" style="578"/>
    <col min="11271" max="11271" width="8.36328125" style="578" bestFit="1" customWidth="1"/>
    <col min="11272" max="11526" width="8.81640625" style="578"/>
    <col min="11527" max="11527" width="8.36328125" style="578" bestFit="1" customWidth="1"/>
    <col min="11528" max="11782" width="8.81640625" style="578"/>
    <col min="11783" max="11783" width="8.36328125" style="578" bestFit="1" customWidth="1"/>
    <col min="11784" max="12038" width="8.81640625" style="578"/>
    <col min="12039" max="12039" width="8.36328125" style="578" bestFit="1" customWidth="1"/>
    <col min="12040" max="12294" width="8.81640625" style="578"/>
    <col min="12295" max="12295" width="8.36328125" style="578" bestFit="1" customWidth="1"/>
    <col min="12296" max="12550" width="8.81640625" style="578"/>
    <col min="12551" max="12551" width="8.36328125" style="578" bestFit="1" customWidth="1"/>
    <col min="12552" max="12806" width="8.81640625" style="578"/>
    <col min="12807" max="12807" width="8.36328125" style="578" bestFit="1" customWidth="1"/>
    <col min="12808" max="13062" width="8.81640625" style="578"/>
    <col min="13063" max="13063" width="8.36328125" style="578" bestFit="1" customWidth="1"/>
    <col min="13064" max="13318" width="8.81640625" style="578"/>
    <col min="13319" max="13319" width="8.36328125" style="578" bestFit="1" customWidth="1"/>
    <col min="13320" max="13574" width="8.81640625" style="578"/>
    <col min="13575" max="13575" width="8.36328125" style="578" bestFit="1" customWidth="1"/>
    <col min="13576" max="13830" width="8.81640625" style="578"/>
    <col min="13831" max="13831" width="8.36328125" style="578" bestFit="1" customWidth="1"/>
    <col min="13832" max="14086" width="8.81640625" style="578"/>
    <col min="14087" max="14087" width="8.36328125" style="578" bestFit="1" customWidth="1"/>
    <col min="14088" max="14342" width="8.81640625" style="578"/>
    <col min="14343" max="14343" width="8.36328125" style="578" bestFit="1" customWidth="1"/>
    <col min="14344" max="14598" width="8.81640625" style="578"/>
    <col min="14599" max="14599" width="8.36328125" style="578" bestFit="1" customWidth="1"/>
    <col min="14600" max="14854" width="8.81640625" style="578"/>
    <col min="14855" max="14855" width="8.36328125" style="578" bestFit="1" customWidth="1"/>
    <col min="14856" max="15110" width="8.81640625" style="578"/>
    <col min="15111" max="15111" width="8.36328125" style="578" bestFit="1" customWidth="1"/>
    <col min="15112" max="15366" width="8.81640625" style="578"/>
    <col min="15367" max="15367" width="8.36328125" style="578" bestFit="1" customWidth="1"/>
    <col min="15368" max="15622" width="8.81640625" style="578"/>
    <col min="15623" max="15623" width="8.36328125" style="578" bestFit="1" customWidth="1"/>
    <col min="15624" max="15878" width="8.81640625" style="578"/>
    <col min="15879" max="15879" width="8.36328125" style="578" bestFit="1" customWidth="1"/>
    <col min="15880" max="16134" width="8.81640625" style="578"/>
    <col min="16135" max="16135" width="8.36328125" style="578" bestFit="1" customWidth="1"/>
    <col min="16136" max="16384" width="8.81640625" style="578"/>
  </cols>
  <sheetData>
    <row r="1" spans="1:23" ht="13.5" thickBot="1" x14ac:dyDescent="0.35">
      <c r="A1" s="762" t="s">
        <v>603</v>
      </c>
      <c r="B1" s="763"/>
      <c r="F1" s="762" t="s">
        <v>604</v>
      </c>
      <c r="G1" s="763"/>
    </row>
    <row r="2" spans="1:23" x14ac:dyDescent="0.3">
      <c r="A2" s="533" t="s">
        <v>605</v>
      </c>
      <c r="B2" s="534">
        <v>100</v>
      </c>
      <c r="F2" s="579" t="s">
        <v>622</v>
      </c>
      <c r="G2" s="571">
        <v>1</v>
      </c>
    </row>
    <row r="3" spans="1:23" ht="15" thickBot="1" x14ac:dyDescent="0.4">
      <c r="A3" s="537" t="s">
        <v>607</v>
      </c>
      <c r="B3" s="538">
        <v>0.25</v>
      </c>
      <c r="F3" s="580" t="s">
        <v>606</v>
      </c>
      <c r="G3" s="581">
        <v>100</v>
      </c>
    </row>
    <row r="4" spans="1:23" ht="14.5" x14ac:dyDescent="0.35">
      <c r="A4" s="537" t="s">
        <v>608</v>
      </c>
      <c r="B4" s="540">
        <v>0.23438000000000001</v>
      </c>
    </row>
    <row r="5" spans="1:23" x14ac:dyDescent="0.3">
      <c r="A5" s="537" t="s">
        <v>609</v>
      </c>
      <c r="B5" s="541">
        <v>10</v>
      </c>
    </row>
    <row r="6" spans="1:23" ht="14.5" x14ac:dyDescent="0.35">
      <c r="A6" s="537" t="s">
        <v>625</v>
      </c>
      <c r="B6" s="575">
        <v>0.11941</v>
      </c>
    </row>
    <row r="7" spans="1:23" ht="15" thickBot="1" x14ac:dyDescent="0.4">
      <c r="A7" s="576" t="s">
        <v>626</v>
      </c>
      <c r="B7" s="577">
        <v>0</v>
      </c>
    </row>
    <row r="8" spans="1:23" x14ac:dyDescent="0.3">
      <c r="A8" s="543" t="s">
        <v>611</v>
      </c>
      <c r="B8" s="544">
        <f>EXP(B4*SQRT(B3/B5))</f>
        <v>1.0377539683101453</v>
      </c>
    </row>
    <row r="9" spans="1:23" x14ac:dyDescent="0.3">
      <c r="A9" s="546" t="s">
        <v>451</v>
      </c>
      <c r="B9" s="547">
        <f>1/B8</f>
        <v>0.9636195384811459</v>
      </c>
    </row>
    <row r="10" spans="1:23" x14ac:dyDescent="0.3">
      <c r="A10" s="546" t="s">
        <v>612</v>
      </c>
      <c r="B10" s="548">
        <f>(EXP((B6 - B7) * B3/B5) - B9) / (B8 - B9)</f>
        <v>0.53106460663027533</v>
      </c>
    </row>
    <row r="11" spans="1:23" ht="13.5" thickBot="1" x14ac:dyDescent="0.35">
      <c r="A11" s="549" t="s">
        <v>613</v>
      </c>
      <c r="B11" s="550">
        <f>1 - B10</f>
        <v>0.46893539336972467</v>
      </c>
    </row>
    <row r="14" spans="1:23" x14ac:dyDescent="0.3">
      <c r="A14" s="582" t="s">
        <v>635</v>
      </c>
      <c r="M14" s="582"/>
    </row>
    <row r="15" spans="1:23" x14ac:dyDescent="0.3">
      <c r="B15" s="583">
        <v>0</v>
      </c>
      <c r="C15" s="583">
        <v>1</v>
      </c>
      <c r="D15" s="583">
        <v>2</v>
      </c>
      <c r="E15" s="583">
        <v>3</v>
      </c>
      <c r="F15" s="583">
        <v>4</v>
      </c>
      <c r="G15" s="583">
        <v>5</v>
      </c>
      <c r="H15" s="583">
        <v>6</v>
      </c>
      <c r="I15" s="583">
        <v>7</v>
      </c>
      <c r="J15" s="583">
        <v>8</v>
      </c>
      <c r="K15" s="583">
        <v>9</v>
      </c>
      <c r="L15" s="578">
        <v>10</v>
      </c>
      <c r="N15" s="583"/>
      <c r="O15" s="583"/>
      <c r="P15" s="583"/>
      <c r="Q15" s="583"/>
      <c r="R15" s="583"/>
      <c r="S15" s="583"/>
      <c r="T15" s="583"/>
      <c r="U15" s="583"/>
      <c r="V15" s="583"/>
      <c r="W15" s="583"/>
    </row>
    <row r="16" spans="1:23" x14ac:dyDescent="0.3">
      <c r="A16" s="578">
        <v>10</v>
      </c>
      <c r="B16" s="583"/>
      <c r="C16" s="584" t="str">
        <f t="shared" ref="C16:L26" ca="1" si="0">IF($A16&lt;C$15,$B$9*OFFSET(C16,0,-1),IF($A16=C$15,$B$8*OFFSET(C16,1,-1),""))</f>
        <v/>
      </c>
      <c r="D16" s="584" t="str">
        <f t="shared" ca="1" si="0"/>
        <v/>
      </c>
      <c r="E16" s="584" t="str">
        <f t="shared" ca="1" si="0"/>
        <v/>
      </c>
      <c r="F16" s="584" t="str">
        <f t="shared" ca="1" si="0"/>
        <v/>
      </c>
      <c r="G16" s="584" t="str">
        <f t="shared" ca="1" si="0"/>
        <v/>
      </c>
      <c r="H16" s="584" t="str">
        <f t="shared" ca="1" si="0"/>
        <v/>
      </c>
      <c r="I16" s="584" t="str">
        <f t="shared" ca="1" si="0"/>
        <v/>
      </c>
      <c r="J16" s="584" t="str">
        <f t="shared" ca="1" si="0"/>
        <v/>
      </c>
      <c r="K16" s="584" t="str">
        <f t="shared" ca="1" si="0"/>
        <v/>
      </c>
      <c r="L16" s="584">
        <f t="shared" ca="1" si="0"/>
        <v>144.85851464447126</v>
      </c>
      <c r="N16" s="583"/>
      <c r="O16" s="583"/>
      <c r="P16" s="583"/>
      <c r="Q16" s="583"/>
      <c r="R16" s="583"/>
      <c r="S16" s="583"/>
      <c r="T16" s="583"/>
      <c r="U16" s="583"/>
      <c r="V16" s="583"/>
      <c r="W16" s="583"/>
    </row>
    <row r="17" spans="1:24" x14ac:dyDescent="0.3">
      <c r="A17" s="578">
        <v>9</v>
      </c>
      <c r="B17" s="583"/>
      <c r="C17" s="584" t="str">
        <f t="shared" ca="1" si="0"/>
        <v/>
      </c>
      <c r="D17" s="584" t="str">
        <f t="shared" ca="1" si="0"/>
        <v/>
      </c>
      <c r="E17" s="584" t="str">
        <f t="shared" ca="1" si="0"/>
        <v/>
      </c>
      <c r="F17" s="584" t="str">
        <f t="shared" ca="1" si="0"/>
        <v/>
      </c>
      <c r="G17" s="584" t="str">
        <f t="shared" ca="1" si="0"/>
        <v/>
      </c>
      <c r="H17" s="584" t="str">
        <f t="shared" ca="1" si="0"/>
        <v/>
      </c>
      <c r="I17" s="584" t="str">
        <f t="shared" ca="1" si="0"/>
        <v/>
      </c>
      <c r="J17" s="584" t="str">
        <f t="shared" ca="1" si="0"/>
        <v/>
      </c>
      <c r="K17" s="584">
        <f t="shared" ca="1" si="0"/>
        <v>139.58849502676972</v>
      </c>
      <c r="L17" s="584">
        <f t="shared" ca="1" si="0"/>
        <v>134.51020115497357</v>
      </c>
      <c r="N17" s="583"/>
      <c r="O17" s="583"/>
      <c r="P17" s="583"/>
      <c r="Q17" s="583"/>
      <c r="R17" s="583"/>
      <c r="S17" s="583"/>
      <c r="T17" s="583"/>
      <c r="U17" s="583"/>
      <c r="V17" s="583"/>
      <c r="W17" s="583"/>
    </row>
    <row r="18" spans="1:24" x14ac:dyDescent="0.3">
      <c r="A18" s="578">
        <v>8</v>
      </c>
      <c r="B18" s="583"/>
      <c r="C18" s="584" t="str">
        <f t="shared" ca="1" si="0"/>
        <v/>
      </c>
      <c r="D18" s="584" t="str">
        <f t="shared" ca="1" si="0"/>
        <v/>
      </c>
      <c r="E18" s="584" t="str">
        <f t="shared" ca="1" si="0"/>
        <v/>
      </c>
      <c r="F18" s="584" t="str">
        <f t="shared" ca="1" si="0"/>
        <v/>
      </c>
      <c r="G18" s="584" t="str">
        <f t="shared" ca="1" si="0"/>
        <v/>
      </c>
      <c r="H18" s="584" t="str">
        <f t="shared" ca="1" si="0"/>
        <v/>
      </c>
      <c r="I18" s="584" t="str">
        <f t="shared" ca="1" si="0"/>
        <v/>
      </c>
      <c r="J18" s="584">
        <f t="shared" ca="1" si="0"/>
        <v>134.51020115497357</v>
      </c>
      <c r="K18" s="584">
        <f t="shared" ca="1" si="0"/>
        <v>129.61665795796173</v>
      </c>
      <c r="L18" s="584">
        <f t="shared" ca="1" si="0"/>
        <v>124.90114412091964</v>
      </c>
      <c r="N18" s="583"/>
      <c r="O18" s="583"/>
      <c r="P18" s="583"/>
      <c r="Q18" s="583"/>
      <c r="R18" s="583"/>
      <c r="S18" s="583"/>
      <c r="T18" s="583"/>
      <c r="U18" s="583"/>
      <c r="V18" s="583"/>
      <c r="W18" s="583"/>
    </row>
    <row r="19" spans="1:24" x14ac:dyDescent="0.3">
      <c r="A19" s="578">
        <v>7</v>
      </c>
      <c r="B19" s="583"/>
      <c r="C19" s="584" t="str">
        <f t="shared" ca="1" si="0"/>
        <v/>
      </c>
      <c r="D19" s="584" t="str">
        <f t="shared" ca="1" si="0"/>
        <v/>
      </c>
      <c r="E19" s="584" t="str">
        <f t="shared" ca="1" si="0"/>
        <v/>
      </c>
      <c r="F19" s="584" t="str">
        <f t="shared" ca="1" si="0"/>
        <v/>
      </c>
      <c r="G19" s="584" t="str">
        <f t="shared" ca="1" si="0"/>
        <v/>
      </c>
      <c r="H19" s="584" t="str">
        <f t="shared" ca="1" si="0"/>
        <v/>
      </c>
      <c r="I19" s="584">
        <f t="shared" ca="1" si="0"/>
        <v>129.61665795796173</v>
      </c>
      <c r="J19" s="584">
        <f t="shared" ca="1" si="0"/>
        <v>124.90114412091964</v>
      </c>
      <c r="K19" s="584">
        <f t="shared" ca="1" si="0"/>
        <v>120.35718285356768</v>
      </c>
      <c r="L19" s="584">
        <f t="shared" ca="1" si="0"/>
        <v>115.97853299424577</v>
      </c>
      <c r="N19" s="583"/>
      <c r="O19" s="583"/>
      <c r="P19" s="583"/>
      <c r="Q19" s="583"/>
      <c r="R19" s="583"/>
      <c r="S19" s="583"/>
      <c r="T19" s="583"/>
      <c r="U19" s="583"/>
      <c r="V19" s="583"/>
      <c r="W19" s="583"/>
    </row>
    <row r="20" spans="1:24" x14ac:dyDescent="0.3">
      <c r="A20" s="578">
        <v>6</v>
      </c>
      <c r="B20" s="583"/>
      <c r="C20" s="584" t="str">
        <f t="shared" ca="1" si="0"/>
        <v/>
      </c>
      <c r="D20" s="584" t="str">
        <f t="shared" ca="1" si="0"/>
        <v/>
      </c>
      <c r="E20" s="584" t="str">
        <f t="shared" ca="1" si="0"/>
        <v/>
      </c>
      <c r="F20" s="584" t="str">
        <f t="shared" ca="1" si="0"/>
        <v/>
      </c>
      <c r="G20" s="584" t="str">
        <f t="shared" ca="1" si="0"/>
        <v/>
      </c>
      <c r="H20" s="584">
        <f t="shared" ca="1" si="0"/>
        <v>124.90114412091964</v>
      </c>
      <c r="I20" s="584">
        <f t="shared" ca="1" si="0"/>
        <v>120.35718285356768</v>
      </c>
      <c r="J20" s="584">
        <f t="shared" ca="1" si="0"/>
        <v>115.97853299424577</v>
      </c>
      <c r="K20" s="584">
        <f t="shared" ca="1" si="0"/>
        <v>111.75918043763546</v>
      </c>
      <c r="L20" s="584">
        <f t="shared" ca="1" si="0"/>
        <v>107.69332987434539</v>
      </c>
      <c r="N20" s="583"/>
      <c r="O20" s="583"/>
      <c r="P20" s="583"/>
      <c r="Q20" s="583"/>
      <c r="R20" s="583"/>
      <c r="S20" s="583"/>
      <c r="T20" s="583"/>
      <c r="U20" s="583"/>
      <c r="V20" s="583"/>
      <c r="W20" s="583"/>
    </row>
    <row r="21" spans="1:24" x14ac:dyDescent="0.3">
      <c r="A21" s="578">
        <v>5</v>
      </c>
      <c r="C21" s="584" t="str">
        <f t="shared" ca="1" si="0"/>
        <v/>
      </c>
      <c r="D21" s="584" t="str">
        <f t="shared" ca="1" si="0"/>
        <v/>
      </c>
      <c r="E21" s="584" t="str">
        <f t="shared" ca="1" si="0"/>
        <v/>
      </c>
      <c r="F21" s="584" t="str">
        <f t="shared" ca="1" si="0"/>
        <v/>
      </c>
      <c r="G21" s="584">
        <f t="shared" ca="1" si="0"/>
        <v>120.35718285356768</v>
      </c>
      <c r="H21" s="584">
        <f t="shared" ca="1" si="0"/>
        <v>115.97853299424577</v>
      </c>
      <c r="I21" s="584">
        <f t="shared" ca="1" si="0"/>
        <v>111.75918043763546</v>
      </c>
      <c r="J21" s="584">
        <f t="shared" ca="1" si="0"/>
        <v>107.69332987434539</v>
      </c>
      <c r="K21" s="584">
        <f t="shared" ca="1" si="0"/>
        <v>103.77539683101452</v>
      </c>
      <c r="L21" s="584">
        <f t="shared" ca="1" si="0"/>
        <v>99.999999999999986</v>
      </c>
      <c r="N21" s="584"/>
      <c r="O21" s="584"/>
      <c r="P21" s="584"/>
      <c r="Q21" s="584"/>
      <c r="R21" s="584"/>
      <c r="S21" s="584"/>
      <c r="T21" s="584"/>
      <c r="U21" s="584"/>
      <c r="V21" s="584"/>
      <c r="W21" s="584"/>
    </row>
    <row r="22" spans="1:24" x14ac:dyDescent="0.3">
      <c r="A22" s="578">
        <v>4</v>
      </c>
      <c r="C22" s="584" t="str">
        <f t="shared" ca="1" si="0"/>
        <v/>
      </c>
      <c r="D22" s="584" t="str">
        <f t="shared" ca="1" si="0"/>
        <v/>
      </c>
      <c r="E22" s="584" t="str">
        <f t="shared" ca="1" si="0"/>
        <v/>
      </c>
      <c r="F22" s="584">
        <f t="shared" ca="1" si="0"/>
        <v>115.97853299424578</v>
      </c>
      <c r="G22" s="584">
        <f t="shared" ca="1" si="0"/>
        <v>111.75918043763548</v>
      </c>
      <c r="H22" s="584">
        <f t="shared" ca="1" si="0"/>
        <v>107.69332987434541</v>
      </c>
      <c r="I22" s="584">
        <f t="shared" ca="1" si="0"/>
        <v>103.77539683101452</v>
      </c>
      <c r="J22" s="584">
        <f t="shared" ca="1" si="0"/>
        <v>99.999999999999986</v>
      </c>
      <c r="K22" s="584">
        <f t="shared" ca="1" si="0"/>
        <v>96.361953848114581</v>
      </c>
      <c r="L22" s="584">
        <f t="shared" ca="1" si="0"/>
        <v>92.856261494261659</v>
      </c>
      <c r="N22" s="584"/>
      <c r="O22" s="584"/>
      <c r="P22" s="584"/>
      <c r="Q22" s="584"/>
      <c r="R22" s="584"/>
      <c r="S22" s="584"/>
      <c r="T22" s="584"/>
      <c r="U22" s="584"/>
      <c r="V22" s="584"/>
      <c r="W22" s="584"/>
    </row>
    <row r="23" spans="1:24" x14ac:dyDescent="0.3">
      <c r="A23" s="578">
        <v>3</v>
      </c>
      <c r="C23" s="584" t="str">
        <f t="shared" ca="1" si="0"/>
        <v/>
      </c>
      <c r="D23" s="584" t="str">
        <f t="shared" ca="1" si="0"/>
        <v/>
      </c>
      <c r="E23" s="584">
        <f t="shared" ca="1" si="0"/>
        <v>111.75918043763548</v>
      </c>
      <c r="F23" s="584">
        <f t="shared" ca="1" si="0"/>
        <v>107.69332987434541</v>
      </c>
      <c r="G23" s="584">
        <f t="shared" ca="1" si="0"/>
        <v>103.77539683101452</v>
      </c>
      <c r="H23" s="584">
        <f t="shared" ca="1" si="0"/>
        <v>99.999999999999986</v>
      </c>
      <c r="I23" s="584">
        <f t="shared" ca="1" si="0"/>
        <v>96.361953848114581</v>
      </c>
      <c r="J23" s="584">
        <f t="shared" ca="1" si="0"/>
        <v>92.856261494261659</v>
      </c>
      <c r="K23" s="584">
        <f t="shared" ca="1" si="0"/>
        <v>89.478107846185026</v>
      </c>
      <c r="L23" s="584">
        <f t="shared" ca="1" si="0"/>
        <v>86.222852986907014</v>
      </c>
      <c r="N23" s="584"/>
      <c r="O23" s="584"/>
      <c r="P23" s="584"/>
      <c r="Q23" s="584"/>
      <c r="R23" s="584"/>
      <c r="S23" s="584"/>
      <c r="T23" s="584"/>
      <c r="U23" s="584"/>
      <c r="V23" s="584"/>
      <c r="W23" s="584"/>
    </row>
    <row r="24" spans="1:24" x14ac:dyDescent="0.3">
      <c r="A24" s="578">
        <v>2</v>
      </c>
      <c r="C24" s="584" t="str">
        <f t="shared" ca="1" si="0"/>
        <v/>
      </c>
      <c r="D24" s="584">
        <f t="shared" ca="1" si="0"/>
        <v>107.69332987434541</v>
      </c>
      <c r="E24" s="584">
        <f t="shared" ca="1" si="0"/>
        <v>103.77539683101452</v>
      </c>
      <c r="F24" s="584">
        <f t="shared" ca="1" si="0"/>
        <v>99.999999999999986</v>
      </c>
      <c r="G24" s="584">
        <f t="shared" ca="1" si="0"/>
        <v>96.361953848114581</v>
      </c>
      <c r="H24" s="584">
        <f t="shared" ca="1" si="0"/>
        <v>92.856261494261659</v>
      </c>
      <c r="I24" s="584">
        <f t="shared" ca="1" si="0"/>
        <v>89.478107846185026</v>
      </c>
      <c r="J24" s="584">
        <f t="shared" ca="1" si="0"/>
        <v>86.222852986907014</v>
      </c>
      <c r="K24" s="584">
        <f t="shared" ca="1" si="0"/>
        <v>83.086025801771029</v>
      </c>
      <c r="L24" s="584">
        <f t="shared" ca="1" si="0"/>
        <v>80.063317837335177</v>
      </c>
      <c r="N24" s="584"/>
      <c r="O24" s="584"/>
      <c r="P24" s="584"/>
      <c r="Q24" s="584"/>
      <c r="R24" s="584"/>
      <c r="S24" s="584"/>
      <c r="T24" s="584"/>
      <c r="U24" s="584"/>
      <c r="V24" s="584"/>
      <c r="W24" s="584"/>
    </row>
    <row r="25" spans="1:24" x14ac:dyDescent="0.3">
      <c r="A25" s="578">
        <v>1</v>
      </c>
      <c r="C25" s="584">
        <f t="shared" ca="1" si="0"/>
        <v>103.77539683101453</v>
      </c>
      <c r="D25" s="584">
        <f t="shared" ca="1" si="0"/>
        <v>100</v>
      </c>
      <c r="E25" s="584">
        <f t="shared" ca="1" si="0"/>
        <v>96.361953848114595</v>
      </c>
      <c r="F25" s="584">
        <f t="shared" ca="1" si="0"/>
        <v>92.856261494261673</v>
      </c>
      <c r="G25" s="584">
        <f t="shared" ca="1" si="0"/>
        <v>89.478107846185026</v>
      </c>
      <c r="H25" s="584">
        <f t="shared" ca="1" si="0"/>
        <v>86.222852986907014</v>
      </c>
      <c r="I25" s="584">
        <f t="shared" ca="1" si="0"/>
        <v>83.086025801771029</v>
      </c>
      <c r="J25" s="584">
        <f t="shared" ca="1" si="0"/>
        <v>80.063317837335177</v>
      </c>
      <c r="K25" s="584">
        <f t="shared" ca="1" si="0"/>
        <v>77.150577383682219</v>
      </c>
      <c r="L25" s="584">
        <f t="shared" ca="1" si="0"/>
        <v>74.343803772017793</v>
      </c>
      <c r="N25" s="584"/>
      <c r="O25" s="584"/>
      <c r="P25" s="584"/>
      <c r="Q25" s="584"/>
      <c r="R25" s="584"/>
      <c r="S25" s="584"/>
      <c r="T25" s="584"/>
      <c r="U25" s="584"/>
      <c r="V25" s="584"/>
      <c r="W25" s="584"/>
    </row>
    <row r="26" spans="1:24" x14ac:dyDescent="0.3">
      <c r="A26" s="578">
        <v>0</v>
      </c>
      <c r="B26" s="584">
        <f>$B$2</f>
        <v>100</v>
      </c>
      <c r="C26" s="584">
        <f t="shared" ca="1" si="0"/>
        <v>96.361953848114595</v>
      </c>
      <c r="D26" s="584">
        <f t="shared" ca="1" si="0"/>
        <v>92.856261494261673</v>
      </c>
      <c r="E26" s="584">
        <f t="shared" ca="1" si="0"/>
        <v>89.478107846185026</v>
      </c>
      <c r="F26" s="584">
        <f t="shared" ca="1" si="0"/>
        <v>86.222852986907014</v>
      </c>
      <c r="G26" s="584">
        <f t="shared" ca="1" si="0"/>
        <v>83.086025801771029</v>
      </c>
      <c r="H26" s="584">
        <f t="shared" ca="1" si="0"/>
        <v>80.063317837335177</v>
      </c>
      <c r="I26" s="584">
        <f t="shared" ca="1" si="0"/>
        <v>77.150577383682219</v>
      </c>
      <c r="J26" s="584">
        <f t="shared" ca="1" si="0"/>
        <v>74.343803772017793</v>
      </c>
      <c r="K26" s="584">
        <f t="shared" ca="1" si="0"/>
        <v>71.639141879724662</v>
      </c>
      <c r="L26" s="584">
        <f t="shared" ca="1" si="0"/>
        <v>69.032876835325609</v>
      </c>
      <c r="N26" s="584"/>
      <c r="O26" s="584"/>
      <c r="P26" s="584"/>
      <c r="Q26" s="584"/>
      <c r="R26" s="584"/>
      <c r="S26" s="584"/>
      <c r="T26" s="584"/>
      <c r="U26" s="584"/>
      <c r="V26" s="584"/>
      <c r="W26" s="584"/>
    </row>
    <row r="27" spans="1:24" x14ac:dyDescent="0.3">
      <c r="B27" s="585"/>
      <c r="C27" s="585"/>
      <c r="D27" s="584"/>
      <c r="E27" s="584"/>
      <c r="F27" s="584"/>
      <c r="G27" s="584"/>
      <c r="H27" s="584"/>
      <c r="I27" s="584"/>
      <c r="J27" s="584"/>
      <c r="K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</row>
    <row r="29" spans="1:24" x14ac:dyDescent="0.3">
      <c r="A29" s="586" t="s">
        <v>636</v>
      </c>
    </row>
    <row r="30" spans="1:24" x14ac:dyDescent="0.3">
      <c r="B30" s="583">
        <v>0</v>
      </c>
      <c r="C30" s="583">
        <v>1</v>
      </c>
      <c r="D30" s="583">
        <v>2</v>
      </c>
      <c r="E30" s="583">
        <v>3</v>
      </c>
      <c r="F30" s="583">
        <v>4</v>
      </c>
      <c r="G30" s="583">
        <v>5</v>
      </c>
      <c r="H30" s="583">
        <v>6</v>
      </c>
      <c r="I30" s="583">
        <v>7</v>
      </c>
      <c r="J30" s="583">
        <v>8</v>
      </c>
      <c r="K30" s="583">
        <v>9</v>
      </c>
      <c r="L30" s="578">
        <v>10</v>
      </c>
      <c r="O30" s="583"/>
      <c r="P30" s="583"/>
      <c r="Q30" s="583"/>
      <c r="R30" s="583"/>
      <c r="S30" s="583"/>
      <c r="T30" s="583"/>
      <c r="U30" s="583"/>
      <c r="V30" s="583"/>
      <c r="W30" s="583"/>
      <c r="X30" s="583"/>
    </row>
    <row r="31" spans="1:24" x14ac:dyDescent="0.3">
      <c r="A31" s="578">
        <v>10</v>
      </c>
      <c r="B31" s="587" t="str">
        <f t="shared" ref="B31:K41" si="1">IF($A31 &lt;= B$30, ($B$10*C30+$B$11*C31)/EXP($B$6 * $B$3/$B$5),"")</f>
        <v/>
      </c>
      <c r="C31" s="587" t="str">
        <f t="shared" si="1"/>
        <v/>
      </c>
      <c r="D31" s="587" t="str">
        <f t="shared" si="1"/>
        <v/>
      </c>
      <c r="E31" s="587" t="str">
        <f t="shared" si="1"/>
        <v/>
      </c>
      <c r="F31" s="587" t="str">
        <f t="shared" si="1"/>
        <v/>
      </c>
      <c r="G31" s="587" t="str">
        <f t="shared" si="1"/>
        <v/>
      </c>
      <c r="H31" s="587" t="str">
        <f t="shared" si="1"/>
        <v/>
      </c>
      <c r="I31" s="587" t="str">
        <f t="shared" si="1"/>
        <v/>
      </c>
      <c r="J31" s="587" t="str">
        <f t="shared" si="1"/>
        <v/>
      </c>
      <c r="K31" s="587" t="str">
        <f t="shared" si="1"/>
        <v/>
      </c>
      <c r="L31" s="584">
        <f t="shared" ref="L31:L40" ca="1" si="2">MAX($G$2*(L16-$G$3),0)</f>
        <v>44.858514644471256</v>
      </c>
      <c r="O31" s="583"/>
      <c r="P31" s="583"/>
      <c r="Q31" s="583"/>
      <c r="R31" s="583"/>
      <c r="S31" s="583"/>
      <c r="T31" s="583"/>
      <c r="U31" s="583"/>
      <c r="V31" s="583"/>
      <c r="W31" s="583"/>
      <c r="X31" s="583"/>
    </row>
    <row r="32" spans="1:24" x14ac:dyDescent="0.3">
      <c r="A32" s="578">
        <v>9</v>
      </c>
      <c r="B32" s="587" t="str">
        <f t="shared" si="1"/>
        <v/>
      </c>
      <c r="C32" s="587" t="str">
        <f t="shared" si="1"/>
        <v/>
      </c>
      <c r="D32" s="587" t="str">
        <f t="shared" si="1"/>
        <v/>
      </c>
      <c r="E32" s="587" t="str">
        <f t="shared" si="1"/>
        <v/>
      </c>
      <c r="F32" s="587" t="str">
        <f t="shared" si="1"/>
        <v/>
      </c>
      <c r="G32" s="587" t="str">
        <f t="shared" si="1"/>
        <v/>
      </c>
      <c r="H32" s="587" t="str">
        <f t="shared" si="1"/>
        <v/>
      </c>
      <c r="I32" s="587" t="str">
        <f t="shared" si="1"/>
        <v/>
      </c>
      <c r="J32" s="587" t="str">
        <f t="shared" si="1"/>
        <v/>
      </c>
      <c r="K32" s="587">
        <f t="shared" ca="1" si="1"/>
        <v>39.886574883955973</v>
      </c>
      <c r="L32" s="584">
        <f t="shared" ca="1" si="2"/>
        <v>34.510201154973572</v>
      </c>
      <c r="O32" s="583"/>
      <c r="P32" s="583"/>
      <c r="Q32" s="583"/>
      <c r="R32" s="583"/>
      <c r="S32" s="583"/>
      <c r="T32" s="583"/>
      <c r="U32" s="583"/>
      <c r="V32" s="583"/>
      <c r="W32" s="583"/>
      <c r="X32" s="583"/>
    </row>
    <row r="33" spans="1:24" x14ac:dyDescent="0.3">
      <c r="A33" s="578">
        <v>8</v>
      </c>
      <c r="B33" s="587" t="str">
        <f t="shared" si="1"/>
        <v/>
      </c>
      <c r="C33" s="587" t="str">
        <f t="shared" si="1"/>
        <v/>
      </c>
      <c r="D33" s="587" t="str">
        <f t="shared" si="1"/>
        <v/>
      </c>
      <c r="E33" s="587" t="str">
        <f t="shared" si="1"/>
        <v/>
      </c>
      <c r="F33" s="587" t="str">
        <f t="shared" si="1"/>
        <v/>
      </c>
      <c r="G33" s="587" t="str">
        <f t="shared" si="1"/>
        <v/>
      </c>
      <c r="H33" s="587" t="str">
        <f t="shared" si="1"/>
        <v/>
      </c>
      <c r="I33" s="587" t="str">
        <f t="shared" si="1"/>
        <v/>
      </c>
      <c r="J33" s="587">
        <f t="shared" ca="1" si="1"/>
        <v>35.105472353333475</v>
      </c>
      <c r="K33" s="587">
        <f t="shared" ca="1" si="1"/>
        <v>29.914737815147991</v>
      </c>
      <c r="L33" s="584">
        <f t="shared" ca="1" si="2"/>
        <v>24.901144120919639</v>
      </c>
      <c r="O33" s="583"/>
      <c r="P33" s="583"/>
      <c r="Q33" s="583"/>
      <c r="R33" s="583"/>
      <c r="S33" s="583"/>
      <c r="T33" s="583"/>
      <c r="U33" s="583"/>
      <c r="V33" s="583"/>
      <c r="W33" s="583"/>
      <c r="X33" s="583"/>
    </row>
    <row r="34" spans="1:24" x14ac:dyDescent="0.3">
      <c r="A34" s="578">
        <v>7</v>
      </c>
      <c r="B34" s="587" t="str">
        <f t="shared" si="1"/>
        <v/>
      </c>
      <c r="C34" s="587" t="str">
        <f t="shared" si="1"/>
        <v/>
      </c>
      <c r="D34" s="587" t="str">
        <f t="shared" si="1"/>
        <v/>
      </c>
      <c r="E34" s="587" t="str">
        <f t="shared" si="1"/>
        <v/>
      </c>
      <c r="F34" s="587" t="str">
        <f t="shared" si="1"/>
        <v/>
      </c>
      <c r="G34" s="587" t="str">
        <f t="shared" si="1"/>
        <v/>
      </c>
      <c r="H34" s="587" t="str">
        <f t="shared" si="1"/>
        <v/>
      </c>
      <c r="I34" s="587">
        <f t="shared" ca="1" si="1"/>
        <v>30.508234629969948</v>
      </c>
      <c r="J34" s="587">
        <f t="shared" ca="1" si="1"/>
        <v>25.496415319279542</v>
      </c>
      <c r="K34" s="587">
        <f t="shared" ca="1" si="1"/>
        <v>20.655262710753927</v>
      </c>
      <c r="L34" s="584">
        <f t="shared" ca="1" si="2"/>
        <v>15.978532994245768</v>
      </c>
      <c r="O34" s="583"/>
      <c r="P34" s="583"/>
      <c r="Q34" s="583"/>
      <c r="R34" s="583"/>
      <c r="S34" s="583"/>
      <c r="T34" s="583"/>
      <c r="U34" s="583"/>
      <c r="V34" s="583"/>
      <c r="W34" s="583"/>
      <c r="X34" s="583"/>
    </row>
    <row r="35" spans="1:24" x14ac:dyDescent="0.3">
      <c r="A35" s="578">
        <v>6</v>
      </c>
      <c r="B35" s="587" t="str">
        <f t="shared" si="1"/>
        <v/>
      </c>
      <c r="C35" s="587" t="str">
        <f t="shared" si="1"/>
        <v/>
      </c>
      <c r="D35" s="587" t="str">
        <f t="shared" si="1"/>
        <v/>
      </c>
      <c r="E35" s="587" t="str">
        <f t="shared" si="1"/>
        <v/>
      </c>
      <c r="F35" s="587" t="str">
        <f t="shared" si="1"/>
        <v/>
      </c>
      <c r="G35" s="587" t="str">
        <f t="shared" si="1"/>
        <v/>
      </c>
      <c r="H35" s="587">
        <f t="shared" ca="1" si="1"/>
        <v>26.08814303964348</v>
      </c>
      <c r="I35" s="587">
        <f t="shared" ca="1" si="1"/>
        <v>21.248759525575892</v>
      </c>
      <c r="J35" s="587">
        <f t="shared" ca="1" si="1"/>
        <v>16.573804192605675</v>
      </c>
      <c r="K35" s="587">
        <f t="shared" ca="1" si="1"/>
        <v>12.057260294821715</v>
      </c>
      <c r="L35" s="584">
        <f t="shared" ca="1" si="2"/>
        <v>7.6933298743453946</v>
      </c>
      <c r="O35" s="583"/>
      <c r="P35" s="583"/>
      <c r="Q35" s="583"/>
      <c r="R35" s="583"/>
      <c r="S35" s="583"/>
      <c r="T35" s="583"/>
      <c r="U35" s="583"/>
      <c r="V35" s="583"/>
      <c r="W35" s="583"/>
      <c r="X35" s="583"/>
    </row>
    <row r="36" spans="1:24" x14ac:dyDescent="0.3">
      <c r="A36" s="578">
        <v>5</v>
      </c>
      <c r="B36" s="587" t="str">
        <f t="shared" si="1"/>
        <v/>
      </c>
      <c r="C36" s="587" t="str">
        <f t="shared" si="1"/>
        <v/>
      </c>
      <c r="D36" s="587" t="str">
        <f t="shared" si="1"/>
        <v/>
      </c>
      <c r="E36" s="587" t="str">
        <f t="shared" si="1"/>
        <v/>
      </c>
      <c r="F36" s="587" t="str">
        <f t="shared" si="1"/>
        <v/>
      </c>
      <c r="G36" s="587">
        <f t="shared" ca="1" si="1"/>
        <v>21.838723424796036</v>
      </c>
      <c r="H36" s="587">
        <f t="shared" ca="1" si="1"/>
        <v>17.165531912969612</v>
      </c>
      <c r="I36" s="587">
        <f t="shared" ca="1" si="1"/>
        <v>12.650757109643681</v>
      </c>
      <c r="J36" s="587">
        <f t="shared" ca="1" si="1"/>
        <v>8.2886010727053048</v>
      </c>
      <c r="K36" s="587">
        <f t="shared" ca="1" si="1"/>
        <v>4.0734766882007767</v>
      </c>
      <c r="L36" s="584">
        <f t="shared" ca="1" si="2"/>
        <v>0</v>
      </c>
      <c r="P36" s="584"/>
      <c r="Q36" s="584"/>
      <c r="R36" s="584"/>
      <c r="S36" s="585"/>
      <c r="T36" s="585"/>
      <c r="U36" s="585"/>
      <c r="V36" s="585"/>
      <c r="W36" s="585"/>
      <c r="X36" s="585"/>
    </row>
    <row r="37" spans="1:24" x14ac:dyDescent="0.3">
      <c r="A37" s="578">
        <v>4</v>
      </c>
      <c r="B37" s="587" t="str">
        <f t="shared" si="1"/>
        <v/>
      </c>
      <c r="C37" s="587" t="str">
        <f t="shared" si="1"/>
        <v/>
      </c>
      <c r="D37" s="587" t="str">
        <f t="shared" si="1"/>
        <v/>
      </c>
      <c r="E37" s="587" t="str">
        <f t="shared" si="1"/>
        <v/>
      </c>
      <c r="F37" s="587">
        <f t="shared" ca="1" si="1"/>
        <v>17.828352010990081</v>
      </c>
      <c r="G37" s="587">
        <f t="shared" ca="1" si="1"/>
        <v>13.400311945973565</v>
      </c>
      <c r="H37" s="587">
        <f t="shared" ca="1" si="1"/>
        <v>9.2216723342921316</v>
      </c>
      <c r="I37" s="587">
        <f t="shared" ca="1" si="1"/>
        <v>5.3970614092956604</v>
      </c>
      <c r="J37" s="587">
        <f t="shared" ca="1" si="1"/>
        <v>2.1568309952037565</v>
      </c>
      <c r="K37" s="587">
        <f t="shared" ca="1" si="1"/>
        <v>0</v>
      </c>
      <c r="L37" s="584">
        <f t="shared" ca="1" si="2"/>
        <v>0</v>
      </c>
      <c r="P37" s="584"/>
      <c r="Q37" s="584"/>
      <c r="R37" s="585"/>
      <c r="S37" s="585"/>
      <c r="T37" s="585"/>
      <c r="U37" s="585"/>
      <c r="V37" s="585"/>
      <c r="W37" s="585"/>
      <c r="X37" s="585"/>
    </row>
    <row r="38" spans="1:24" x14ac:dyDescent="0.3">
      <c r="A38" s="578">
        <v>3</v>
      </c>
      <c r="B38" s="587" t="str">
        <f t="shared" si="1"/>
        <v/>
      </c>
      <c r="C38" s="587" t="str">
        <f t="shared" si="1"/>
        <v/>
      </c>
      <c r="D38" s="587" t="str">
        <f t="shared" si="1"/>
        <v/>
      </c>
      <c r="E38" s="587">
        <f t="shared" ca="1" si="1"/>
        <v>14.17100133903481</v>
      </c>
      <c r="F38" s="587">
        <f t="shared" ca="1" si="1"/>
        <v>10.119436167871926</v>
      </c>
      <c r="G38" s="587">
        <f t="shared" ca="1" si="1"/>
        <v>6.4683941561011782</v>
      </c>
      <c r="H38" s="587">
        <f t="shared" ca="1" si="1"/>
        <v>3.3915737914251394</v>
      </c>
      <c r="I38" s="587">
        <f t="shared" ca="1" si="1"/>
        <v>1.1420023478583705</v>
      </c>
      <c r="J38" s="587">
        <f t="shared" ca="1" si="1"/>
        <v>0</v>
      </c>
      <c r="K38" s="587">
        <f t="shared" ca="1" si="1"/>
        <v>0</v>
      </c>
      <c r="L38" s="584">
        <f t="shared" ca="1" si="2"/>
        <v>0</v>
      </c>
      <c r="P38" s="584"/>
      <c r="Q38" s="585"/>
      <c r="R38" s="585"/>
      <c r="S38" s="585"/>
      <c r="T38" s="585"/>
      <c r="U38" s="585"/>
      <c r="V38" s="585"/>
      <c r="W38" s="585"/>
      <c r="X38" s="585"/>
    </row>
    <row r="39" spans="1:24" x14ac:dyDescent="0.3">
      <c r="A39" s="578">
        <v>2</v>
      </c>
      <c r="B39" s="587" t="str">
        <f t="shared" si="1"/>
        <v/>
      </c>
      <c r="C39" s="587" t="str">
        <f t="shared" si="1"/>
        <v/>
      </c>
      <c r="D39" s="587">
        <f t="shared" ca="1" si="1"/>
        <v>10.969449838356557</v>
      </c>
      <c r="E39" s="587">
        <f t="shared" ca="1" si="1"/>
        <v>7.4136610564338072</v>
      </c>
      <c r="F39" s="587">
        <f t="shared" ca="1" si="1"/>
        <v>4.3966640107904196</v>
      </c>
      <c r="G39" s="587">
        <f t="shared" ca="1" si="1"/>
        <v>2.0784815524551643</v>
      </c>
      <c r="H39" s="587">
        <f t="shared" ca="1" si="1"/>
        <v>0.60466924177841086</v>
      </c>
      <c r="I39" s="587">
        <f t="shared" ca="1" si="1"/>
        <v>0</v>
      </c>
      <c r="J39" s="587">
        <f t="shared" ca="1" si="1"/>
        <v>0</v>
      </c>
      <c r="K39" s="587">
        <f t="shared" ca="1" si="1"/>
        <v>0</v>
      </c>
      <c r="L39" s="584">
        <f t="shared" ca="1" si="2"/>
        <v>0</v>
      </c>
      <c r="P39" s="585"/>
      <c r="Q39" s="585"/>
      <c r="R39" s="585"/>
      <c r="S39" s="585"/>
      <c r="T39" s="585"/>
      <c r="U39" s="585"/>
      <c r="V39" s="585"/>
      <c r="W39" s="585"/>
      <c r="X39" s="585"/>
    </row>
    <row r="40" spans="1:24" x14ac:dyDescent="0.3">
      <c r="A40" s="578">
        <v>1</v>
      </c>
      <c r="B40" s="587" t="str">
        <f t="shared" si="1"/>
        <v/>
      </c>
      <c r="C40" s="587">
        <f t="shared" ca="1" si="1"/>
        <v>8.2800337462400329</v>
      </c>
      <c r="D40" s="587">
        <f t="shared" ca="1" si="1"/>
        <v>5.2870867076365551</v>
      </c>
      <c r="E40" s="587">
        <f t="shared" ca="1" si="1"/>
        <v>2.9124706556334194</v>
      </c>
      <c r="F40" s="587">
        <f t="shared" ca="1" si="1"/>
        <v>1.2502051754949441</v>
      </c>
      <c r="G40" s="587">
        <f t="shared" ca="1" si="1"/>
        <v>0.32016124365991461</v>
      </c>
      <c r="H40" s="587">
        <f t="shared" ca="1" si="1"/>
        <v>0</v>
      </c>
      <c r="I40" s="587">
        <f t="shared" ca="1" si="1"/>
        <v>0</v>
      </c>
      <c r="J40" s="587">
        <f t="shared" ca="1" si="1"/>
        <v>0</v>
      </c>
      <c r="K40" s="587">
        <f t="shared" ca="1" si="1"/>
        <v>0</v>
      </c>
      <c r="L40" s="584">
        <f t="shared" ca="1" si="2"/>
        <v>0</v>
      </c>
      <c r="P40" s="585"/>
      <c r="Q40" s="585"/>
      <c r="R40" s="585"/>
      <c r="S40" s="585"/>
      <c r="T40" s="585"/>
      <c r="U40" s="585"/>
      <c r="V40" s="585"/>
      <c r="W40" s="585"/>
      <c r="X40" s="585"/>
    </row>
    <row r="41" spans="1:24" x14ac:dyDescent="0.3">
      <c r="A41" s="578">
        <v>0</v>
      </c>
      <c r="B41" s="587">
        <f t="shared" ca="1" si="1"/>
        <v>6.1057993430111788</v>
      </c>
      <c r="C41" s="587">
        <f t="shared" ca="1" si="1"/>
        <v>3.6824284842980508</v>
      </c>
      <c r="D41" s="587">
        <f t="shared" ca="1" si="1"/>
        <v>1.8886466420813657</v>
      </c>
      <c r="E41" s="587">
        <f t="shared" ca="1" si="1"/>
        <v>0.74121738356941524</v>
      </c>
      <c r="F41" s="587">
        <f t="shared" ca="1" si="1"/>
        <v>0.1695194907556202</v>
      </c>
      <c r="G41" s="587">
        <f t="shared" ca="1" si="1"/>
        <v>0</v>
      </c>
      <c r="H41" s="587">
        <f t="shared" ca="1" si="1"/>
        <v>0</v>
      </c>
      <c r="I41" s="587">
        <f t="shared" ca="1" si="1"/>
        <v>0</v>
      </c>
      <c r="J41" s="587">
        <f t="shared" ca="1" si="1"/>
        <v>0</v>
      </c>
      <c r="K41" s="587">
        <f ca="1">IF($A41 &lt;= K$30, ($B$10*L40+$B$11*L41)/EXP($B$6 * $B$3/$B$5),"")</f>
        <v>0</v>
      </c>
      <c r="L41" s="584">
        <f ca="1">MAX($G$2*(L26-$G$3),0)</f>
        <v>0</v>
      </c>
      <c r="O41" s="585"/>
      <c r="P41" s="585"/>
      <c r="Q41" s="585"/>
      <c r="R41" s="585"/>
      <c r="S41" s="585"/>
      <c r="T41" s="585"/>
      <c r="U41" s="585"/>
      <c r="V41" s="585"/>
      <c r="W41" s="585"/>
      <c r="X41" s="585"/>
    </row>
    <row r="46" spans="1:24" x14ac:dyDescent="0.3">
      <c r="M46" s="578" t="s">
        <v>300</v>
      </c>
    </row>
  </sheetData>
  <mergeCells count="2">
    <mergeCell ref="A1:B1"/>
    <mergeCell ref="F1:G1"/>
  </mergeCells>
  <dataValidations disablePrompts="1" count="1">
    <dataValidation type="list" allowBlank="1" showInputMessage="1" showErrorMessage="1" sqref="G2" xr:uid="{8F1B9401-FD1C-4A70-9813-826961F477B9}">
      <formula1>"1, -1"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9690-7829-4AAD-8E12-B22D2876B673}">
  <dimension ref="A1:X56"/>
  <sheetViews>
    <sheetView workbookViewId="0">
      <selection activeCell="L8" sqref="L8"/>
    </sheetView>
  </sheetViews>
  <sheetFormatPr defaultColWidth="8.81640625" defaultRowHeight="13" outlineLevelRow="1" x14ac:dyDescent="0.3"/>
  <cols>
    <col min="1" max="5" width="8.81640625" style="578"/>
    <col min="6" max="6" width="9.36328125" style="578" customWidth="1"/>
    <col min="7" max="7" width="8.36328125" style="578" bestFit="1" customWidth="1"/>
    <col min="8" max="262" width="8.81640625" style="578"/>
    <col min="263" max="263" width="8.36328125" style="578" bestFit="1" customWidth="1"/>
    <col min="264" max="518" width="8.81640625" style="578"/>
    <col min="519" max="519" width="8.36328125" style="578" bestFit="1" customWidth="1"/>
    <col min="520" max="774" width="8.81640625" style="578"/>
    <col min="775" max="775" width="8.36328125" style="578" bestFit="1" customWidth="1"/>
    <col min="776" max="1030" width="8.81640625" style="578"/>
    <col min="1031" max="1031" width="8.36328125" style="578" bestFit="1" customWidth="1"/>
    <col min="1032" max="1286" width="8.81640625" style="578"/>
    <col min="1287" max="1287" width="8.36328125" style="578" bestFit="1" customWidth="1"/>
    <col min="1288" max="1542" width="8.81640625" style="578"/>
    <col min="1543" max="1543" width="8.36328125" style="578" bestFit="1" customWidth="1"/>
    <col min="1544" max="1798" width="8.81640625" style="578"/>
    <col min="1799" max="1799" width="8.36328125" style="578" bestFit="1" customWidth="1"/>
    <col min="1800" max="2054" width="8.81640625" style="578"/>
    <col min="2055" max="2055" width="8.36328125" style="578" bestFit="1" customWidth="1"/>
    <col min="2056" max="2310" width="8.81640625" style="578"/>
    <col min="2311" max="2311" width="8.36328125" style="578" bestFit="1" customWidth="1"/>
    <col min="2312" max="2566" width="8.81640625" style="578"/>
    <col min="2567" max="2567" width="8.36328125" style="578" bestFit="1" customWidth="1"/>
    <col min="2568" max="2822" width="8.81640625" style="578"/>
    <col min="2823" max="2823" width="8.36328125" style="578" bestFit="1" customWidth="1"/>
    <col min="2824" max="3078" width="8.81640625" style="578"/>
    <col min="3079" max="3079" width="8.36328125" style="578" bestFit="1" customWidth="1"/>
    <col min="3080" max="3334" width="8.81640625" style="578"/>
    <col min="3335" max="3335" width="8.36328125" style="578" bestFit="1" customWidth="1"/>
    <col min="3336" max="3590" width="8.81640625" style="578"/>
    <col min="3591" max="3591" width="8.36328125" style="578" bestFit="1" customWidth="1"/>
    <col min="3592" max="3846" width="8.81640625" style="578"/>
    <col min="3847" max="3847" width="8.36328125" style="578" bestFit="1" customWidth="1"/>
    <col min="3848" max="4102" width="8.81640625" style="578"/>
    <col min="4103" max="4103" width="8.36328125" style="578" bestFit="1" customWidth="1"/>
    <col min="4104" max="4358" width="8.81640625" style="578"/>
    <col min="4359" max="4359" width="8.36328125" style="578" bestFit="1" customWidth="1"/>
    <col min="4360" max="4614" width="8.81640625" style="578"/>
    <col min="4615" max="4615" width="8.36328125" style="578" bestFit="1" customWidth="1"/>
    <col min="4616" max="4870" width="8.81640625" style="578"/>
    <col min="4871" max="4871" width="8.36328125" style="578" bestFit="1" customWidth="1"/>
    <col min="4872" max="5126" width="8.81640625" style="578"/>
    <col min="5127" max="5127" width="8.36328125" style="578" bestFit="1" customWidth="1"/>
    <col min="5128" max="5382" width="8.81640625" style="578"/>
    <col min="5383" max="5383" width="8.36328125" style="578" bestFit="1" customWidth="1"/>
    <col min="5384" max="5638" width="8.81640625" style="578"/>
    <col min="5639" max="5639" width="8.36328125" style="578" bestFit="1" customWidth="1"/>
    <col min="5640" max="5894" width="8.81640625" style="578"/>
    <col min="5895" max="5895" width="8.36328125" style="578" bestFit="1" customWidth="1"/>
    <col min="5896" max="6150" width="8.81640625" style="578"/>
    <col min="6151" max="6151" width="8.36328125" style="578" bestFit="1" customWidth="1"/>
    <col min="6152" max="6406" width="8.81640625" style="578"/>
    <col min="6407" max="6407" width="8.36328125" style="578" bestFit="1" customWidth="1"/>
    <col min="6408" max="6662" width="8.81640625" style="578"/>
    <col min="6663" max="6663" width="8.36328125" style="578" bestFit="1" customWidth="1"/>
    <col min="6664" max="6918" width="8.81640625" style="578"/>
    <col min="6919" max="6919" width="8.36328125" style="578" bestFit="1" customWidth="1"/>
    <col min="6920" max="7174" width="8.81640625" style="578"/>
    <col min="7175" max="7175" width="8.36328125" style="578" bestFit="1" customWidth="1"/>
    <col min="7176" max="7430" width="8.81640625" style="578"/>
    <col min="7431" max="7431" width="8.36328125" style="578" bestFit="1" customWidth="1"/>
    <col min="7432" max="7686" width="8.81640625" style="578"/>
    <col min="7687" max="7687" width="8.36328125" style="578" bestFit="1" customWidth="1"/>
    <col min="7688" max="7942" width="8.81640625" style="578"/>
    <col min="7943" max="7943" width="8.36328125" style="578" bestFit="1" customWidth="1"/>
    <col min="7944" max="8198" width="8.81640625" style="578"/>
    <col min="8199" max="8199" width="8.36328125" style="578" bestFit="1" customWidth="1"/>
    <col min="8200" max="8454" width="8.81640625" style="578"/>
    <col min="8455" max="8455" width="8.36328125" style="578" bestFit="1" customWidth="1"/>
    <col min="8456" max="8710" width="8.81640625" style="578"/>
    <col min="8711" max="8711" width="8.36328125" style="578" bestFit="1" customWidth="1"/>
    <col min="8712" max="8966" width="8.81640625" style="578"/>
    <col min="8967" max="8967" width="8.36328125" style="578" bestFit="1" customWidth="1"/>
    <col min="8968" max="9222" width="8.81640625" style="578"/>
    <col min="9223" max="9223" width="8.36328125" style="578" bestFit="1" customWidth="1"/>
    <col min="9224" max="9478" width="8.81640625" style="578"/>
    <col min="9479" max="9479" width="8.36328125" style="578" bestFit="1" customWidth="1"/>
    <col min="9480" max="9734" width="8.81640625" style="578"/>
    <col min="9735" max="9735" width="8.36328125" style="578" bestFit="1" customWidth="1"/>
    <col min="9736" max="9990" width="8.81640625" style="578"/>
    <col min="9991" max="9991" width="8.36328125" style="578" bestFit="1" customWidth="1"/>
    <col min="9992" max="10246" width="8.81640625" style="578"/>
    <col min="10247" max="10247" width="8.36328125" style="578" bestFit="1" customWidth="1"/>
    <col min="10248" max="10502" width="8.81640625" style="578"/>
    <col min="10503" max="10503" width="8.36328125" style="578" bestFit="1" customWidth="1"/>
    <col min="10504" max="10758" width="8.81640625" style="578"/>
    <col min="10759" max="10759" width="8.36328125" style="578" bestFit="1" customWidth="1"/>
    <col min="10760" max="11014" width="8.81640625" style="578"/>
    <col min="11015" max="11015" width="8.36328125" style="578" bestFit="1" customWidth="1"/>
    <col min="11016" max="11270" width="8.81640625" style="578"/>
    <col min="11271" max="11271" width="8.36328125" style="578" bestFit="1" customWidth="1"/>
    <col min="11272" max="11526" width="8.81640625" style="578"/>
    <col min="11527" max="11527" width="8.36328125" style="578" bestFit="1" customWidth="1"/>
    <col min="11528" max="11782" width="8.81640625" style="578"/>
    <col min="11783" max="11783" width="8.36328125" style="578" bestFit="1" customWidth="1"/>
    <col min="11784" max="12038" width="8.81640625" style="578"/>
    <col min="12039" max="12039" width="8.36328125" style="578" bestFit="1" customWidth="1"/>
    <col min="12040" max="12294" width="8.81640625" style="578"/>
    <col min="12295" max="12295" width="8.36328125" style="578" bestFit="1" customWidth="1"/>
    <col min="12296" max="12550" width="8.81640625" style="578"/>
    <col min="12551" max="12551" width="8.36328125" style="578" bestFit="1" customWidth="1"/>
    <col min="12552" max="12806" width="8.81640625" style="578"/>
    <col min="12807" max="12807" width="8.36328125" style="578" bestFit="1" customWidth="1"/>
    <col min="12808" max="13062" width="8.81640625" style="578"/>
    <col min="13063" max="13063" width="8.36328125" style="578" bestFit="1" customWidth="1"/>
    <col min="13064" max="13318" width="8.81640625" style="578"/>
    <col min="13319" max="13319" width="8.36328125" style="578" bestFit="1" customWidth="1"/>
    <col min="13320" max="13574" width="8.81640625" style="578"/>
    <col min="13575" max="13575" width="8.36328125" style="578" bestFit="1" customWidth="1"/>
    <col min="13576" max="13830" width="8.81640625" style="578"/>
    <col min="13831" max="13831" width="8.36328125" style="578" bestFit="1" customWidth="1"/>
    <col min="13832" max="14086" width="8.81640625" style="578"/>
    <col min="14087" max="14087" width="8.36328125" style="578" bestFit="1" customWidth="1"/>
    <col min="14088" max="14342" width="8.81640625" style="578"/>
    <col min="14343" max="14343" width="8.36328125" style="578" bestFit="1" customWidth="1"/>
    <col min="14344" max="14598" width="8.81640625" style="578"/>
    <col min="14599" max="14599" width="8.36328125" style="578" bestFit="1" customWidth="1"/>
    <col min="14600" max="14854" width="8.81640625" style="578"/>
    <col min="14855" max="14855" width="8.36328125" style="578" bestFit="1" customWidth="1"/>
    <col min="14856" max="15110" width="8.81640625" style="578"/>
    <col min="15111" max="15111" width="8.36328125" style="578" bestFit="1" customWidth="1"/>
    <col min="15112" max="15366" width="8.81640625" style="578"/>
    <col min="15367" max="15367" width="8.36328125" style="578" bestFit="1" customWidth="1"/>
    <col min="15368" max="15622" width="8.81640625" style="578"/>
    <col min="15623" max="15623" width="8.36328125" style="578" bestFit="1" customWidth="1"/>
    <col min="15624" max="15878" width="8.81640625" style="578"/>
    <col min="15879" max="15879" width="8.36328125" style="578" bestFit="1" customWidth="1"/>
    <col min="15880" max="16134" width="8.81640625" style="578"/>
    <col min="16135" max="16135" width="8.36328125" style="578" bestFit="1" customWidth="1"/>
    <col min="16136" max="16384" width="8.81640625" style="578"/>
  </cols>
  <sheetData>
    <row r="1" spans="1:23" ht="13.5" thickBot="1" x14ac:dyDescent="0.35">
      <c r="A1" s="762" t="s">
        <v>603</v>
      </c>
      <c r="B1" s="763"/>
      <c r="F1" s="762" t="s">
        <v>604</v>
      </c>
      <c r="G1" s="763"/>
    </row>
    <row r="2" spans="1:23" x14ac:dyDescent="0.3">
      <c r="A2" s="533" t="s">
        <v>605</v>
      </c>
      <c r="B2" s="588">
        <v>100</v>
      </c>
      <c r="F2" s="579" t="s">
        <v>622</v>
      </c>
      <c r="G2" s="571">
        <v>-1</v>
      </c>
    </row>
    <row r="3" spans="1:23" ht="15" thickBot="1" x14ac:dyDescent="0.4">
      <c r="A3" s="537" t="s">
        <v>607</v>
      </c>
      <c r="B3" s="589">
        <v>0.25</v>
      </c>
      <c r="F3" s="580" t="s">
        <v>606</v>
      </c>
      <c r="G3" s="590">
        <v>110</v>
      </c>
    </row>
    <row r="4" spans="1:23" ht="14.5" x14ac:dyDescent="0.35">
      <c r="A4" s="537" t="s">
        <v>608</v>
      </c>
      <c r="B4" s="591">
        <v>0.3</v>
      </c>
    </row>
    <row r="5" spans="1:23" x14ac:dyDescent="0.3">
      <c r="A5" s="537" t="s">
        <v>609</v>
      </c>
      <c r="B5" s="592">
        <v>15</v>
      </c>
    </row>
    <row r="6" spans="1:23" ht="14.5" x14ac:dyDescent="0.35">
      <c r="A6" s="537" t="s">
        <v>625</v>
      </c>
      <c r="B6" s="593">
        <v>0.02</v>
      </c>
    </row>
    <row r="7" spans="1:23" ht="15" thickBot="1" x14ac:dyDescent="0.4">
      <c r="A7" s="576" t="s">
        <v>626</v>
      </c>
      <c r="B7" s="594">
        <v>0.01</v>
      </c>
    </row>
    <row r="8" spans="1:23" x14ac:dyDescent="0.3">
      <c r="A8" s="543" t="s">
        <v>611</v>
      </c>
      <c r="B8" s="544">
        <f>EXP(B4*SQRT(B3/B5))</f>
        <v>1.0394896104013376</v>
      </c>
    </row>
    <row r="9" spans="1:23" x14ac:dyDescent="0.3">
      <c r="A9" s="546" t="s">
        <v>451</v>
      </c>
      <c r="B9" s="547">
        <f>1/B8</f>
        <v>0.96201057710803761</v>
      </c>
    </row>
    <row r="10" spans="1:23" x14ac:dyDescent="0.3">
      <c r="A10" s="546" t="s">
        <v>612</v>
      </c>
      <c r="B10" s="548">
        <f>(EXP((B6 - B7) * B3/B5) - B9) / (B8 - B9)</f>
        <v>0.49247005062451049</v>
      </c>
    </row>
    <row r="11" spans="1:23" ht="13.5" thickBot="1" x14ac:dyDescent="0.35">
      <c r="A11" s="549" t="s">
        <v>613</v>
      </c>
      <c r="B11" s="550">
        <f>1 - B10</f>
        <v>0.50752994937548945</v>
      </c>
    </row>
    <row r="14" spans="1:23" x14ac:dyDescent="0.3">
      <c r="A14" s="582" t="s">
        <v>635</v>
      </c>
      <c r="M14" s="582"/>
    </row>
    <row r="15" spans="1:23" hidden="1" outlineLevel="1" x14ac:dyDescent="0.3">
      <c r="B15" s="583">
        <v>0</v>
      </c>
      <c r="C15" s="583">
        <v>1</v>
      </c>
      <c r="D15" s="583">
        <v>2</v>
      </c>
      <c r="E15" s="583">
        <v>3</v>
      </c>
      <c r="F15" s="583">
        <v>4</v>
      </c>
      <c r="G15" s="583">
        <v>5</v>
      </c>
      <c r="H15" s="583">
        <v>6</v>
      </c>
      <c r="I15" s="583">
        <v>7</v>
      </c>
      <c r="J15" s="583">
        <v>8</v>
      </c>
      <c r="K15" s="583">
        <v>9</v>
      </c>
      <c r="L15" s="578">
        <v>10</v>
      </c>
      <c r="M15" s="578">
        <f>L15+1</f>
        <v>11</v>
      </c>
      <c r="N15" s="578">
        <f t="shared" ref="N15:Q15" si="0">M15+1</f>
        <v>12</v>
      </c>
      <c r="O15" s="578">
        <f t="shared" si="0"/>
        <v>13</v>
      </c>
      <c r="P15" s="578">
        <f t="shared" si="0"/>
        <v>14</v>
      </c>
      <c r="Q15" s="578">
        <f t="shared" si="0"/>
        <v>15</v>
      </c>
      <c r="R15" s="583"/>
      <c r="S15" s="583"/>
      <c r="T15" s="583"/>
      <c r="U15" s="583"/>
      <c r="V15" s="583"/>
      <c r="W15" s="583"/>
    </row>
    <row r="16" spans="1:23" hidden="1" outlineLevel="1" x14ac:dyDescent="0.3">
      <c r="A16" s="578">
        <f t="shared" ref="A16:A19" si="1">A17+1</f>
        <v>15</v>
      </c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N16" s="583"/>
      <c r="O16" s="583"/>
      <c r="P16" s="583"/>
      <c r="Q16" s="584">
        <f t="shared" ref="P16:Q17" ca="1" si="2">IF($A16&lt;Q$15,$B$9*OFFSET(Q16,0,-1),IF($A16=Q$15,$B$8*OFFSET(Q16,1,-1),""))</f>
        <v>178.77315075823685</v>
      </c>
      <c r="R16" s="583"/>
      <c r="S16" s="583"/>
      <c r="T16" s="583"/>
      <c r="U16" s="583"/>
      <c r="V16" s="583"/>
      <c r="W16" s="583"/>
    </row>
    <row r="17" spans="1:23" hidden="1" outlineLevel="1" x14ac:dyDescent="0.3">
      <c r="A17" s="578">
        <f t="shared" si="1"/>
        <v>14</v>
      </c>
      <c r="B17" s="583"/>
      <c r="C17" s="583"/>
      <c r="D17" s="583"/>
      <c r="E17" s="583"/>
      <c r="F17" s="583"/>
      <c r="G17" s="583"/>
      <c r="H17" s="583"/>
      <c r="I17" s="583"/>
      <c r="J17" s="583"/>
      <c r="K17" s="583"/>
      <c r="N17" s="583"/>
      <c r="O17" s="583"/>
      <c r="P17" s="584">
        <f t="shared" ca="1" si="2"/>
        <v>171.98166193235366</v>
      </c>
      <c r="Q17" s="584">
        <f t="shared" ca="1" si="2"/>
        <v>165.44817784754298</v>
      </c>
      <c r="R17" s="583"/>
      <c r="S17" s="583"/>
      <c r="T17" s="583"/>
      <c r="U17" s="583"/>
      <c r="V17" s="583"/>
      <c r="W17" s="583"/>
    </row>
    <row r="18" spans="1:23" hidden="1" outlineLevel="1" x14ac:dyDescent="0.3">
      <c r="A18" s="578">
        <f t="shared" si="1"/>
        <v>13</v>
      </c>
      <c r="B18" s="583"/>
      <c r="C18" s="583"/>
      <c r="D18" s="583"/>
      <c r="E18" s="583"/>
      <c r="F18" s="583"/>
      <c r="G18" s="583"/>
      <c r="H18" s="583"/>
      <c r="I18" s="583"/>
      <c r="J18" s="583"/>
      <c r="K18" s="583"/>
      <c r="N18" s="583"/>
      <c r="O18" s="584">
        <f t="shared" ref="N18:Q19" ca="1" si="3">IF($A18&lt;O$15,$B$9*OFFSET(O18,0,-1),IF($A18=O$15,$B$8*OFFSET(O18,1,-1),""))</f>
        <v>165.44817784754298</v>
      </c>
      <c r="P18" s="584">
        <f t="shared" ca="1" si="3"/>
        <v>159.16289705258808</v>
      </c>
      <c r="Q18" s="584">
        <f t="shared" ca="1" si="3"/>
        <v>153.11639044774745</v>
      </c>
      <c r="R18" s="583"/>
      <c r="S18" s="583"/>
      <c r="T18" s="583"/>
      <c r="U18" s="583"/>
      <c r="V18" s="583"/>
      <c r="W18" s="583"/>
    </row>
    <row r="19" spans="1:23" hidden="1" outlineLevel="1" x14ac:dyDescent="0.3">
      <c r="A19" s="578">
        <f t="shared" si="1"/>
        <v>12</v>
      </c>
      <c r="B19" s="583"/>
      <c r="C19" s="583"/>
      <c r="D19" s="583"/>
      <c r="E19" s="583"/>
      <c r="F19" s="583"/>
      <c r="G19" s="583"/>
      <c r="H19" s="583"/>
      <c r="I19" s="583"/>
      <c r="J19" s="583"/>
      <c r="K19" s="583"/>
      <c r="N19" s="584">
        <f t="shared" ca="1" si="3"/>
        <v>159.16289705258808</v>
      </c>
      <c r="O19" s="584">
        <f t="shared" ca="1" si="3"/>
        <v>153.11639044774745</v>
      </c>
      <c r="P19" s="584">
        <f t="shared" ca="1" si="3"/>
        <v>147.29958713933715</v>
      </c>
      <c r="Q19" s="584">
        <f t="shared" ca="1" si="3"/>
        <v>141.70376083168941</v>
      </c>
      <c r="R19" s="583"/>
      <c r="S19" s="583"/>
      <c r="T19" s="583"/>
      <c r="U19" s="583"/>
      <c r="V19" s="583"/>
      <c r="W19" s="583"/>
    </row>
    <row r="20" spans="1:23" hidden="1" outlineLevel="1" x14ac:dyDescent="0.3">
      <c r="A20" s="578">
        <f>A21+1</f>
        <v>11</v>
      </c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M20" s="584">
        <f t="shared" ref="M20:Q20" ca="1" si="4">IF($A20&lt;M$15,$B$9*OFFSET(M20,0,-1),IF($A20=M$15,$B$8*OFFSET(M20,1,-1),""))</f>
        <v>153.11639044774745</v>
      </c>
      <c r="N20" s="584">
        <f t="shared" ca="1" si="4"/>
        <v>147.29958713933715</v>
      </c>
      <c r="O20" s="584">
        <f t="shared" ca="1" si="4"/>
        <v>141.70376083168941</v>
      </c>
      <c r="P20" s="584">
        <f t="shared" ca="1" si="4"/>
        <v>136.32051673607288</v>
      </c>
      <c r="Q20" s="584">
        <f t="shared" ca="1" si="4"/>
        <v>131.14177897693537</v>
      </c>
      <c r="R20" s="583"/>
      <c r="S20" s="583"/>
      <c r="T20" s="583"/>
      <c r="U20" s="583"/>
      <c r="V20" s="583"/>
      <c r="W20" s="583"/>
    </row>
    <row r="21" spans="1:23" hidden="1" outlineLevel="1" x14ac:dyDescent="0.3">
      <c r="A21" s="578">
        <v>10</v>
      </c>
      <c r="B21" s="583"/>
      <c r="C21" s="584" t="str">
        <f t="shared" ref="C21:Q31" ca="1" si="5">IF($A21&lt;C$15,$B$9*OFFSET(C21,0,-1),IF($A21=C$15,$B$8*OFFSET(C21,1,-1),""))</f>
        <v/>
      </c>
      <c r="D21" s="584" t="str">
        <f t="shared" ca="1" si="5"/>
        <v/>
      </c>
      <c r="E21" s="584" t="str">
        <f t="shared" ca="1" si="5"/>
        <v/>
      </c>
      <c r="F21" s="584" t="str">
        <f t="shared" ca="1" si="5"/>
        <v/>
      </c>
      <c r="G21" s="584" t="str">
        <f t="shared" ca="1" si="5"/>
        <v/>
      </c>
      <c r="H21" s="584" t="str">
        <f t="shared" ca="1" si="5"/>
        <v/>
      </c>
      <c r="I21" s="584" t="str">
        <f t="shared" ca="1" si="5"/>
        <v/>
      </c>
      <c r="J21" s="584" t="str">
        <f t="shared" ca="1" si="5"/>
        <v/>
      </c>
      <c r="K21" s="584" t="str">
        <f t="shared" ca="1" si="5"/>
        <v/>
      </c>
      <c r="L21" s="584">
        <f t="shared" ca="1" si="5"/>
        <v>147.29958713933715</v>
      </c>
      <c r="M21" s="584">
        <f t="shared" ca="1" si="5"/>
        <v>141.70376083168941</v>
      </c>
      <c r="N21" s="584">
        <f t="shared" ca="1" si="5"/>
        <v>136.32051673607288</v>
      </c>
      <c r="O21" s="584">
        <f t="shared" ca="1" si="5"/>
        <v>131.14177897693537</v>
      </c>
      <c r="P21" s="584">
        <f t="shared" ca="1" si="5"/>
        <v>126.15977847657631</v>
      </c>
      <c r="Q21" s="584">
        <f t="shared" ca="1" si="5"/>
        <v>121.36704130007335</v>
      </c>
      <c r="R21" s="583"/>
      <c r="S21" s="583"/>
      <c r="T21" s="583"/>
      <c r="U21" s="583"/>
      <c r="V21" s="583"/>
      <c r="W21" s="583"/>
    </row>
    <row r="22" spans="1:23" hidden="1" outlineLevel="1" x14ac:dyDescent="0.3">
      <c r="A22" s="578">
        <v>9</v>
      </c>
      <c r="B22" s="583"/>
      <c r="C22" s="584" t="str">
        <f t="shared" ca="1" si="5"/>
        <v/>
      </c>
      <c r="D22" s="584" t="str">
        <f t="shared" ca="1" si="5"/>
        <v/>
      </c>
      <c r="E22" s="584" t="str">
        <f t="shared" ca="1" si="5"/>
        <v/>
      </c>
      <c r="F22" s="584" t="str">
        <f t="shared" ca="1" si="5"/>
        <v/>
      </c>
      <c r="G22" s="584" t="str">
        <f t="shared" ca="1" si="5"/>
        <v/>
      </c>
      <c r="H22" s="584" t="str">
        <f t="shared" ca="1" si="5"/>
        <v/>
      </c>
      <c r="I22" s="584" t="str">
        <f t="shared" ca="1" si="5"/>
        <v/>
      </c>
      <c r="J22" s="584" t="str">
        <f t="shared" ca="1" si="5"/>
        <v/>
      </c>
      <c r="K22" s="584">
        <f t="shared" ca="1" si="5"/>
        <v>141.70376083168941</v>
      </c>
      <c r="L22" s="584">
        <f t="shared" ca="1" si="5"/>
        <v>136.32051673607288</v>
      </c>
      <c r="M22" s="584">
        <f t="shared" ca="1" si="5"/>
        <v>131.14177897693537</v>
      </c>
      <c r="N22" s="584">
        <f t="shared" ca="1" si="5"/>
        <v>126.15977847657631</v>
      </c>
      <c r="O22" s="584">
        <f t="shared" ca="1" si="5"/>
        <v>121.36704130007335</v>
      </c>
      <c r="P22" s="584">
        <f t="shared" ca="1" si="5"/>
        <v>116.7563774429786</v>
      </c>
      <c r="Q22" s="584">
        <f t="shared" ca="1" si="5"/>
        <v>112.32087004496371</v>
      </c>
      <c r="R22" s="583"/>
      <c r="S22" s="583"/>
      <c r="T22" s="583"/>
      <c r="U22" s="583"/>
      <c r="V22" s="583"/>
      <c r="W22" s="583"/>
    </row>
    <row r="23" spans="1:23" hidden="1" outlineLevel="1" x14ac:dyDescent="0.3">
      <c r="A23" s="578">
        <v>8</v>
      </c>
      <c r="B23" s="583"/>
      <c r="C23" s="584" t="str">
        <f t="shared" ca="1" si="5"/>
        <v/>
      </c>
      <c r="D23" s="584" t="str">
        <f t="shared" ca="1" si="5"/>
        <v/>
      </c>
      <c r="E23" s="584" t="str">
        <f t="shared" ca="1" si="5"/>
        <v/>
      </c>
      <c r="F23" s="584" t="str">
        <f t="shared" ca="1" si="5"/>
        <v/>
      </c>
      <c r="G23" s="584" t="str">
        <f t="shared" ca="1" si="5"/>
        <v/>
      </c>
      <c r="H23" s="584" t="str">
        <f t="shared" ca="1" si="5"/>
        <v/>
      </c>
      <c r="I23" s="584" t="str">
        <f t="shared" ca="1" si="5"/>
        <v/>
      </c>
      <c r="J23" s="584">
        <f t="shared" ca="1" si="5"/>
        <v>136.32051673607288</v>
      </c>
      <c r="K23" s="584">
        <f t="shared" ca="1" si="5"/>
        <v>131.14177897693537</v>
      </c>
      <c r="L23" s="584">
        <f t="shared" ca="1" si="5"/>
        <v>126.15977847657631</v>
      </c>
      <c r="M23" s="584">
        <f t="shared" ca="1" si="5"/>
        <v>121.36704130007335</v>
      </c>
      <c r="N23" s="584">
        <f t="shared" ca="1" si="5"/>
        <v>116.7563774429786</v>
      </c>
      <c r="O23" s="584">
        <f t="shared" ca="1" si="5"/>
        <v>112.32087004496371</v>
      </c>
      <c r="P23" s="584">
        <f t="shared" ca="1" si="5"/>
        <v>108.05386501323244</v>
      </c>
      <c r="Q23" s="584">
        <f t="shared" ca="1" si="5"/>
        <v>103.94896104013374</v>
      </c>
      <c r="R23" s="583"/>
      <c r="S23" s="583"/>
      <c r="T23" s="583"/>
      <c r="U23" s="583"/>
      <c r="V23" s="583"/>
      <c r="W23" s="583"/>
    </row>
    <row r="24" spans="1:23" hidden="1" outlineLevel="1" x14ac:dyDescent="0.3">
      <c r="A24" s="578">
        <v>7</v>
      </c>
      <c r="B24" s="583"/>
      <c r="C24" s="584" t="str">
        <f t="shared" ca="1" si="5"/>
        <v/>
      </c>
      <c r="D24" s="584" t="str">
        <f t="shared" ca="1" si="5"/>
        <v/>
      </c>
      <c r="E24" s="584" t="str">
        <f t="shared" ca="1" si="5"/>
        <v/>
      </c>
      <c r="F24" s="584" t="str">
        <f t="shared" ca="1" si="5"/>
        <v/>
      </c>
      <c r="G24" s="584" t="str">
        <f t="shared" ca="1" si="5"/>
        <v/>
      </c>
      <c r="H24" s="584" t="str">
        <f t="shared" ca="1" si="5"/>
        <v/>
      </c>
      <c r="I24" s="584">
        <f t="shared" ca="1" si="5"/>
        <v>131.14177897693537</v>
      </c>
      <c r="J24" s="584">
        <f t="shared" ca="1" si="5"/>
        <v>126.15977847657631</v>
      </c>
      <c r="K24" s="584">
        <f t="shared" ca="1" si="5"/>
        <v>121.36704130007335</v>
      </c>
      <c r="L24" s="584">
        <f t="shared" ca="1" si="5"/>
        <v>116.7563774429786</v>
      </c>
      <c r="M24" s="584">
        <f t="shared" ca="1" si="5"/>
        <v>112.32087004496371</v>
      </c>
      <c r="N24" s="584">
        <f t="shared" ca="1" si="5"/>
        <v>108.05386501323244</v>
      </c>
      <c r="O24" s="584">
        <f t="shared" ca="1" si="5"/>
        <v>103.94896104013374</v>
      </c>
      <c r="P24" s="584">
        <f t="shared" ca="1" si="5"/>
        <v>99.999999999999972</v>
      </c>
      <c r="Q24" s="584">
        <f t="shared" ca="1" si="5"/>
        <v>96.201057710803738</v>
      </c>
      <c r="R24" s="583"/>
      <c r="S24" s="583"/>
      <c r="T24" s="583"/>
      <c r="U24" s="583"/>
      <c r="V24" s="583"/>
      <c r="W24" s="583"/>
    </row>
    <row r="25" spans="1:23" hidden="1" outlineLevel="1" x14ac:dyDescent="0.3">
      <c r="A25" s="578">
        <v>6</v>
      </c>
      <c r="B25" s="583"/>
      <c r="C25" s="584" t="str">
        <f t="shared" ca="1" si="5"/>
        <v/>
      </c>
      <c r="D25" s="584" t="str">
        <f t="shared" ca="1" si="5"/>
        <v/>
      </c>
      <c r="E25" s="584" t="str">
        <f t="shared" ca="1" si="5"/>
        <v/>
      </c>
      <c r="F25" s="584" t="str">
        <f t="shared" ca="1" si="5"/>
        <v/>
      </c>
      <c r="G25" s="584" t="str">
        <f t="shared" ca="1" si="5"/>
        <v/>
      </c>
      <c r="H25" s="584">
        <f t="shared" ca="1" si="5"/>
        <v>126.15977847657631</v>
      </c>
      <c r="I25" s="584">
        <f t="shared" ca="1" si="5"/>
        <v>121.36704130007335</v>
      </c>
      <c r="J25" s="584">
        <f t="shared" ca="1" si="5"/>
        <v>116.7563774429786</v>
      </c>
      <c r="K25" s="584">
        <f t="shared" ca="1" si="5"/>
        <v>112.32087004496371</v>
      </c>
      <c r="L25" s="584">
        <f t="shared" ca="1" si="5"/>
        <v>108.05386501323244</v>
      </c>
      <c r="M25" s="584">
        <f t="shared" ca="1" si="5"/>
        <v>103.94896104013374</v>
      </c>
      <c r="N25" s="584">
        <f t="shared" ca="1" si="5"/>
        <v>99.999999999999972</v>
      </c>
      <c r="O25" s="584">
        <f t="shared" ca="1" si="5"/>
        <v>96.201057710803738</v>
      </c>
      <c r="P25" s="584">
        <f t="shared" ca="1" si="5"/>
        <v>92.546435046773937</v>
      </c>
      <c r="Q25" s="584">
        <f t="shared" ca="1" si="5"/>
        <v>89.030649388638508</v>
      </c>
      <c r="R25" s="583"/>
      <c r="S25" s="583"/>
      <c r="T25" s="583"/>
      <c r="U25" s="583"/>
      <c r="V25" s="583"/>
      <c r="W25" s="583"/>
    </row>
    <row r="26" spans="1:23" hidden="1" outlineLevel="1" x14ac:dyDescent="0.3">
      <c r="A26" s="578">
        <v>5</v>
      </c>
      <c r="C26" s="584" t="str">
        <f t="shared" ca="1" si="5"/>
        <v/>
      </c>
      <c r="D26" s="584"/>
      <c r="E26" s="584" t="str">
        <f t="shared" ca="1" si="5"/>
        <v/>
      </c>
      <c r="F26" s="584" t="str">
        <f t="shared" ca="1" si="5"/>
        <v/>
      </c>
      <c r="G26" s="584">
        <f t="shared" ca="1" si="5"/>
        <v>121.36704130007337</v>
      </c>
      <c r="H26" s="584">
        <f t="shared" ca="1" si="5"/>
        <v>116.75637744297862</v>
      </c>
      <c r="I26" s="584">
        <f t="shared" ca="1" si="5"/>
        <v>112.32087004496373</v>
      </c>
      <c r="J26" s="584">
        <f t="shared" ca="1" si="5"/>
        <v>108.05386501323245</v>
      </c>
      <c r="K26" s="584">
        <f t="shared" ca="1" si="5"/>
        <v>103.94896104013375</v>
      </c>
      <c r="L26" s="584">
        <f t="shared" ca="1" si="5"/>
        <v>99.999999999999986</v>
      </c>
      <c r="M26" s="584">
        <f t="shared" ca="1" si="5"/>
        <v>96.201057710803752</v>
      </c>
      <c r="N26" s="584">
        <f t="shared" ca="1" si="5"/>
        <v>92.546435046773951</v>
      </c>
      <c r="O26" s="584">
        <f t="shared" ca="1" si="5"/>
        <v>89.030649388638523</v>
      </c>
      <c r="P26" s="584">
        <f t="shared" ca="1" si="5"/>
        <v>85.648426398667496</v>
      </c>
      <c r="Q26" s="584">
        <f t="shared" ca="1" si="5"/>
        <v>82.394692108177395</v>
      </c>
      <c r="R26" s="584"/>
      <c r="S26" s="584"/>
      <c r="T26" s="584"/>
      <c r="U26" s="584"/>
      <c r="V26" s="584"/>
      <c r="W26" s="584"/>
    </row>
    <row r="27" spans="1:23" hidden="1" outlineLevel="1" x14ac:dyDescent="0.3">
      <c r="A27" s="578">
        <v>4</v>
      </c>
      <c r="C27" s="584" t="str">
        <f t="shared" ca="1" si="5"/>
        <v/>
      </c>
      <c r="D27" s="584" t="str">
        <f t="shared" ca="1" si="5"/>
        <v/>
      </c>
      <c r="E27" s="584" t="str">
        <f t="shared" ca="1" si="5"/>
        <v/>
      </c>
      <c r="F27" s="584">
        <f t="shared" ca="1" si="5"/>
        <v>116.75637744297862</v>
      </c>
      <c r="G27" s="584">
        <f t="shared" ca="1" si="5"/>
        <v>112.32087004496373</v>
      </c>
      <c r="H27" s="584">
        <f t="shared" ca="1" si="5"/>
        <v>108.05386501323245</v>
      </c>
      <c r="I27" s="584">
        <f t="shared" ca="1" si="5"/>
        <v>103.94896104013375</v>
      </c>
      <c r="J27" s="584">
        <f t="shared" ca="1" si="5"/>
        <v>99.999999999999986</v>
      </c>
      <c r="K27" s="584">
        <f t="shared" ca="1" si="5"/>
        <v>96.201057710803752</v>
      </c>
      <c r="L27" s="584">
        <f t="shared" ca="1" si="5"/>
        <v>92.546435046773951</v>
      </c>
      <c r="M27" s="584">
        <f t="shared" ca="1" si="5"/>
        <v>89.030649388638523</v>
      </c>
      <c r="N27" s="584">
        <f t="shared" ca="1" si="5"/>
        <v>85.648426398667496</v>
      </c>
      <c r="O27" s="584">
        <f t="shared" ca="1" si="5"/>
        <v>82.394692108177395</v>
      </c>
      <c r="P27" s="584">
        <f t="shared" ca="1" si="5"/>
        <v>79.264565305626803</v>
      </c>
      <c r="Q27" s="584">
        <f t="shared" ca="1" si="5"/>
        <v>76.253350213883778</v>
      </c>
      <c r="R27" s="584"/>
      <c r="S27" s="584"/>
      <c r="T27" s="584"/>
      <c r="U27" s="584"/>
      <c r="V27" s="584"/>
      <c r="W27" s="584"/>
    </row>
    <row r="28" spans="1:23" hidden="1" outlineLevel="1" x14ac:dyDescent="0.3">
      <c r="A28" s="578">
        <v>3</v>
      </c>
      <c r="C28" s="584" t="str">
        <f t="shared" ca="1" si="5"/>
        <v/>
      </c>
      <c r="D28" s="584" t="str">
        <f t="shared" ca="1" si="5"/>
        <v/>
      </c>
      <c r="E28" s="584">
        <f t="shared" ca="1" si="5"/>
        <v>112.32087004496373</v>
      </c>
      <c r="F28" s="584">
        <f t="shared" ca="1" si="5"/>
        <v>108.05386501323245</v>
      </c>
      <c r="G28" s="584">
        <f t="shared" ca="1" si="5"/>
        <v>103.94896104013375</v>
      </c>
      <c r="H28" s="584">
        <f t="shared" ca="1" si="5"/>
        <v>99.999999999999986</v>
      </c>
      <c r="I28" s="584">
        <f t="shared" ca="1" si="5"/>
        <v>96.201057710803752</v>
      </c>
      <c r="J28" s="584">
        <f t="shared" ca="1" si="5"/>
        <v>92.546435046773951</v>
      </c>
      <c r="K28" s="584">
        <f t="shared" ca="1" si="5"/>
        <v>89.030649388638523</v>
      </c>
      <c r="L28" s="584">
        <f t="shared" ca="1" si="5"/>
        <v>85.648426398667496</v>
      </c>
      <c r="M28" s="584">
        <f t="shared" ca="1" si="5"/>
        <v>82.394692108177395</v>
      </c>
      <c r="N28" s="584">
        <f t="shared" ca="1" si="5"/>
        <v>79.264565305626803</v>
      </c>
      <c r="O28" s="584">
        <f t="shared" ca="1" si="5"/>
        <v>76.253350213883778</v>
      </c>
      <c r="P28" s="584">
        <f t="shared" ca="1" si="5"/>
        <v>73.356529445679641</v>
      </c>
      <c r="Q28" s="584">
        <f t="shared" ca="1" si="5"/>
        <v>70.56975722668102</v>
      </c>
      <c r="R28" s="584"/>
      <c r="S28" s="584"/>
      <c r="T28" s="584"/>
      <c r="U28" s="584"/>
      <c r="V28" s="584"/>
      <c r="W28" s="584"/>
    </row>
    <row r="29" spans="1:23" hidden="1" outlineLevel="1" x14ac:dyDescent="0.3">
      <c r="A29" s="578">
        <v>2</v>
      </c>
      <c r="C29" s="584" t="str">
        <f t="shared" ca="1" si="5"/>
        <v/>
      </c>
      <c r="D29" s="584">
        <f t="shared" ca="1" si="5"/>
        <v>108.05386501323245</v>
      </c>
      <c r="E29" s="584">
        <f t="shared" ca="1" si="5"/>
        <v>103.94896104013375</v>
      </c>
      <c r="F29" s="584">
        <f t="shared" ca="1" si="5"/>
        <v>99.999999999999986</v>
      </c>
      <c r="G29" s="584">
        <f t="shared" ca="1" si="5"/>
        <v>96.201057710803752</v>
      </c>
      <c r="H29" s="584">
        <f t="shared" ca="1" si="5"/>
        <v>92.546435046773951</v>
      </c>
      <c r="I29" s="584">
        <f t="shared" ca="1" si="5"/>
        <v>89.030649388638523</v>
      </c>
      <c r="J29" s="584">
        <f t="shared" ca="1" si="5"/>
        <v>85.648426398667496</v>
      </c>
      <c r="K29" s="584">
        <f t="shared" ca="1" si="5"/>
        <v>82.394692108177395</v>
      </c>
      <c r="L29" s="584">
        <f t="shared" ca="1" si="5"/>
        <v>79.264565305626803</v>
      </c>
      <c r="M29" s="584">
        <f t="shared" ca="1" si="5"/>
        <v>76.253350213883778</v>
      </c>
      <c r="N29" s="584">
        <f t="shared" ca="1" si="5"/>
        <v>73.356529445679641</v>
      </c>
      <c r="O29" s="584">
        <f t="shared" ca="1" si="5"/>
        <v>70.56975722668102</v>
      </c>
      <c r="P29" s="584">
        <f t="shared" ca="1" si="5"/>
        <v>67.888852876013516</v>
      </c>
      <c r="Q29" s="584">
        <f t="shared" ca="1" si="5"/>
        <v>65.309794534456415</v>
      </c>
      <c r="R29" s="584"/>
      <c r="S29" s="584"/>
      <c r="T29" s="584"/>
      <c r="U29" s="584"/>
      <c r="V29" s="584"/>
      <c r="W29" s="584"/>
    </row>
    <row r="30" spans="1:23" hidden="1" outlineLevel="1" x14ac:dyDescent="0.3">
      <c r="A30" s="578">
        <v>1</v>
      </c>
      <c r="C30" s="595">
        <f t="shared" ca="1" si="5"/>
        <v>103.94896104013375</v>
      </c>
      <c r="D30" s="584">
        <f t="shared" ca="1" si="5"/>
        <v>99.999999999999986</v>
      </c>
      <c r="E30" s="584">
        <f t="shared" ca="1" si="5"/>
        <v>96.201057710803752</v>
      </c>
      <c r="F30" s="584">
        <f t="shared" ca="1" si="5"/>
        <v>92.546435046773951</v>
      </c>
      <c r="G30" s="584">
        <f t="shared" ca="1" si="5"/>
        <v>89.030649388638523</v>
      </c>
      <c r="H30" s="584">
        <f t="shared" ca="1" si="5"/>
        <v>85.648426398667496</v>
      </c>
      <c r="I30" s="584">
        <f t="shared" ca="1" si="5"/>
        <v>82.394692108177395</v>
      </c>
      <c r="J30" s="584">
        <f t="shared" ca="1" si="5"/>
        <v>79.264565305626803</v>
      </c>
      <c r="K30" s="584">
        <f t="shared" ca="1" si="5"/>
        <v>76.253350213883778</v>
      </c>
      <c r="L30" s="584">
        <f t="shared" ca="1" si="5"/>
        <v>73.356529445679641</v>
      </c>
      <c r="M30" s="584">
        <f t="shared" ca="1" si="5"/>
        <v>70.56975722668102</v>
      </c>
      <c r="N30" s="584">
        <f t="shared" ca="1" si="5"/>
        <v>67.888852876013516</v>
      </c>
      <c r="O30" s="584">
        <f t="shared" ca="1" si="5"/>
        <v>65.309794534456415</v>
      </c>
      <c r="P30" s="584">
        <f t="shared" ca="1" si="5"/>
        <v>62.828713130899779</v>
      </c>
      <c r="Q30" s="584">
        <f t="shared" ca="1" si="5"/>
        <v>60.441886578012237</v>
      </c>
      <c r="R30" s="584"/>
      <c r="S30" s="584"/>
      <c r="T30" s="584"/>
      <c r="U30" s="584"/>
      <c r="V30" s="584"/>
      <c r="W30" s="584"/>
    </row>
    <row r="31" spans="1:23" hidden="1" outlineLevel="1" x14ac:dyDescent="0.3">
      <c r="A31" s="578">
        <v>0</v>
      </c>
      <c r="B31" s="584">
        <f>$B$2</f>
        <v>100</v>
      </c>
      <c r="C31" s="584">
        <f t="shared" ca="1" si="5"/>
        <v>96.201057710803767</v>
      </c>
      <c r="D31" s="584">
        <f t="shared" ca="1" si="5"/>
        <v>92.546435046773965</v>
      </c>
      <c r="E31" s="584">
        <f t="shared" ca="1" si="5"/>
        <v>89.030649388638537</v>
      </c>
      <c r="F31" s="584">
        <f t="shared" ca="1" si="5"/>
        <v>85.64842639866751</v>
      </c>
      <c r="G31" s="584">
        <f t="shared" ca="1" si="5"/>
        <v>82.394692108177409</v>
      </c>
      <c r="H31" s="584">
        <f t="shared" ca="1" si="5"/>
        <v>79.264565305626817</v>
      </c>
      <c r="I31" s="584">
        <f t="shared" ca="1" si="5"/>
        <v>76.253350213883792</v>
      </c>
      <c r="J31" s="584">
        <f t="shared" ca="1" si="5"/>
        <v>73.356529445679655</v>
      </c>
      <c r="K31" s="584">
        <f t="shared" ca="1" si="5"/>
        <v>70.569757226681034</v>
      </c>
      <c r="L31" s="584">
        <f t="shared" ca="1" si="5"/>
        <v>67.88885287601353</v>
      </c>
      <c r="M31" s="584">
        <f t="shared" ca="1" si="5"/>
        <v>65.309794534456429</v>
      </c>
      <c r="N31" s="584">
        <f t="shared" ca="1" si="5"/>
        <v>62.828713130899793</v>
      </c>
      <c r="O31" s="584">
        <f t="shared" ca="1" si="5"/>
        <v>60.441886578012252</v>
      </c>
      <c r="P31" s="584">
        <f t="shared" ca="1" si="5"/>
        <v>58.145734188412121</v>
      </c>
      <c r="Q31" s="584">
        <f t="shared" ca="1" si="5"/>
        <v>55.936811302964898</v>
      </c>
      <c r="R31" s="584"/>
      <c r="S31" s="584"/>
      <c r="T31" s="584"/>
      <c r="U31" s="584"/>
      <c r="V31" s="584"/>
      <c r="W31" s="584"/>
    </row>
    <row r="32" spans="1:23" hidden="1" outlineLevel="1" x14ac:dyDescent="0.3">
      <c r="B32" s="585"/>
      <c r="C32" s="585"/>
      <c r="D32" s="584"/>
      <c r="E32" s="584"/>
      <c r="F32" s="584"/>
      <c r="G32" s="584"/>
      <c r="H32" s="584"/>
      <c r="I32" s="584"/>
      <c r="J32" s="584"/>
      <c r="K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</row>
    <row r="33" spans="1:24" collapsed="1" x14ac:dyDescent="0.3"/>
    <row r="34" spans="1:24" x14ac:dyDescent="0.3">
      <c r="A34" s="586" t="s">
        <v>636</v>
      </c>
    </row>
    <row r="35" spans="1:24" x14ac:dyDescent="0.3">
      <c r="B35" s="583">
        <v>0</v>
      </c>
      <c r="C35" s="583">
        <v>1</v>
      </c>
      <c r="D35" s="583">
        <v>2</v>
      </c>
      <c r="E35" s="583">
        <v>3</v>
      </c>
      <c r="F35" s="583">
        <v>4</v>
      </c>
      <c r="G35" s="583">
        <v>5</v>
      </c>
      <c r="H35" s="583">
        <v>6</v>
      </c>
      <c r="I35" s="583">
        <v>7</v>
      </c>
      <c r="J35" s="583">
        <v>8</v>
      </c>
      <c r="K35" s="583">
        <v>9</v>
      </c>
      <c r="L35" s="578">
        <v>10</v>
      </c>
      <c r="M35" s="578">
        <f>L35+1</f>
        <v>11</v>
      </c>
      <c r="N35" s="578">
        <f t="shared" ref="N35:Q35" si="6">M35+1</f>
        <v>12</v>
      </c>
      <c r="O35" s="578">
        <f t="shared" si="6"/>
        <v>13</v>
      </c>
      <c r="P35" s="578">
        <f t="shared" si="6"/>
        <v>14</v>
      </c>
      <c r="Q35" s="578">
        <f t="shared" si="6"/>
        <v>15</v>
      </c>
      <c r="R35" s="583"/>
      <c r="S35" s="583"/>
      <c r="T35" s="583"/>
      <c r="U35" s="583"/>
      <c r="V35" s="583"/>
      <c r="W35" s="583"/>
      <c r="X35" s="583"/>
    </row>
    <row r="36" spans="1:24" x14ac:dyDescent="0.3">
      <c r="A36" s="578">
        <f t="shared" ref="A36:A40" si="7">A37+1</f>
        <v>15</v>
      </c>
      <c r="B36" s="583"/>
      <c r="C36" s="583"/>
      <c r="D36" s="583"/>
      <c r="E36" s="583"/>
      <c r="F36" s="583"/>
      <c r="G36" s="583"/>
      <c r="H36" s="583"/>
      <c r="I36" s="583"/>
      <c r="J36" s="583"/>
      <c r="K36" s="583"/>
      <c r="O36" s="583"/>
      <c r="P36" s="583"/>
      <c r="Q36" s="584">
        <f t="shared" ref="Q36:Q51" ca="1" si="8">MAX($G$2*(Q16-$G$3),0)</f>
        <v>0</v>
      </c>
      <c r="R36" s="583"/>
      <c r="S36" s="583"/>
      <c r="T36" s="583"/>
      <c r="U36" s="583"/>
      <c r="V36" s="583"/>
      <c r="W36" s="583"/>
      <c r="X36" s="583"/>
    </row>
    <row r="37" spans="1:24" x14ac:dyDescent="0.3">
      <c r="A37" s="578">
        <f t="shared" si="7"/>
        <v>14</v>
      </c>
      <c r="B37" s="583"/>
      <c r="C37" s="583"/>
      <c r="D37" s="583"/>
      <c r="E37" s="583"/>
      <c r="F37" s="583"/>
      <c r="G37" s="583"/>
      <c r="H37" s="583"/>
      <c r="I37" s="583"/>
      <c r="J37" s="583"/>
      <c r="K37" s="583"/>
      <c r="O37" s="583"/>
      <c r="P37" s="587">
        <f t="shared" ref="L37:P51" ca="1" si="9">IF($A37 &lt;= P$35, ($B$10*Q36+$B$11*Q37)/EXP($B$6 * $B$3/$B$5),"")</f>
        <v>0</v>
      </c>
      <c r="Q37" s="584">
        <f t="shared" ca="1" si="8"/>
        <v>0</v>
      </c>
      <c r="R37" s="583"/>
      <c r="S37" s="583"/>
      <c r="T37" s="583"/>
      <c r="U37" s="583"/>
      <c r="V37" s="583"/>
      <c r="W37" s="583"/>
      <c r="X37" s="583"/>
    </row>
    <row r="38" spans="1:24" x14ac:dyDescent="0.3">
      <c r="A38" s="578">
        <f t="shared" si="7"/>
        <v>13</v>
      </c>
      <c r="B38" s="583"/>
      <c r="C38" s="583"/>
      <c r="D38" s="583"/>
      <c r="E38" s="583"/>
      <c r="F38" s="583"/>
      <c r="G38" s="583"/>
      <c r="H38" s="583"/>
      <c r="I38" s="583"/>
      <c r="J38" s="583"/>
      <c r="K38" s="583"/>
      <c r="O38" s="587">
        <f t="shared" ca="1" si="9"/>
        <v>0</v>
      </c>
      <c r="P38" s="587">
        <f t="shared" ca="1" si="9"/>
        <v>0</v>
      </c>
      <c r="Q38" s="584">
        <f t="shared" ca="1" si="8"/>
        <v>0</v>
      </c>
      <c r="R38" s="583"/>
      <c r="S38" s="583"/>
      <c r="T38" s="583"/>
      <c r="U38" s="583"/>
      <c r="V38" s="583"/>
      <c r="W38" s="583"/>
      <c r="X38" s="583"/>
    </row>
    <row r="39" spans="1:24" x14ac:dyDescent="0.3">
      <c r="A39" s="578">
        <f t="shared" si="7"/>
        <v>12</v>
      </c>
      <c r="B39" s="583"/>
      <c r="C39" s="583"/>
      <c r="D39" s="583"/>
      <c r="E39" s="583"/>
      <c r="F39" s="583"/>
      <c r="G39" s="583"/>
      <c r="H39" s="583"/>
      <c r="I39" s="583"/>
      <c r="J39" s="583"/>
      <c r="K39" s="583"/>
      <c r="N39" s="587">
        <f t="shared" ca="1" si="9"/>
        <v>0</v>
      </c>
      <c r="O39" s="587">
        <f t="shared" ca="1" si="9"/>
        <v>0</v>
      </c>
      <c r="P39" s="587">
        <f t="shared" ca="1" si="9"/>
        <v>0</v>
      </c>
      <c r="Q39" s="584">
        <f t="shared" ca="1" si="8"/>
        <v>0</v>
      </c>
      <c r="R39" s="583"/>
      <c r="S39" s="583"/>
      <c r="T39" s="583"/>
      <c r="U39" s="583"/>
      <c r="V39" s="583"/>
      <c r="W39" s="583"/>
      <c r="X39" s="583"/>
    </row>
    <row r="40" spans="1:24" x14ac:dyDescent="0.3">
      <c r="A40" s="578">
        <f t="shared" si="7"/>
        <v>11</v>
      </c>
      <c r="B40" s="583"/>
      <c r="C40" s="583"/>
      <c r="D40" s="583"/>
      <c r="E40" s="583"/>
      <c r="F40" s="583"/>
      <c r="G40" s="583"/>
      <c r="H40" s="583"/>
      <c r="I40" s="583"/>
      <c r="J40" s="583"/>
      <c r="K40" s="583"/>
      <c r="M40" s="587">
        <f t="shared" ca="1" si="9"/>
        <v>0</v>
      </c>
      <c r="N40" s="587">
        <f t="shared" ca="1" si="9"/>
        <v>0</v>
      </c>
      <c r="O40" s="587">
        <f t="shared" ca="1" si="9"/>
        <v>0</v>
      </c>
      <c r="P40" s="587">
        <f t="shared" ca="1" si="9"/>
        <v>0</v>
      </c>
      <c r="Q40" s="584">
        <f t="shared" ca="1" si="8"/>
        <v>0</v>
      </c>
      <c r="R40" s="583"/>
      <c r="S40" s="583"/>
      <c r="T40" s="583"/>
      <c r="U40" s="583"/>
      <c r="V40" s="583"/>
      <c r="W40" s="583"/>
      <c r="X40" s="583"/>
    </row>
    <row r="41" spans="1:24" x14ac:dyDescent="0.3">
      <c r="A41" s="578">
        <v>10</v>
      </c>
      <c r="B41" s="587" t="str">
        <f t="shared" ref="B41:K41" si="10">IF($A41 &lt;= B$35, ($B$10*C35+$B$11*C41)/EXP($B$6 * $B$3/$B$5),"")</f>
        <v/>
      </c>
      <c r="C41" s="587" t="str">
        <f t="shared" si="10"/>
        <v/>
      </c>
      <c r="D41" s="587" t="str">
        <f t="shared" si="10"/>
        <v/>
      </c>
      <c r="E41" s="587" t="str">
        <f t="shared" si="10"/>
        <v/>
      </c>
      <c r="F41" s="587" t="str">
        <f t="shared" si="10"/>
        <v/>
      </c>
      <c r="G41" s="587" t="str">
        <f t="shared" si="10"/>
        <v/>
      </c>
      <c r="H41" s="587" t="str">
        <f t="shared" si="10"/>
        <v/>
      </c>
      <c r="I41" s="587" t="str">
        <f t="shared" si="10"/>
        <v/>
      </c>
      <c r="J41" s="587" t="str">
        <f t="shared" si="10"/>
        <v/>
      </c>
      <c r="K41" s="587" t="str">
        <f t="shared" si="10"/>
        <v/>
      </c>
      <c r="L41" s="587">
        <f t="shared" ca="1" si="9"/>
        <v>0</v>
      </c>
      <c r="M41" s="587">
        <f t="shared" ca="1" si="9"/>
        <v>0</v>
      </c>
      <c r="N41" s="587">
        <f t="shared" ca="1" si="9"/>
        <v>0</v>
      </c>
      <c r="O41" s="587">
        <f t="shared" ca="1" si="9"/>
        <v>0</v>
      </c>
      <c r="P41" s="587">
        <f t="shared" ca="1" si="9"/>
        <v>0</v>
      </c>
      <c r="Q41" s="584">
        <f t="shared" ca="1" si="8"/>
        <v>0</v>
      </c>
      <c r="R41" s="583"/>
      <c r="S41" s="583"/>
      <c r="T41" s="583"/>
      <c r="U41" s="583"/>
      <c r="V41" s="583"/>
      <c r="W41" s="583"/>
      <c r="X41" s="583"/>
    </row>
    <row r="42" spans="1:24" x14ac:dyDescent="0.3">
      <c r="A42" s="578">
        <v>9</v>
      </c>
      <c r="B42" s="587" t="str">
        <f t="shared" ref="B42:K51" si="11">IF($A42 &lt;= B$35, ($B$10*C41+$B$11*C42)/EXP($B$6 * $B$3/$B$5),"")</f>
        <v/>
      </c>
      <c r="C42" s="587" t="str">
        <f t="shared" si="11"/>
        <v/>
      </c>
      <c r="D42" s="587" t="str">
        <f t="shared" si="11"/>
        <v/>
      </c>
      <c r="E42" s="587" t="str">
        <f t="shared" si="11"/>
        <v/>
      </c>
      <c r="F42" s="587" t="str">
        <f t="shared" si="11"/>
        <v/>
      </c>
      <c r="G42" s="587" t="str">
        <f t="shared" si="11"/>
        <v/>
      </c>
      <c r="H42" s="587" t="str">
        <f t="shared" si="11"/>
        <v/>
      </c>
      <c r="I42" s="587" t="str">
        <f t="shared" si="11"/>
        <v/>
      </c>
      <c r="J42" s="587" t="str">
        <f t="shared" si="11"/>
        <v/>
      </c>
      <c r="K42" s="587">
        <f t="shared" ca="1" si="11"/>
        <v>0</v>
      </c>
      <c r="L42" s="587">
        <f t="shared" ca="1" si="9"/>
        <v>0</v>
      </c>
      <c r="M42" s="587">
        <f t="shared" ca="1" si="9"/>
        <v>0</v>
      </c>
      <c r="N42" s="587">
        <f t="shared" ca="1" si="9"/>
        <v>0</v>
      </c>
      <c r="O42" s="587">
        <f t="shared" ca="1" si="9"/>
        <v>0</v>
      </c>
      <c r="P42" s="587">
        <f t="shared" ca="1" si="9"/>
        <v>0</v>
      </c>
      <c r="Q42" s="584">
        <f t="shared" ca="1" si="8"/>
        <v>0</v>
      </c>
      <c r="R42" s="583"/>
      <c r="S42" s="583"/>
      <c r="T42" s="583"/>
      <c r="U42" s="583"/>
      <c r="V42" s="583"/>
      <c r="W42" s="583"/>
      <c r="X42" s="583"/>
    </row>
    <row r="43" spans="1:24" x14ac:dyDescent="0.3">
      <c r="A43" s="578">
        <v>8</v>
      </c>
      <c r="B43" s="587" t="str">
        <f t="shared" si="11"/>
        <v/>
      </c>
      <c r="C43" s="587" t="str">
        <f t="shared" si="11"/>
        <v/>
      </c>
      <c r="D43" s="587" t="str">
        <f t="shared" si="11"/>
        <v/>
      </c>
      <c r="E43" s="587" t="str">
        <f t="shared" si="11"/>
        <v/>
      </c>
      <c r="F43" s="587" t="str">
        <f t="shared" si="11"/>
        <v/>
      </c>
      <c r="G43" s="587" t="str">
        <f t="shared" si="11"/>
        <v/>
      </c>
      <c r="H43" s="587" t="str">
        <f t="shared" si="11"/>
        <v/>
      </c>
      <c r="I43" s="587" t="str">
        <f t="shared" si="11"/>
        <v/>
      </c>
      <c r="J43" s="587">
        <f t="shared" ca="1" si="11"/>
        <v>5.2365869727484728E-2</v>
      </c>
      <c r="K43" s="587">
        <f t="shared" ca="1" si="11"/>
        <v>0.10321228922823039</v>
      </c>
      <c r="L43" s="587">
        <f t="shared" ca="1" si="9"/>
        <v>0.20342976643316729</v>
      </c>
      <c r="M43" s="587">
        <f t="shared" ca="1" si="9"/>
        <v>0.40095680640841586</v>
      </c>
      <c r="N43" s="587">
        <f t="shared" ca="1" si="9"/>
        <v>0.79027943365432896</v>
      </c>
      <c r="O43" s="587">
        <f t="shared" ca="1" si="9"/>
        <v>1.5576280868040606</v>
      </c>
      <c r="P43" s="587">
        <f t="shared" ca="1" si="9"/>
        <v>3.070059973067842</v>
      </c>
      <c r="Q43" s="584">
        <f t="shared" ca="1" si="8"/>
        <v>6.0510389598662613</v>
      </c>
      <c r="R43" s="583"/>
      <c r="S43" s="583"/>
      <c r="T43" s="583"/>
      <c r="U43" s="583"/>
      <c r="V43" s="583"/>
      <c r="W43" s="583"/>
      <c r="X43" s="583"/>
    </row>
    <row r="44" spans="1:24" x14ac:dyDescent="0.3">
      <c r="A44" s="578">
        <v>7</v>
      </c>
      <c r="B44" s="587" t="str">
        <f t="shared" si="11"/>
        <v/>
      </c>
      <c r="C44" s="587" t="str">
        <f t="shared" si="11"/>
        <v/>
      </c>
      <c r="D44" s="587" t="str">
        <f t="shared" si="11"/>
        <v/>
      </c>
      <c r="E44" s="587" t="str">
        <f t="shared" si="11"/>
        <v/>
      </c>
      <c r="F44" s="587" t="str">
        <f t="shared" si="11"/>
        <v/>
      </c>
      <c r="G44" s="587" t="str">
        <f t="shared" si="11"/>
        <v/>
      </c>
      <c r="H44" s="587" t="str">
        <f t="shared" si="11"/>
        <v/>
      </c>
      <c r="I44" s="587">
        <f t="shared" ca="1" si="11"/>
        <v>0.26682744956029508</v>
      </c>
      <c r="J44" s="587">
        <f t="shared" ca="1" si="11"/>
        <v>0.47510060174752389</v>
      </c>
      <c r="K44" s="587">
        <f t="shared" ca="1" si="11"/>
        <v>0.83626598633862426</v>
      </c>
      <c r="L44" s="587">
        <f t="shared" ca="1" si="9"/>
        <v>1.4508734344918943</v>
      </c>
      <c r="M44" s="587">
        <f t="shared" ca="1" si="9"/>
        <v>2.4705890211519717</v>
      </c>
      <c r="N44" s="587">
        <f t="shared" ca="1" si="9"/>
        <v>4.1026617994835286</v>
      </c>
      <c r="O44" s="587">
        <f t="shared" ca="1" si="9"/>
        <v>6.5748718922128528</v>
      </c>
      <c r="P44" s="587">
        <f t="shared" ca="1" si="9"/>
        <v>9.9800047216204444</v>
      </c>
      <c r="Q44" s="584">
        <f t="shared" ca="1" si="8"/>
        <v>13.798942289196262</v>
      </c>
      <c r="R44" s="583"/>
      <c r="S44" s="583"/>
      <c r="T44" s="583"/>
      <c r="U44" s="583"/>
      <c r="V44" s="583"/>
      <c r="W44" s="583"/>
      <c r="X44" s="583"/>
    </row>
    <row r="45" spans="1:24" x14ac:dyDescent="0.3">
      <c r="A45" s="578">
        <v>6</v>
      </c>
      <c r="B45" s="587" t="str">
        <f t="shared" si="11"/>
        <v/>
      </c>
      <c r="C45" s="587" t="str">
        <f t="shared" si="11"/>
        <v/>
      </c>
      <c r="D45" s="587" t="str">
        <f t="shared" si="11"/>
        <v/>
      </c>
      <c r="E45" s="587" t="str">
        <f t="shared" si="11"/>
        <v/>
      </c>
      <c r="F45" s="587" t="str">
        <f t="shared" si="11"/>
        <v/>
      </c>
      <c r="G45" s="587" t="str">
        <f t="shared" si="11"/>
        <v/>
      </c>
      <c r="H45" s="587">
        <f t="shared" ca="1" si="11"/>
        <v>0.77205976634821527</v>
      </c>
      <c r="I45" s="587">
        <f t="shared" ca="1" si="11"/>
        <v>1.262807516475253</v>
      </c>
      <c r="J45" s="587">
        <f t="shared" ca="1" si="11"/>
        <v>2.0279703815508769</v>
      </c>
      <c r="K45" s="587">
        <f t="shared" ca="1" si="11"/>
        <v>3.1856455638082677</v>
      </c>
      <c r="L45" s="587">
        <f t="shared" ca="1" si="9"/>
        <v>4.8710345310082248</v>
      </c>
      <c r="M45" s="587">
        <f t="shared" ca="1" si="9"/>
        <v>7.2034515086407973</v>
      </c>
      <c r="N45" s="587">
        <f t="shared" ca="1" si="9"/>
        <v>10.216963553921499</v>
      </c>
      <c r="O45" s="587">
        <f t="shared" ca="1" si="9"/>
        <v>13.757695070203686</v>
      </c>
      <c r="P45" s="587">
        <f t="shared" ca="1" si="9"/>
        <v>17.432327517536933</v>
      </c>
      <c r="Q45" s="584">
        <f t="shared" ca="1" si="8"/>
        <v>20.969350611361492</v>
      </c>
      <c r="R45" s="583"/>
      <c r="S45" s="583"/>
      <c r="T45" s="583"/>
      <c r="U45" s="583"/>
      <c r="V45" s="583"/>
      <c r="W45" s="583"/>
      <c r="X45" s="583"/>
    </row>
    <row r="46" spans="1:24" x14ac:dyDescent="0.3">
      <c r="A46" s="578">
        <v>5</v>
      </c>
      <c r="B46" s="587" t="str">
        <f t="shared" si="11"/>
        <v/>
      </c>
      <c r="C46" s="587" t="str">
        <f t="shared" si="11"/>
        <v/>
      </c>
      <c r="D46" s="587" t="str">
        <f t="shared" si="11"/>
        <v/>
      </c>
      <c r="E46" s="587" t="str">
        <f t="shared" si="11"/>
        <v/>
      </c>
      <c r="F46" s="587" t="str">
        <f t="shared" si="11"/>
        <v/>
      </c>
      <c r="G46" s="587">
        <f t="shared" ca="1" si="11"/>
        <v>1.6717429893533784</v>
      </c>
      <c r="H46" s="587">
        <f t="shared" ca="1" si="11"/>
        <v>2.5458281216166063</v>
      </c>
      <c r="I46" s="587">
        <f t="shared" ca="1" si="11"/>
        <v>3.7924500677091779</v>
      </c>
      <c r="J46" s="587">
        <f t="shared" ca="1" si="11"/>
        <v>5.5070636824854997</v>
      </c>
      <c r="K46" s="587">
        <f t="shared" ca="1" si="11"/>
        <v>7.763216041002992</v>
      </c>
      <c r="L46" s="587">
        <f t="shared" ca="1" si="9"/>
        <v>10.574677603845192</v>
      </c>
      <c r="M46" s="587">
        <f t="shared" ca="1" si="9"/>
        <v>13.852815904651276</v>
      </c>
      <c r="N46" s="587">
        <f t="shared" ca="1" si="9"/>
        <v>17.389881586044122</v>
      </c>
      <c r="O46" s="587">
        <f t="shared" ca="1" si="9"/>
        <v>20.925713654573286</v>
      </c>
      <c r="P46" s="587">
        <f t="shared" ca="1" si="9"/>
        <v>24.329186593335717</v>
      </c>
      <c r="Q46" s="584">
        <f t="shared" ca="1" si="8"/>
        <v>27.605307891822605</v>
      </c>
      <c r="R46" s="584"/>
      <c r="S46" s="585"/>
      <c r="T46" s="585"/>
      <c r="U46" s="585"/>
      <c r="V46" s="585"/>
      <c r="W46" s="585"/>
      <c r="X46" s="585"/>
    </row>
    <row r="47" spans="1:24" x14ac:dyDescent="0.3">
      <c r="A47" s="578">
        <v>4</v>
      </c>
      <c r="B47" s="587" t="str">
        <f t="shared" si="11"/>
        <v/>
      </c>
      <c r="C47" s="587" t="str">
        <f t="shared" si="11"/>
        <v/>
      </c>
      <c r="D47" s="587" t="str">
        <f t="shared" si="11"/>
        <v/>
      </c>
      <c r="E47" s="587" t="str">
        <f t="shared" si="11"/>
        <v/>
      </c>
      <c r="F47" s="587">
        <f t="shared" ca="1" si="11"/>
        <v>3.0188932797708858</v>
      </c>
      <c r="G47" s="587">
        <f t="shared" ca="1" si="11"/>
        <v>4.3280527452037569</v>
      </c>
      <c r="H47" s="587">
        <f t="shared" ca="1" si="11"/>
        <v>6.0602365826432525</v>
      </c>
      <c r="I47" s="587">
        <f t="shared" ca="1" si="11"/>
        <v>8.2647121151118057</v>
      </c>
      <c r="J47" s="587">
        <f t="shared" ca="1" si="11"/>
        <v>10.945962015998665</v>
      </c>
      <c r="K47" s="587">
        <f t="shared" ca="1" si="11"/>
        <v>14.041456844522878</v>
      </c>
      <c r="L47" s="587">
        <f t="shared" ca="1" si="9"/>
        <v>17.41459022522201</v>
      </c>
      <c r="M47" s="587">
        <f t="shared" ca="1" si="9"/>
        <v>20.88211566509646</v>
      </c>
      <c r="N47" s="587">
        <f t="shared" ca="1" si="9"/>
        <v>24.284442091933901</v>
      </c>
      <c r="O47" s="587">
        <f t="shared" ca="1" si="9"/>
        <v>27.559459317897581</v>
      </c>
      <c r="P47" s="587">
        <f t="shared" ca="1" si="9"/>
        <v>30.711983798187369</v>
      </c>
      <c r="Q47" s="584">
        <f t="shared" ca="1" si="8"/>
        <v>33.746649786116222</v>
      </c>
      <c r="R47" s="585"/>
      <c r="S47" s="585"/>
      <c r="T47" s="585"/>
      <c r="U47" s="585"/>
      <c r="V47" s="585"/>
      <c r="W47" s="585"/>
      <c r="X47" s="585"/>
    </row>
    <row r="48" spans="1:24" x14ac:dyDescent="0.3">
      <c r="A48" s="578">
        <v>3</v>
      </c>
      <c r="B48" s="587" t="str">
        <f t="shared" si="11"/>
        <v/>
      </c>
      <c r="C48" s="587" t="str">
        <f t="shared" si="11"/>
        <v/>
      </c>
      <c r="D48" s="587" t="str">
        <f t="shared" si="11"/>
        <v/>
      </c>
      <c r="E48" s="587">
        <f t="shared" ca="1" si="11"/>
        <v>4.8121274205451217</v>
      </c>
      <c r="F48" s="587">
        <f t="shared" ca="1" si="11"/>
        <v>6.5553120720537876</v>
      </c>
      <c r="G48" s="587">
        <f t="shared" ca="1" si="11"/>
        <v>8.7207881844459756</v>
      </c>
      <c r="H48" s="587">
        <f t="shared" ca="1" si="11"/>
        <v>11.308121991212674</v>
      </c>
      <c r="I48" s="587">
        <f t="shared" ca="1" si="11"/>
        <v>14.268653128142217</v>
      </c>
      <c r="J48" s="587">
        <f t="shared" ca="1" si="11"/>
        <v>17.50212313858535</v>
      </c>
      <c r="K48" s="587">
        <f t="shared" ca="1" si="11"/>
        <v>20.871598222036425</v>
      </c>
      <c r="L48" s="587">
        <f t="shared" ca="1" si="9"/>
        <v>24.239736918823482</v>
      </c>
      <c r="M48" s="587">
        <f t="shared" ca="1" si="9"/>
        <v>27.513650448366793</v>
      </c>
      <c r="N48" s="587">
        <f t="shared" ca="1" si="9"/>
        <v>30.665112052277721</v>
      </c>
      <c r="O48" s="587">
        <f t="shared" ca="1" si="9"/>
        <v>33.698754439374191</v>
      </c>
      <c r="P48" s="587">
        <f t="shared" ca="1" si="9"/>
        <v>36.619035067542711</v>
      </c>
      <c r="Q48" s="584">
        <f t="shared" ca="1" si="8"/>
        <v>39.43024277331898</v>
      </c>
      <c r="R48" s="585"/>
      <c r="S48" s="585"/>
      <c r="T48" s="585"/>
      <c r="U48" s="585"/>
      <c r="V48" s="585"/>
      <c r="W48" s="585"/>
      <c r="X48" s="585"/>
    </row>
    <row r="49" spans="1:24" x14ac:dyDescent="0.3">
      <c r="A49" s="578">
        <v>2</v>
      </c>
      <c r="B49" s="587" t="str">
        <f t="shared" si="11"/>
        <v/>
      </c>
      <c r="C49" s="587" t="str">
        <f t="shared" si="11"/>
        <v/>
      </c>
      <c r="D49" s="587">
        <f t="shared" ca="1" si="11"/>
        <v>7.0067416869092636</v>
      </c>
      <c r="E49" s="587">
        <f t="shared" ca="1" si="11"/>
        <v>9.140837950704876</v>
      </c>
      <c r="F49" s="587">
        <f t="shared" ca="1" si="11"/>
        <v>11.655648191529362</v>
      </c>
      <c r="G49" s="587">
        <f t="shared" ca="1" si="11"/>
        <v>14.511078736503629</v>
      </c>
      <c r="H49" s="587">
        <f t="shared" ca="1" si="11"/>
        <v>17.628526494915832</v>
      </c>
      <c r="I49" s="587">
        <f t="shared" ca="1" si="11"/>
        <v>20.900282504664442</v>
      </c>
      <c r="J49" s="587">
        <f t="shared" ca="1" si="11"/>
        <v>24.211337624074901</v>
      </c>
      <c r="K49" s="587">
        <f t="shared" ca="1" si="11"/>
        <v>27.467881253720357</v>
      </c>
      <c r="L49" s="587">
        <f t="shared" ca="1" si="9"/>
        <v>30.618280343622793</v>
      </c>
      <c r="M49" s="587">
        <f t="shared" ca="1" si="9"/>
        <v>33.650899479170292</v>
      </c>
      <c r="N49" s="587">
        <f t="shared" ca="1" si="9"/>
        <v>36.570194632676326</v>
      </c>
      <c r="O49" s="587">
        <f t="shared" ca="1" si="9"/>
        <v>39.380453211301287</v>
      </c>
      <c r="P49" s="587">
        <f t="shared" ca="1" si="9"/>
        <v>42.08580043371628</v>
      </c>
      <c r="Q49" s="584">
        <f t="shared" ca="1" si="8"/>
        <v>44.690205465543585</v>
      </c>
      <c r="R49" s="585"/>
      <c r="S49" s="585"/>
      <c r="T49" s="585"/>
      <c r="U49" s="585"/>
      <c r="V49" s="585"/>
      <c r="W49" s="585"/>
      <c r="X49" s="585"/>
    </row>
    <row r="50" spans="1:24" x14ac:dyDescent="0.3">
      <c r="A50" s="578">
        <v>1</v>
      </c>
      <c r="B50" s="587" t="str">
        <f t="shared" si="11"/>
        <v/>
      </c>
      <c r="C50" s="587">
        <f t="shared" ca="1" si="11"/>
        <v>9.5315808580178079</v>
      </c>
      <c r="D50" s="587">
        <f t="shared" ca="1" si="11"/>
        <v>11.98776181671578</v>
      </c>
      <c r="E50" s="587">
        <f t="shared" ca="1" si="11"/>
        <v>14.758083703759013</v>
      </c>
      <c r="F50" s="587">
        <f t="shared" ca="1" si="11"/>
        <v>17.778155242142741</v>
      </c>
      <c r="G50" s="587">
        <f t="shared" ca="1" si="11"/>
        <v>20.959966234076798</v>
      </c>
      <c r="H50" s="587">
        <f t="shared" ca="1" si="11"/>
        <v>24.206320698493752</v>
      </c>
      <c r="I50" s="587">
        <f t="shared" ca="1" si="11"/>
        <v>27.430159837851342</v>
      </c>
      <c r="J50" s="587">
        <f t="shared" ca="1" si="11"/>
        <v>30.5714886426072</v>
      </c>
      <c r="K50" s="587">
        <f t="shared" ca="1" si="11"/>
        <v>33.603084875767316</v>
      </c>
      <c r="L50" s="587">
        <f t="shared" ca="1" si="9"/>
        <v>36.521394891184968</v>
      </c>
      <c r="M50" s="587">
        <f t="shared" ca="1" si="9"/>
        <v>39.330704667121616</v>
      </c>
      <c r="N50" s="587">
        <f t="shared" ca="1" si="9"/>
        <v>42.035138047403287</v>
      </c>
      <c r="O50" s="587">
        <f t="shared" ca="1" si="9"/>
        <v>44.63866287481617</v>
      </c>
      <c r="P50" s="587">
        <f t="shared" ca="1" si="9"/>
        <v>47.145096892481654</v>
      </c>
      <c r="Q50" s="584">
        <f t="shared" ca="1" si="8"/>
        <v>49.558113421987763</v>
      </c>
      <c r="R50" s="585"/>
      <c r="S50" s="585"/>
      <c r="T50" s="585"/>
      <c r="U50" s="585"/>
      <c r="V50" s="585"/>
      <c r="W50" s="585"/>
      <c r="X50" s="585"/>
    </row>
    <row r="51" spans="1:24" x14ac:dyDescent="0.3">
      <c r="A51" s="578">
        <v>0</v>
      </c>
      <c r="B51" s="587">
        <f t="shared" ca="1" si="11"/>
        <v>12.30513760441559</v>
      </c>
      <c r="C51" s="587">
        <f t="shared" ca="1" si="11"/>
        <v>15.004477868421215</v>
      </c>
      <c r="D51" s="587">
        <f t="shared" ca="1" si="11"/>
        <v>17.941535346181716</v>
      </c>
      <c r="E51" s="587">
        <f t="shared" ca="1" si="11"/>
        <v>21.042310191263944</v>
      </c>
      <c r="F51" s="587">
        <f t="shared" ca="1" si="11"/>
        <v>24.223430492776853</v>
      </c>
      <c r="G51" s="587">
        <f t="shared" ca="1" si="11"/>
        <v>27.405970229411974</v>
      </c>
      <c r="H51" s="587">
        <f t="shared" ca="1" si="11"/>
        <v>30.528679371118884</v>
      </c>
      <c r="I51" s="587">
        <f t="shared" ca="1" si="11"/>
        <v>33.555310599448781</v>
      </c>
      <c r="J51" s="587">
        <f t="shared" ca="1" si="11"/>
        <v>36.472635813234547</v>
      </c>
      <c r="K51" s="587">
        <f t="shared" ca="1" si="11"/>
        <v>39.280997110832331</v>
      </c>
      <c r="L51" s="587">
        <f t="shared" ca="1" si="9"/>
        <v>41.984516961681251</v>
      </c>
      <c r="M51" s="587">
        <f t="shared" ca="1" si="9"/>
        <v>44.587161886172289</v>
      </c>
      <c r="N51" s="587">
        <f t="shared" ca="1" si="9"/>
        <v>47.092748355056521</v>
      </c>
      <c r="O51" s="587">
        <f t="shared" ca="1" si="9"/>
        <v>49.504948465684151</v>
      </c>
      <c r="P51" s="587">
        <f t="shared" ca="1" si="9"/>
        <v>51.827295403516658</v>
      </c>
      <c r="Q51" s="584">
        <f t="shared" ca="1" si="8"/>
        <v>54.063188697035102</v>
      </c>
      <c r="R51" s="585"/>
      <c r="S51" s="585"/>
      <c r="T51" s="585"/>
      <c r="U51" s="585"/>
      <c r="V51" s="585"/>
      <c r="W51" s="585"/>
      <c r="X51" s="585"/>
    </row>
    <row r="56" spans="1:24" x14ac:dyDescent="0.3">
      <c r="M56" s="578" t="s">
        <v>300</v>
      </c>
    </row>
  </sheetData>
  <mergeCells count="2">
    <mergeCell ref="A1:B1"/>
    <mergeCell ref="F1:G1"/>
  </mergeCells>
  <dataValidations count="1">
    <dataValidation type="list" allowBlank="1" showInputMessage="1" showErrorMessage="1" sqref="G2" xr:uid="{F62210D5-B743-45D7-AB35-AC104E39350D}">
      <formula1>"1, -1"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D2B5-EF76-4F50-A803-837D78F424F7}">
  <dimension ref="A1:N66"/>
  <sheetViews>
    <sheetView workbookViewId="0">
      <selection activeCell="E18" sqref="E18"/>
    </sheetView>
  </sheetViews>
  <sheetFormatPr defaultRowHeight="14.5" x14ac:dyDescent="0.35"/>
  <cols>
    <col min="1" max="1" width="4.81640625" customWidth="1"/>
    <col min="2" max="2" width="28.81640625" customWidth="1"/>
    <col min="8" max="8" width="2.81640625" customWidth="1"/>
    <col min="9" max="9" width="29.54296875" customWidth="1"/>
    <col min="10" max="12" width="10.90625" customWidth="1"/>
  </cols>
  <sheetData>
    <row r="1" spans="2:14" ht="20" x14ac:dyDescent="0.4">
      <c r="B1" s="429" t="s">
        <v>525</v>
      </c>
    </row>
    <row r="2" spans="2:14" x14ac:dyDescent="0.35">
      <c r="B2" s="481" t="s">
        <v>526</v>
      </c>
      <c r="I2" s="481" t="s">
        <v>527</v>
      </c>
    </row>
    <row r="3" spans="2:14" ht="65.75" customHeight="1" thickBot="1" x14ac:dyDescent="0.4">
      <c r="B3" s="432" t="s">
        <v>469</v>
      </c>
      <c r="C3" s="433" t="s">
        <v>470</v>
      </c>
      <c r="D3" s="433" t="s">
        <v>529</v>
      </c>
      <c r="E3" s="433" t="s">
        <v>528</v>
      </c>
      <c r="F3" s="434" t="s">
        <v>537</v>
      </c>
      <c r="G3" s="434" t="s">
        <v>462</v>
      </c>
      <c r="I3" s="432" t="s">
        <v>469</v>
      </c>
      <c r="J3" s="433" t="s">
        <v>471</v>
      </c>
      <c r="K3" s="433" t="s">
        <v>529</v>
      </c>
      <c r="L3" s="433" t="s">
        <v>528</v>
      </c>
      <c r="M3" s="434" t="s">
        <v>538</v>
      </c>
      <c r="N3" s="434" t="s">
        <v>462</v>
      </c>
    </row>
    <row r="4" spans="2:14" ht="15" thickTop="1" x14ac:dyDescent="0.35">
      <c r="B4" s="18" t="s">
        <v>472</v>
      </c>
      <c r="C4" s="2">
        <v>100</v>
      </c>
      <c r="F4" s="357"/>
      <c r="G4" s="357"/>
      <c r="I4" s="18" t="s">
        <v>472</v>
      </c>
      <c r="J4" s="2">
        <v>100</v>
      </c>
      <c r="M4" s="357"/>
      <c r="N4" s="357"/>
    </row>
    <row r="5" spans="2:14" x14ac:dyDescent="0.35">
      <c r="B5" t="s">
        <v>473</v>
      </c>
      <c r="D5" s="435">
        <v>1.2</v>
      </c>
      <c r="E5" s="2">
        <f>+C4*D5</f>
        <v>120</v>
      </c>
      <c r="F5" s="436">
        <f>+E5-C9</f>
        <v>10</v>
      </c>
      <c r="G5" s="357"/>
      <c r="I5" t="s">
        <v>473</v>
      </c>
      <c r="K5" s="435">
        <v>1.2</v>
      </c>
      <c r="L5" s="2">
        <f>+J4*K5</f>
        <v>120</v>
      </c>
      <c r="M5" s="436">
        <v>0</v>
      </c>
      <c r="N5" s="357"/>
    </row>
    <row r="6" spans="2:14" x14ac:dyDescent="0.35">
      <c r="B6" t="s">
        <v>474</v>
      </c>
      <c r="D6" s="435">
        <v>0.9</v>
      </c>
      <c r="E6" s="437">
        <f>+C4*D6</f>
        <v>90</v>
      </c>
      <c r="F6" s="436">
        <v>0</v>
      </c>
      <c r="G6" s="357"/>
      <c r="I6" t="s">
        <v>474</v>
      </c>
      <c r="K6" s="435">
        <v>0.9</v>
      </c>
      <c r="L6" s="437">
        <f>+J4*K6</f>
        <v>90</v>
      </c>
      <c r="M6" s="436">
        <f>+J9-L6</f>
        <v>20</v>
      </c>
      <c r="N6" s="357"/>
    </row>
    <row r="7" spans="2:14" ht="15" thickBot="1" x14ac:dyDescent="0.4">
      <c r="B7" s="18" t="s">
        <v>475</v>
      </c>
      <c r="D7" s="14"/>
      <c r="E7" s="438">
        <f>+E5-E6</f>
        <v>30</v>
      </c>
      <c r="F7" s="438">
        <f>+F5-F6</f>
        <v>10</v>
      </c>
      <c r="G7" s="439">
        <f>+F7/E7</f>
        <v>0.33333333333333331</v>
      </c>
      <c r="I7" s="18" t="s">
        <v>476</v>
      </c>
      <c r="K7" s="14"/>
      <c r="L7" s="438">
        <f>+L5-L6</f>
        <v>30</v>
      </c>
      <c r="M7" s="440">
        <f>+M6-M5</f>
        <v>20</v>
      </c>
      <c r="N7" s="439">
        <f>+M7/L7</f>
        <v>0.66666666666666663</v>
      </c>
    </row>
    <row r="8" spans="2:14" ht="15" thickTop="1" x14ac:dyDescent="0.35"/>
    <row r="9" spans="2:14" x14ac:dyDescent="0.35">
      <c r="B9" s="18" t="s">
        <v>477</v>
      </c>
      <c r="C9" s="2">
        <v>110</v>
      </c>
      <c r="I9" s="18" t="s">
        <v>477</v>
      </c>
      <c r="J9" s="2">
        <v>110</v>
      </c>
    </row>
    <row r="10" spans="2:14" x14ac:dyDescent="0.35">
      <c r="B10" t="s">
        <v>478</v>
      </c>
      <c r="C10">
        <v>1</v>
      </c>
      <c r="D10" t="s">
        <v>479</v>
      </c>
      <c r="I10" t="s">
        <v>478</v>
      </c>
      <c r="J10">
        <v>1</v>
      </c>
      <c r="K10" t="s">
        <v>479</v>
      </c>
    </row>
    <row r="11" spans="2:14" x14ac:dyDescent="0.35">
      <c r="B11" s="18" t="s">
        <v>480</v>
      </c>
      <c r="C11" s="441">
        <v>0.05</v>
      </c>
      <c r="D11" t="s">
        <v>536</v>
      </c>
      <c r="I11" s="18" t="s">
        <v>480</v>
      </c>
      <c r="J11" s="441">
        <v>0.05</v>
      </c>
      <c r="K11" t="s">
        <v>536</v>
      </c>
    </row>
    <row r="12" spans="2:14" x14ac:dyDescent="0.35">
      <c r="B12" s="379"/>
      <c r="I12" s="379"/>
    </row>
    <row r="13" spans="2:14" x14ac:dyDescent="0.35">
      <c r="B13" s="482" t="s">
        <v>533</v>
      </c>
      <c r="C13" s="4">
        <f>+E7</f>
        <v>30</v>
      </c>
      <c r="D13" s="8"/>
      <c r="I13" s="482" t="s">
        <v>533</v>
      </c>
      <c r="J13" s="4">
        <f>+L7</f>
        <v>30</v>
      </c>
    </row>
    <row r="14" spans="2:14" x14ac:dyDescent="0.35">
      <c r="B14" s="482" t="s">
        <v>530</v>
      </c>
      <c r="C14" s="4">
        <f>+F7</f>
        <v>10</v>
      </c>
      <c r="D14" s="8"/>
      <c r="I14" s="482" t="s">
        <v>539</v>
      </c>
      <c r="J14" s="4">
        <f>+M7</f>
        <v>20</v>
      </c>
    </row>
    <row r="15" spans="2:14" x14ac:dyDescent="0.35">
      <c r="B15" s="482" t="s">
        <v>531</v>
      </c>
      <c r="C15" s="442">
        <f>+G7</f>
        <v>0.33333333333333331</v>
      </c>
      <c r="D15" s="8"/>
      <c r="I15" s="482" t="s">
        <v>540</v>
      </c>
      <c r="J15" s="442">
        <f>+N7</f>
        <v>0.66666666666666663</v>
      </c>
    </row>
    <row r="16" spans="2:14" x14ac:dyDescent="0.35">
      <c r="B16" s="12"/>
      <c r="C16" s="4"/>
      <c r="D16" s="8"/>
      <c r="J16" s="4"/>
    </row>
    <row r="17" spans="1:14" x14ac:dyDescent="0.35">
      <c r="B17" s="482" t="s">
        <v>532</v>
      </c>
      <c r="C17" s="4">
        <f>+E6/(1+C11)^C10</f>
        <v>85.714285714285708</v>
      </c>
      <c r="D17" s="8"/>
      <c r="E17" s="4"/>
      <c r="I17" s="482" t="s">
        <v>541</v>
      </c>
      <c r="J17" s="4">
        <f>+L5/(1+J11)^J10</f>
        <v>114.28571428571428</v>
      </c>
    </row>
    <row r="18" spans="1:14" x14ac:dyDescent="0.35">
      <c r="B18" s="482" t="s">
        <v>534</v>
      </c>
      <c r="C18" s="4">
        <f>+C4-C17</f>
        <v>14.285714285714292</v>
      </c>
      <c r="D18" s="8"/>
      <c r="I18" s="482" t="s">
        <v>542</v>
      </c>
      <c r="J18" s="4">
        <f>+J17-J4</f>
        <v>14.285714285714278</v>
      </c>
    </row>
    <row r="19" spans="1:14" x14ac:dyDescent="0.35">
      <c r="B19" s="482" t="s">
        <v>535</v>
      </c>
      <c r="C19" s="4">
        <f>+C18*G7</f>
        <v>4.7619047619047636</v>
      </c>
      <c r="D19" s="8"/>
      <c r="I19" s="482" t="s">
        <v>543</v>
      </c>
      <c r="J19" s="4">
        <f>+J18*(1/N7)</f>
        <v>21.428571428571416</v>
      </c>
    </row>
    <row r="20" spans="1:14" ht="15" thickBot="1" x14ac:dyDescent="0.4">
      <c r="C20" s="4"/>
      <c r="D20" s="8"/>
      <c r="G20" s="4"/>
      <c r="J20" s="4"/>
    </row>
    <row r="21" spans="1:14" ht="15" thickBot="1" x14ac:dyDescent="0.4">
      <c r="B21" s="443" t="s">
        <v>481</v>
      </c>
      <c r="C21" s="444">
        <f>+C19</f>
        <v>4.7619047619047636</v>
      </c>
      <c r="D21" s="8"/>
      <c r="I21" s="443" t="s">
        <v>481</v>
      </c>
      <c r="J21" s="444">
        <f>+J19</f>
        <v>21.428571428571416</v>
      </c>
    </row>
    <row r="22" spans="1:14" ht="15" thickBot="1" x14ac:dyDescent="0.4"/>
    <row r="23" spans="1:14" ht="15" thickBot="1" x14ac:dyDescent="0.4">
      <c r="B23" s="445" t="s">
        <v>4</v>
      </c>
      <c r="C23" s="446">
        <f>+C9+C21</f>
        <v>114.76190476190476</v>
      </c>
      <c r="I23" s="445" t="s">
        <v>4</v>
      </c>
      <c r="J23" s="446">
        <f>+J9-J21</f>
        <v>88.571428571428584</v>
      </c>
    </row>
    <row r="24" spans="1:14" x14ac:dyDescent="0.35">
      <c r="B24" s="18" t="s">
        <v>482</v>
      </c>
      <c r="C24" s="4">
        <f>+C23-C4</f>
        <v>14.761904761904759</v>
      </c>
      <c r="I24" s="18" t="s">
        <v>482</v>
      </c>
      <c r="J24" s="4">
        <f>+J23-J4</f>
        <v>-11.428571428571416</v>
      </c>
    </row>
    <row r="25" spans="1:14" x14ac:dyDescent="0.35">
      <c r="B25" s="18" t="s">
        <v>483</v>
      </c>
      <c r="C25" s="400">
        <f>+C24/C4</f>
        <v>0.14761904761904759</v>
      </c>
      <c r="I25" s="18" t="s">
        <v>483</v>
      </c>
      <c r="J25" s="400">
        <f>+J24/J4</f>
        <v>-0.11428571428571416</v>
      </c>
    </row>
    <row r="26" spans="1:14" x14ac:dyDescent="0.35">
      <c r="H26" s="447"/>
    </row>
    <row r="27" spans="1:14" x14ac:dyDescent="0.35">
      <c r="F27" s="1"/>
      <c r="G27" s="4"/>
    </row>
    <row r="29" spans="1:14" ht="15" thickBot="1" x14ac:dyDescent="0.4">
      <c r="A29" s="395"/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</row>
    <row r="30" spans="1:14" ht="17.5" x14ac:dyDescent="0.35">
      <c r="A30" s="431" t="s">
        <v>484</v>
      </c>
    </row>
    <row r="31" spans="1:14" ht="18" thickBot="1" x14ac:dyDescent="0.4">
      <c r="A31" s="431"/>
      <c r="G31" s="380" t="s">
        <v>485</v>
      </c>
    </row>
    <row r="32" spans="1:14" x14ac:dyDescent="0.35">
      <c r="B32" s="448" t="s">
        <v>486</v>
      </c>
      <c r="C32" s="449">
        <f>1/C40</f>
        <v>0.25</v>
      </c>
      <c r="D32" s="450" t="s">
        <v>487</v>
      </c>
      <c r="G32" s="448"/>
      <c r="H32" s="451"/>
      <c r="I32" s="452" t="s">
        <v>488</v>
      </c>
      <c r="J32" s="453">
        <v>6.5</v>
      </c>
      <c r="K32" s="451"/>
      <c r="L32" s="450"/>
    </row>
    <row r="33" spans="2:12" x14ac:dyDescent="0.35">
      <c r="B33" s="454" t="str">
        <f>+B4</f>
        <v>Current Price (So)=</v>
      </c>
      <c r="C33" s="4">
        <f>+C4</f>
        <v>100</v>
      </c>
      <c r="D33" s="455"/>
      <c r="G33" s="454"/>
      <c r="I33" s="1" t="s">
        <v>489</v>
      </c>
      <c r="J33" s="456">
        <f>+C53/C54</f>
        <v>3</v>
      </c>
      <c r="L33" s="455"/>
    </row>
    <row r="34" spans="2:12" x14ac:dyDescent="0.35">
      <c r="B34" s="454" t="s">
        <v>490</v>
      </c>
      <c r="C34" s="4">
        <f>+E6</f>
        <v>90</v>
      </c>
      <c r="D34" s="455"/>
      <c r="G34" s="454"/>
      <c r="L34" s="455"/>
    </row>
    <row r="35" spans="2:12" x14ac:dyDescent="0.35">
      <c r="B35" s="454" t="s">
        <v>491</v>
      </c>
      <c r="C35" s="4">
        <f>+E5</f>
        <v>120</v>
      </c>
      <c r="D35" s="455"/>
      <c r="G35" s="457"/>
      <c r="H35" s="381"/>
      <c r="I35" s="381"/>
      <c r="J35" s="427" t="s">
        <v>492</v>
      </c>
      <c r="K35" s="427" t="s">
        <v>493</v>
      </c>
      <c r="L35" s="458" t="s">
        <v>493</v>
      </c>
    </row>
    <row r="36" spans="2:12" x14ac:dyDescent="0.35">
      <c r="B36" s="454" t="s">
        <v>494</v>
      </c>
      <c r="C36" s="66">
        <f>+C35-C34</f>
        <v>30</v>
      </c>
      <c r="D36" s="455"/>
      <c r="G36" s="459" t="s">
        <v>495</v>
      </c>
      <c r="H36" s="362" t="s">
        <v>496</v>
      </c>
      <c r="I36" s="362"/>
      <c r="J36" s="382" t="s">
        <v>497</v>
      </c>
      <c r="K36" s="460">
        <f>+E6</f>
        <v>90</v>
      </c>
      <c r="L36" s="461">
        <f>+E5</f>
        <v>120</v>
      </c>
    </row>
    <row r="37" spans="2:12" x14ac:dyDescent="0.35">
      <c r="B37" s="454"/>
      <c r="D37" s="455"/>
      <c r="G37" s="462" t="s">
        <v>498</v>
      </c>
      <c r="H37" t="s">
        <v>499</v>
      </c>
      <c r="J37" s="66">
        <f>+J32*J33</f>
        <v>19.5</v>
      </c>
      <c r="K37" s="66">
        <f>IF(K36&lt;C9,0,-(K36-$C$8)*$J$32)</f>
        <v>0</v>
      </c>
      <c r="L37" s="463">
        <f>IF(L36&lt;$C$8,0,-(L36-$C$8)*$J$32)</f>
        <v>-780</v>
      </c>
    </row>
    <row r="38" spans="2:12" x14ac:dyDescent="0.35">
      <c r="B38" s="454" t="s">
        <v>212</v>
      </c>
      <c r="C38" s="66">
        <f>IF(C35&lt;$C$8,0,(C35-$C$8))</f>
        <v>120</v>
      </c>
      <c r="D38" s="455"/>
      <c r="G38" s="462" t="s">
        <v>500</v>
      </c>
      <c r="H38" t="s">
        <v>501</v>
      </c>
      <c r="J38" s="66">
        <f>-C4</f>
        <v>-100</v>
      </c>
      <c r="K38" s="66">
        <f>+K36</f>
        <v>90</v>
      </c>
      <c r="L38" s="463">
        <f>+L36</f>
        <v>120</v>
      </c>
    </row>
    <row r="39" spans="2:12" x14ac:dyDescent="0.35">
      <c r="B39" s="454" t="s">
        <v>386</v>
      </c>
      <c r="C39" s="66">
        <f>IF(C34&lt;$C$8,0,(C34-$C$8))</f>
        <v>90</v>
      </c>
      <c r="D39" s="455"/>
      <c r="G39" s="462" t="s">
        <v>502</v>
      </c>
      <c r="H39" t="s">
        <v>503</v>
      </c>
      <c r="J39" s="464">
        <f>-J38-J37</f>
        <v>80.5</v>
      </c>
      <c r="K39" s="437">
        <f>-(+J39*(1+C11)^C10)</f>
        <v>-84.525000000000006</v>
      </c>
      <c r="L39" s="465">
        <f>+K39</f>
        <v>-84.525000000000006</v>
      </c>
    </row>
    <row r="40" spans="2:12" ht="15" thickBot="1" x14ac:dyDescent="0.4">
      <c r="B40" s="454" t="s">
        <v>504</v>
      </c>
      <c r="C40" s="466">
        <f>+C38/C36</f>
        <v>4</v>
      </c>
      <c r="D40" s="455"/>
      <c r="G40" s="454"/>
      <c r="H40" s="381" t="s">
        <v>505</v>
      </c>
      <c r="I40" s="381"/>
      <c r="J40" s="467">
        <f>+J37+J38+J39</f>
        <v>0</v>
      </c>
      <c r="K40" s="467">
        <f>SUM(K37:K39)</f>
        <v>5.4749999999999943</v>
      </c>
      <c r="L40" s="468">
        <f>SUM(L37:L39)</f>
        <v>-744.52499999999998</v>
      </c>
    </row>
    <row r="41" spans="2:12" ht="15.5" thickTop="1" thickBot="1" x14ac:dyDescent="0.4">
      <c r="B41" s="454"/>
      <c r="D41" s="455"/>
      <c r="G41" s="454"/>
      <c r="H41" t="s">
        <v>506</v>
      </c>
      <c r="J41" s="66"/>
      <c r="K41" s="66">
        <f>+K40/(1+C11)^C10</f>
        <v>5.2142857142857091</v>
      </c>
      <c r="L41" s="463">
        <f>+K41</f>
        <v>5.2142857142857091</v>
      </c>
    </row>
    <row r="42" spans="2:12" x14ac:dyDescent="0.35">
      <c r="B42" s="469" t="s">
        <v>507</v>
      </c>
      <c r="C42" s="470"/>
      <c r="D42" s="455"/>
      <c r="G42" s="454"/>
      <c r="H42" t="s">
        <v>508</v>
      </c>
      <c r="K42" s="66">
        <f>+K41/J33</f>
        <v>1.7380952380952364</v>
      </c>
      <c r="L42" s="463">
        <f>+L41/J33</f>
        <v>1.7380952380952364</v>
      </c>
    </row>
    <row r="43" spans="2:12" ht="15" thickBot="1" x14ac:dyDescent="0.4">
      <c r="B43" s="471" t="s">
        <v>509</v>
      </c>
      <c r="C43" s="472"/>
      <c r="D43" s="455"/>
      <c r="G43" s="454"/>
      <c r="L43" s="455"/>
    </row>
    <row r="44" spans="2:12" x14ac:dyDescent="0.35">
      <c r="B44" s="454"/>
      <c r="D44" s="455"/>
      <c r="G44" s="454"/>
      <c r="K44" s="1" t="s">
        <v>510</v>
      </c>
      <c r="L44" s="473">
        <f>+L42</f>
        <v>1.7380952380952364</v>
      </c>
    </row>
    <row r="45" spans="2:12" ht="15" thickBot="1" x14ac:dyDescent="0.4">
      <c r="B45" s="454" t="s">
        <v>511</v>
      </c>
      <c r="D45" s="455"/>
      <c r="G45" s="474"/>
      <c r="H45" s="395"/>
      <c r="I45" s="395"/>
      <c r="J45" s="395"/>
      <c r="K45" s="395"/>
      <c r="L45" s="475"/>
    </row>
    <row r="46" spans="2:12" x14ac:dyDescent="0.35">
      <c r="B46" s="454" t="s">
        <v>512</v>
      </c>
      <c r="D46" s="455"/>
    </row>
    <row r="47" spans="2:12" x14ac:dyDescent="0.35">
      <c r="B47" s="454"/>
      <c r="D47" s="455"/>
    </row>
    <row r="48" spans="2:12" x14ac:dyDescent="0.35">
      <c r="B48" s="476" t="s">
        <v>513</v>
      </c>
      <c r="C48" s="4">
        <f>+E5</f>
        <v>120</v>
      </c>
      <c r="D48" s="455"/>
    </row>
    <row r="49" spans="2:4" x14ac:dyDescent="0.35">
      <c r="B49" s="476" t="s">
        <v>514</v>
      </c>
      <c r="C49" s="4">
        <f>+E6</f>
        <v>90</v>
      </c>
      <c r="D49" s="455"/>
    </row>
    <row r="50" spans="2:4" x14ac:dyDescent="0.35">
      <c r="B50" s="476" t="s">
        <v>515</v>
      </c>
      <c r="C50" s="66">
        <v>110</v>
      </c>
      <c r="D50" s="455"/>
    </row>
    <row r="51" spans="2:4" x14ac:dyDescent="0.35">
      <c r="B51" s="476" t="s">
        <v>387</v>
      </c>
      <c r="C51" s="66">
        <v>10</v>
      </c>
      <c r="D51" s="455"/>
    </row>
    <row r="52" spans="2:4" x14ac:dyDescent="0.35">
      <c r="B52" s="476" t="s">
        <v>386</v>
      </c>
      <c r="C52" s="66">
        <v>0</v>
      </c>
      <c r="D52" s="455"/>
    </row>
    <row r="53" spans="2:4" x14ac:dyDescent="0.35">
      <c r="B53" s="476" t="s">
        <v>516</v>
      </c>
      <c r="C53" s="4">
        <f>+C48-C49</f>
        <v>30</v>
      </c>
      <c r="D53" s="455"/>
    </row>
    <row r="54" spans="2:4" x14ac:dyDescent="0.35">
      <c r="B54" s="476" t="s">
        <v>517</v>
      </c>
      <c r="C54" s="4">
        <f>+C51-C52</f>
        <v>10</v>
      </c>
      <c r="D54" s="455"/>
    </row>
    <row r="55" spans="2:4" x14ac:dyDescent="0.35">
      <c r="B55" s="476"/>
      <c r="C55" s="4"/>
      <c r="D55" s="455"/>
    </row>
    <row r="56" spans="2:4" ht="15" thickBot="1" x14ac:dyDescent="0.4">
      <c r="B56" s="477" t="s">
        <v>518</v>
      </c>
      <c r="C56" s="478">
        <f>+C54/C53</f>
        <v>0.33333333333333331</v>
      </c>
      <c r="D56" s="455"/>
    </row>
    <row r="57" spans="2:4" ht="15" thickTop="1" x14ac:dyDescent="0.35">
      <c r="B57" s="454"/>
      <c r="D57" s="455"/>
    </row>
    <row r="58" spans="2:4" x14ac:dyDescent="0.35">
      <c r="B58" s="479" t="s">
        <v>519</v>
      </c>
      <c r="D58" s="455"/>
    </row>
    <row r="59" spans="2:4" x14ac:dyDescent="0.35">
      <c r="B59" s="454" t="s">
        <v>520</v>
      </c>
      <c r="C59" s="442">
        <f>+C56</f>
        <v>0.33333333333333331</v>
      </c>
      <c r="D59" s="455"/>
    </row>
    <row r="60" spans="2:4" ht="43.5" x14ac:dyDescent="0.35">
      <c r="B60" s="480" t="s">
        <v>521</v>
      </c>
      <c r="C60" s="4">
        <f>+C36</f>
        <v>30</v>
      </c>
      <c r="D60" s="455"/>
    </row>
    <row r="61" spans="2:4" x14ac:dyDescent="0.35">
      <c r="B61" s="476" t="s">
        <v>522</v>
      </c>
      <c r="C61" s="66">
        <f>+C60/(1+C11)^C10</f>
        <v>28.571428571428569</v>
      </c>
      <c r="D61" s="455"/>
    </row>
    <row r="62" spans="2:4" ht="43.5" x14ac:dyDescent="0.35">
      <c r="B62" s="480" t="s">
        <v>523</v>
      </c>
      <c r="C62" s="66">
        <f>+C59*C33</f>
        <v>33.333333333333329</v>
      </c>
      <c r="D62" s="455"/>
    </row>
    <row r="63" spans="2:4" x14ac:dyDescent="0.35">
      <c r="B63" s="454"/>
      <c r="D63" s="455"/>
    </row>
    <row r="64" spans="2:4" ht="15" thickBot="1" x14ac:dyDescent="0.4">
      <c r="B64" s="454" t="s">
        <v>524</v>
      </c>
      <c r="C64" s="467">
        <f>+C62-C61</f>
        <v>4.7619047619047592</v>
      </c>
      <c r="D64" s="455"/>
    </row>
    <row r="65" spans="2:4" ht="15" thickTop="1" x14ac:dyDescent="0.35">
      <c r="B65" s="454"/>
      <c r="D65" s="455"/>
    </row>
    <row r="66" spans="2:4" ht="15" thickBot="1" x14ac:dyDescent="0.4">
      <c r="B66" s="474"/>
      <c r="C66" s="395"/>
      <c r="D66" s="47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9968-CEE4-41BA-BA46-3322FD97C0F7}">
  <dimension ref="A2:O57"/>
  <sheetViews>
    <sheetView workbookViewId="0">
      <selection activeCell="F17" sqref="F17"/>
    </sheetView>
  </sheetViews>
  <sheetFormatPr defaultRowHeight="14.5" x14ac:dyDescent="0.35"/>
  <cols>
    <col min="2" max="2" width="9" customWidth="1"/>
    <col min="3" max="3" width="23.26953125" customWidth="1"/>
    <col min="4" max="4" width="15.1796875" customWidth="1"/>
    <col min="9" max="11" width="16.54296875" customWidth="1"/>
    <col min="12" max="12" width="2.36328125" customWidth="1"/>
  </cols>
  <sheetData>
    <row r="2" spans="1:11" ht="18.5" thickBot="1" x14ac:dyDescent="0.45">
      <c r="A2" s="348" t="s">
        <v>388</v>
      </c>
    </row>
    <row r="3" spans="1:11" ht="15.5" x14ac:dyDescent="0.35">
      <c r="A3" s="349" t="s">
        <v>389</v>
      </c>
      <c r="B3" s="350" t="s">
        <v>336</v>
      </c>
      <c r="C3" s="350" t="s">
        <v>390</v>
      </c>
      <c r="D3" s="351" t="s">
        <v>391</v>
      </c>
      <c r="E3" s="350" t="s">
        <v>392</v>
      </c>
      <c r="F3" s="352" t="s">
        <v>393</v>
      </c>
      <c r="G3" s="351" t="s">
        <v>394</v>
      </c>
      <c r="I3" s="353" t="s">
        <v>395</v>
      </c>
      <c r="J3" s="354"/>
      <c r="K3" s="355"/>
    </row>
    <row r="4" spans="1:11" x14ac:dyDescent="0.35">
      <c r="A4" s="356">
        <f>ROW()</f>
        <v>4</v>
      </c>
      <c r="D4" s="357"/>
      <c r="F4" s="358"/>
      <c r="G4" s="357"/>
      <c r="I4" s="359"/>
      <c r="J4" s="360"/>
      <c r="K4" s="361"/>
    </row>
    <row r="5" spans="1:11" x14ac:dyDescent="0.35">
      <c r="A5" s="356">
        <f>ROW()</f>
        <v>5</v>
      </c>
      <c r="B5" s="362" t="s">
        <v>18</v>
      </c>
      <c r="C5" s="362"/>
      <c r="D5" s="363"/>
      <c r="E5" s="364"/>
      <c r="F5" s="365" t="s">
        <v>17</v>
      </c>
      <c r="G5" s="363"/>
      <c r="I5" s="359" t="s">
        <v>396</v>
      </c>
      <c r="J5" s="360"/>
      <c r="K5" s="366">
        <v>1</v>
      </c>
    </row>
    <row r="6" spans="1:11" x14ac:dyDescent="0.35">
      <c r="A6" s="356">
        <f>ROW()</f>
        <v>6</v>
      </c>
      <c r="D6" s="357"/>
      <c r="F6" s="358"/>
      <c r="G6" s="357"/>
      <c r="I6" s="359" t="s">
        <v>397</v>
      </c>
      <c r="J6" s="360"/>
      <c r="K6" s="367">
        <v>0.1</v>
      </c>
    </row>
    <row r="7" spans="1:11" x14ac:dyDescent="0.35">
      <c r="A7" s="356">
        <f>ROW()</f>
        <v>7</v>
      </c>
      <c r="C7" s="1" t="s">
        <v>398</v>
      </c>
      <c r="D7" s="368">
        <v>0.4</v>
      </c>
      <c r="F7" s="369" t="s">
        <v>399</v>
      </c>
      <c r="G7" s="370">
        <f>(LN(D10/D11)+(D9-D12+(D7^2)/2)*D8)/(D7*SQRT(D8))</f>
        <v>-0.10716266839310834</v>
      </c>
      <c r="I7" s="359" t="s">
        <v>400</v>
      </c>
      <c r="J7" s="360"/>
      <c r="K7" s="361">
        <v>10</v>
      </c>
    </row>
    <row r="8" spans="1:11" x14ac:dyDescent="0.35">
      <c r="A8" s="356">
        <f>ROW()</f>
        <v>8</v>
      </c>
      <c r="C8" s="1" t="s">
        <v>401</v>
      </c>
      <c r="D8" s="368">
        <v>0.5</v>
      </c>
      <c r="F8" s="369" t="s">
        <v>402</v>
      </c>
      <c r="G8" s="370">
        <f>+G7-D7*SQRT(D8)</f>
        <v>-0.3900053808677274</v>
      </c>
      <c r="I8" s="359"/>
      <c r="J8" s="360"/>
      <c r="K8" s="361"/>
    </row>
    <row r="9" spans="1:11" ht="15" thickBot="1" x14ac:dyDescent="0.4">
      <c r="A9" s="356">
        <f>ROW()</f>
        <v>9</v>
      </c>
      <c r="C9" s="1" t="s">
        <v>403</v>
      </c>
      <c r="D9" s="368">
        <v>0.05</v>
      </c>
      <c r="F9" s="369" t="s">
        <v>404</v>
      </c>
      <c r="G9" s="370">
        <f>NORMSDIST(G7)</f>
        <v>0.45732996557185823</v>
      </c>
      <c r="I9" s="371" t="s">
        <v>405</v>
      </c>
      <c r="J9" s="372" t="s">
        <v>406</v>
      </c>
      <c r="K9" s="373" t="s">
        <v>407</v>
      </c>
    </row>
    <row r="10" spans="1:11" x14ac:dyDescent="0.35">
      <c r="A10" s="356">
        <f>ROW()</f>
        <v>10</v>
      </c>
      <c r="C10" s="1" t="s">
        <v>408</v>
      </c>
      <c r="D10" s="368">
        <v>100</v>
      </c>
      <c r="F10" s="369" t="s">
        <v>409</v>
      </c>
      <c r="G10" s="370">
        <f>NORMSDIST(G8)</f>
        <v>0.34826628401034171</v>
      </c>
      <c r="I10" s="359" t="s">
        <v>410</v>
      </c>
      <c r="J10" s="374">
        <v>1</v>
      </c>
      <c r="K10" s="375">
        <f>+$K$5*((1+($K$6/J10))^($K$7*J10))</f>
        <v>2.5937424601000019</v>
      </c>
    </row>
    <row r="11" spans="1:11" ht="15" thickBot="1" x14ac:dyDescent="0.4">
      <c r="A11" s="356">
        <f>ROW()</f>
        <v>11</v>
      </c>
      <c r="C11" s="1" t="s">
        <v>360</v>
      </c>
      <c r="D11" s="368">
        <v>110</v>
      </c>
      <c r="F11" s="358"/>
      <c r="G11" s="376" t="s">
        <v>411</v>
      </c>
      <c r="I11" s="359" t="s">
        <v>412</v>
      </c>
      <c r="J11" s="374">
        <v>2</v>
      </c>
      <c r="K11" s="375">
        <f t="shared" ref="K11:K17" si="0">+$K$5*((1+($K$6/J11))^($K$7*J11))</f>
        <v>2.6532977051444209</v>
      </c>
    </row>
    <row r="12" spans="1:11" ht="15" thickBot="1" x14ac:dyDescent="0.4">
      <c r="A12" s="356">
        <f>ROW()</f>
        <v>12</v>
      </c>
      <c r="C12" s="1" t="s">
        <v>413</v>
      </c>
      <c r="D12" s="368">
        <v>0</v>
      </c>
      <c r="F12" s="377" t="s">
        <v>354</v>
      </c>
      <c r="G12" s="378">
        <f>+D10*EXP(-D12*D8)*G9-D11*EXP(-D9*D8)*G10</f>
        <v>8.3695650869241476</v>
      </c>
      <c r="I12" s="359" t="s">
        <v>414</v>
      </c>
      <c r="J12" s="374">
        <v>4</v>
      </c>
      <c r="K12" s="375">
        <f t="shared" si="0"/>
        <v>2.6850638383899672</v>
      </c>
    </row>
    <row r="13" spans="1:11" x14ac:dyDescent="0.35">
      <c r="I13" s="359" t="s">
        <v>415</v>
      </c>
      <c r="J13" s="374">
        <v>12</v>
      </c>
      <c r="K13" s="375">
        <f t="shared" si="0"/>
        <v>2.7070414908622409</v>
      </c>
    </row>
    <row r="14" spans="1:11" x14ac:dyDescent="0.35">
      <c r="I14" s="359" t="s">
        <v>416</v>
      </c>
      <c r="J14" s="374">
        <v>365</v>
      </c>
      <c r="K14" s="375">
        <f t="shared" si="0"/>
        <v>2.717909554576833</v>
      </c>
    </row>
    <row r="15" spans="1:11" x14ac:dyDescent="0.35">
      <c r="A15" s="379" t="s">
        <v>417</v>
      </c>
      <c r="B15" s="380"/>
      <c r="I15" s="359" t="s">
        <v>418</v>
      </c>
      <c r="J15" s="374">
        <f>+J14*24</f>
        <v>8760</v>
      </c>
      <c r="K15" s="375">
        <f t="shared" si="0"/>
        <v>2.7182663132921561</v>
      </c>
    </row>
    <row r="16" spans="1:11" x14ac:dyDescent="0.35">
      <c r="B16" s="381" t="s">
        <v>419</v>
      </c>
      <c r="C16" s="382" t="s">
        <v>420</v>
      </c>
      <c r="D16" s="362" t="s">
        <v>421</v>
      </c>
      <c r="E16" s="382" t="s">
        <v>422</v>
      </c>
      <c r="I16" s="359" t="s">
        <v>423</v>
      </c>
      <c r="J16" s="374">
        <f>+J15*60</f>
        <v>525600</v>
      </c>
      <c r="K16" s="375">
        <f t="shared" si="0"/>
        <v>2.7182815689664674</v>
      </c>
    </row>
    <row r="17" spans="1:14" x14ac:dyDescent="0.35">
      <c r="B17" s="380" t="s">
        <v>419</v>
      </c>
      <c r="C17">
        <f>+LN(D10/D11)</f>
        <v>-9.5310179804324893E-2</v>
      </c>
      <c r="D17" s="8">
        <f>+(D9-D12+(D7^2)/2)*D8</f>
        <v>6.5000000000000002E-2</v>
      </c>
      <c r="E17">
        <f>+D7*SQRT(D8)</f>
        <v>0.28284271247461906</v>
      </c>
      <c r="I17" s="359" t="s">
        <v>424</v>
      </c>
      <c r="J17" s="374">
        <f>+J16*60</f>
        <v>31536000</v>
      </c>
      <c r="K17" s="375">
        <f t="shared" si="0"/>
        <v>2.7182818699236142</v>
      </c>
    </row>
    <row r="18" spans="1:14" ht="15" thickBot="1" x14ac:dyDescent="0.4">
      <c r="D18" s="8"/>
      <c r="I18" s="359" t="s">
        <v>425</v>
      </c>
      <c r="J18" s="383" t="s">
        <v>426</v>
      </c>
      <c r="K18" s="375">
        <f>EXP(K5)</f>
        <v>2.7182818284590451</v>
      </c>
    </row>
    <row r="19" spans="1:14" ht="15" thickBot="1" x14ac:dyDescent="0.4">
      <c r="B19" s="384" t="s">
        <v>419</v>
      </c>
      <c r="C19" s="385">
        <f>+(C17+D17)/E17</f>
        <v>-0.10716266839310834</v>
      </c>
      <c r="D19" s="8"/>
      <c r="I19" s="386"/>
      <c r="J19" s="387"/>
      <c r="K19" s="388"/>
    </row>
    <row r="20" spans="1:14" ht="15" thickBot="1" x14ac:dyDescent="0.4">
      <c r="B20" s="384" t="s">
        <v>427</v>
      </c>
      <c r="C20" s="385">
        <f>NORMSDIST(C19)</f>
        <v>0.45732996557185823</v>
      </c>
      <c r="F20">
        <f>SQRT(0.5)</f>
        <v>0.70710678118654757</v>
      </c>
    </row>
    <row r="21" spans="1:14" ht="15" thickBot="1" x14ac:dyDescent="0.4">
      <c r="C21" s="389"/>
      <c r="I21" s="390" t="s">
        <v>428</v>
      </c>
      <c r="J21" s="391"/>
    </row>
    <row r="22" spans="1:14" ht="16" thickBot="1" x14ac:dyDescent="0.4">
      <c r="B22" s="384" t="s">
        <v>429</v>
      </c>
      <c r="C22" s="385">
        <f>+C19-(D7*SQRT(D8))</f>
        <v>-0.3900053808677274</v>
      </c>
      <c r="I22" s="392" t="s">
        <v>430</v>
      </c>
      <c r="J22" s="361"/>
    </row>
    <row r="23" spans="1:14" ht="16" thickBot="1" x14ac:dyDescent="0.4">
      <c r="B23" s="384" t="s">
        <v>431</v>
      </c>
      <c r="C23" s="385">
        <f>NORMSDIST(C22)</f>
        <v>0.34826628401034171</v>
      </c>
      <c r="E23">
        <f>EXP(-D8*D9)</f>
        <v>0.97530991202833262</v>
      </c>
      <c r="I23" s="393" t="s">
        <v>432</v>
      </c>
      <c r="J23" s="361"/>
    </row>
    <row r="24" spans="1:14" ht="16" thickBot="1" x14ac:dyDescent="0.4">
      <c r="C24" s="389"/>
      <c r="I24" s="393" t="s">
        <v>433</v>
      </c>
      <c r="J24" s="361"/>
    </row>
    <row r="25" spans="1:14" ht="15" thickBot="1" x14ac:dyDescent="0.4">
      <c r="B25" s="384" t="s">
        <v>354</v>
      </c>
      <c r="C25" s="394">
        <f>+(D10*(EXP(-D12*D8))*C20)-(D11*(EXP(-D9*D8))*C23)</f>
        <v>8.3695650869241476</v>
      </c>
      <c r="I25" s="386"/>
      <c r="J25" s="388"/>
    </row>
    <row r="26" spans="1:14" ht="15" thickBot="1" x14ac:dyDescent="0.4">
      <c r="A26" s="395"/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</row>
    <row r="27" spans="1:14" ht="18.5" thickBot="1" x14ac:dyDescent="0.45">
      <c r="A27" s="348" t="s">
        <v>434</v>
      </c>
    </row>
    <row r="28" spans="1:14" ht="15.5" x14ac:dyDescent="0.35">
      <c r="A28" s="349" t="s">
        <v>389</v>
      </c>
      <c r="B28" s="350" t="s">
        <v>336</v>
      </c>
      <c r="C28" s="350" t="s">
        <v>390</v>
      </c>
      <c r="D28" s="351" t="s">
        <v>391</v>
      </c>
      <c r="E28" s="350" t="s">
        <v>392</v>
      </c>
      <c r="F28" s="352" t="s">
        <v>393</v>
      </c>
      <c r="G28" s="351" t="s">
        <v>394</v>
      </c>
      <c r="I28" s="353" t="s">
        <v>395</v>
      </c>
      <c r="J28" s="354"/>
      <c r="K28" s="355"/>
    </row>
    <row r="29" spans="1:14" x14ac:dyDescent="0.35">
      <c r="A29" s="356">
        <f>ROW()</f>
        <v>29</v>
      </c>
      <c r="D29" s="357"/>
      <c r="F29" s="358"/>
      <c r="G29" s="357"/>
      <c r="I29" s="359"/>
      <c r="J29" s="360"/>
      <c r="K29" s="361"/>
    </row>
    <row r="30" spans="1:14" x14ac:dyDescent="0.35">
      <c r="A30" s="356">
        <f>ROW()</f>
        <v>30</v>
      </c>
      <c r="B30" s="362" t="s">
        <v>18</v>
      </c>
      <c r="C30" s="362"/>
      <c r="D30" s="363"/>
      <c r="E30" s="364"/>
      <c r="F30" s="365" t="s">
        <v>17</v>
      </c>
      <c r="G30" s="363"/>
      <c r="I30" s="359" t="s">
        <v>396</v>
      </c>
      <c r="J30" s="360"/>
      <c r="K30" s="366">
        <v>1</v>
      </c>
    </row>
    <row r="31" spans="1:14" x14ac:dyDescent="0.35">
      <c r="A31" s="356">
        <f>ROW()</f>
        <v>31</v>
      </c>
      <c r="D31" s="357"/>
      <c r="F31" s="358"/>
      <c r="G31" s="357"/>
      <c r="I31" s="359" t="s">
        <v>397</v>
      </c>
      <c r="J31" s="360"/>
      <c r="K31" s="367">
        <v>0.1</v>
      </c>
    </row>
    <row r="32" spans="1:14" x14ac:dyDescent="0.35">
      <c r="A32" s="356">
        <f>ROW()</f>
        <v>32</v>
      </c>
      <c r="C32" s="1" t="s">
        <v>398</v>
      </c>
      <c r="D32" s="368">
        <f>+D7</f>
        <v>0.4</v>
      </c>
      <c r="F32" s="369" t="s">
        <v>399</v>
      </c>
      <c r="G32" s="370">
        <f>(LN(D35/D36)+(D34-D37+(D32^2)/2)*D33)/(D32*SQRT(D33))</f>
        <v>-0.10716266839310834</v>
      </c>
      <c r="I32" s="359" t="s">
        <v>400</v>
      </c>
      <c r="J32" s="360"/>
      <c r="K32" s="361">
        <v>10</v>
      </c>
    </row>
    <row r="33" spans="1:11" x14ac:dyDescent="0.35">
      <c r="A33" s="356">
        <f>ROW()</f>
        <v>33</v>
      </c>
      <c r="C33" s="1" t="s">
        <v>401</v>
      </c>
      <c r="D33" s="368">
        <f t="shared" ref="D33:D37" si="1">+D8</f>
        <v>0.5</v>
      </c>
      <c r="F33" s="369" t="s">
        <v>402</v>
      </c>
      <c r="G33" s="370">
        <f>+G32-D32*SQRT(D33)</f>
        <v>-0.3900053808677274</v>
      </c>
      <c r="I33" s="359"/>
      <c r="J33" s="360"/>
      <c r="K33" s="361"/>
    </row>
    <row r="34" spans="1:11" ht="15" thickBot="1" x14ac:dyDescent="0.4">
      <c r="A34" s="356">
        <f>ROW()</f>
        <v>34</v>
      </c>
      <c r="C34" s="1" t="s">
        <v>403</v>
      </c>
      <c r="D34" s="368">
        <f t="shared" si="1"/>
        <v>0.05</v>
      </c>
      <c r="F34" s="369" t="s">
        <v>404</v>
      </c>
      <c r="G34" s="370">
        <f>NORMSDIST(G32)</f>
        <v>0.45732996557185823</v>
      </c>
      <c r="I34" s="371" t="s">
        <v>405</v>
      </c>
      <c r="J34" s="372" t="s">
        <v>406</v>
      </c>
      <c r="K34" s="373" t="s">
        <v>407</v>
      </c>
    </row>
    <row r="35" spans="1:11" x14ac:dyDescent="0.35">
      <c r="A35" s="356">
        <f>ROW()</f>
        <v>35</v>
      </c>
      <c r="C35" s="1" t="s">
        <v>408</v>
      </c>
      <c r="D35" s="368">
        <f t="shared" si="1"/>
        <v>100</v>
      </c>
      <c r="F35" s="369" t="s">
        <v>409</v>
      </c>
      <c r="G35" s="370">
        <f>NORMSDIST(G33)</f>
        <v>0.34826628401034171</v>
      </c>
      <c r="I35" s="359" t="s">
        <v>410</v>
      </c>
      <c r="J35" s="374">
        <v>1</v>
      </c>
      <c r="K35" s="375">
        <f>+K10</f>
        <v>2.5937424601000019</v>
      </c>
    </row>
    <row r="36" spans="1:11" ht="15" thickBot="1" x14ac:dyDescent="0.4">
      <c r="A36" s="356">
        <f>ROW()</f>
        <v>36</v>
      </c>
      <c r="C36" s="1" t="s">
        <v>360</v>
      </c>
      <c r="D36" s="368">
        <f t="shared" si="1"/>
        <v>110</v>
      </c>
      <c r="F36" s="358"/>
      <c r="G36" s="376" t="s">
        <v>411</v>
      </c>
      <c r="I36" s="359" t="s">
        <v>412</v>
      </c>
      <c r="J36" s="374">
        <v>2</v>
      </c>
      <c r="K36" s="375">
        <f t="shared" ref="K36:K42" si="2">+K11</f>
        <v>2.6532977051444209</v>
      </c>
    </row>
    <row r="37" spans="1:11" ht="15" thickBot="1" x14ac:dyDescent="0.4">
      <c r="A37" s="356">
        <f>ROW()</f>
        <v>37</v>
      </c>
      <c r="C37" s="1" t="s">
        <v>413</v>
      </c>
      <c r="D37" s="368">
        <f t="shared" si="1"/>
        <v>0</v>
      </c>
      <c r="F37" s="377" t="s">
        <v>435</v>
      </c>
      <c r="G37" s="378">
        <f>D36*EXP(-D34*D33)*(1-G35)-D35*EXP(-D37*D33)*(1-G34)</f>
        <v>15.653655410040734</v>
      </c>
      <c r="I37" s="359" t="s">
        <v>414</v>
      </c>
      <c r="J37" s="374">
        <v>4</v>
      </c>
      <c r="K37" s="375">
        <f t="shared" si="2"/>
        <v>2.6850638383899672</v>
      </c>
    </row>
    <row r="38" spans="1:11" x14ac:dyDescent="0.35">
      <c r="I38" s="359" t="s">
        <v>415</v>
      </c>
      <c r="J38" s="374">
        <v>12</v>
      </c>
      <c r="K38" s="375">
        <f t="shared" si="2"/>
        <v>2.7070414908622409</v>
      </c>
    </row>
    <row r="39" spans="1:11" x14ac:dyDescent="0.35">
      <c r="I39" s="359" t="s">
        <v>416</v>
      </c>
      <c r="J39" s="374">
        <v>365</v>
      </c>
      <c r="K39" s="375">
        <f t="shared" si="2"/>
        <v>2.717909554576833</v>
      </c>
    </row>
    <row r="40" spans="1:11" x14ac:dyDescent="0.35">
      <c r="A40" s="379" t="s">
        <v>417</v>
      </c>
      <c r="B40" s="380"/>
      <c r="I40" s="359" t="s">
        <v>418</v>
      </c>
      <c r="J40" s="374">
        <f>+J39*24</f>
        <v>8760</v>
      </c>
      <c r="K40" s="375">
        <f t="shared" si="2"/>
        <v>2.7182663132921561</v>
      </c>
    </row>
    <row r="41" spans="1:11" x14ac:dyDescent="0.35">
      <c r="B41" s="381" t="s">
        <v>419</v>
      </c>
      <c r="C41" s="382" t="s">
        <v>420</v>
      </c>
      <c r="D41" s="362" t="s">
        <v>421</v>
      </c>
      <c r="E41" s="382" t="s">
        <v>422</v>
      </c>
      <c r="I41" s="359" t="s">
        <v>423</v>
      </c>
      <c r="J41" s="374">
        <f>+J40*60</f>
        <v>525600</v>
      </c>
      <c r="K41" s="375">
        <f t="shared" si="2"/>
        <v>2.7182815689664674</v>
      </c>
    </row>
    <row r="42" spans="1:11" x14ac:dyDescent="0.35">
      <c r="B42" s="380" t="s">
        <v>419</v>
      </c>
      <c r="C42">
        <f>+LN(D35/D36)</f>
        <v>-9.5310179804324893E-2</v>
      </c>
      <c r="D42" s="8">
        <f>+(D34-D37+(D32^2)/2)*D33</f>
        <v>6.5000000000000002E-2</v>
      </c>
      <c r="E42">
        <f>+D32*SQRT(D33)</f>
        <v>0.28284271247461906</v>
      </c>
      <c r="I42" s="359" t="s">
        <v>424</v>
      </c>
      <c r="J42" s="374">
        <f>+J41*60</f>
        <v>31536000</v>
      </c>
      <c r="K42" s="375">
        <f t="shared" si="2"/>
        <v>2.7182818699236142</v>
      </c>
    </row>
    <row r="43" spans="1:11" ht="15" thickBot="1" x14ac:dyDescent="0.4">
      <c r="D43" s="8"/>
      <c r="I43" s="359" t="s">
        <v>425</v>
      </c>
      <c r="J43" s="383" t="s">
        <v>426</v>
      </c>
      <c r="K43" s="375">
        <f>EXP(K30)</f>
        <v>2.7182818284590451</v>
      </c>
    </row>
    <row r="44" spans="1:11" ht="15" thickBot="1" x14ac:dyDescent="0.4">
      <c r="B44" s="384" t="s">
        <v>419</v>
      </c>
      <c r="C44" s="396">
        <f>+(C42+D42)/E42</f>
        <v>-0.10716266839310834</v>
      </c>
      <c r="D44" s="8"/>
      <c r="I44" s="386"/>
      <c r="J44" s="387"/>
      <c r="K44" s="388"/>
    </row>
    <row r="45" spans="1:11" ht="15" thickBot="1" x14ac:dyDescent="0.4">
      <c r="B45" s="384" t="s">
        <v>427</v>
      </c>
      <c r="C45" s="396">
        <f>NORMSDIST(C44)</f>
        <v>0.45732996557185823</v>
      </c>
    </row>
    <row r="46" spans="1:11" ht="15" thickBot="1" x14ac:dyDescent="0.4">
      <c r="I46" s="390" t="s">
        <v>428</v>
      </c>
      <c r="J46" s="391"/>
    </row>
    <row r="47" spans="1:11" ht="16" thickBot="1" x14ac:dyDescent="0.4">
      <c r="B47" s="384" t="s">
        <v>429</v>
      </c>
      <c r="C47" s="396">
        <f>+C44-(D32*SQRT(D33))</f>
        <v>-0.3900053808677274</v>
      </c>
      <c r="I47" s="392" t="s">
        <v>430</v>
      </c>
      <c r="J47" s="361"/>
    </row>
    <row r="48" spans="1:11" ht="16" thickBot="1" x14ac:dyDescent="0.4">
      <c r="B48" s="384" t="s">
        <v>431</v>
      </c>
      <c r="C48" s="396">
        <f>NORMSDIST(C47)</f>
        <v>0.34826628401034171</v>
      </c>
      <c r="I48" s="393" t="s">
        <v>432</v>
      </c>
      <c r="J48" s="361"/>
    </row>
    <row r="49" spans="1:15" ht="16" thickBot="1" x14ac:dyDescent="0.4">
      <c r="I49" s="393" t="s">
        <v>433</v>
      </c>
      <c r="J49" s="361"/>
    </row>
    <row r="50" spans="1:15" ht="15" thickBot="1" x14ac:dyDescent="0.4">
      <c r="B50" s="384" t="s">
        <v>435</v>
      </c>
      <c r="C50" s="397">
        <f>+G37</f>
        <v>15.653655410040734</v>
      </c>
      <c r="I50" s="386"/>
      <c r="J50" s="388"/>
    </row>
    <row r="51" spans="1:15" ht="15" thickBot="1" x14ac:dyDescent="0.4">
      <c r="A51" s="395"/>
      <c r="B51" s="395"/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</row>
    <row r="52" spans="1:15" ht="18" x14ac:dyDescent="0.4">
      <c r="A52" s="348" t="s">
        <v>436</v>
      </c>
    </row>
    <row r="54" spans="1:15" x14ac:dyDescent="0.35">
      <c r="B54" s="8" t="s">
        <v>437</v>
      </c>
    </row>
    <row r="55" spans="1:15" x14ac:dyDescent="0.35">
      <c r="B55" s="8" t="s">
        <v>438</v>
      </c>
    </row>
    <row r="56" spans="1:15" ht="15" thickBot="1" x14ac:dyDescent="0.4"/>
    <row r="57" spans="1:15" ht="15" thickBot="1" x14ac:dyDescent="0.4">
      <c r="B57" s="398" t="s">
        <v>439</v>
      </c>
      <c r="C57" s="397">
        <f>+(D11*EXP(-D9*D8))-D10+G12</f>
        <v>15.653655410040734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BF1FA-E4F4-4053-A69B-FC56D0BA8C87}">
  <dimension ref="A1:X131"/>
  <sheetViews>
    <sheetView topLeftCell="A55" workbookViewId="0">
      <selection activeCell="O72" sqref="O72"/>
    </sheetView>
  </sheetViews>
  <sheetFormatPr defaultRowHeight="14.5" x14ac:dyDescent="0.35"/>
  <cols>
    <col min="1" max="1" width="14.26953125" style="1" customWidth="1"/>
    <col min="3" max="3" width="14.90625" customWidth="1"/>
    <col min="4" max="4" width="1.54296875" customWidth="1"/>
    <col min="5" max="5" width="4.54296875" customWidth="1"/>
    <col min="6" max="6" width="4.36328125" customWidth="1"/>
    <col min="7" max="7" width="8.26953125" style="236" customWidth="1"/>
    <col min="8" max="11" width="8.90625" style="236"/>
    <col min="12" max="12" width="9.90625" style="236" customWidth="1"/>
    <col min="13" max="14" width="8.90625" style="236"/>
    <col min="15" max="15" width="10.08984375" style="236" customWidth="1"/>
    <col min="17" max="17" width="9.26953125" customWidth="1"/>
    <col min="18" max="18" width="1.81640625" customWidth="1"/>
    <col min="19" max="19" width="1.54296875" customWidth="1"/>
  </cols>
  <sheetData>
    <row r="1" spans="1:24" ht="26" x14ac:dyDescent="0.6">
      <c r="A1" s="235" t="s">
        <v>198</v>
      </c>
      <c r="G1"/>
    </row>
    <row r="2" spans="1:24" x14ac:dyDescent="0.35">
      <c r="G2"/>
    </row>
    <row r="3" spans="1:24" ht="21" x14ac:dyDescent="0.5">
      <c r="A3" s="237" t="s">
        <v>18</v>
      </c>
      <c r="B3" s="238"/>
      <c r="C3" s="238"/>
      <c r="D3" s="238"/>
      <c r="E3" s="238"/>
      <c r="F3" s="239" t="s">
        <v>17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38"/>
      <c r="S3" s="238"/>
      <c r="T3" s="239" t="s">
        <v>199</v>
      </c>
      <c r="U3" s="240"/>
      <c r="V3" s="240"/>
      <c r="W3" s="240"/>
      <c r="X3" s="240"/>
    </row>
    <row r="4" spans="1:24" ht="7" customHeight="1" thickBot="1" x14ac:dyDescent="0.55000000000000004">
      <c r="A4"/>
      <c r="D4" s="238"/>
      <c r="G4"/>
      <c r="H4"/>
      <c r="I4"/>
      <c r="J4"/>
      <c r="K4"/>
      <c r="L4"/>
      <c r="M4"/>
      <c r="N4"/>
      <c r="O4"/>
      <c r="R4" s="238"/>
    </row>
    <row r="5" spans="1:24" ht="21" x14ac:dyDescent="0.5">
      <c r="A5" s="241" t="s">
        <v>200</v>
      </c>
      <c r="B5" s="242"/>
      <c r="C5" s="242"/>
      <c r="D5" s="238"/>
      <c r="E5" s="243" t="s">
        <v>201</v>
      </c>
      <c r="F5" s="244"/>
      <c r="G5" s="245"/>
      <c r="H5" s="245"/>
      <c r="I5" s="245"/>
      <c r="J5" s="245"/>
      <c r="K5" s="245"/>
      <c r="L5" s="245"/>
      <c r="M5" s="245"/>
      <c r="N5" s="243" t="s">
        <v>202</v>
      </c>
      <c r="O5" s="246"/>
      <c r="P5" s="246"/>
      <c r="Q5" s="247"/>
      <c r="R5" s="238"/>
      <c r="S5" s="248"/>
      <c r="T5" s="249" t="s">
        <v>203</v>
      </c>
      <c r="U5" s="249"/>
      <c r="V5" s="249"/>
      <c r="W5" s="249"/>
      <c r="X5" s="249"/>
    </row>
    <row r="6" spans="1:24" ht="21" x14ac:dyDescent="0.5">
      <c r="A6" s="250"/>
      <c r="B6" s="242"/>
      <c r="C6" s="242"/>
      <c r="D6" s="238"/>
      <c r="E6" s="251"/>
      <c r="F6" s="252"/>
      <c r="G6" s="251" t="s">
        <v>204</v>
      </c>
      <c r="H6" s="251"/>
      <c r="I6" s="251" t="s">
        <v>205</v>
      </c>
      <c r="J6" s="251"/>
      <c r="K6" s="251"/>
      <c r="L6" s="251"/>
      <c r="M6" s="251"/>
      <c r="N6" s="251"/>
      <c r="O6" s="251"/>
      <c r="P6" s="251"/>
      <c r="Q6" s="251"/>
      <c r="R6" s="238"/>
      <c r="S6" s="248"/>
      <c r="T6" s="249" t="s">
        <v>206</v>
      </c>
      <c r="U6" s="249"/>
      <c r="V6" s="249"/>
      <c r="W6" s="249"/>
      <c r="X6" s="249"/>
    </row>
    <row r="7" spans="1:24" ht="21.5" thickBot="1" x14ac:dyDescent="0.55000000000000004">
      <c r="A7" s="253" t="s">
        <v>207</v>
      </c>
      <c r="B7" s="254">
        <v>100</v>
      </c>
      <c r="C7" s="255"/>
      <c r="D7" s="238"/>
      <c r="E7" s="256"/>
      <c r="F7" s="257"/>
      <c r="G7" s="256"/>
      <c r="H7" s="256"/>
      <c r="I7" s="256"/>
      <c r="J7" s="256"/>
      <c r="K7" s="256"/>
      <c r="L7" s="256"/>
      <c r="M7" s="256"/>
      <c r="N7" s="258" t="s">
        <v>208</v>
      </c>
      <c r="O7" s="259" t="s">
        <v>209</v>
      </c>
      <c r="P7" s="260">
        <f>+I8-I12</f>
        <v>30</v>
      </c>
      <c r="Q7" s="261"/>
      <c r="R7" s="262"/>
      <c r="S7" s="248"/>
      <c r="T7" s="249"/>
      <c r="U7" s="249"/>
      <c r="V7" s="249"/>
      <c r="W7" s="249"/>
      <c r="X7" s="249"/>
    </row>
    <row r="8" spans="1:24" ht="21.5" thickBot="1" x14ac:dyDescent="0.55000000000000004">
      <c r="A8" s="253" t="s">
        <v>210</v>
      </c>
      <c r="B8" s="263">
        <v>1.2</v>
      </c>
      <c r="C8" s="264"/>
      <c r="D8" s="238"/>
      <c r="E8" s="256"/>
      <c r="F8" s="257"/>
      <c r="G8" s="256"/>
      <c r="H8" s="265" t="s">
        <v>211</v>
      </c>
      <c r="I8" s="266">
        <f>+G10*B8</f>
        <v>120</v>
      </c>
      <c r="J8" s="260"/>
      <c r="K8" s="265" t="s">
        <v>212</v>
      </c>
      <c r="L8" s="267">
        <f>MAX(0,I8-B10)</f>
        <v>10</v>
      </c>
      <c r="M8" s="256"/>
      <c r="N8" s="258" t="s">
        <v>213</v>
      </c>
      <c r="O8" s="259" t="s">
        <v>214</v>
      </c>
      <c r="P8" s="260">
        <f>+L8-L12</f>
        <v>10</v>
      </c>
      <c r="Q8" s="261"/>
      <c r="R8" s="262"/>
      <c r="S8" s="248"/>
      <c r="T8" s="249"/>
      <c r="U8" s="249"/>
      <c r="V8" s="249"/>
      <c r="W8" s="249"/>
      <c r="X8" s="249"/>
    </row>
    <row r="9" spans="1:24" ht="15" thickBot="1" x14ac:dyDescent="0.4">
      <c r="A9" s="253" t="s">
        <v>215</v>
      </c>
      <c r="B9" s="263">
        <v>0.9</v>
      </c>
      <c r="C9" s="264"/>
      <c r="D9" s="268"/>
      <c r="E9" s="256"/>
      <c r="F9" s="257"/>
      <c r="G9" s="256"/>
      <c r="H9" s="256"/>
      <c r="I9" s="256"/>
      <c r="J9" s="256"/>
      <c r="K9" s="256"/>
      <c r="L9" s="256"/>
      <c r="M9" s="256"/>
      <c r="N9" s="258" t="s">
        <v>216</v>
      </c>
      <c r="O9" s="259" t="s">
        <v>217</v>
      </c>
      <c r="P9" s="269">
        <f>+P8/P7</f>
        <v>0.33333333333333331</v>
      </c>
      <c r="Q9" s="261"/>
      <c r="R9" s="268"/>
      <c r="S9" s="248"/>
      <c r="T9" s="249" t="s">
        <v>218</v>
      </c>
      <c r="U9" s="249"/>
      <c r="V9" s="249"/>
      <c r="W9" s="249"/>
      <c r="X9" s="249"/>
    </row>
    <row r="10" spans="1:24" ht="15" thickBot="1" x14ac:dyDescent="0.4">
      <c r="A10" s="253" t="s">
        <v>219</v>
      </c>
      <c r="B10" s="254">
        <v>110</v>
      </c>
      <c r="C10" s="255"/>
      <c r="D10" s="270"/>
      <c r="E10" s="256"/>
      <c r="F10" s="271" t="s">
        <v>220</v>
      </c>
      <c r="G10" s="272">
        <f>+B7</f>
        <v>100</v>
      </c>
      <c r="H10" s="256"/>
      <c r="I10" s="256"/>
      <c r="J10" s="265"/>
      <c r="K10" s="273">
        <f>+((L8*G14)+(G15*L12))/((1+B11)^B12)</f>
        <v>4.7619047619047636</v>
      </c>
      <c r="L10" s="265"/>
      <c r="M10" s="256"/>
      <c r="N10" s="258"/>
      <c r="O10" s="259"/>
      <c r="P10" s="260"/>
      <c r="Q10" s="261"/>
      <c r="R10" s="270"/>
      <c r="S10" s="248"/>
      <c r="T10" s="249" t="s">
        <v>221</v>
      </c>
      <c r="U10" s="249"/>
      <c r="V10" s="249"/>
      <c r="W10" s="249"/>
      <c r="X10" s="249"/>
    </row>
    <row r="11" spans="1:24" ht="15" thickBot="1" x14ac:dyDescent="0.4">
      <c r="A11" s="253" t="s">
        <v>222</v>
      </c>
      <c r="B11" s="274">
        <v>0.05</v>
      </c>
      <c r="C11" s="275"/>
      <c r="D11" s="276"/>
      <c r="E11" s="256"/>
      <c r="F11" s="257"/>
      <c r="G11" s="256"/>
      <c r="H11" s="256"/>
      <c r="I11" s="256"/>
      <c r="J11" s="256"/>
      <c r="K11" s="256"/>
      <c r="L11" s="256"/>
      <c r="M11" s="256"/>
      <c r="N11" s="258" t="s">
        <v>223</v>
      </c>
      <c r="O11" s="259" t="s">
        <v>224</v>
      </c>
      <c r="P11" s="260">
        <f>+I12/((1+B11)^B12)</f>
        <v>85.714285714285708</v>
      </c>
      <c r="Q11" s="261"/>
      <c r="R11" s="276"/>
      <c r="S11" s="248"/>
      <c r="T11" s="249"/>
      <c r="U11" s="249"/>
      <c r="V11" s="249"/>
      <c r="W11" s="249"/>
      <c r="X11" s="249"/>
    </row>
    <row r="12" spans="1:24" ht="15" thickBot="1" x14ac:dyDescent="0.4">
      <c r="A12" s="253" t="s">
        <v>225</v>
      </c>
      <c r="B12" s="277">
        <v>1</v>
      </c>
      <c r="C12" s="278"/>
      <c r="D12" s="279"/>
      <c r="E12" s="256"/>
      <c r="F12" s="257"/>
      <c r="G12" s="256"/>
      <c r="H12" s="265" t="s">
        <v>226</v>
      </c>
      <c r="I12" s="266">
        <f>+G10*B9</f>
        <v>90</v>
      </c>
      <c r="J12" s="260"/>
      <c r="K12" s="265" t="s">
        <v>227</v>
      </c>
      <c r="L12" s="267">
        <f>MAX(0,I12-B10)</f>
        <v>0</v>
      </c>
      <c r="M12" s="256"/>
      <c r="N12" s="258" t="s">
        <v>228</v>
      </c>
      <c r="O12" s="259" t="s">
        <v>229</v>
      </c>
      <c r="P12" s="260">
        <f>+G10-P11</f>
        <v>14.285714285714292</v>
      </c>
      <c r="Q12" s="261"/>
      <c r="R12" s="279"/>
      <c r="S12" s="248"/>
      <c r="T12" s="249" t="s">
        <v>230</v>
      </c>
      <c r="U12" s="249"/>
      <c r="V12" s="249"/>
      <c r="W12" s="249"/>
      <c r="X12" s="249"/>
    </row>
    <row r="13" spans="1:24" ht="15" thickBot="1" x14ac:dyDescent="0.4">
      <c r="A13" s="280" t="s">
        <v>231</v>
      </c>
      <c r="B13" s="277">
        <v>1</v>
      </c>
      <c r="C13" s="281"/>
      <c r="D13" s="13"/>
      <c r="E13" s="256"/>
      <c r="F13" s="257"/>
      <c r="G13" s="256"/>
      <c r="H13" s="256"/>
      <c r="I13" s="256"/>
      <c r="J13" s="256"/>
      <c r="K13" s="256"/>
      <c r="L13" s="256"/>
      <c r="M13" s="256"/>
      <c r="N13" s="258" t="s">
        <v>232</v>
      </c>
      <c r="O13" s="259" t="s">
        <v>233</v>
      </c>
      <c r="P13" s="269">
        <f>+P12*P9</f>
        <v>4.7619047619047636</v>
      </c>
      <c r="Q13" s="261"/>
      <c r="R13" s="13"/>
      <c r="S13" s="248"/>
      <c r="T13" s="249"/>
      <c r="U13" s="249"/>
      <c r="V13" s="249"/>
      <c r="W13" s="249"/>
      <c r="X13" s="249"/>
    </row>
    <row r="14" spans="1:24" x14ac:dyDescent="0.35">
      <c r="A14" s="250"/>
      <c r="B14" s="242"/>
      <c r="C14" s="281"/>
      <c r="D14" s="279"/>
      <c r="E14" s="256"/>
      <c r="F14" s="282" t="s">
        <v>234</v>
      </c>
      <c r="G14" s="283">
        <f>+((1+B11)-B9)/(B8-B9)</f>
        <v>0.50000000000000022</v>
      </c>
      <c r="H14" s="256"/>
      <c r="I14" s="256"/>
      <c r="J14" s="265"/>
      <c r="K14" s="256"/>
      <c r="L14" s="256"/>
      <c r="M14" s="256"/>
      <c r="N14" s="258"/>
      <c r="O14" s="260"/>
      <c r="P14" s="260"/>
      <c r="Q14" s="261"/>
      <c r="R14" s="279"/>
      <c r="S14" s="248"/>
      <c r="T14" s="249"/>
      <c r="U14" s="249"/>
      <c r="V14" s="249"/>
      <c r="W14" s="249"/>
      <c r="X14" s="249"/>
    </row>
    <row r="15" spans="1:24" x14ac:dyDescent="0.35">
      <c r="A15" s="250"/>
      <c r="B15" s="242"/>
      <c r="C15" s="281"/>
      <c r="D15" s="279"/>
      <c r="E15" s="256"/>
      <c r="F15" s="282" t="s">
        <v>235</v>
      </c>
      <c r="G15" s="283">
        <f>1-G14</f>
        <v>0.49999999999999978</v>
      </c>
      <c r="H15" s="256"/>
      <c r="I15" s="256"/>
      <c r="J15" s="256"/>
      <c r="K15" s="256"/>
      <c r="L15" s="256"/>
      <c r="M15" s="256"/>
      <c r="N15" s="258"/>
      <c r="O15" s="260"/>
      <c r="P15" s="260"/>
      <c r="Q15" s="261"/>
      <c r="R15" s="279"/>
      <c r="S15" s="248"/>
      <c r="T15" s="249" t="s">
        <v>236</v>
      </c>
      <c r="U15" s="249"/>
      <c r="V15" s="249"/>
      <c r="W15" s="249"/>
      <c r="X15" s="249"/>
    </row>
    <row r="16" spans="1:24" ht="15" thickBot="1" x14ac:dyDescent="0.4">
      <c r="A16" s="250"/>
      <c r="B16" s="242"/>
      <c r="C16" s="242"/>
      <c r="D16" s="13"/>
      <c r="E16" s="256"/>
      <c r="F16" s="257"/>
      <c r="G16" s="256"/>
      <c r="H16" s="256"/>
      <c r="I16" s="256"/>
      <c r="J16" s="256"/>
      <c r="K16" s="256"/>
      <c r="L16" s="256"/>
      <c r="M16" s="256"/>
      <c r="N16" s="284"/>
      <c r="O16" s="285"/>
      <c r="P16" s="285"/>
      <c r="Q16" s="286"/>
      <c r="R16" s="13"/>
      <c r="S16" s="248"/>
      <c r="T16" s="249"/>
      <c r="U16" s="249"/>
      <c r="V16" s="249"/>
      <c r="W16" s="249"/>
      <c r="X16" s="249"/>
    </row>
    <row r="17" spans="1:24" ht="15" thickBot="1" x14ac:dyDescent="0.4">
      <c r="D17" s="13"/>
      <c r="R17" s="13"/>
      <c r="T17" s="53"/>
      <c r="U17" s="53"/>
      <c r="V17" s="53"/>
      <c r="W17" s="53"/>
      <c r="X17" s="53"/>
    </row>
    <row r="18" spans="1:24" ht="15" thickBot="1" x14ac:dyDescent="0.4">
      <c r="D18" s="13"/>
      <c r="F18" s="287" t="s">
        <v>237</v>
      </c>
      <c r="G18" s="288">
        <f>+K10</f>
        <v>4.7619047619047636</v>
      </c>
      <c r="H18" s="236" t="s">
        <v>238</v>
      </c>
      <c r="L18" s="287" t="s">
        <v>239</v>
      </c>
      <c r="M18" s="289">
        <f>+(L8-L12)/(I8-I12)</f>
        <v>0.33333333333333331</v>
      </c>
      <c r="N18" s="236" t="s">
        <v>240</v>
      </c>
      <c r="R18" s="13"/>
      <c r="T18" s="53"/>
      <c r="U18" s="53"/>
      <c r="V18" s="53"/>
      <c r="W18" s="53"/>
      <c r="X18" s="53"/>
    </row>
    <row r="19" spans="1:24" ht="15" thickBot="1" x14ac:dyDescent="0.4">
      <c r="D19" s="13"/>
      <c r="F19" s="287" t="s">
        <v>241</v>
      </c>
      <c r="G19" s="288">
        <f>+K10</f>
        <v>4.7619047619047636</v>
      </c>
      <c r="H19" s="236" t="s">
        <v>242</v>
      </c>
      <c r="N19" s="290" t="s">
        <v>243</v>
      </c>
      <c r="R19" s="13"/>
      <c r="T19" s="53"/>
      <c r="U19" s="53"/>
      <c r="V19" s="53"/>
      <c r="W19" s="53"/>
      <c r="X19" s="53"/>
    </row>
    <row r="20" spans="1:24" ht="15" thickBot="1" x14ac:dyDescent="0.4">
      <c r="D20" s="13"/>
      <c r="F20" s="291"/>
      <c r="G20" s="292"/>
      <c r="R20" s="13"/>
      <c r="T20" s="53"/>
      <c r="U20" s="53"/>
      <c r="V20" s="53"/>
      <c r="W20" s="53"/>
      <c r="X20" s="53"/>
    </row>
    <row r="21" spans="1:24" ht="21" x14ac:dyDescent="0.5">
      <c r="A21" s="241" t="s">
        <v>244</v>
      </c>
      <c r="B21" s="242"/>
      <c r="C21" s="242"/>
      <c r="D21" s="238"/>
      <c r="E21" s="243" t="s">
        <v>201</v>
      </c>
      <c r="F21" s="244"/>
      <c r="G21" s="245"/>
      <c r="H21" s="245"/>
      <c r="I21" s="245"/>
      <c r="J21" s="245"/>
      <c r="K21" s="245"/>
      <c r="L21" s="245"/>
      <c r="M21" s="245"/>
      <c r="N21" s="243" t="s">
        <v>202</v>
      </c>
      <c r="O21" s="246"/>
      <c r="P21" s="246"/>
      <c r="Q21" s="247"/>
      <c r="R21" s="238"/>
      <c r="S21" s="248"/>
      <c r="T21" s="249" t="s">
        <v>203</v>
      </c>
      <c r="U21" s="249"/>
      <c r="V21" s="249"/>
      <c r="W21" s="249"/>
      <c r="X21" s="249"/>
    </row>
    <row r="22" spans="1:24" ht="21" x14ac:dyDescent="0.5">
      <c r="A22" s="250"/>
      <c r="B22" s="242"/>
      <c r="C22" s="242"/>
      <c r="D22" s="238"/>
      <c r="E22" s="251"/>
      <c r="F22" s="252"/>
      <c r="G22" s="251" t="s">
        <v>204</v>
      </c>
      <c r="H22" s="251"/>
      <c r="I22" s="251" t="s">
        <v>205</v>
      </c>
      <c r="J22" s="251"/>
      <c r="K22" s="251"/>
      <c r="L22" s="251"/>
      <c r="M22" s="251"/>
      <c r="N22" s="251"/>
      <c r="O22" s="251"/>
      <c r="P22" s="251"/>
      <c r="Q22" s="251"/>
      <c r="R22" s="238"/>
      <c r="S22" s="248"/>
      <c r="T22" s="249" t="s">
        <v>206</v>
      </c>
      <c r="U22" s="249"/>
      <c r="V22" s="249"/>
      <c r="W22" s="249"/>
      <c r="X22" s="249"/>
    </row>
    <row r="23" spans="1:24" ht="21.5" thickBot="1" x14ac:dyDescent="0.55000000000000004">
      <c r="A23" s="253" t="s">
        <v>207</v>
      </c>
      <c r="B23" s="254">
        <v>100</v>
      </c>
      <c r="C23" s="255"/>
      <c r="D23" s="238"/>
      <c r="E23" s="256"/>
      <c r="F23" s="257"/>
      <c r="G23" s="256"/>
      <c r="H23" s="256"/>
      <c r="I23" s="256"/>
      <c r="J23" s="256"/>
      <c r="K23" s="256"/>
      <c r="L23" s="256"/>
      <c r="M23" s="256"/>
      <c r="N23" s="258" t="s">
        <v>208</v>
      </c>
      <c r="O23" s="259" t="s">
        <v>209</v>
      </c>
      <c r="P23" s="260">
        <f>+I24-I28</f>
        <v>30</v>
      </c>
      <c r="Q23" s="261"/>
      <c r="R23" s="262"/>
      <c r="S23" s="248"/>
      <c r="T23" s="249"/>
      <c r="U23" s="249"/>
      <c r="V23" s="249"/>
      <c r="W23" s="249"/>
      <c r="X23" s="249"/>
    </row>
    <row r="24" spans="1:24" ht="21.5" thickBot="1" x14ac:dyDescent="0.55000000000000004">
      <c r="A24" s="253" t="s">
        <v>210</v>
      </c>
      <c r="B24" s="263">
        <v>1.2</v>
      </c>
      <c r="C24" s="264"/>
      <c r="D24" s="238"/>
      <c r="E24" s="256"/>
      <c r="F24" s="257"/>
      <c r="G24" s="256"/>
      <c r="H24" s="265" t="s">
        <v>211</v>
      </c>
      <c r="I24" s="266">
        <f>+G26*B24</f>
        <v>120</v>
      </c>
      <c r="J24" s="260"/>
      <c r="K24" s="265" t="s">
        <v>245</v>
      </c>
      <c r="L24" s="267">
        <f>MAX(0,B26-I24)</f>
        <v>0</v>
      </c>
      <c r="M24" s="256"/>
      <c r="N24" s="258" t="s">
        <v>213</v>
      </c>
      <c r="O24" s="259" t="s">
        <v>246</v>
      </c>
      <c r="P24" s="260">
        <f>-L24+L28</f>
        <v>20</v>
      </c>
      <c r="Q24" s="261"/>
      <c r="R24" s="262"/>
      <c r="S24" s="248"/>
      <c r="T24" s="249"/>
      <c r="U24" s="249"/>
      <c r="V24" s="249"/>
      <c r="W24" s="249"/>
      <c r="X24" s="249"/>
    </row>
    <row r="25" spans="1:24" ht="15" thickBot="1" x14ac:dyDescent="0.4">
      <c r="A25" s="253" t="s">
        <v>215</v>
      </c>
      <c r="B25" s="263">
        <v>0.9</v>
      </c>
      <c r="C25" s="264"/>
      <c r="D25" s="268"/>
      <c r="E25" s="256"/>
      <c r="F25" s="257"/>
      <c r="G25" s="256"/>
      <c r="H25" s="256"/>
      <c r="I25" s="256"/>
      <c r="J25" s="256"/>
      <c r="K25" s="256"/>
      <c r="L25" s="256"/>
      <c r="M25" s="256"/>
      <c r="N25" s="258" t="s">
        <v>216</v>
      </c>
      <c r="O25" s="259" t="s">
        <v>217</v>
      </c>
      <c r="P25" s="269">
        <f>+P24/P23</f>
        <v>0.66666666666666663</v>
      </c>
      <c r="Q25" s="261"/>
      <c r="R25" s="268"/>
      <c r="S25" s="248"/>
      <c r="T25" s="249" t="s">
        <v>247</v>
      </c>
      <c r="U25" s="249"/>
      <c r="V25" s="249"/>
      <c r="W25" s="249"/>
      <c r="X25" s="249"/>
    </row>
    <row r="26" spans="1:24" ht="15" thickBot="1" x14ac:dyDescent="0.4">
      <c r="A26" s="253" t="s">
        <v>219</v>
      </c>
      <c r="B26" s="254">
        <v>110</v>
      </c>
      <c r="C26" s="255"/>
      <c r="D26" s="270"/>
      <c r="E26" s="256"/>
      <c r="F26" s="271" t="s">
        <v>220</v>
      </c>
      <c r="G26" s="272">
        <f>+B23</f>
        <v>100</v>
      </c>
      <c r="H26" s="256"/>
      <c r="I26" s="256"/>
      <c r="J26" s="265"/>
      <c r="K26" s="273">
        <f>+((L24*G30)+(G31*L28))/((1+B27)^B28)</f>
        <v>9.5238095238095202</v>
      </c>
      <c r="L26" s="265"/>
      <c r="M26" s="256"/>
      <c r="N26" s="258"/>
      <c r="O26" s="259"/>
      <c r="P26" s="260"/>
      <c r="Q26" s="261"/>
      <c r="R26" s="270"/>
      <c r="S26" s="248"/>
      <c r="T26" s="249" t="s">
        <v>248</v>
      </c>
      <c r="U26" s="249"/>
      <c r="V26" s="249"/>
      <c r="W26" s="249"/>
      <c r="X26" s="249"/>
    </row>
    <row r="27" spans="1:24" ht="15" thickBot="1" x14ac:dyDescent="0.4">
      <c r="A27" s="253" t="s">
        <v>222</v>
      </c>
      <c r="B27" s="274">
        <v>0.05</v>
      </c>
      <c r="C27" s="275"/>
      <c r="D27" s="276"/>
      <c r="E27" s="256"/>
      <c r="F27" s="257"/>
      <c r="G27" s="256"/>
      <c r="H27" s="256"/>
      <c r="I27" s="256"/>
      <c r="J27" s="256"/>
      <c r="K27" s="256"/>
      <c r="L27" s="256"/>
      <c r="M27" s="256"/>
      <c r="N27" s="258" t="s">
        <v>223</v>
      </c>
      <c r="O27" s="259" t="s">
        <v>249</v>
      </c>
      <c r="P27" s="260">
        <f>+I24/((1+B27)^B28)</f>
        <v>114.28571428571428</v>
      </c>
      <c r="Q27" s="261"/>
      <c r="R27" s="276"/>
      <c r="S27" s="248"/>
      <c r="T27" s="249"/>
      <c r="U27" s="249"/>
      <c r="V27" s="249"/>
      <c r="W27" s="249"/>
      <c r="X27" s="249"/>
    </row>
    <row r="28" spans="1:24" ht="15" thickBot="1" x14ac:dyDescent="0.4">
      <c r="A28" s="253" t="s">
        <v>225</v>
      </c>
      <c r="B28" s="277">
        <v>1</v>
      </c>
      <c r="C28" s="278"/>
      <c r="D28" s="279"/>
      <c r="E28" s="256"/>
      <c r="F28" s="257"/>
      <c r="G28" s="256"/>
      <c r="H28" s="265" t="s">
        <v>226</v>
      </c>
      <c r="I28" s="266">
        <f>+G26*B25</f>
        <v>90</v>
      </c>
      <c r="J28" s="260"/>
      <c r="K28" s="265" t="s">
        <v>250</v>
      </c>
      <c r="L28" s="267">
        <f>MAX(0,B26-I28)</f>
        <v>20</v>
      </c>
      <c r="M28" s="256"/>
      <c r="N28" s="258" t="s">
        <v>228</v>
      </c>
      <c r="O28" s="259" t="s">
        <v>251</v>
      </c>
      <c r="P28" s="260">
        <f>+P27-G26</f>
        <v>14.285714285714278</v>
      </c>
      <c r="Q28" s="261"/>
      <c r="R28" s="279"/>
      <c r="S28" s="248"/>
      <c r="T28" s="249" t="s">
        <v>230</v>
      </c>
      <c r="U28" s="249"/>
      <c r="V28" s="249"/>
      <c r="W28" s="249"/>
      <c r="X28" s="249"/>
    </row>
    <row r="29" spans="1:24" ht="15" thickBot="1" x14ac:dyDescent="0.4">
      <c r="A29" s="280" t="s">
        <v>231</v>
      </c>
      <c r="B29" s="277">
        <v>1</v>
      </c>
      <c r="C29" s="281"/>
      <c r="D29" s="13"/>
      <c r="E29" s="256"/>
      <c r="F29" s="257"/>
      <c r="G29" s="256"/>
      <c r="H29" s="256"/>
      <c r="I29" s="256"/>
      <c r="J29" s="256"/>
      <c r="K29" s="256"/>
      <c r="L29" s="256"/>
      <c r="M29" s="256"/>
      <c r="N29" s="258" t="s">
        <v>232</v>
      </c>
      <c r="O29" s="259" t="s">
        <v>252</v>
      </c>
      <c r="P29" s="269">
        <f>+P28*P25</f>
        <v>9.5238095238095184</v>
      </c>
      <c r="Q29" s="261"/>
      <c r="R29" s="13"/>
      <c r="S29" s="248"/>
      <c r="T29" s="249"/>
      <c r="U29" s="249"/>
      <c r="V29" s="249"/>
      <c r="W29" s="249"/>
      <c r="X29" s="249"/>
    </row>
    <row r="30" spans="1:24" x14ac:dyDescent="0.35">
      <c r="A30" s="250"/>
      <c r="B30" s="242"/>
      <c r="C30" s="281"/>
      <c r="D30" s="279"/>
      <c r="E30" s="256"/>
      <c r="F30" s="282" t="s">
        <v>234</v>
      </c>
      <c r="G30" s="283">
        <f>+((1+B27)-B25)/(B24-B25)</f>
        <v>0.50000000000000022</v>
      </c>
      <c r="H30" s="256"/>
      <c r="I30" s="256"/>
      <c r="J30" s="265"/>
      <c r="K30" s="256"/>
      <c r="L30" s="256"/>
      <c r="M30" s="256"/>
      <c r="N30" s="258"/>
      <c r="O30" s="260"/>
      <c r="P30" s="260"/>
      <c r="Q30" s="261"/>
      <c r="R30" s="279"/>
      <c r="S30" s="248"/>
      <c r="T30" s="249"/>
      <c r="U30" s="249"/>
      <c r="V30" s="249"/>
      <c r="W30" s="249"/>
      <c r="X30" s="249"/>
    </row>
    <row r="31" spans="1:24" x14ac:dyDescent="0.35">
      <c r="A31" s="250"/>
      <c r="B31" s="242"/>
      <c r="C31" s="281"/>
      <c r="D31" s="279"/>
      <c r="E31" s="256"/>
      <c r="F31" s="282" t="s">
        <v>235</v>
      </c>
      <c r="G31" s="283">
        <f>1-G30</f>
        <v>0.49999999999999978</v>
      </c>
      <c r="H31" s="256"/>
      <c r="I31" s="256"/>
      <c r="J31" s="256"/>
      <c r="K31" s="256"/>
      <c r="L31" s="256"/>
      <c r="M31" s="256"/>
      <c r="N31" s="258"/>
      <c r="O31" s="260"/>
      <c r="P31" s="260"/>
      <c r="Q31" s="261"/>
      <c r="R31" s="279"/>
      <c r="S31" s="248"/>
      <c r="T31" s="249" t="s">
        <v>253</v>
      </c>
      <c r="U31" s="249"/>
      <c r="V31" s="249"/>
      <c r="W31" s="249"/>
      <c r="X31" s="249"/>
    </row>
    <row r="32" spans="1:24" ht="15" thickBot="1" x14ac:dyDescent="0.4">
      <c r="A32" s="250"/>
      <c r="B32" s="242"/>
      <c r="C32" s="242"/>
      <c r="D32" s="13"/>
      <c r="E32" s="256"/>
      <c r="F32" s="257"/>
      <c r="G32" s="256"/>
      <c r="H32" s="256"/>
      <c r="I32" s="256"/>
      <c r="J32" s="256"/>
      <c r="K32" s="256"/>
      <c r="L32" s="256"/>
      <c r="M32" s="256"/>
      <c r="N32" s="284"/>
      <c r="O32" s="285"/>
      <c r="P32" s="285"/>
      <c r="Q32" s="286"/>
      <c r="R32" s="13"/>
      <c r="S32" s="248"/>
      <c r="T32" s="249"/>
      <c r="U32" s="249"/>
      <c r="V32" s="249"/>
      <c r="W32" s="249"/>
      <c r="X32" s="249"/>
    </row>
    <row r="33" spans="1:24" ht="15" thickBot="1" x14ac:dyDescent="0.4">
      <c r="D33" s="13"/>
      <c r="R33" s="13"/>
      <c r="T33" s="53"/>
      <c r="U33" s="53"/>
      <c r="V33" s="53"/>
      <c r="W33" s="53"/>
      <c r="X33" s="53"/>
    </row>
    <row r="34" spans="1:24" ht="15" thickBot="1" x14ac:dyDescent="0.4">
      <c r="D34" s="13"/>
      <c r="F34" s="287" t="s">
        <v>254</v>
      </c>
      <c r="G34" s="288">
        <f>+K26</f>
        <v>9.5238095238095202</v>
      </c>
      <c r="H34" s="236" t="s">
        <v>238</v>
      </c>
      <c r="L34" s="287" t="s">
        <v>239</v>
      </c>
      <c r="M34" s="289">
        <f>-(L24-L28)/(I24-I28)</f>
        <v>0.66666666666666663</v>
      </c>
      <c r="N34" s="236" t="s">
        <v>255</v>
      </c>
      <c r="R34" s="13"/>
      <c r="T34" s="53"/>
      <c r="U34" s="53"/>
      <c r="V34" s="53"/>
      <c r="W34" s="53"/>
      <c r="X34" s="53"/>
    </row>
    <row r="35" spans="1:24" ht="15" thickBot="1" x14ac:dyDescent="0.4">
      <c r="D35" s="13"/>
      <c r="F35" s="287" t="s">
        <v>256</v>
      </c>
      <c r="G35" s="288">
        <f>+K26</f>
        <v>9.5238095238095202</v>
      </c>
      <c r="H35" s="236" t="s">
        <v>242</v>
      </c>
      <c r="N35" s="293" t="s">
        <v>257</v>
      </c>
      <c r="R35" s="13"/>
      <c r="T35" s="53"/>
      <c r="U35" s="53"/>
      <c r="V35" s="53"/>
      <c r="W35" s="53"/>
      <c r="X35" s="53"/>
    </row>
    <row r="36" spans="1:24" x14ac:dyDescent="0.35">
      <c r="D36" s="13"/>
      <c r="G36"/>
      <c r="H36"/>
      <c r="I36"/>
      <c r="J36"/>
      <c r="K36"/>
      <c r="L36"/>
      <c r="M36"/>
      <c r="N36"/>
      <c r="O36"/>
      <c r="R36" s="13"/>
      <c r="T36" s="53"/>
      <c r="U36" s="53"/>
      <c r="V36" s="53"/>
      <c r="W36" s="53"/>
      <c r="X36" s="53"/>
    </row>
    <row r="37" spans="1:24" ht="21" x14ac:dyDescent="0.5">
      <c r="A37" s="241" t="s">
        <v>258</v>
      </c>
      <c r="B37" s="242"/>
      <c r="C37" s="242"/>
      <c r="D37" s="238"/>
      <c r="E37" s="251"/>
      <c r="F37" s="252"/>
      <c r="G37" s="251" t="s">
        <v>204</v>
      </c>
      <c r="H37" s="251"/>
      <c r="I37" s="251" t="s">
        <v>205</v>
      </c>
      <c r="J37" s="251"/>
      <c r="K37" s="251" t="s">
        <v>259</v>
      </c>
      <c r="L37" s="251"/>
      <c r="M37" s="251"/>
      <c r="N37" s="251"/>
      <c r="O37" s="251"/>
      <c r="P37" s="251"/>
      <c r="Q37" s="251"/>
      <c r="R37" s="238"/>
      <c r="S37" s="248"/>
      <c r="T37" s="249" t="s">
        <v>203</v>
      </c>
      <c r="U37" s="249"/>
      <c r="V37" s="249"/>
      <c r="W37" s="249"/>
      <c r="X37" s="249"/>
    </row>
    <row r="38" spans="1:24" ht="21.5" thickBot="1" x14ac:dyDescent="0.55000000000000004">
      <c r="A38" s="250"/>
      <c r="B38" s="242"/>
      <c r="C38" s="242"/>
      <c r="D38" s="238"/>
      <c r="E38" s="256"/>
      <c r="F38" s="257"/>
      <c r="G38" s="256"/>
      <c r="H38" s="256"/>
      <c r="I38" s="256"/>
      <c r="J38" s="265" t="s">
        <v>260</v>
      </c>
      <c r="K38" s="294">
        <f>+I40*B40</f>
        <v>93.75</v>
      </c>
      <c r="L38" s="256"/>
      <c r="M38" s="256"/>
      <c r="N38" s="265" t="s">
        <v>261</v>
      </c>
      <c r="O38" s="267">
        <f>MAX(0,K38-B42)</f>
        <v>38.75</v>
      </c>
      <c r="P38" s="256"/>
      <c r="Q38" s="256"/>
      <c r="R38" s="238"/>
      <c r="S38" s="248"/>
      <c r="T38" s="249" t="s">
        <v>206</v>
      </c>
      <c r="U38" s="249"/>
      <c r="V38" s="249"/>
      <c r="W38" s="249"/>
      <c r="X38" s="249"/>
    </row>
    <row r="39" spans="1:24" ht="21.5" thickBot="1" x14ac:dyDescent="0.55000000000000004">
      <c r="A39" s="253" t="s">
        <v>207</v>
      </c>
      <c r="B39" s="254">
        <v>60</v>
      </c>
      <c r="C39" s="255"/>
      <c r="D39" s="238"/>
      <c r="E39" s="256"/>
      <c r="F39" s="257"/>
      <c r="G39" s="256"/>
      <c r="H39" s="256"/>
      <c r="I39" s="256"/>
      <c r="J39" s="256"/>
      <c r="K39" s="260"/>
      <c r="L39" s="256"/>
      <c r="M39" s="256"/>
      <c r="N39" s="256"/>
      <c r="O39" s="295" t="s">
        <v>262</v>
      </c>
      <c r="P39" s="256"/>
      <c r="Q39" s="256"/>
      <c r="R39" s="262"/>
      <c r="S39" s="248"/>
      <c r="T39" s="249" t="s">
        <v>263</v>
      </c>
      <c r="U39" s="249"/>
      <c r="V39" s="249"/>
      <c r="W39" s="249"/>
      <c r="X39" s="249"/>
    </row>
    <row r="40" spans="1:24" ht="21.5" thickBot="1" x14ac:dyDescent="0.55000000000000004">
      <c r="A40" s="253" t="s">
        <v>210</v>
      </c>
      <c r="B40" s="263">
        <v>1.25</v>
      </c>
      <c r="C40" s="264"/>
      <c r="D40" s="238"/>
      <c r="E40" s="256"/>
      <c r="F40" s="257"/>
      <c r="G40" s="256"/>
      <c r="H40" s="265" t="s">
        <v>211</v>
      </c>
      <c r="I40" s="266">
        <f>+G42*B40</f>
        <v>75</v>
      </c>
      <c r="J40" s="260"/>
      <c r="K40" s="260"/>
      <c r="L40" s="260" t="s">
        <v>264</v>
      </c>
      <c r="M40" s="273">
        <f>+((O38*G46)+(G47*O42))/(1+B43/B44)</f>
        <v>21.859903381642507</v>
      </c>
      <c r="N40" s="256"/>
      <c r="O40" s="260"/>
      <c r="P40" s="256"/>
      <c r="Q40" s="256"/>
      <c r="R40" s="262"/>
      <c r="S40" s="248"/>
      <c r="T40" s="249" t="s">
        <v>265</v>
      </c>
      <c r="U40" s="249"/>
      <c r="V40" s="249"/>
      <c r="W40" s="249"/>
      <c r="X40" s="249"/>
    </row>
    <row r="41" spans="1:24" ht="15" thickBot="1" x14ac:dyDescent="0.4">
      <c r="A41" s="253" t="s">
        <v>215</v>
      </c>
      <c r="B41" s="263">
        <v>0.8</v>
      </c>
      <c r="C41" s="264"/>
      <c r="D41" s="268"/>
      <c r="E41" s="256"/>
      <c r="F41" s="257"/>
      <c r="G41" s="256"/>
      <c r="H41" s="256"/>
      <c r="I41" s="267">
        <f>MAX(0,I40-$B$42)</f>
        <v>20</v>
      </c>
      <c r="J41" s="256"/>
      <c r="K41" s="256"/>
      <c r="L41" s="256"/>
      <c r="M41" s="256"/>
      <c r="N41" s="256"/>
      <c r="O41" s="256"/>
      <c r="P41" s="256"/>
      <c r="Q41" s="256"/>
      <c r="R41" s="268"/>
      <c r="S41" s="248"/>
      <c r="T41" s="249" t="s">
        <v>266</v>
      </c>
      <c r="U41" s="249"/>
      <c r="V41" s="249"/>
      <c r="W41" s="249"/>
      <c r="X41" s="249"/>
    </row>
    <row r="42" spans="1:24" ht="15" thickBot="1" x14ac:dyDescent="0.4">
      <c r="A42" s="253" t="s">
        <v>219</v>
      </c>
      <c r="B42" s="254">
        <v>55</v>
      </c>
      <c r="C42" s="255"/>
      <c r="D42" s="270"/>
      <c r="E42" s="256"/>
      <c r="F42" s="271" t="s">
        <v>220</v>
      </c>
      <c r="G42" s="272">
        <f>+B39</f>
        <v>60</v>
      </c>
      <c r="H42" s="256"/>
      <c r="I42" s="295" t="s">
        <v>262</v>
      </c>
      <c r="J42" s="265"/>
      <c r="K42" s="266">
        <f>+I44*B40</f>
        <v>60</v>
      </c>
      <c r="L42" s="265"/>
      <c r="M42" s="265"/>
      <c r="N42" s="265" t="s">
        <v>267</v>
      </c>
      <c r="O42" s="296">
        <f>MAX(0,K42-B42)</f>
        <v>5</v>
      </c>
      <c r="P42" s="256"/>
      <c r="Q42" s="256"/>
      <c r="R42" s="270"/>
      <c r="S42" s="248"/>
      <c r="T42" s="249" t="s">
        <v>268</v>
      </c>
      <c r="U42" s="249"/>
      <c r="V42" s="249"/>
      <c r="W42" s="249"/>
      <c r="X42" s="249"/>
    </row>
    <row r="43" spans="1:24" ht="15" thickBot="1" x14ac:dyDescent="0.4">
      <c r="A43" s="253" t="s">
        <v>222</v>
      </c>
      <c r="B43" s="274">
        <v>3.5000000000000003E-2</v>
      </c>
      <c r="C43" s="275"/>
      <c r="D43" s="276"/>
      <c r="E43" s="256"/>
      <c r="F43" s="257"/>
      <c r="G43" s="256"/>
      <c r="H43" s="256"/>
      <c r="I43" s="256"/>
      <c r="J43" s="256"/>
      <c r="K43" s="260"/>
      <c r="L43" s="256"/>
      <c r="M43" s="256"/>
      <c r="N43" s="256"/>
      <c r="O43" s="295" t="s">
        <v>262</v>
      </c>
      <c r="P43" s="256"/>
      <c r="Q43" s="256"/>
      <c r="R43" s="276"/>
      <c r="S43" s="248"/>
      <c r="T43" s="249" t="s">
        <v>269</v>
      </c>
      <c r="U43" s="249"/>
      <c r="V43" s="249"/>
      <c r="W43" s="249"/>
      <c r="X43" s="249"/>
    </row>
    <row r="44" spans="1:24" ht="15" thickBot="1" x14ac:dyDescent="0.4">
      <c r="A44" s="253" t="s">
        <v>225</v>
      </c>
      <c r="B44" s="277">
        <v>1</v>
      </c>
      <c r="C44" s="278"/>
      <c r="D44" s="279"/>
      <c r="E44" s="256"/>
      <c r="F44" s="257"/>
      <c r="G44" s="256"/>
      <c r="H44" s="265" t="s">
        <v>226</v>
      </c>
      <c r="I44" s="266">
        <f>+G42*B41</f>
        <v>48</v>
      </c>
      <c r="J44" s="260"/>
      <c r="K44" s="260"/>
      <c r="L44" s="260" t="s">
        <v>270</v>
      </c>
      <c r="M44" s="273">
        <f>+((O42*G46)+(G47*O46))/(1+B43/B44)</f>
        <v>2.5228126677402032</v>
      </c>
      <c r="N44" s="256"/>
      <c r="O44" s="260"/>
      <c r="P44" s="256"/>
      <c r="Q44" s="256"/>
      <c r="R44" s="279"/>
      <c r="S44" s="248"/>
      <c r="T44" s="249" t="s">
        <v>230</v>
      </c>
      <c r="U44" s="249"/>
      <c r="V44" s="249"/>
      <c r="W44" s="249"/>
      <c r="X44" s="249"/>
    </row>
    <row r="45" spans="1:24" ht="15" thickBot="1" x14ac:dyDescent="0.4">
      <c r="A45" s="280" t="s">
        <v>231</v>
      </c>
      <c r="B45" s="277">
        <v>2</v>
      </c>
      <c r="C45" s="281"/>
      <c r="D45" s="13"/>
      <c r="E45" s="256"/>
      <c r="F45" s="257"/>
      <c r="G45" s="256"/>
      <c r="H45" s="256"/>
      <c r="I45" s="267">
        <f>MAX(0,I44-$B$42)</f>
        <v>0</v>
      </c>
      <c r="J45" s="256"/>
      <c r="K45" s="256"/>
      <c r="L45" s="256"/>
      <c r="M45" s="256"/>
      <c r="N45" s="256"/>
      <c r="O45" s="256"/>
      <c r="P45" s="256"/>
      <c r="Q45" s="256"/>
      <c r="R45" s="13"/>
      <c r="S45" s="248"/>
      <c r="T45" s="249" t="s">
        <v>271</v>
      </c>
      <c r="U45" s="249"/>
      <c r="V45" s="249"/>
      <c r="W45" s="249"/>
      <c r="X45" s="249"/>
    </row>
    <row r="46" spans="1:24" ht="15" thickBot="1" x14ac:dyDescent="0.4">
      <c r="A46" s="250"/>
      <c r="B46" s="242"/>
      <c r="C46" s="281"/>
      <c r="D46" s="279"/>
      <c r="E46" s="256"/>
      <c r="F46" s="297" t="s">
        <v>234</v>
      </c>
      <c r="G46" s="298">
        <f>+((1+B43)-B41)/(B40-B41)</f>
        <v>0.52222222222222203</v>
      </c>
      <c r="H46" s="256"/>
      <c r="I46" s="295" t="s">
        <v>262</v>
      </c>
      <c r="J46" s="265" t="s">
        <v>272</v>
      </c>
      <c r="K46" s="266">
        <f>+I44*B41</f>
        <v>38.400000000000006</v>
      </c>
      <c r="L46" s="256"/>
      <c r="M46" s="256"/>
      <c r="N46" s="265" t="s">
        <v>273</v>
      </c>
      <c r="O46" s="296">
        <f>MAX(0,K46-B42)</f>
        <v>0</v>
      </c>
      <c r="P46" s="256"/>
      <c r="Q46" s="256"/>
      <c r="R46" s="279"/>
      <c r="S46" s="248"/>
      <c r="T46" s="249" t="s">
        <v>274</v>
      </c>
      <c r="U46" s="249"/>
      <c r="V46" s="249"/>
      <c r="W46" s="249"/>
      <c r="X46" s="249"/>
    </row>
    <row r="47" spans="1:24" x14ac:dyDescent="0.35">
      <c r="A47" s="250"/>
      <c r="B47" s="242"/>
      <c r="C47" s="281"/>
      <c r="D47" s="279"/>
      <c r="E47" s="256"/>
      <c r="F47" s="297" t="s">
        <v>235</v>
      </c>
      <c r="G47" s="298">
        <f>1-G46</f>
        <v>0.47777777777777797</v>
      </c>
      <c r="H47" s="256"/>
      <c r="I47" s="256"/>
      <c r="J47" s="256"/>
      <c r="K47" s="260"/>
      <c r="L47" s="256"/>
      <c r="M47" s="256"/>
      <c r="N47" s="256"/>
      <c r="O47" s="295" t="s">
        <v>262</v>
      </c>
      <c r="P47" s="256"/>
      <c r="Q47" s="256"/>
      <c r="R47" s="279"/>
      <c r="S47" s="248"/>
      <c r="T47" s="249" t="s">
        <v>275</v>
      </c>
      <c r="U47" s="249"/>
      <c r="V47" s="249"/>
      <c r="W47" s="249"/>
      <c r="X47" s="249"/>
    </row>
    <row r="48" spans="1:24" x14ac:dyDescent="0.35">
      <c r="A48" s="250"/>
      <c r="B48" s="242"/>
      <c r="C48" s="242"/>
      <c r="D48" s="13"/>
      <c r="E48" s="256"/>
      <c r="F48" s="257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13"/>
      <c r="S48" s="248"/>
      <c r="T48" s="249"/>
      <c r="U48" s="249"/>
      <c r="V48" s="249"/>
      <c r="W48" s="249"/>
      <c r="X48" s="249"/>
    </row>
    <row r="49" spans="1:24" ht="15" thickBot="1" x14ac:dyDescent="0.4">
      <c r="D49" s="13"/>
      <c r="R49" s="13"/>
      <c r="T49" s="53"/>
      <c r="U49" s="53"/>
      <c r="V49" s="53"/>
      <c r="W49" s="53"/>
      <c r="X49" s="53"/>
    </row>
    <row r="50" spans="1:24" ht="15" thickBot="1" x14ac:dyDescent="0.4">
      <c r="D50" s="13"/>
      <c r="F50" s="287" t="s">
        <v>237</v>
      </c>
      <c r="G50" s="288">
        <f>+((M40*G46)+(G47*M44))/(1+B43)</f>
        <v>12.194271644122667</v>
      </c>
      <c r="H50" s="236" t="s">
        <v>238</v>
      </c>
      <c r="L50" s="287" t="s">
        <v>239</v>
      </c>
      <c r="M50" s="289">
        <f>+(M40-M44)/(I40-I44)</f>
        <v>0.71618854495934459</v>
      </c>
      <c r="N50" s="236" t="s">
        <v>240</v>
      </c>
      <c r="R50" s="13"/>
      <c r="T50" s="53"/>
      <c r="U50" s="53"/>
      <c r="V50" s="53"/>
      <c r="W50" s="53"/>
      <c r="X50" s="53"/>
    </row>
    <row r="51" spans="1:24" ht="15" thickBot="1" x14ac:dyDescent="0.4">
      <c r="D51" s="13"/>
      <c r="F51" s="287" t="s">
        <v>241</v>
      </c>
      <c r="G51" s="299">
        <f>+((G46*I41)+(I45*G47))/(1+B43)</f>
        <v>10.091250670960813</v>
      </c>
      <c r="H51" s="236" t="s">
        <v>242</v>
      </c>
      <c r="N51" s="290" t="s">
        <v>243</v>
      </c>
      <c r="R51" s="13"/>
      <c r="T51" s="53"/>
      <c r="U51" s="53"/>
      <c r="V51" s="53"/>
      <c r="W51" s="53"/>
      <c r="X51" s="53"/>
    </row>
    <row r="52" spans="1:24" ht="15" thickBot="1" x14ac:dyDescent="0.4">
      <c r="D52" s="13"/>
      <c r="F52" s="291"/>
      <c r="G52" s="292"/>
      <c r="L52" s="287" t="s">
        <v>276</v>
      </c>
      <c r="M52" s="289">
        <f>+(O38-O42)/(K38-K42)</f>
        <v>1</v>
      </c>
      <c r="R52" s="13"/>
      <c r="T52" s="53"/>
      <c r="U52" s="53"/>
      <c r="V52" s="53"/>
      <c r="W52" s="53"/>
      <c r="X52" s="53"/>
    </row>
    <row r="53" spans="1:24" ht="15" thickBot="1" x14ac:dyDescent="0.4">
      <c r="D53" s="13"/>
      <c r="F53" s="291"/>
      <c r="G53" s="292"/>
      <c r="L53" s="287" t="s">
        <v>277</v>
      </c>
      <c r="M53" s="300">
        <f>+(O42-O46)/(K42-K46)</f>
        <v>0.23148148148148154</v>
      </c>
      <c r="R53" s="13"/>
      <c r="T53" s="53"/>
      <c r="U53" s="53"/>
      <c r="V53" s="53"/>
      <c r="W53" s="53"/>
      <c r="X53" s="53"/>
    </row>
    <row r="54" spans="1:24" x14ac:dyDescent="0.35">
      <c r="D54" s="13"/>
      <c r="F54" s="291"/>
      <c r="G54" s="292"/>
      <c r="R54" s="13"/>
      <c r="T54" s="53"/>
      <c r="U54" s="53"/>
      <c r="V54" s="53"/>
      <c r="W54" s="53"/>
      <c r="X54" s="53"/>
    </row>
    <row r="55" spans="1:24" ht="15.5" x14ac:dyDescent="0.35">
      <c r="A55" s="241" t="s">
        <v>278</v>
      </c>
      <c r="B55" s="242"/>
      <c r="C55" s="242"/>
      <c r="D55" s="13"/>
      <c r="E55" s="251"/>
      <c r="F55" s="252"/>
      <c r="G55" s="251" t="s">
        <v>204</v>
      </c>
      <c r="H55" s="251"/>
      <c r="I55" s="251" t="s">
        <v>205</v>
      </c>
      <c r="J55" s="251"/>
      <c r="K55" s="251" t="s">
        <v>259</v>
      </c>
      <c r="L55" s="251"/>
      <c r="M55" s="251"/>
      <c r="N55" s="251"/>
      <c r="O55" s="251"/>
      <c r="P55" s="251"/>
      <c r="Q55" s="251"/>
      <c r="R55" s="13"/>
      <c r="S55" s="248"/>
      <c r="T55" s="249" t="s">
        <v>203</v>
      </c>
      <c r="U55" s="249"/>
      <c r="V55" s="249"/>
      <c r="W55" s="249"/>
      <c r="X55" s="249"/>
    </row>
    <row r="56" spans="1:24" ht="15" thickBot="1" x14ac:dyDescent="0.4">
      <c r="A56" s="250"/>
      <c r="B56" s="242"/>
      <c r="C56" s="242"/>
      <c r="D56" s="268"/>
      <c r="E56" s="256"/>
      <c r="F56" s="257"/>
      <c r="G56" s="256"/>
      <c r="H56" s="256"/>
      <c r="I56" s="256"/>
      <c r="J56" s="265" t="s">
        <v>260</v>
      </c>
      <c r="K56" s="294">
        <f>+I58*B58</f>
        <v>93.75</v>
      </c>
      <c r="L56" s="256"/>
      <c r="M56" s="256"/>
      <c r="N56" s="265" t="s">
        <v>279</v>
      </c>
      <c r="O56" s="296">
        <f>MAX(0,B60-K56)</f>
        <v>0</v>
      </c>
      <c r="P56" s="256"/>
      <c r="Q56" s="256"/>
      <c r="R56" s="268"/>
      <c r="S56" s="248"/>
      <c r="T56" s="249" t="s">
        <v>206</v>
      </c>
      <c r="U56" s="249"/>
      <c r="V56" s="249"/>
      <c r="W56" s="249"/>
      <c r="X56" s="249"/>
    </row>
    <row r="57" spans="1:24" ht="15" thickBot="1" x14ac:dyDescent="0.4">
      <c r="A57" s="253" t="s">
        <v>207</v>
      </c>
      <c r="B57" s="254">
        <v>60</v>
      </c>
      <c r="C57" s="255"/>
      <c r="D57" s="262"/>
      <c r="E57" s="256"/>
      <c r="F57" s="257"/>
      <c r="G57" s="256"/>
      <c r="H57" s="256"/>
      <c r="I57" s="256"/>
      <c r="J57" s="256"/>
      <c r="K57" s="260"/>
      <c r="L57" s="256"/>
      <c r="M57" s="256"/>
      <c r="N57" s="256"/>
      <c r="O57" s="295" t="s">
        <v>262</v>
      </c>
      <c r="P57" s="256"/>
      <c r="Q57" s="256"/>
      <c r="R57" s="262"/>
      <c r="S57" s="248"/>
      <c r="T57" s="249" t="s">
        <v>263</v>
      </c>
      <c r="U57" s="249"/>
      <c r="V57" s="249"/>
      <c r="W57" s="249"/>
      <c r="X57" s="249"/>
    </row>
    <row r="58" spans="1:24" ht="15" thickBot="1" x14ac:dyDescent="0.4">
      <c r="A58" s="253" t="s">
        <v>210</v>
      </c>
      <c r="B58" s="263">
        <v>1.25</v>
      </c>
      <c r="C58" s="264"/>
      <c r="D58" s="262"/>
      <c r="E58" s="256"/>
      <c r="F58" s="257"/>
      <c r="G58" s="256"/>
      <c r="H58" s="265" t="s">
        <v>211</v>
      </c>
      <c r="I58" s="266">
        <f>+G60*B58</f>
        <v>75</v>
      </c>
      <c r="J58" s="260"/>
      <c r="K58" s="260"/>
      <c r="L58" s="260"/>
      <c r="M58" s="273">
        <f>+((O56*G64)+(G65*O60))/(1+B61/B62)</f>
        <v>0</v>
      </c>
      <c r="N58" s="256"/>
      <c r="O58" s="260"/>
      <c r="P58" s="256"/>
      <c r="Q58" s="256"/>
      <c r="R58" s="262"/>
      <c r="S58" s="248"/>
      <c r="T58" s="249" t="s">
        <v>265</v>
      </c>
      <c r="U58" s="249"/>
      <c r="V58" s="249"/>
      <c r="W58" s="249"/>
      <c r="X58" s="249"/>
    </row>
    <row r="59" spans="1:24" ht="15" thickBot="1" x14ac:dyDescent="0.4">
      <c r="A59" s="253" t="s">
        <v>215</v>
      </c>
      <c r="B59" s="263">
        <v>0.8</v>
      </c>
      <c r="C59" s="264"/>
      <c r="D59" s="268"/>
      <c r="E59" s="256"/>
      <c r="F59" s="257"/>
      <c r="G59" s="256"/>
      <c r="H59" s="256"/>
      <c r="I59" s="296">
        <f>MAX(0,$B$60-I58)</f>
        <v>0</v>
      </c>
      <c r="J59" s="256"/>
      <c r="K59" s="256"/>
      <c r="L59" s="256"/>
      <c r="M59" s="256"/>
      <c r="N59" s="256"/>
      <c r="O59" s="256"/>
      <c r="P59" s="256"/>
      <c r="Q59" s="256"/>
      <c r="R59" s="268"/>
      <c r="S59" s="248"/>
      <c r="T59" s="249" t="s">
        <v>280</v>
      </c>
      <c r="U59" s="249"/>
      <c r="V59" s="249"/>
      <c r="W59" s="249"/>
      <c r="X59" s="249"/>
    </row>
    <row r="60" spans="1:24" ht="15" thickBot="1" x14ac:dyDescent="0.4">
      <c r="A60" s="253" t="s">
        <v>219</v>
      </c>
      <c r="B60" s="254">
        <v>55</v>
      </c>
      <c r="C60" s="255"/>
      <c r="D60" s="270"/>
      <c r="E60" s="256"/>
      <c r="F60" s="271" t="s">
        <v>220</v>
      </c>
      <c r="G60" s="272">
        <f>+B57</f>
        <v>60</v>
      </c>
      <c r="H60" s="256"/>
      <c r="I60" s="295" t="s">
        <v>262</v>
      </c>
      <c r="J60" s="265"/>
      <c r="K60" s="266">
        <f>+I62*B58</f>
        <v>60</v>
      </c>
      <c r="L60" s="265"/>
      <c r="M60" s="265"/>
      <c r="N60" s="265" t="s">
        <v>281</v>
      </c>
      <c r="O60" s="296">
        <f>MAX(0,B60-K60)</f>
        <v>0</v>
      </c>
      <c r="P60" s="256"/>
      <c r="Q60" s="256"/>
      <c r="R60" s="270"/>
      <c r="S60" s="248"/>
      <c r="T60" s="249" t="s">
        <v>282</v>
      </c>
      <c r="U60" s="249"/>
      <c r="V60" s="249"/>
      <c r="W60" s="249"/>
      <c r="X60" s="249"/>
    </row>
    <row r="61" spans="1:24" ht="15" thickBot="1" x14ac:dyDescent="0.4">
      <c r="A61" s="253" t="s">
        <v>222</v>
      </c>
      <c r="B61" s="274">
        <v>3.5000000000000003E-2</v>
      </c>
      <c r="C61" s="275"/>
      <c r="D61" s="276"/>
      <c r="E61" s="256"/>
      <c r="F61" s="257"/>
      <c r="G61" s="256"/>
      <c r="H61" s="256"/>
      <c r="I61" s="256"/>
      <c r="J61" s="256"/>
      <c r="K61" s="256"/>
      <c r="L61" s="256"/>
      <c r="M61" s="256"/>
      <c r="N61" s="256"/>
      <c r="O61" s="295" t="s">
        <v>262</v>
      </c>
      <c r="P61" s="256"/>
      <c r="Q61" s="256"/>
      <c r="R61" s="276"/>
      <c r="S61" s="248"/>
      <c r="T61" s="249" t="s">
        <v>283</v>
      </c>
      <c r="U61" s="249"/>
      <c r="V61" s="249"/>
      <c r="W61" s="249"/>
      <c r="X61" s="249"/>
    </row>
    <row r="62" spans="1:24" ht="15" thickBot="1" x14ac:dyDescent="0.4">
      <c r="A62" s="253" t="s">
        <v>225</v>
      </c>
      <c r="B62" s="277">
        <v>1</v>
      </c>
      <c r="C62" s="278"/>
      <c r="D62" s="279"/>
      <c r="E62" s="256"/>
      <c r="F62" s="257"/>
      <c r="G62" s="256"/>
      <c r="H62" s="265" t="s">
        <v>226</v>
      </c>
      <c r="I62" s="266">
        <f>+G60*B59</f>
        <v>48</v>
      </c>
      <c r="J62" s="260"/>
      <c r="K62" s="260"/>
      <c r="L62" s="260"/>
      <c r="M62" s="273">
        <f>+((O60*G64)+(G65*O64))/(1+B61/B62)</f>
        <v>7.6629092860976931</v>
      </c>
      <c r="N62" s="256"/>
      <c r="O62" s="260"/>
      <c r="P62" s="256"/>
      <c r="Q62" s="256"/>
      <c r="R62" s="279"/>
      <c r="S62" s="248"/>
      <c r="T62" s="249" t="s">
        <v>230</v>
      </c>
      <c r="U62" s="249"/>
      <c r="V62" s="249"/>
      <c r="W62" s="249"/>
      <c r="X62" s="249"/>
    </row>
    <row r="63" spans="1:24" ht="15" thickBot="1" x14ac:dyDescent="0.4">
      <c r="A63" s="280" t="s">
        <v>231</v>
      </c>
      <c r="B63" s="277">
        <v>2</v>
      </c>
      <c r="C63" s="281"/>
      <c r="D63" s="13"/>
      <c r="E63" s="256"/>
      <c r="F63" s="257"/>
      <c r="G63" s="256"/>
      <c r="H63" s="256"/>
      <c r="I63" s="296">
        <f>MAX(0,$B$60-I62)</f>
        <v>7</v>
      </c>
      <c r="J63" s="256"/>
      <c r="K63" s="256"/>
      <c r="L63" s="256"/>
      <c r="M63" s="256"/>
      <c r="N63" s="256"/>
      <c r="O63" s="256"/>
      <c r="P63" s="256"/>
      <c r="Q63" s="256"/>
      <c r="R63" s="13"/>
      <c r="S63" s="248"/>
      <c r="T63" s="249" t="s">
        <v>284</v>
      </c>
      <c r="U63" s="249"/>
      <c r="V63" s="249"/>
      <c r="W63" s="249"/>
      <c r="X63" s="249"/>
    </row>
    <row r="64" spans="1:24" ht="15" thickBot="1" x14ac:dyDescent="0.4">
      <c r="A64" s="250"/>
      <c r="B64" s="242"/>
      <c r="C64" s="281"/>
      <c r="D64" s="279"/>
      <c r="E64" s="256"/>
      <c r="F64" s="282" t="s">
        <v>234</v>
      </c>
      <c r="G64" s="283">
        <f>+((1+B61)-B59)/(B58-B59)</f>
        <v>0.52222222222222203</v>
      </c>
      <c r="H64" s="256"/>
      <c r="I64" s="295" t="s">
        <v>262</v>
      </c>
      <c r="J64" s="265" t="s">
        <v>272</v>
      </c>
      <c r="K64" s="266">
        <f>+I62*B59</f>
        <v>38.400000000000006</v>
      </c>
      <c r="L64" s="256"/>
      <c r="M64" s="256"/>
      <c r="N64" s="265" t="s">
        <v>285</v>
      </c>
      <c r="O64" s="296">
        <f>MAX(0,B60-K64)</f>
        <v>16.599999999999994</v>
      </c>
      <c r="P64" s="256"/>
      <c r="Q64" s="256"/>
      <c r="R64" s="279"/>
      <c r="S64" s="248"/>
      <c r="T64" s="249" t="s">
        <v>286</v>
      </c>
      <c r="U64" s="249"/>
      <c r="V64" s="249"/>
      <c r="W64" s="249"/>
      <c r="X64" s="249"/>
    </row>
    <row r="65" spans="1:24" x14ac:dyDescent="0.35">
      <c r="A65" s="250"/>
      <c r="B65" s="242"/>
      <c r="C65" s="281"/>
      <c r="D65" s="279"/>
      <c r="E65" s="256"/>
      <c r="F65" s="282" t="s">
        <v>235</v>
      </c>
      <c r="G65" s="283">
        <f>1-G64</f>
        <v>0.47777777777777797</v>
      </c>
      <c r="H65" s="256"/>
      <c r="I65" s="256"/>
      <c r="J65" s="256"/>
      <c r="K65" s="260"/>
      <c r="L65" s="256"/>
      <c r="M65" s="256"/>
      <c r="N65" s="256"/>
      <c r="O65" s="295" t="s">
        <v>262</v>
      </c>
      <c r="P65" s="256"/>
      <c r="Q65" s="256"/>
      <c r="R65" s="279"/>
      <c r="S65" s="248"/>
      <c r="T65" s="249" t="s">
        <v>287</v>
      </c>
      <c r="U65" s="249"/>
      <c r="V65" s="249"/>
      <c r="W65" s="249"/>
      <c r="X65" s="249"/>
    </row>
    <row r="66" spans="1:24" x14ac:dyDescent="0.35">
      <c r="A66" s="250"/>
      <c r="B66" s="242"/>
      <c r="C66" s="242"/>
      <c r="D66" s="13"/>
      <c r="E66" s="256"/>
      <c r="F66" s="257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13"/>
      <c r="S66" s="248"/>
      <c r="T66" s="249"/>
      <c r="U66" s="249"/>
      <c r="V66" s="249"/>
      <c r="W66" s="249"/>
      <c r="X66" s="249"/>
    </row>
    <row r="67" spans="1:24" ht="15" thickBot="1" x14ac:dyDescent="0.4">
      <c r="D67" s="13"/>
      <c r="R67" s="13"/>
      <c r="T67" s="53"/>
      <c r="U67" s="53"/>
      <c r="V67" s="53"/>
      <c r="W67" s="53"/>
      <c r="X67" s="53"/>
    </row>
    <row r="68" spans="1:24" ht="15" thickBot="1" x14ac:dyDescent="0.4">
      <c r="D68" s="13"/>
      <c r="F68" s="301" t="s">
        <v>254</v>
      </c>
      <c r="G68" s="302">
        <f>+((M58*G64)+(G65*M62))/(1+B61)</f>
        <v>3.5373601642748356</v>
      </c>
      <c r="H68" s="236" t="s">
        <v>238</v>
      </c>
      <c r="L68" s="287" t="s">
        <v>239</v>
      </c>
      <c r="M68" s="289">
        <f>-(M58-M62)/(I58-I62)</f>
        <v>0.2838114550406553</v>
      </c>
      <c r="N68" s="236" t="s">
        <v>255</v>
      </c>
      <c r="R68" s="13"/>
      <c r="T68" s="53"/>
      <c r="U68" s="53"/>
      <c r="V68" s="53"/>
      <c r="W68" s="53"/>
      <c r="X68" s="53"/>
    </row>
    <row r="69" spans="1:24" ht="15" thickBot="1" x14ac:dyDescent="0.4">
      <c r="D69" s="13"/>
      <c r="F69" s="301" t="s">
        <v>256</v>
      </c>
      <c r="G69" s="299">
        <f>+((G64*I59)+(I63*G65))/(1+B61)</f>
        <v>3.2313472893183053</v>
      </c>
      <c r="H69" s="236" t="s">
        <v>242</v>
      </c>
      <c r="N69" s="293" t="s">
        <v>257</v>
      </c>
      <c r="R69" s="13"/>
      <c r="T69" s="53"/>
      <c r="U69" s="53"/>
      <c r="V69" s="53"/>
      <c r="W69" s="53"/>
      <c r="X69" s="53"/>
    </row>
    <row r="70" spans="1:24" ht="15" thickBot="1" x14ac:dyDescent="0.4">
      <c r="D70" s="13"/>
      <c r="L70" s="287" t="s">
        <v>276</v>
      </c>
      <c r="M70" s="300">
        <f>+(O56-O60)/(K56-K60)</f>
        <v>0</v>
      </c>
      <c r="R70" s="13"/>
      <c r="T70" s="53"/>
      <c r="U70" s="53"/>
      <c r="V70" s="53"/>
      <c r="W70" s="53"/>
      <c r="X70" s="53"/>
    </row>
    <row r="71" spans="1:24" ht="15" thickBot="1" x14ac:dyDescent="0.4">
      <c r="D71" s="13"/>
      <c r="L71" s="287" t="s">
        <v>277</v>
      </c>
      <c r="M71" s="300">
        <f>-(O60-O64)/(K60-K64)</f>
        <v>0.76851851851851849</v>
      </c>
      <c r="R71" s="13"/>
      <c r="T71" s="53"/>
      <c r="U71" s="53"/>
      <c r="V71" s="53"/>
      <c r="W71" s="53"/>
      <c r="X71" s="53"/>
    </row>
    <row r="72" spans="1:24" x14ac:dyDescent="0.35">
      <c r="D72" s="13"/>
      <c r="R72" s="13"/>
      <c r="T72" s="53"/>
      <c r="U72" s="53"/>
      <c r="V72" s="53"/>
      <c r="W72" s="53"/>
      <c r="X72" s="53"/>
    </row>
    <row r="73" spans="1:24" ht="15.5" x14ac:dyDescent="0.35">
      <c r="A73" s="241" t="s">
        <v>288</v>
      </c>
      <c r="B73" s="242"/>
      <c r="C73" s="242"/>
      <c r="D73" s="13"/>
      <c r="E73" s="251"/>
      <c r="F73" s="303"/>
      <c r="G73" s="251" t="s">
        <v>204</v>
      </c>
      <c r="H73" s="251"/>
      <c r="I73" s="251" t="s">
        <v>205</v>
      </c>
      <c r="J73" s="251"/>
      <c r="K73" s="251" t="s">
        <v>289</v>
      </c>
      <c r="L73" s="251"/>
      <c r="M73" s="251" t="s">
        <v>259</v>
      </c>
      <c r="N73" s="251"/>
      <c r="O73" s="251"/>
      <c r="P73" s="251"/>
      <c r="Q73" s="251"/>
      <c r="R73" s="13"/>
      <c r="S73" s="248"/>
      <c r="T73" s="249"/>
      <c r="U73" s="249"/>
      <c r="V73" s="249"/>
      <c r="W73" s="249"/>
      <c r="X73" s="249"/>
    </row>
    <row r="74" spans="1:24" ht="15" thickBot="1" x14ac:dyDescent="0.4">
      <c r="A74" s="250"/>
      <c r="B74" s="242"/>
      <c r="C74" s="242"/>
      <c r="D74" s="268"/>
      <c r="E74" s="256"/>
      <c r="F74" s="257"/>
      <c r="G74" s="256"/>
      <c r="H74" s="256"/>
      <c r="I74" s="256"/>
      <c r="J74" s="256"/>
      <c r="K74" s="256"/>
      <c r="L74" s="265" t="s">
        <v>260</v>
      </c>
      <c r="M74" s="294">
        <f>+K76*B77</f>
        <v>150</v>
      </c>
      <c r="N74" s="256"/>
      <c r="O74" s="256"/>
      <c r="P74" s="265" t="s">
        <v>261</v>
      </c>
      <c r="Q74" s="267">
        <f>MAX(0,M74-B79)</f>
        <v>40</v>
      </c>
      <c r="R74" s="268"/>
      <c r="S74" s="248"/>
      <c r="T74" s="249" t="s">
        <v>290</v>
      </c>
      <c r="U74" s="249"/>
      <c r="V74" s="249"/>
      <c r="W74" s="249"/>
      <c r="X74" s="249"/>
    </row>
    <row r="75" spans="1:24" ht="15" thickBot="1" x14ac:dyDescent="0.4">
      <c r="A75" s="250"/>
      <c r="B75" s="242"/>
      <c r="C75" s="242"/>
      <c r="D75" s="262"/>
      <c r="E75" s="256"/>
      <c r="F75" s="257"/>
      <c r="G75" s="256"/>
      <c r="H75" s="256"/>
      <c r="I75" s="256"/>
      <c r="J75" s="256"/>
      <c r="K75" s="256" t="s">
        <v>291</v>
      </c>
      <c r="L75" s="256"/>
      <c r="M75" s="256"/>
      <c r="N75" s="256"/>
      <c r="O75" s="256"/>
      <c r="P75" s="256"/>
      <c r="Q75" s="256"/>
      <c r="R75" s="262"/>
      <c r="S75" s="248"/>
      <c r="T75" s="249" t="s">
        <v>292</v>
      </c>
      <c r="U75" s="249"/>
      <c r="V75" s="249"/>
      <c r="W75" s="249"/>
      <c r="X75" s="249"/>
    </row>
    <row r="76" spans="1:24" ht="15" thickBot="1" x14ac:dyDescent="0.4">
      <c r="A76" s="253" t="s">
        <v>207</v>
      </c>
      <c r="B76" s="254">
        <v>100</v>
      </c>
      <c r="C76" s="255"/>
      <c r="D76" s="262"/>
      <c r="E76" s="256"/>
      <c r="F76" s="257"/>
      <c r="G76" s="256"/>
      <c r="H76" s="265" t="s">
        <v>211</v>
      </c>
      <c r="I76" s="266">
        <f>+G78*B77</f>
        <v>125</v>
      </c>
      <c r="J76" s="256"/>
      <c r="K76" s="266">
        <f>+I76*(1-B81)</f>
        <v>120</v>
      </c>
      <c r="L76" s="260"/>
      <c r="M76" s="260"/>
      <c r="N76" s="260"/>
      <c r="O76" s="273">
        <f>+((Q74*G83)+(G84*Q78))/(1+B80/B83)</f>
        <v>20.182501341921625</v>
      </c>
      <c r="P76" s="256"/>
      <c r="Q76" s="260"/>
      <c r="R76" s="262"/>
      <c r="S76" s="248"/>
      <c r="T76" s="249"/>
      <c r="U76" s="249"/>
      <c r="V76" s="249"/>
      <c r="W76" s="249"/>
      <c r="X76" s="249"/>
    </row>
    <row r="77" spans="1:24" ht="15" thickBot="1" x14ac:dyDescent="0.4">
      <c r="A77" s="253" t="s">
        <v>210</v>
      </c>
      <c r="B77" s="263">
        <v>1.25</v>
      </c>
      <c r="C77" s="264"/>
      <c r="D77" s="268"/>
      <c r="E77" s="256"/>
      <c r="F77" s="257"/>
      <c r="G77" s="256"/>
      <c r="H77" s="256"/>
      <c r="I77" s="296">
        <f>MAX(0,I76-$B$60)</f>
        <v>70</v>
      </c>
      <c r="J77" s="256"/>
      <c r="K77" s="256"/>
      <c r="L77" s="256"/>
      <c r="M77" s="256"/>
      <c r="N77" s="256"/>
      <c r="O77" s="256"/>
      <c r="P77" s="256"/>
      <c r="Q77" s="256"/>
      <c r="R77" s="268"/>
      <c r="S77" s="248"/>
      <c r="T77" s="249"/>
      <c r="U77" s="249"/>
      <c r="V77" s="249"/>
      <c r="W77" s="249"/>
      <c r="X77" s="249"/>
    </row>
    <row r="78" spans="1:24" ht="15" thickBot="1" x14ac:dyDescent="0.4">
      <c r="A78" s="253" t="s">
        <v>215</v>
      </c>
      <c r="B78" s="263">
        <v>0.8</v>
      </c>
      <c r="C78" s="264"/>
      <c r="D78" s="270"/>
      <c r="E78" s="256"/>
      <c r="F78" s="271" t="s">
        <v>220</v>
      </c>
      <c r="G78" s="272">
        <f>+B76</f>
        <v>100</v>
      </c>
      <c r="H78" s="256"/>
      <c r="I78" s="295" t="s">
        <v>262</v>
      </c>
      <c r="J78" s="256"/>
      <c r="K78" s="256"/>
      <c r="L78" s="265"/>
      <c r="M78" s="266">
        <f>+K76*B78</f>
        <v>96</v>
      </c>
      <c r="N78" s="265"/>
      <c r="O78" s="265"/>
      <c r="P78" s="265" t="s">
        <v>267</v>
      </c>
      <c r="Q78" s="267">
        <f>MAX(0,M78-B79)</f>
        <v>0</v>
      </c>
      <c r="R78" s="270"/>
      <c r="S78" s="248"/>
      <c r="T78" s="249"/>
      <c r="U78" s="249"/>
      <c r="V78" s="249"/>
      <c r="W78" s="249"/>
      <c r="X78" s="249"/>
    </row>
    <row r="79" spans="1:24" ht="15" thickBot="1" x14ac:dyDescent="0.4">
      <c r="A79" s="253" t="s">
        <v>219</v>
      </c>
      <c r="B79" s="254">
        <v>110</v>
      </c>
      <c r="C79" s="255"/>
      <c r="D79" s="270"/>
      <c r="E79" s="256"/>
      <c r="F79" s="257"/>
      <c r="G79" s="256"/>
      <c r="H79" s="256"/>
      <c r="I79" s="256"/>
      <c r="J79" s="256"/>
      <c r="K79" s="256"/>
      <c r="L79" s="256"/>
      <c r="M79" s="266">
        <f>+K80*B77</f>
        <v>96</v>
      </c>
      <c r="N79" s="256"/>
      <c r="O79" s="256"/>
      <c r="P79" s="256"/>
      <c r="Q79" s="256"/>
      <c r="R79" s="270"/>
      <c r="S79" s="248"/>
      <c r="T79" s="248"/>
      <c r="U79" s="248"/>
      <c r="V79" s="248"/>
      <c r="W79" s="248"/>
      <c r="X79" s="248"/>
    </row>
    <row r="80" spans="1:24" ht="15" thickBot="1" x14ac:dyDescent="0.4">
      <c r="A80" s="253" t="s">
        <v>222</v>
      </c>
      <c r="B80" s="274">
        <v>3.5000000000000003E-2</v>
      </c>
      <c r="C80" s="275"/>
      <c r="D80" s="304"/>
      <c r="E80" s="256"/>
      <c r="F80" s="257"/>
      <c r="G80" s="256"/>
      <c r="H80" s="265" t="s">
        <v>226</v>
      </c>
      <c r="I80" s="266">
        <f>+G78*B78</f>
        <v>80</v>
      </c>
      <c r="J80" s="256"/>
      <c r="K80" s="266">
        <f>+I80*(1-B81)</f>
        <v>76.8</v>
      </c>
      <c r="L80" s="260"/>
      <c r="M80" s="260"/>
      <c r="N80" s="260"/>
      <c r="O80" s="273">
        <f>+((Q78*G83)+(G84*Q82))/(1+B80/B83)</f>
        <v>0</v>
      </c>
      <c r="P80" s="256"/>
      <c r="Q80" s="260"/>
      <c r="R80" s="304"/>
      <c r="S80" s="248"/>
      <c r="T80" s="248"/>
      <c r="U80" s="248"/>
      <c r="V80" s="248"/>
      <c r="W80" s="248"/>
      <c r="X80" s="248"/>
    </row>
    <row r="81" spans="1:24" ht="15" thickBot="1" x14ac:dyDescent="0.4">
      <c r="A81" s="253" t="s">
        <v>293</v>
      </c>
      <c r="B81" s="274">
        <v>0.04</v>
      </c>
      <c r="C81" s="275" t="s">
        <v>294</v>
      </c>
      <c r="D81" s="276"/>
      <c r="E81" s="256"/>
      <c r="F81" s="257"/>
      <c r="G81" s="256"/>
      <c r="H81" s="256"/>
      <c r="I81" s="296">
        <f>MAX(0,I80-$B$60)</f>
        <v>25</v>
      </c>
      <c r="J81" s="256"/>
      <c r="K81" s="256"/>
      <c r="L81" s="256"/>
      <c r="M81" s="256"/>
      <c r="N81" s="256"/>
      <c r="O81" s="256"/>
      <c r="P81" s="256"/>
      <c r="Q81" s="256"/>
      <c r="R81" s="276"/>
      <c r="S81" s="248"/>
      <c r="T81" s="248"/>
      <c r="U81" s="248"/>
      <c r="V81" s="248"/>
      <c r="W81" s="248"/>
      <c r="X81" s="248"/>
    </row>
    <row r="82" spans="1:24" ht="15" thickBot="1" x14ac:dyDescent="0.4">
      <c r="A82" s="250"/>
      <c r="B82" s="305"/>
      <c r="C82" s="306"/>
      <c r="D82" s="279"/>
      <c r="E82" s="256"/>
      <c r="F82" s="257"/>
      <c r="G82" s="256"/>
      <c r="H82" s="256"/>
      <c r="I82" s="295" t="s">
        <v>262</v>
      </c>
      <c r="J82" s="256"/>
      <c r="K82" s="256"/>
      <c r="L82" s="265" t="s">
        <v>272</v>
      </c>
      <c r="M82" s="266">
        <f>+K80*B78</f>
        <v>61.44</v>
      </c>
      <c r="N82" s="256"/>
      <c r="O82" s="256"/>
      <c r="P82" s="265" t="s">
        <v>273</v>
      </c>
      <c r="Q82" s="296">
        <f>MAX(0,M82-B79)</f>
        <v>0</v>
      </c>
      <c r="R82" s="279"/>
      <c r="S82" s="248"/>
      <c r="T82" s="248"/>
      <c r="U82" s="248"/>
      <c r="V82" s="248"/>
      <c r="W82" s="248"/>
      <c r="X82" s="248"/>
    </row>
    <row r="83" spans="1:24" x14ac:dyDescent="0.35">
      <c r="A83" s="253" t="s">
        <v>225</v>
      </c>
      <c r="B83" s="277">
        <v>1</v>
      </c>
      <c r="C83" s="278"/>
      <c r="D83" s="13"/>
      <c r="E83" s="256"/>
      <c r="F83" s="282" t="s">
        <v>234</v>
      </c>
      <c r="G83" s="283">
        <f>+((1+$B$43)-B78)/(B77-B78)</f>
        <v>0.52222222222222203</v>
      </c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13"/>
      <c r="S83" s="248"/>
      <c r="T83" s="248"/>
      <c r="U83" s="248"/>
      <c r="V83" s="248"/>
      <c r="W83" s="248"/>
      <c r="X83" s="248"/>
    </row>
    <row r="84" spans="1:24" x14ac:dyDescent="0.35">
      <c r="A84" s="280" t="s">
        <v>231</v>
      </c>
      <c r="B84" s="277">
        <v>2</v>
      </c>
      <c r="C84" s="281"/>
      <c r="D84" s="307"/>
      <c r="E84" s="256"/>
      <c r="F84" s="282" t="s">
        <v>235</v>
      </c>
      <c r="G84" s="283">
        <f>1-G83</f>
        <v>0.47777777777777797</v>
      </c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307"/>
      <c r="S84" s="248"/>
      <c r="T84" s="248"/>
      <c r="U84" s="248"/>
      <c r="V84" s="248"/>
      <c r="W84" s="248"/>
      <c r="X84" s="248"/>
    </row>
    <row r="85" spans="1:24" x14ac:dyDescent="0.35">
      <c r="A85" s="250"/>
      <c r="B85" s="242"/>
      <c r="C85" s="308"/>
      <c r="D85" s="307"/>
      <c r="E85" s="256"/>
      <c r="F85" s="257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307"/>
      <c r="S85" s="248"/>
      <c r="T85" s="248"/>
      <c r="U85" s="248"/>
      <c r="V85" s="248"/>
      <c r="W85" s="248"/>
      <c r="X85" s="248"/>
    </row>
    <row r="86" spans="1:24" ht="15" thickBot="1" x14ac:dyDescent="0.4">
      <c r="D86" s="13"/>
      <c r="R86" s="13"/>
    </row>
    <row r="87" spans="1:24" ht="15" thickBot="1" x14ac:dyDescent="0.4">
      <c r="D87" s="13"/>
      <c r="F87" s="301" t="s">
        <v>237</v>
      </c>
      <c r="G87" s="299">
        <f>+((O76*G83)+(G84*O80))/(1+B80/B83)</f>
        <v>10.183334010416704</v>
      </c>
      <c r="H87" s="236" t="s">
        <v>238</v>
      </c>
      <c r="L87" s="287" t="s">
        <v>239</v>
      </c>
      <c r="M87" s="289">
        <f>+(O76-O80)/(I76-I80)</f>
        <v>0.44850002982048054</v>
      </c>
      <c r="N87" s="236" t="s">
        <v>240</v>
      </c>
      <c r="R87" s="13"/>
    </row>
    <row r="88" spans="1:24" ht="15" thickBot="1" x14ac:dyDescent="0.4">
      <c r="D88" s="13"/>
      <c r="F88" s="301" t="s">
        <v>241</v>
      </c>
      <c r="G88" s="299">
        <f>+((G83*I77)+(I81*G84))/(1+B80)</f>
        <v>46.859903381642511</v>
      </c>
      <c r="H88" s="236" t="s">
        <v>242</v>
      </c>
      <c r="L88" s="287" t="s">
        <v>276</v>
      </c>
      <c r="M88" s="289">
        <f>+(Q74-Q78)/(M74-M78)</f>
        <v>0.7407407407407407</v>
      </c>
      <c r="R88" s="13"/>
    </row>
    <row r="89" spans="1:24" ht="15" thickBot="1" x14ac:dyDescent="0.4">
      <c r="D89" s="13"/>
      <c r="L89" s="287" t="s">
        <v>277</v>
      </c>
      <c r="M89" s="300">
        <f>+(Q78-Q82)/(M79-M82)</f>
        <v>0</v>
      </c>
      <c r="R89" s="13"/>
    </row>
    <row r="90" spans="1:24" x14ac:dyDescent="0.35">
      <c r="D90" s="13"/>
      <c r="R90" s="13"/>
    </row>
    <row r="91" spans="1:24" ht="15.5" x14ac:dyDescent="0.35">
      <c r="A91" s="241" t="s">
        <v>295</v>
      </c>
      <c r="B91" s="242"/>
      <c r="C91" s="242"/>
      <c r="D91" s="13"/>
      <c r="E91" s="309" t="s">
        <v>296</v>
      </c>
      <c r="F91" s="310"/>
      <c r="G91" s="311"/>
      <c r="H91" s="311"/>
      <c r="I91" s="311"/>
      <c r="J91" s="311"/>
      <c r="K91" s="311"/>
      <c r="L91" s="311"/>
      <c r="M91" s="311"/>
      <c r="N91" s="311"/>
      <c r="O91" s="311"/>
      <c r="P91" s="310"/>
      <c r="Q91" s="310"/>
      <c r="R91" s="13"/>
    </row>
    <row r="92" spans="1:24" x14ac:dyDescent="0.35">
      <c r="A92" s="250"/>
      <c r="B92" s="242"/>
      <c r="C92" s="242"/>
      <c r="D92" s="268"/>
      <c r="E92" s="187"/>
      <c r="F92" s="312" t="s">
        <v>297</v>
      </c>
      <c r="G92" s="313">
        <v>0</v>
      </c>
      <c r="H92" s="313">
        <v>1</v>
      </c>
      <c r="I92" s="313">
        <v>2</v>
      </c>
      <c r="J92" s="313">
        <v>3</v>
      </c>
      <c r="K92" s="313">
        <v>4</v>
      </c>
      <c r="L92" s="313">
        <v>5</v>
      </c>
      <c r="M92" s="313">
        <v>6</v>
      </c>
      <c r="N92" s="313">
        <v>7</v>
      </c>
      <c r="O92" s="313">
        <v>8</v>
      </c>
      <c r="P92" s="313">
        <v>9</v>
      </c>
      <c r="Q92" s="313">
        <v>10</v>
      </c>
      <c r="R92" s="13"/>
    </row>
    <row r="93" spans="1:24" ht="16.5" x14ac:dyDescent="0.35">
      <c r="A93" s="253" t="s">
        <v>207</v>
      </c>
      <c r="B93" s="254">
        <v>100</v>
      </c>
      <c r="C93" s="255"/>
      <c r="D93" s="262"/>
      <c r="E93" s="257"/>
      <c r="F93" s="257" t="s">
        <v>298</v>
      </c>
      <c r="G93" s="298">
        <f>+B93</f>
        <v>100</v>
      </c>
      <c r="H93" s="298">
        <f>IF(G93="",IF(G94="","",G93*$B$95),G93*$B$94)</f>
        <v>125</v>
      </c>
      <c r="I93" s="298">
        <f t="shared" ref="I93:Q93" si="0">IF(H93="",IF(H94="","",H93*$B$95),H93*$B$94)</f>
        <v>156.25</v>
      </c>
      <c r="J93" s="298">
        <f t="shared" si="0"/>
        <v>195.3125</v>
      </c>
      <c r="K93" s="298">
        <f t="shared" si="0"/>
        <v>244.140625</v>
      </c>
      <c r="L93" s="298">
        <f t="shared" si="0"/>
        <v>305.17578125</v>
      </c>
      <c r="M93" s="298">
        <f t="shared" si="0"/>
        <v>381.4697265625</v>
      </c>
      <c r="N93" s="298">
        <f t="shared" si="0"/>
        <v>476.837158203125</v>
      </c>
      <c r="O93" s="298">
        <f t="shared" si="0"/>
        <v>596.04644775390625</v>
      </c>
      <c r="P93" s="298">
        <f t="shared" si="0"/>
        <v>745.05805969238281</v>
      </c>
      <c r="Q93" s="298">
        <f t="shared" si="0"/>
        <v>931.32257461547852</v>
      </c>
      <c r="R93" s="13"/>
    </row>
    <row r="94" spans="1:24" ht="16.5" x14ac:dyDescent="0.35">
      <c r="A94" s="253" t="s">
        <v>210</v>
      </c>
      <c r="B94" s="263">
        <v>1.25</v>
      </c>
      <c r="C94" s="264"/>
      <c r="D94" s="268"/>
      <c r="E94" s="257"/>
      <c r="F94" s="257" t="s">
        <v>299</v>
      </c>
      <c r="G94" s="256" t="s">
        <v>300</v>
      </c>
      <c r="H94" s="298">
        <f>IF(G94=" ",IF(G93=" "," ",G93*$B$95),G94*$B$94)</f>
        <v>80</v>
      </c>
      <c r="I94" s="298">
        <f t="shared" ref="I94:Q103" si="1">IF(H94=" ",IF(H93=" "," ",H93*$B$95),H94*$B$94)</f>
        <v>100</v>
      </c>
      <c r="J94" s="298">
        <f t="shared" si="1"/>
        <v>125</v>
      </c>
      <c r="K94" s="298">
        <f t="shared" si="1"/>
        <v>156.25</v>
      </c>
      <c r="L94" s="298">
        <f t="shared" si="1"/>
        <v>195.3125</v>
      </c>
      <c r="M94" s="298">
        <f t="shared" si="1"/>
        <v>244.140625</v>
      </c>
      <c r="N94" s="298">
        <f t="shared" si="1"/>
        <v>305.17578125</v>
      </c>
      <c r="O94" s="298">
        <f t="shared" si="1"/>
        <v>381.4697265625</v>
      </c>
      <c r="P94" s="298">
        <f t="shared" si="1"/>
        <v>476.837158203125</v>
      </c>
      <c r="Q94" s="298">
        <f t="shared" si="1"/>
        <v>596.04644775390625</v>
      </c>
      <c r="R94" s="13"/>
    </row>
    <row r="95" spans="1:24" ht="16.5" x14ac:dyDescent="0.35">
      <c r="A95" s="253" t="s">
        <v>215</v>
      </c>
      <c r="B95" s="263">
        <v>0.8</v>
      </c>
      <c r="C95" s="264"/>
      <c r="D95" s="270"/>
      <c r="E95" s="257"/>
      <c r="F95" s="257" t="s">
        <v>301</v>
      </c>
      <c r="G95" s="256"/>
      <c r="H95" s="256" t="s">
        <v>300</v>
      </c>
      <c r="I95" s="298">
        <f t="shared" si="1"/>
        <v>64</v>
      </c>
      <c r="J95" s="298">
        <f t="shared" si="1"/>
        <v>80</v>
      </c>
      <c r="K95" s="298">
        <f t="shared" si="1"/>
        <v>100</v>
      </c>
      <c r="L95" s="298">
        <f t="shared" si="1"/>
        <v>125</v>
      </c>
      <c r="M95" s="298">
        <f t="shared" si="1"/>
        <v>156.25</v>
      </c>
      <c r="N95" s="298">
        <f t="shared" si="1"/>
        <v>195.3125</v>
      </c>
      <c r="O95" s="298">
        <f t="shared" si="1"/>
        <v>244.140625</v>
      </c>
      <c r="P95" s="298">
        <f t="shared" si="1"/>
        <v>305.17578125</v>
      </c>
      <c r="Q95" s="298">
        <f t="shared" si="1"/>
        <v>381.4697265625</v>
      </c>
      <c r="R95" s="13"/>
    </row>
    <row r="96" spans="1:24" ht="16.5" x14ac:dyDescent="0.35">
      <c r="A96" s="253" t="s">
        <v>219</v>
      </c>
      <c r="B96" s="254">
        <v>110</v>
      </c>
      <c r="C96" s="255"/>
      <c r="D96" s="270"/>
      <c r="E96" s="257"/>
      <c r="F96" s="257" t="s">
        <v>302</v>
      </c>
      <c r="G96" s="256"/>
      <c r="H96" s="256" t="s">
        <v>300</v>
      </c>
      <c r="I96" s="256" t="s">
        <v>300</v>
      </c>
      <c r="J96" s="298">
        <f t="shared" si="1"/>
        <v>51.2</v>
      </c>
      <c r="K96" s="298">
        <f t="shared" si="1"/>
        <v>64</v>
      </c>
      <c r="L96" s="298">
        <f t="shared" si="1"/>
        <v>80</v>
      </c>
      <c r="M96" s="298">
        <f t="shared" si="1"/>
        <v>100</v>
      </c>
      <c r="N96" s="298">
        <f t="shared" si="1"/>
        <v>125</v>
      </c>
      <c r="O96" s="298">
        <f t="shared" si="1"/>
        <v>156.25</v>
      </c>
      <c r="P96" s="298">
        <f t="shared" si="1"/>
        <v>195.3125</v>
      </c>
      <c r="Q96" s="298">
        <f t="shared" si="1"/>
        <v>244.140625</v>
      </c>
      <c r="R96" s="13"/>
    </row>
    <row r="97" spans="1:18" ht="16.5" x14ac:dyDescent="0.35">
      <c r="A97" s="253" t="s">
        <v>222</v>
      </c>
      <c r="B97" s="274">
        <v>7.0000000000000007E-2</v>
      </c>
      <c r="C97" s="275"/>
      <c r="D97" s="304"/>
      <c r="E97" s="257"/>
      <c r="F97" s="257" t="s">
        <v>303</v>
      </c>
      <c r="G97" s="256"/>
      <c r="H97" s="256" t="s">
        <v>300</v>
      </c>
      <c r="I97" s="256" t="s">
        <v>300</v>
      </c>
      <c r="J97" s="256" t="s">
        <v>300</v>
      </c>
      <c r="K97" s="298">
        <f t="shared" si="1"/>
        <v>40.960000000000008</v>
      </c>
      <c r="L97" s="298">
        <f t="shared" si="1"/>
        <v>51.20000000000001</v>
      </c>
      <c r="M97" s="298">
        <f t="shared" si="1"/>
        <v>64.000000000000014</v>
      </c>
      <c r="N97" s="298">
        <f t="shared" si="1"/>
        <v>80.000000000000014</v>
      </c>
      <c r="O97" s="298">
        <f t="shared" si="1"/>
        <v>100.00000000000001</v>
      </c>
      <c r="P97" s="298">
        <f t="shared" si="1"/>
        <v>125.00000000000001</v>
      </c>
      <c r="Q97" s="298">
        <f t="shared" si="1"/>
        <v>156.25000000000003</v>
      </c>
      <c r="R97" s="13"/>
    </row>
    <row r="98" spans="1:18" ht="16.5" x14ac:dyDescent="0.35">
      <c r="A98" s="253"/>
      <c r="B98" s="274"/>
      <c r="C98" s="275"/>
      <c r="D98" s="276"/>
      <c r="E98" s="257"/>
      <c r="F98" s="257" t="s">
        <v>304</v>
      </c>
      <c r="G98" s="256"/>
      <c r="H98" s="256" t="s">
        <v>300</v>
      </c>
      <c r="I98" s="256" t="s">
        <v>300</v>
      </c>
      <c r="J98" s="256" t="s">
        <v>300</v>
      </c>
      <c r="K98" s="256" t="s">
        <v>300</v>
      </c>
      <c r="L98" s="298">
        <f t="shared" si="1"/>
        <v>32.768000000000008</v>
      </c>
      <c r="M98" s="298">
        <f t="shared" si="1"/>
        <v>40.960000000000008</v>
      </c>
      <c r="N98" s="298">
        <f t="shared" si="1"/>
        <v>51.20000000000001</v>
      </c>
      <c r="O98" s="298">
        <f t="shared" si="1"/>
        <v>64.000000000000014</v>
      </c>
      <c r="P98" s="298">
        <f t="shared" si="1"/>
        <v>80.000000000000014</v>
      </c>
      <c r="Q98" s="298">
        <f t="shared" si="1"/>
        <v>100.00000000000001</v>
      </c>
      <c r="R98" s="13"/>
    </row>
    <row r="99" spans="1:18" ht="16.5" x14ac:dyDescent="0.35">
      <c r="A99" s="250"/>
      <c r="B99" s="305"/>
      <c r="C99" s="306"/>
      <c r="D99" s="279"/>
      <c r="E99" s="257"/>
      <c r="F99" s="257" t="s">
        <v>305</v>
      </c>
      <c r="G99" s="256"/>
      <c r="H99" s="256" t="s">
        <v>300</v>
      </c>
      <c r="I99" s="256" t="s">
        <v>300</v>
      </c>
      <c r="J99" s="256" t="s">
        <v>300</v>
      </c>
      <c r="K99" s="256" t="s">
        <v>300</v>
      </c>
      <c r="L99" s="256" t="s">
        <v>300</v>
      </c>
      <c r="M99" s="298">
        <f t="shared" si="1"/>
        <v>26.214400000000008</v>
      </c>
      <c r="N99" s="298">
        <f t="shared" si="1"/>
        <v>32.768000000000008</v>
      </c>
      <c r="O99" s="298">
        <f t="shared" si="1"/>
        <v>40.960000000000008</v>
      </c>
      <c r="P99" s="298">
        <f t="shared" si="1"/>
        <v>51.20000000000001</v>
      </c>
      <c r="Q99" s="298">
        <f t="shared" si="1"/>
        <v>64.000000000000014</v>
      </c>
      <c r="R99" s="13"/>
    </row>
    <row r="100" spans="1:18" ht="16.5" x14ac:dyDescent="0.35">
      <c r="A100" s="253" t="s">
        <v>225</v>
      </c>
      <c r="B100" s="277">
        <v>1</v>
      </c>
      <c r="C100" s="278"/>
      <c r="D100" s="13"/>
      <c r="E100" s="257"/>
      <c r="F100" s="257" t="s">
        <v>306</v>
      </c>
      <c r="G100" s="256"/>
      <c r="H100" s="256" t="s">
        <v>300</v>
      </c>
      <c r="I100" s="256" t="s">
        <v>300</v>
      </c>
      <c r="J100" s="256" t="s">
        <v>300</v>
      </c>
      <c r="K100" s="256" t="s">
        <v>300</v>
      </c>
      <c r="L100" s="256" t="s">
        <v>300</v>
      </c>
      <c r="M100" s="256" t="s">
        <v>300</v>
      </c>
      <c r="N100" s="298">
        <f t="shared" si="1"/>
        <v>20.971520000000009</v>
      </c>
      <c r="O100" s="298">
        <f t="shared" si="1"/>
        <v>26.214400000000012</v>
      </c>
      <c r="P100" s="298">
        <f t="shared" si="1"/>
        <v>32.768000000000015</v>
      </c>
      <c r="Q100" s="298">
        <f t="shared" si="1"/>
        <v>40.960000000000022</v>
      </c>
      <c r="R100" s="13"/>
    </row>
    <row r="101" spans="1:18" ht="16.5" x14ac:dyDescent="0.35">
      <c r="A101" s="280" t="s">
        <v>307</v>
      </c>
      <c r="B101" s="277">
        <v>2</v>
      </c>
      <c r="C101" s="281"/>
      <c r="D101" s="307"/>
      <c r="E101" s="257"/>
      <c r="F101" s="257" t="s">
        <v>308</v>
      </c>
      <c r="G101" s="256"/>
      <c r="H101" s="256" t="s">
        <v>300</v>
      </c>
      <c r="I101" s="256" t="s">
        <v>300</v>
      </c>
      <c r="J101" s="256" t="s">
        <v>300</v>
      </c>
      <c r="K101" s="256" t="s">
        <v>300</v>
      </c>
      <c r="L101" s="256" t="s">
        <v>300</v>
      </c>
      <c r="M101" s="256" t="s">
        <v>300</v>
      </c>
      <c r="N101" s="256" t="s">
        <v>300</v>
      </c>
      <c r="O101" s="298">
        <f t="shared" si="1"/>
        <v>16.777216000000006</v>
      </c>
      <c r="P101" s="298">
        <f t="shared" si="1"/>
        <v>20.971520000000009</v>
      </c>
      <c r="Q101" s="298">
        <f t="shared" si="1"/>
        <v>26.214400000000012</v>
      </c>
      <c r="R101" s="13"/>
    </row>
    <row r="102" spans="1:18" ht="16.5" x14ac:dyDescent="0.35">
      <c r="A102" s="250"/>
      <c r="B102" s="242"/>
      <c r="C102" s="308"/>
      <c r="D102" s="307"/>
      <c r="E102" s="257"/>
      <c r="F102" s="257" t="s">
        <v>309</v>
      </c>
      <c r="G102" s="256"/>
      <c r="H102" s="256" t="s">
        <v>300</v>
      </c>
      <c r="I102" s="256" t="s">
        <v>300</v>
      </c>
      <c r="J102" s="256" t="s">
        <v>300</v>
      </c>
      <c r="K102" s="256" t="s">
        <v>300</v>
      </c>
      <c r="L102" s="256" t="s">
        <v>300</v>
      </c>
      <c r="M102" s="256" t="s">
        <v>300</v>
      </c>
      <c r="N102" s="256" t="s">
        <v>300</v>
      </c>
      <c r="O102" s="256" t="s">
        <v>300</v>
      </c>
      <c r="P102" s="298">
        <f t="shared" si="1"/>
        <v>13.421772800000006</v>
      </c>
      <c r="Q102" s="298">
        <f t="shared" si="1"/>
        <v>16.77721600000001</v>
      </c>
      <c r="R102" s="13"/>
    </row>
    <row r="103" spans="1:18" ht="16.5" x14ac:dyDescent="0.35">
      <c r="A103" s="253" t="s">
        <v>310</v>
      </c>
      <c r="B103" s="278">
        <f>+((1+B97)-B95)/(B94-B95)</f>
        <v>0.60000000000000009</v>
      </c>
      <c r="C103" s="242"/>
      <c r="D103" s="13"/>
      <c r="E103" s="257"/>
      <c r="F103" s="257" t="s">
        <v>311</v>
      </c>
      <c r="G103" s="256"/>
      <c r="H103" s="256" t="s">
        <v>300</v>
      </c>
      <c r="I103" s="256" t="s">
        <v>300</v>
      </c>
      <c r="J103" s="256" t="s">
        <v>300</v>
      </c>
      <c r="K103" s="256" t="s">
        <v>300</v>
      </c>
      <c r="L103" s="256" t="s">
        <v>300</v>
      </c>
      <c r="M103" s="256" t="s">
        <v>300</v>
      </c>
      <c r="N103" s="256" t="s">
        <v>300</v>
      </c>
      <c r="O103" s="256" t="s">
        <v>300</v>
      </c>
      <c r="P103" s="256" t="s">
        <v>300</v>
      </c>
      <c r="Q103" s="298">
        <f t="shared" si="1"/>
        <v>10.737418240000006</v>
      </c>
      <c r="R103" s="13"/>
    </row>
    <row r="104" spans="1:18" x14ac:dyDescent="0.35">
      <c r="A104" s="314" t="s">
        <v>235</v>
      </c>
      <c r="B104" s="278">
        <f>1-B103</f>
        <v>0.39999999999999991</v>
      </c>
      <c r="C104" s="242"/>
      <c r="D104" s="13"/>
      <c r="E104" s="257"/>
      <c r="F104" s="257"/>
      <c r="G104" s="256"/>
      <c r="H104" s="256"/>
      <c r="I104" s="256"/>
      <c r="J104" s="256"/>
      <c r="K104" s="256"/>
      <c r="L104" s="256"/>
      <c r="M104" s="256"/>
      <c r="N104" s="256"/>
      <c r="O104" s="256"/>
      <c r="P104" s="257"/>
      <c r="Q104" s="257"/>
      <c r="R104" s="13"/>
    </row>
    <row r="105" spans="1:18" x14ac:dyDescent="0.35">
      <c r="A105" s="250"/>
      <c r="B105" s="242"/>
      <c r="C105" s="242"/>
      <c r="D105" s="13"/>
      <c r="H105" s="236" t="s">
        <v>300</v>
      </c>
      <c r="I105" s="236" t="s">
        <v>300</v>
      </c>
      <c r="J105" s="236" t="s">
        <v>300</v>
      </c>
      <c r="K105" s="236" t="s">
        <v>300</v>
      </c>
      <c r="L105" s="236" t="s">
        <v>300</v>
      </c>
      <c r="M105" s="236" t="s">
        <v>300</v>
      </c>
      <c r="N105" s="236" t="s">
        <v>300</v>
      </c>
      <c r="O105" s="236" t="s">
        <v>300</v>
      </c>
      <c r="P105" s="236" t="s">
        <v>300</v>
      </c>
      <c r="Q105" s="236"/>
      <c r="R105" s="13"/>
    </row>
    <row r="106" spans="1:18" x14ac:dyDescent="0.35">
      <c r="A106" s="250"/>
      <c r="B106" s="242"/>
      <c r="C106" s="242"/>
      <c r="D106" s="13"/>
      <c r="E106" s="309" t="s">
        <v>312</v>
      </c>
      <c r="F106" s="310"/>
      <c r="G106" s="311"/>
      <c r="H106" s="311"/>
      <c r="I106" s="311"/>
      <c r="J106" s="311"/>
      <c r="K106" s="311"/>
      <c r="L106" s="311"/>
      <c r="M106" s="311"/>
      <c r="N106" s="311"/>
      <c r="O106" s="311"/>
      <c r="P106" s="310"/>
      <c r="Q106" s="310"/>
      <c r="R106" s="13"/>
    </row>
    <row r="107" spans="1:18" ht="16.5" x14ac:dyDescent="0.35">
      <c r="A107" s="250"/>
      <c r="B107" s="242"/>
      <c r="C107" s="242"/>
      <c r="D107" s="13"/>
      <c r="E107" s="257"/>
      <c r="F107" s="257" t="s">
        <v>313</v>
      </c>
      <c r="G107" s="298">
        <f>IF(H108=" "," ",((H107*$B$103)+(H108*$B$104))/(1+$B$97))</f>
        <v>49.730877917352821</v>
      </c>
      <c r="H107" s="298">
        <f>IF(I108=" "," ",((I107*$B$103)+(I108*$B$104))/(1+$B$97))</f>
        <v>68.908297852420603</v>
      </c>
      <c r="I107" s="298">
        <f>IF(J108=" "," ",((J107*$B$103)+(J108*$B$104))/(1+$B$97))</f>
        <v>94.403225079031174</v>
      </c>
      <c r="J107" s="298">
        <f t="shared" ref="J107:P116" si="2">IF(K108=" "," ",((K107*$B$103)+(K108*$B$104))/(1+$B$97))</f>
        <v>127.85538005516479</v>
      </c>
      <c r="K107" s="298">
        <f t="shared" si="2"/>
        <v>171.21417031401393</v>
      </c>
      <c r="L107" s="298">
        <f t="shared" si="2"/>
        <v>226.82031129157556</v>
      </c>
      <c r="M107" s="298">
        <f t="shared" si="2"/>
        <v>297.55125323727219</v>
      </c>
      <c r="N107" s="298">
        <f t="shared" si="2"/>
        <v>387.04439174513118</v>
      </c>
      <c r="O107" s="298">
        <f t="shared" si="2"/>
        <v>499.9681876438529</v>
      </c>
      <c r="P107" s="298">
        <f t="shared" si="2"/>
        <v>642.25432137462576</v>
      </c>
      <c r="Q107" s="298">
        <f t="shared" ref="Q107:Q117" si="3">MAX(Q93-$B$96,0)</f>
        <v>821.32257461547852</v>
      </c>
      <c r="R107" s="13"/>
    </row>
    <row r="108" spans="1:18" ht="16.5" x14ac:dyDescent="0.35">
      <c r="A108" s="250"/>
      <c r="B108" s="242"/>
      <c r="C108" s="242"/>
      <c r="D108" s="13"/>
      <c r="E108" s="257"/>
      <c r="F108" s="257" t="s">
        <v>314</v>
      </c>
      <c r="G108" s="256"/>
      <c r="H108" s="298">
        <f>IF(I109=" "," ",((I108*$B$103)+(I109*$B$104))/(1+$B$97))</f>
        <v>29.66765165028788</v>
      </c>
      <c r="I108" s="298">
        <f>IF(J109=" "," ",((J108*$B$103)+(J109*$B$104))/(1+$B$97))</f>
        <v>42.724859136678333</v>
      </c>
      <c r="J108" s="298">
        <f t="shared" si="2"/>
        <v>60.745557003661219</v>
      </c>
      <c r="K108" s="298">
        <f t="shared" si="2"/>
        <v>85.191886176544926</v>
      </c>
      <c r="L108" s="298">
        <f t="shared" si="2"/>
        <v>117.76743865262391</v>
      </c>
      <c r="M108" s="298">
        <f t="shared" si="2"/>
        <v>160.41745284905639</v>
      </c>
      <c r="N108" s="298">
        <f t="shared" si="2"/>
        <v>215.38301479200626</v>
      </c>
      <c r="O108" s="298">
        <f t="shared" si="2"/>
        <v>285.39146645244665</v>
      </c>
      <c r="P108" s="298">
        <f t="shared" si="2"/>
        <v>374.03341988536795</v>
      </c>
      <c r="Q108" s="298">
        <f t="shared" si="3"/>
        <v>486.04644775390625</v>
      </c>
      <c r="R108" s="13"/>
    </row>
    <row r="109" spans="1:18" ht="16.5" x14ac:dyDescent="0.35">
      <c r="A109" s="250"/>
      <c r="B109" s="242"/>
      <c r="C109" s="242"/>
      <c r="D109" s="13"/>
      <c r="E109" s="257"/>
      <c r="F109" s="257" t="s">
        <v>315</v>
      </c>
      <c r="G109" s="256"/>
      <c r="H109" s="256"/>
      <c r="I109" s="298">
        <f t="shared" ref="I109" si="4">IF(J110=" "," ",((J109*$B$103)+(J110*$B$104))/(1+$B$97))</f>
        <v>15.273679459502581</v>
      </c>
      <c r="J109" s="298">
        <f t="shared" si="2"/>
        <v>23.170662685122707</v>
      </c>
      <c r="K109" s="298">
        <f t="shared" si="2"/>
        <v>34.706535719976358</v>
      </c>
      <c r="L109" s="298">
        <f t="shared" si="2"/>
        <v>51.23713754332185</v>
      </c>
      <c r="M109" s="298">
        <f t="shared" si="2"/>
        <v>74.401719122184389</v>
      </c>
      <c r="N109" s="298">
        <f t="shared" si="2"/>
        <v>106.04216418321643</v>
      </c>
      <c r="O109" s="298">
        <f t="shared" si="2"/>
        <v>148.06236488994674</v>
      </c>
      <c r="P109" s="298">
        <f t="shared" si="2"/>
        <v>202.37204293224298</v>
      </c>
      <c r="Q109" s="298">
        <f t="shared" si="3"/>
        <v>271.4697265625</v>
      </c>
      <c r="R109" s="13"/>
    </row>
    <row r="110" spans="1:18" ht="16.5" x14ac:dyDescent="0.35">
      <c r="A110" s="250"/>
      <c r="B110" s="242"/>
      <c r="C110" s="242"/>
      <c r="D110" s="13"/>
      <c r="E110" s="257"/>
      <c r="F110" s="257" t="s">
        <v>316</v>
      </c>
      <c r="G110" s="256"/>
      <c r="H110" s="256"/>
      <c r="I110" s="256"/>
      <c r="J110" s="298">
        <f t="shared" si="2"/>
        <v>6.1010985264853419</v>
      </c>
      <c r="K110" s="298">
        <f t="shared" si="2"/>
        <v>9.9217191027387095</v>
      </c>
      <c r="L110" s="298">
        <f t="shared" si="2"/>
        <v>15.984276735953985</v>
      </c>
      <c r="M110" s="298">
        <f t="shared" si="2"/>
        <v>25.456764245109358</v>
      </c>
      <c r="N110" s="298">
        <f t="shared" si="2"/>
        <v>39.961352377018613</v>
      </c>
      <c r="O110" s="298">
        <f t="shared" si="2"/>
        <v>61.569241855183876</v>
      </c>
      <c r="P110" s="298">
        <f t="shared" si="2"/>
        <v>92.508761682243005</v>
      </c>
      <c r="Q110" s="298">
        <f t="shared" si="3"/>
        <v>134.140625</v>
      </c>
      <c r="R110" s="13"/>
    </row>
    <row r="111" spans="1:18" ht="16.5" x14ac:dyDescent="0.35">
      <c r="A111" s="250"/>
      <c r="B111" s="242"/>
      <c r="C111" s="242"/>
      <c r="D111" s="13"/>
      <c r="E111" s="257"/>
      <c r="F111" s="257" t="s">
        <v>317</v>
      </c>
      <c r="G111" s="256"/>
      <c r="H111" s="256"/>
      <c r="I111" s="256"/>
      <c r="J111" s="256"/>
      <c r="K111" s="298">
        <f t="shared" si="2"/>
        <v>1.4378599042402251</v>
      </c>
      <c r="L111" s="298">
        <f t="shared" si="2"/>
        <v>2.564183495895068</v>
      </c>
      <c r="M111" s="298">
        <f t="shared" si="2"/>
        <v>4.5727939010128704</v>
      </c>
      <c r="N111" s="298">
        <f t="shared" si="2"/>
        <v>8.1548157901396188</v>
      </c>
      <c r="O111" s="298">
        <f t="shared" si="2"/>
        <v>14.542754825748986</v>
      </c>
      <c r="P111" s="298">
        <f t="shared" si="2"/>
        <v>25.934579439252357</v>
      </c>
      <c r="Q111" s="298">
        <f t="shared" si="3"/>
        <v>46.250000000000028</v>
      </c>
      <c r="R111" s="13"/>
    </row>
    <row r="112" spans="1:18" ht="16.5" x14ac:dyDescent="0.35">
      <c r="A112" s="250"/>
      <c r="B112" s="242"/>
      <c r="C112" s="242"/>
      <c r="D112" s="13"/>
      <c r="E112" s="257"/>
      <c r="F112" s="257" t="s">
        <v>318</v>
      </c>
      <c r="G112" s="256"/>
      <c r="H112" s="256"/>
      <c r="I112" s="256"/>
      <c r="J112" s="256"/>
      <c r="K112" s="256"/>
      <c r="L112" s="298">
        <f t="shared" si="2"/>
        <v>0</v>
      </c>
      <c r="M112" s="298">
        <f t="shared" si="2"/>
        <v>0</v>
      </c>
      <c r="N112" s="298">
        <f t="shared" si="2"/>
        <v>0</v>
      </c>
      <c r="O112" s="298">
        <f t="shared" si="2"/>
        <v>0</v>
      </c>
      <c r="P112" s="298">
        <f t="shared" si="2"/>
        <v>0</v>
      </c>
      <c r="Q112" s="298">
        <f t="shared" si="3"/>
        <v>0</v>
      </c>
      <c r="R112" s="13"/>
    </row>
    <row r="113" spans="1:18" ht="16.5" x14ac:dyDescent="0.35">
      <c r="A113" s="250"/>
      <c r="B113" s="242"/>
      <c r="C113" s="242"/>
      <c r="D113" s="13"/>
      <c r="E113" s="257"/>
      <c r="F113" s="257" t="s">
        <v>319</v>
      </c>
      <c r="G113" s="256"/>
      <c r="H113" s="256"/>
      <c r="I113" s="256"/>
      <c r="J113" s="256"/>
      <c r="K113" s="256"/>
      <c r="L113" s="256"/>
      <c r="M113" s="298">
        <f t="shared" si="2"/>
        <v>0</v>
      </c>
      <c r="N113" s="298">
        <f t="shared" si="2"/>
        <v>0</v>
      </c>
      <c r="O113" s="298">
        <f t="shared" si="2"/>
        <v>0</v>
      </c>
      <c r="P113" s="298">
        <f t="shared" si="2"/>
        <v>0</v>
      </c>
      <c r="Q113" s="298">
        <f t="shared" si="3"/>
        <v>0</v>
      </c>
      <c r="R113" s="13"/>
    </row>
    <row r="114" spans="1:18" ht="16.5" x14ac:dyDescent="0.35">
      <c r="A114" s="250"/>
      <c r="B114" s="242"/>
      <c r="C114" s="242"/>
      <c r="D114" s="13"/>
      <c r="E114" s="257"/>
      <c r="F114" s="257" t="s">
        <v>320</v>
      </c>
      <c r="G114" s="256"/>
      <c r="H114" s="256"/>
      <c r="I114" s="256"/>
      <c r="J114" s="256"/>
      <c r="K114" s="256"/>
      <c r="L114" s="256"/>
      <c r="M114" s="256"/>
      <c r="N114" s="298">
        <f t="shared" si="2"/>
        <v>0</v>
      </c>
      <c r="O114" s="298">
        <f t="shared" si="2"/>
        <v>0</v>
      </c>
      <c r="P114" s="298">
        <f t="shared" si="2"/>
        <v>0</v>
      </c>
      <c r="Q114" s="298">
        <f t="shared" si="3"/>
        <v>0</v>
      </c>
      <c r="R114" s="13"/>
    </row>
    <row r="115" spans="1:18" ht="16.5" x14ac:dyDescent="0.35">
      <c r="A115" s="250"/>
      <c r="B115" s="242"/>
      <c r="C115" s="242"/>
      <c r="D115" s="13"/>
      <c r="E115" s="257"/>
      <c r="F115" s="257" t="s">
        <v>321</v>
      </c>
      <c r="G115" s="256"/>
      <c r="H115" s="256"/>
      <c r="I115" s="256"/>
      <c r="J115" s="256"/>
      <c r="K115" s="256"/>
      <c r="L115" s="256"/>
      <c r="M115" s="256"/>
      <c r="N115" s="256"/>
      <c r="O115" s="298">
        <f t="shared" si="2"/>
        <v>0</v>
      </c>
      <c r="P115" s="298">
        <f t="shared" si="2"/>
        <v>0</v>
      </c>
      <c r="Q115" s="298">
        <f t="shared" si="3"/>
        <v>0</v>
      </c>
      <c r="R115" s="13"/>
    </row>
    <row r="116" spans="1:18" ht="16.5" x14ac:dyDescent="0.35">
      <c r="A116" s="250"/>
      <c r="B116" s="242"/>
      <c r="C116" s="242"/>
      <c r="D116" s="13"/>
      <c r="E116" s="257"/>
      <c r="F116" s="257" t="s">
        <v>322</v>
      </c>
      <c r="G116" s="256"/>
      <c r="H116" s="256"/>
      <c r="I116" s="256"/>
      <c r="J116" s="256"/>
      <c r="K116" s="256"/>
      <c r="L116" s="256"/>
      <c r="M116" s="256"/>
      <c r="N116" s="256"/>
      <c r="O116" s="256"/>
      <c r="P116" s="298">
        <f t="shared" si="2"/>
        <v>0</v>
      </c>
      <c r="Q116" s="298">
        <f t="shared" si="3"/>
        <v>0</v>
      </c>
      <c r="R116" s="13"/>
    </row>
    <row r="117" spans="1:18" ht="16.5" x14ac:dyDescent="0.35">
      <c r="A117" s="250"/>
      <c r="B117" s="242"/>
      <c r="C117" s="242"/>
      <c r="D117" s="13"/>
      <c r="E117" s="257"/>
      <c r="F117" s="257" t="s">
        <v>323</v>
      </c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98">
        <f t="shared" si="3"/>
        <v>0</v>
      </c>
      <c r="R117" s="13"/>
    </row>
    <row r="118" spans="1:18" x14ac:dyDescent="0.35">
      <c r="A118" s="250"/>
      <c r="B118" s="242"/>
      <c r="C118" s="242"/>
      <c r="D118" s="13"/>
      <c r="P118" s="236"/>
      <c r="Q118" s="236"/>
      <c r="R118" s="13"/>
    </row>
    <row r="119" spans="1:18" x14ac:dyDescent="0.35">
      <c r="A119" s="250"/>
      <c r="B119" s="242"/>
      <c r="C119" s="242"/>
      <c r="D119" s="13"/>
      <c r="E119" s="309" t="s">
        <v>324</v>
      </c>
      <c r="F119" s="310"/>
      <c r="G119" s="311"/>
      <c r="H119" s="311"/>
      <c r="I119" s="311"/>
      <c r="J119" s="311"/>
      <c r="K119" s="311"/>
      <c r="L119" s="311"/>
      <c r="M119" s="311"/>
      <c r="N119" s="311"/>
      <c r="O119" s="311"/>
      <c r="P119" s="315"/>
      <c r="Q119" s="315"/>
      <c r="R119" s="13"/>
    </row>
    <row r="120" spans="1:18" ht="16.5" x14ac:dyDescent="0.35">
      <c r="A120" s="250"/>
      <c r="B120" s="242"/>
      <c r="C120" s="242"/>
      <c r="D120" s="13"/>
      <c r="E120" s="257"/>
      <c r="F120" s="257" t="s">
        <v>325</v>
      </c>
      <c r="G120" s="298">
        <f>IF(H121=" "," ",((H120*$B$103)+(H121*$B$104))/(1+$B$97))</f>
        <v>5.649300052171772</v>
      </c>
      <c r="H120" s="298">
        <f>IF(I121=" "," ",((I120*$B$103)+(I121*$B$104))/(1+$B$97))</f>
        <v>3.7410095366768901</v>
      </c>
      <c r="I120" s="298">
        <f>IF(J121=" "," ",((J120*$B$103)+(J121*$B$104))/(1+$B$97))</f>
        <v>2.1742265811854198</v>
      </c>
      <c r="J120" s="298">
        <f t="shared" ref="J120:P121" si="5">IF(K121=" "," ",((K120*$B$103)+(K121*$B$104))/(1+$B$97))</f>
        <v>1.0453516624698371</v>
      </c>
      <c r="K120" s="298">
        <f t="shared" si="5"/>
        <v>0.37118993383033039</v>
      </c>
      <c r="L120" s="298">
        <f t="shared" si="5"/>
        <v>7.3009784779127451E-2</v>
      </c>
      <c r="M120" s="298">
        <f t="shared" si="5"/>
        <v>0</v>
      </c>
      <c r="N120" s="298">
        <f t="shared" si="5"/>
        <v>0</v>
      </c>
      <c r="O120" s="298">
        <f t="shared" si="5"/>
        <v>0</v>
      </c>
      <c r="P120" s="298">
        <f t="shared" si="5"/>
        <v>0</v>
      </c>
      <c r="Q120" s="298">
        <f>MAX(0,$B$96-Q93)</f>
        <v>0</v>
      </c>
      <c r="R120" s="13"/>
    </row>
    <row r="121" spans="1:18" ht="16.5" x14ac:dyDescent="0.35">
      <c r="A121" s="250"/>
      <c r="B121" s="242"/>
      <c r="C121" s="242"/>
      <c r="D121" s="13"/>
      <c r="E121" s="257"/>
      <c r="F121" s="257" t="s">
        <v>326</v>
      </c>
      <c r="G121" s="256"/>
      <c r="H121" s="298">
        <f>IF(I122=" "," ",((I121*$B$103)+(I122*$B$104))/(1+$B$97))</f>
        <v>9.500363334544156</v>
      </c>
      <c r="I121" s="298">
        <f>IF(J122=" "," ",((J121*$B$103)+(J122*$B$104))/(1+$B$97))</f>
        <v>6.7458606388325526</v>
      </c>
      <c r="J121" s="298">
        <f t="shared" si="5"/>
        <v>4.2480286109662426</v>
      </c>
      <c r="K121" s="298">
        <f t="shared" si="5"/>
        <v>2.2395307963613189</v>
      </c>
      <c r="L121" s="298">
        <f t="shared" si="5"/>
        <v>0.88341839582744286</v>
      </c>
      <c r="M121" s="298">
        <f t="shared" si="5"/>
        <v>0.19530117428416599</v>
      </c>
      <c r="N121" s="298">
        <f t="shared" si="5"/>
        <v>0</v>
      </c>
      <c r="O121" s="298">
        <f t="shared" si="5"/>
        <v>0</v>
      </c>
      <c r="P121" s="298">
        <f t="shared" si="5"/>
        <v>0</v>
      </c>
      <c r="Q121" s="298">
        <f t="shared" ref="Q121:Q130" si="6">MAX(0,$B$96-Q94)</f>
        <v>0</v>
      </c>
      <c r="R121" s="13"/>
    </row>
    <row r="122" spans="1:18" ht="16.5" x14ac:dyDescent="0.35">
      <c r="A122" s="250"/>
      <c r="B122" s="242"/>
      <c r="C122" s="242"/>
      <c r="D122" s="13"/>
      <c r="E122" s="257"/>
      <c r="F122" s="257" t="s">
        <v>327</v>
      </c>
      <c r="G122" s="256"/>
      <c r="H122" s="256"/>
      <c r="I122" s="298">
        <f t="shared" ref="I122:P129" si="7">IF(J123=" "," ",((J122*$B$103)+(J123*$B$104))/(1+$B$97))</f>
        <v>15.294680961656789</v>
      </c>
      <c r="J122" s="298">
        <f t="shared" si="7"/>
        <v>11.673134292427717</v>
      </c>
      <c r="K122" s="298">
        <f t="shared" si="7"/>
        <v>8.0041803397927236</v>
      </c>
      <c r="L122" s="298">
        <f t="shared" si="7"/>
        <v>4.6656172865253653</v>
      </c>
      <c r="M122" s="298">
        <f t="shared" si="7"/>
        <v>2.0701924474121611</v>
      </c>
      <c r="N122" s="298">
        <f t="shared" si="7"/>
        <v>0.52243064121014415</v>
      </c>
      <c r="O122" s="298">
        <f t="shared" si="7"/>
        <v>0</v>
      </c>
      <c r="P122" s="298">
        <f t="shared" si="7"/>
        <v>0</v>
      </c>
      <c r="Q122" s="298">
        <f t="shared" si="6"/>
        <v>0</v>
      </c>
      <c r="R122" s="13"/>
    </row>
    <row r="123" spans="1:18" ht="16.5" x14ac:dyDescent="0.35">
      <c r="A123" s="250"/>
      <c r="B123" s="242"/>
      <c r="C123" s="242"/>
      <c r="D123" s="13"/>
      <c r="E123" s="257"/>
      <c r="F123" s="257" t="s">
        <v>328</v>
      </c>
      <c r="G123" s="256"/>
      <c r="H123" s="256"/>
      <c r="I123" s="256"/>
      <c r="J123" s="298">
        <f t="shared" si="7"/>
        <v>23.403570133790343</v>
      </c>
      <c r="K123" s="298">
        <f t="shared" si="7"/>
        <v>19.219363722555062</v>
      </c>
      <c r="L123" s="298">
        <f t="shared" si="7"/>
        <v>14.41275647915749</v>
      </c>
      <c r="M123" s="298">
        <f t="shared" si="7"/>
        <v>9.3752375703371147</v>
      </c>
      <c r="N123" s="298">
        <f t="shared" si="7"/>
        <v>4.7541188350123162</v>
      </c>
      <c r="O123" s="298">
        <f t="shared" si="7"/>
        <v>1.3975019652371361</v>
      </c>
      <c r="P123" s="298">
        <f t="shared" si="7"/>
        <v>0</v>
      </c>
      <c r="Q123" s="298">
        <f t="shared" si="6"/>
        <v>0</v>
      </c>
      <c r="R123" s="13"/>
    </row>
    <row r="124" spans="1:18" ht="16.5" x14ac:dyDescent="0.35">
      <c r="A124" s="250"/>
      <c r="B124" s="242"/>
      <c r="C124" s="242"/>
      <c r="D124" s="13"/>
      <c r="E124" s="257"/>
      <c r="F124" s="257" t="s">
        <v>329</v>
      </c>
      <c r="G124" s="256"/>
      <c r="H124" s="256"/>
      <c r="I124" s="256"/>
      <c r="J124" s="256"/>
      <c r="K124" s="298">
        <f t="shared" si="7"/>
        <v>33.775504524056572</v>
      </c>
      <c r="L124" s="298">
        <f t="shared" si="7"/>
        <v>29.792663239098562</v>
      </c>
      <c r="M124" s="298">
        <f t="shared" si="7"/>
        <v>24.491267226240616</v>
      </c>
      <c r="N124" s="298">
        <f t="shared" si="7"/>
        <v>17.947582248133312</v>
      </c>
      <c r="O124" s="298">
        <f t="shared" si="7"/>
        <v>10.621014935802242</v>
      </c>
      <c r="P124" s="298">
        <f t="shared" si="7"/>
        <v>3.7383177570093395</v>
      </c>
      <c r="Q124" s="298">
        <f t="shared" si="6"/>
        <v>0</v>
      </c>
      <c r="R124" s="13"/>
    </row>
    <row r="125" spans="1:18" ht="16.5" x14ac:dyDescent="0.35">
      <c r="A125" s="250"/>
      <c r="B125" s="242"/>
      <c r="C125" s="242"/>
      <c r="D125" s="13"/>
      <c r="E125" s="257"/>
      <c r="F125" s="257" t="s">
        <v>330</v>
      </c>
      <c r="G125" s="256"/>
      <c r="H125" s="256"/>
      <c r="I125" s="256"/>
      <c r="J125" s="256"/>
      <c r="K125" s="256"/>
      <c r="L125" s="298">
        <f t="shared" si="7"/>
        <v>45.660479743203496</v>
      </c>
      <c r="M125" s="298">
        <f t="shared" si="7"/>
        <v>42.958473325227743</v>
      </c>
      <c r="N125" s="298">
        <f t="shared" si="7"/>
        <v>38.59276645799369</v>
      </c>
      <c r="O125" s="298">
        <f t="shared" si="7"/>
        <v>32.078260110053257</v>
      </c>
      <c r="P125" s="298">
        <f t="shared" si="7"/>
        <v>22.803738317756995</v>
      </c>
      <c r="Q125" s="298">
        <f t="shared" si="6"/>
        <v>9.9999999999999858</v>
      </c>
      <c r="R125" s="13"/>
    </row>
    <row r="126" spans="1:18" ht="16.5" x14ac:dyDescent="0.35">
      <c r="A126" s="250"/>
      <c r="B126" s="242"/>
      <c r="C126" s="242"/>
      <c r="D126" s="13"/>
      <c r="E126" s="257"/>
      <c r="F126" s="257" t="s">
        <v>331</v>
      </c>
      <c r="G126" s="256"/>
      <c r="H126" s="256"/>
      <c r="I126" s="256"/>
      <c r="J126" s="256"/>
      <c r="K126" s="256"/>
      <c r="L126" s="256"/>
      <c r="M126" s="298">
        <f t="shared" si="7"/>
        <v>57.704073325227746</v>
      </c>
      <c r="N126" s="298">
        <f t="shared" si="7"/>
        <v>57.024766457993692</v>
      </c>
      <c r="O126" s="298">
        <f t="shared" si="7"/>
        <v>55.118260110053249</v>
      </c>
      <c r="P126" s="298">
        <f t="shared" si="7"/>
        <v>51.603738317756985</v>
      </c>
      <c r="Q126" s="298">
        <f t="shared" si="6"/>
        <v>45.999999999999986</v>
      </c>
      <c r="R126" s="13"/>
    </row>
    <row r="127" spans="1:18" ht="16.5" x14ac:dyDescent="0.35">
      <c r="A127" s="250"/>
      <c r="B127" s="242"/>
      <c r="C127" s="242"/>
      <c r="D127" s="13"/>
      <c r="E127" s="257"/>
      <c r="F127" s="257" t="s">
        <v>332</v>
      </c>
      <c r="G127" s="256"/>
      <c r="H127" s="256"/>
      <c r="I127" s="256"/>
      <c r="J127" s="256"/>
      <c r="K127" s="256"/>
      <c r="L127" s="256"/>
      <c r="M127" s="256"/>
      <c r="N127" s="298">
        <f t="shared" si="7"/>
        <v>68.821246457993695</v>
      </c>
      <c r="O127" s="298">
        <f t="shared" si="7"/>
        <v>69.863860110053267</v>
      </c>
      <c r="P127" s="298">
        <f t="shared" si="7"/>
        <v>70.03573831775698</v>
      </c>
      <c r="Q127" s="298">
        <f t="shared" si="6"/>
        <v>69.039999999999978</v>
      </c>
      <c r="R127" s="13"/>
    </row>
    <row r="128" spans="1:18" ht="16.5" x14ac:dyDescent="0.35">
      <c r="A128" s="250"/>
      <c r="B128" s="242"/>
      <c r="C128" s="242"/>
      <c r="D128" s="13"/>
      <c r="E128" s="257"/>
      <c r="F128" s="257" t="s">
        <v>333</v>
      </c>
      <c r="G128" s="256"/>
      <c r="H128" s="256"/>
      <c r="I128" s="256"/>
      <c r="J128" s="256"/>
      <c r="K128" s="256"/>
      <c r="L128" s="256"/>
      <c r="M128" s="256"/>
      <c r="N128" s="256"/>
      <c r="O128" s="298">
        <f t="shared" si="7"/>
        <v>79.301044110053269</v>
      </c>
      <c r="P128" s="298">
        <f t="shared" si="7"/>
        <v>81.832218317756997</v>
      </c>
      <c r="Q128" s="298">
        <f t="shared" si="6"/>
        <v>83.785599999999988</v>
      </c>
      <c r="R128" s="13"/>
    </row>
    <row r="129" spans="1:18" ht="16.5" x14ac:dyDescent="0.35">
      <c r="A129" s="250"/>
      <c r="B129" s="242"/>
      <c r="C129" s="242"/>
      <c r="D129" s="13"/>
      <c r="E129" s="257"/>
      <c r="F129" s="257" t="s">
        <v>334</v>
      </c>
      <c r="G129" s="256"/>
      <c r="H129" s="256"/>
      <c r="I129" s="256"/>
      <c r="J129" s="256"/>
      <c r="K129" s="256"/>
      <c r="L129" s="256"/>
      <c r="M129" s="256"/>
      <c r="N129" s="256"/>
      <c r="O129" s="256"/>
      <c r="P129" s="298">
        <f t="shared" si="7"/>
        <v>89.38196551775701</v>
      </c>
      <c r="Q129" s="298">
        <f t="shared" si="6"/>
        <v>93.22278399999999</v>
      </c>
      <c r="R129" s="13"/>
    </row>
    <row r="130" spans="1:18" ht="16.5" x14ac:dyDescent="0.35">
      <c r="A130" s="250"/>
      <c r="B130" s="242"/>
      <c r="C130" s="242"/>
      <c r="D130" s="13"/>
      <c r="E130" s="257"/>
      <c r="F130" s="257" t="s">
        <v>335</v>
      </c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98">
        <f t="shared" si="6"/>
        <v>99.262581759999989</v>
      </c>
      <c r="R130" s="13"/>
    </row>
    <row r="131" spans="1:18" x14ac:dyDescent="0.35">
      <c r="A131" s="250"/>
      <c r="B131" s="242"/>
      <c r="C131" s="242"/>
      <c r="D131" s="13"/>
      <c r="E131" s="257"/>
      <c r="F131" s="257"/>
      <c r="G131" s="256"/>
      <c r="H131" s="256"/>
      <c r="I131" s="256"/>
      <c r="J131" s="256"/>
      <c r="K131" s="256"/>
      <c r="L131" s="256"/>
      <c r="M131" s="256"/>
      <c r="N131" s="256"/>
      <c r="O131" s="256"/>
      <c r="P131" s="257"/>
      <c r="Q131" s="257"/>
      <c r="R131" s="13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FA32-8B0B-46F5-B211-BC3088D1E317}">
  <dimension ref="B2:H11"/>
  <sheetViews>
    <sheetView workbookViewId="0">
      <selection activeCell="J16" sqref="J16"/>
    </sheetView>
  </sheetViews>
  <sheetFormatPr defaultRowHeight="14.5" x14ac:dyDescent="0.35"/>
  <sheetData>
    <row r="2" spans="2:8" ht="15" thickBot="1" x14ac:dyDescent="0.4"/>
    <row r="3" spans="2:8" x14ac:dyDescent="0.35"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</row>
    <row r="4" spans="2:8" ht="43.5" x14ac:dyDescent="0.35"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</row>
    <row r="5" spans="2:8" x14ac:dyDescent="0.35">
      <c r="B5" s="63">
        <v>150</v>
      </c>
      <c r="C5" s="20">
        <v>20</v>
      </c>
      <c r="D5" s="21">
        <v>21.5</v>
      </c>
      <c r="E5" s="22">
        <v>23</v>
      </c>
      <c r="F5" s="23">
        <v>3</v>
      </c>
      <c r="G5" s="24">
        <v>3.5</v>
      </c>
      <c r="H5" s="25">
        <v>4.45</v>
      </c>
    </row>
    <row r="6" spans="2:8" x14ac:dyDescent="0.35">
      <c r="B6" s="63">
        <v>155</v>
      </c>
      <c r="C6" s="20">
        <v>15.5</v>
      </c>
      <c r="D6" s="21">
        <v>16.25</v>
      </c>
      <c r="E6" s="22">
        <v>17.75</v>
      </c>
      <c r="F6" s="23">
        <v>4.0999999999999996</v>
      </c>
      <c r="G6" s="24">
        <v>4.9000000000000004</v>
      </c>
      <c r="H6" s="25">
        <v>5.9</v>
      </c>
    </row>
    <row r="7" spans="2:8" x14ac:dyDescent="0.35">
      <c r="B7" s="63">
        <v>160</v>
      </c>
      <c r="C7" s="20">
        <v>12.5</v>
      </c>
      <c r="D7" s="21">
        <v>12.85</v>
      </c>
      <c r="E7" s="22">
        <v>13.5</v>
      </c>
      <c r="F7" s="23">
        <v>5.3</v>
      </c>
      <c r="G7" s="24">
        <v>6</v>
      </c>
      <c r="H7" s="25">
        <v>6.8</v>
      </c>
    </row>
    <row r="8" spans="2:8" x14ac:dyDescent="0.35">
      <c r="B8" s="63">
        <v>165</v>
      </c>
      <c r="C8" s="20">
        <v>8.1</v>
      </c>
      <c r="D8" s="21">
        <v>9</v>
      </c>
      <c r="E8" s="22">
        <v>10.65</v>
      </c>
      <c r="F8" s="23">
        <v>7</v>
      </c>
      <c r="G8" s="24">
        <v>8</v>
      </c>
      <c r="H8" s="25">
        <v>9.1999999999999993</v>
      </c>
    </row>
    <row r="9" spans="2:8" x14ac:dyDescent="0.35">
      <c r="B9" s="63">
        <v>170</v>
      </c>
      <c r="C9" s="20">
        <v>5.2</v>
      </c>
      <c r="D9" s="21">
        <v>6.3</v>
      </c>
      <c r="E9" s="22">
        <v>8.5</v>
      </c>
      <c r="F9" s="23">
        <v>9.4</v>
      </c>
      <c r="G9" s="24">
        <v>10.75</v>
      </c>
      <c r="H9" s="25">
        <v>12.45</v>
      </c>
    </row>
    <row r="10" spans="2:8" x14ac:dyDescent="0.35">
      <c r="B10" s="63">
        <v>175</v>
      </c>
      <c r="C10" s="20">
        <v>3.25</v>
      </c>
      <c r="D10" s="21">
        <v>4.25</v>
      </c>
      <c r="E10" s="22">
        <v>5.75</v>
      </c>
      <c r="F10" s="23">
        <v>13</v>
      </c>
      <c r="G10" s="24">
        <v>14.3</v>
      </c>
      <c r="H10" s="25">
        <v>14.2</v>
      </c>
    </row>
    <row r="11" spans="2:8" ht="15" thickBot="1" x14ac:dyDescent="0.4">
      <c r="B11" s="64">
        <v>180</v>
      </c>
      <c r="C11" s="26">
        <v>2.5</v>
      </c>
      <c r="D11" s="27">
        <v>3.4</v>
      </c>
      <c r="E11" s="28">
        <v>4.45</v>
      </c>
      <c r="F11" s="29">
        <v>15</v>
      </c>
      <c r="G11" s="30">
        <v>16.100000000000001</v>
      </c>
      <c r="H11" s="31">
        <v>17.75</v>
      </c>
    </row>
  </sheetData>
  <mergeCells count="2">
    <mergeCell ref="C3:E3"/>
    <mergeCell ref="F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4C39-D075-4D74-A88C-0D048D9123C8}">
  <dimension ref="A1:AZ25"/>
  <sheetViews>
    <sheetView showGridLines="0" workbookViewId="0">
      <selection activeCell="B1" sqref="B1:O23"/>
    </sheetView>
  </sheetViews>
  <sheetFormatPr defaultRowHeight="14.5" x14ac:dyDescent="0.35"/>
  <cols>
    <col min="1" max="1" width="2.7265625" customWidth="1"/>
    <col min="2" max="2" width="18.269531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3.7265625" customWidth="1"/>
    <col min="8" max="8" width="2.36328125" customWidth="1"/>
    <col min="9" max="9" width="8.7265625" customWidth="1"/>
    <col min="10" max="10" width="9.26953125" customWidth="1"/>
    <col min="11" max="11" width="9" customWidth="1"/>
    <col min="12" max="12" width="9.7265625" customWidth="1"/>
    <col min="13" max="13" width="15" customWidth="1"/>
    <col min="14" max="14" width="10.26953125" customWidth="1"/>
  </cols>
  <sheetData>
    <row r="1" spans="1:52" ht="24" customHeight="1" x14ac:dyDescent="0.35">
      <c r="B1" s="76" t="s">
        <v>583</v>
      </c>
      <c r="C1" s="74"/>
      <c r="D1" s="74"/>
      <c r="E1" s="74"/>
      <c r="F1" s="74"/>
      <c r="G1" s="74"/>
      <c r="H1" s="13"/>
      <c r="I1" s="13"/>
      <c r="J1" s="74"/>
      <c r="K1" s="74"/>
      <c r="L1" s="77"/>
      <c r="M1" s="75" t="s">
        <v>102</v>
      </c>
      <c r="N1" s="78">
        <v>163</v>
      </c>
      <c r="O1" s="79" t="s">
        <v>584</v>
      </c>
    </row>
    <row r="2" spans="1:52" ht="9.5" customHeight="1" thickBot="1" x14ac:dyDescent="0.4"/>
    <row r="3" spans="1:52" ht="16.75" customHeight="1" thickBot="1" x14ac:dyDescent="0.4">
      <c r="A3" s="17"/>
      <c r="B3" s="62" t="s">
        <v>19</v>
      </c>
      <c r="D3" s="696" t="s">
        <v>45</v>
      </c>
      <c r="E3" s="697"/>
      <c r="F3" s="698"/>
      <c r="I3" s="81" t="s">
        <v>65</v>
      </c>
      <c r="J3" s="82"/>
      <c r="K3" s="83"/>
      <c r="L3" s="82"/>
      <c r="M3" s="84"/>
      <c r="N3" s="82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ht="46.75" customHeight="1" thickBot="1" x14ac:dyDescent="0.4">
      <c r="A4" s="17"/>
      <c r="B4" s="85" t="s">
        <v>9</v>
      </c>
      <c r="D4" s="10" t="s">
        <v>10</v>
      </c>
      <c r="E4" s="71" t="s">
        <v>11</v>
      </c>
      <c r="F4" s="11" t="s">
        <v>12</v>
      </c>
      <c r="I4" s="163" t="s">
        <v>21</v>
      </c>
      <c r="J4" s="164"/>
      <c r="K4" s="165" t="s">
        <v>64</v>
      </c>
      <c r="L4" s="165" t="s">
        <v>93</v>
      </c>
      <c r="M4" s="165" t="s">
        <v>92</v>
      </c>
      <c r="N4" s="713" t="s">
        <v>72</v>
      </c>
      <c r="O4" s="714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20.5" customHeight="1" x14ac:dyDescent="0.35">
      <c r="A5" s="17"/>
      <c r="B5" s="63">
        <v>150</v>
      </c>
      <c r="D5" s="23">
        <v>3</v>
      </c>
      <c r="E5" s="72">
        <v>3.5</v>
      </c>
      <c r="F5" s="25">
        <v>4.45</v>
      </c>
      <c r="I5" s="158" t="s">
        <v>61</v>
      </c>
      <c r="J5" s="159"/>
      <c r="K5" s="160"/>
      <c r="L5" s="161">
        <f>+N1</f>
        <v>163</v>
      </c>
      <c r="M5" s="162">
        <v>100</v>
      </c>
      <c r="N5" s="723">
        <f>-L5*M5</f>
        <v>-16300</v>
      </c>
      <c r="O5" s="724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20.5" customHeight="1" x14ac:dyDescent="0.35">
      <c r="A6" s="17"/>
      <c r="B6" s="63">
        <v>155</v>
      </c>
      <c r="D6" s="23">
        <v>4.0999999999999996</v>
      </c>
      <c r="E6" s="72">
        <v>4.9000000000000004</v>
      </c>
      <c r="F6" s="25">
        <v>5.9</v>
      </c>
      <c r="I6" s="91" t="s">
        <v>62</v>
      </c>
      <c r="J6" s="87"/>
      <c r="K6" s="89">
        <f>+B8</f>
        <v>165</v>
      </c>
      <c r="L6" s="88"/>
      <c r="M6" s="90"/>
      <c r="N6" s="725"/>
      <c r="O6" s="726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ht="20.5" customHeight="1" thickBot="1" x14ac:dyDescent="0.4">
      <c r="A7" s="17"/>
      <c r="B7" s="63">
        <v>160</v>
      </c>
      <c r="D7" s="23">
        <v>5.3</v>
      </c>
      <c r="E7" s="72">
        <v>6</v>
      </c>
      <c r="F7" s="25">
        <v>6.8</v>
      </c>
      <c r="I7" s="95" t="s">
        <v>63</v>
      </c>
      <c r="J7" s="96"/>
      <c r="K7" s="97"/>
      <c r="L7" s="98">
        <f>+F8</f>
        <v>9.1999999999999993</v>
      </c>
      <c r="M7" s="99">
        <v>100</v>
      </c>
      <c r="N7" s="727">
        <f>-L7*M7</f>
        <v>-919.99999999999989</v>
      </c>
      <c r="O7" s="72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20.5" customHeight="1" thickBot="1" x14ac:dyDescent="0.4">
      <c r="A8" s="17"/>
      <c r="B8" s="65">
        <v>165</v>
      </c>
      <c r="D8" s="23">
        <v>7</v>
      </c>
      <c r="E8" s="72">
        <v>8</v>
      </c>
      <c r="F8" s="46">
        <v>9.1999999999999993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0.5" customHeight="1" thickBot="1" x14ac:dyDescent="0.4">
      <c r="A9" s="17"/>
      <c r="B9" s="63">
        <v>170</v>
      </c>
      <c r="D9" s="23">
        <v>9.4</v>
      </c>
      <c r="E9" s="72">
        <v>10.75</v>
      </c>
      <c r="F9" s="25">
        <v>12.45</v>
      </c>
      <c r="M9" s="94" t="s">
        <v>94</v>
      </c>
      <c r="N9" s="150"/>
      <c r="O9" s="102">
        <f>+N7+N5</f>
        <v>-17220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ht="14" customHeight="1" thickBot="1" x14ac:dyDescent="0.4">
      <c r="B10" s="1"/>
      <c r="C10" s="1"/>
      <c r="D10" s="2"/>
      <c r="E10" s="8"/>
      <c r="H10" s="1"/>
      <c r="I10" s="4"/>
    </row>
    <row r="11" spans="1:52" ht="20.5" customHeight="1" thickBot="1" x14ac:dyDescent="0.4">
      <c r="B11" s="715" t="s">
        <v>18</v>
      </c>
      <c r="C11" s="716"/>
      <c r="D11" s="716"/>
      <c r="E11" s="717"/>
      <c r="F11" s="711"/>
      <c r="G11" s="712"/>
      <c r="I11" s="715" t="s">
        <v>17</v>
      </c>
      <c r="J11" s="716"/>
      <c r="K11" s="716"/>
      <c r="L11" s="716"/>
      <c r="M11" s="716"/>
      <c r="N11" s="716"/>
      <c r="O11" s="717"/>
    </row>
    <row r="12" spans="1:52" ht="31" customHeight="1" x14ac:dyDescent="0.35">
      <c r="B12" s="126"/>
      <c r="C12" s="118" t="s">
        <v>87</v>
      </c>
      <c r="D12" s="718" t="s">
        <v>88</v>
      </c>
      <c r="E12" s="719"/>
      <c r="F12" s="720" t="s">
        <v>22</v>
      </c>
      <c r="G12" s="719"/>
      <c r="I12" s="118" t="s">
        <v>87</v>
      </c>
      <c r="J12" s="718" t="s">
        <v>88</v>
      </c>
      <c r="K12" s="719"/>
      <c r="L12" s="720" t="s">
        <v>89</v>
      </c>
      <c r="M12" s="721"/>
      <c r="N12" s="721"/>
      <c r="O12" s="722"/>
    </row>
    <row r="13" spans="1:52" ht="26.4" customHeight="1" x14ac:dyDescent="0.35">
      <c r="B13" s="123"/>
      <c r="C13" s="123" t="s">
        <v>84</v>
      </c>
      <c r="D13" s="127" t="s">
        <v>0</v>
      </c>
      <c r="E13" s="120" t="s">
        <v>24</v>
      </c>
      <c r="F13" s="709" t="s">
        <v>25</v>
      </c>
      <c r="G13" s="710"/>
      <c r="H13" s="50"/>
      <c r="I13" s="114" t="s">
        <v>71</v>
      </c>
      <c r="J13" s="127" t="s">
        <v>26</v>
      </c>
      <c r="K13" s="103" t="s">
        <v>78</v>
      </c>
      <c r="L13" s="127" t="s">
        <v>79</v>
      </c>
      <c r="M13" s="128" t="s">
        <v>80</v>
      </c>
      <c r="N13" s="129" t="s">
        <v>70</v>
      </c>
      <c r="O13" s="103" t="s">
        <v>81</v>
      </c>
    </row>
    <row r="14" spans="1:52" ht="64" customHeight="1" x14ac:dyDescent="0.35">
      <c r="B14" s="85" t="s">
        <v>91</v>
      </c>
      <c r="C14" s="85" t="s">
        <v>82</v>
      </c>
      <c r="D14" s="104" t="s">
        <v>2</v>
      </c>
      <c r="E14" s="105" t="s">
        <v>83</v>
      </c>
      <c r="F14" s="705" t="s">
        <v>90</v>
      </c>
      <c r="G14" s="706"/>
      <c r="I14" s="85" t="s">
        <v>66</v>
      </c>
      <c r="J14" s="104" t="s">
        <v>74</v>
      </c>
      <c r="K14" s="105" t="s">
        <v>75</v>
      </c>
      <c r="L14" s="104" t="s">
        <v>76</v>
      </c>
      <c r="M14" s="7" t="s">
        <v>86</v>
      </c>
      <c r="N14" s="7" t="s">
        <v>77</v>
      </c>
      <c r="O14" s="105" t="s">
        <v>68</v>
      </c>
    </row>
    <row r="15" spans="1:52" x14ac:dyDescent="0.35">
      <c r="B15" s="130" t="s">
        <v>73</v>
      </c>
      <c r="C15" s="167">
        <f>+L5</f>
        <v>163</v>
      </c>
      <c r="D15" s="131">
        <f>+K6</f>
        <v>165</v>
      </c>
      <c r="E15" s="132">
        <f t="shared" ref="E15:E23" si="0">-$L$7</f>
        <v>-9.1999999999999993</v>
      </c>
      <c r="F15" s="694">
        <v>125</v>
      </c>
      <c r="G15" s="695"/>
      <c r="H15" s="133"/>
      <c r="I15" s="134">
        <f>+F15-C15</f>
        <v>-38</v>
      </c>
      <c r="J15" s="135">
        <f>MAX(0,D15-F15)</f>
        <v>40</v>
      </c>
      <c r="K15" s="136">
        <f>+J15+E15</f>
        <v>30.8</v>
      </c>
      <c r="L15" s="135">
        <f>+K15+I15</f>
        <v>-7.1999999999999993</v>
      </c>
      <c r="M15" s="137">
        <f t="shared" ref="M15:M23" si="1">+L15*$M$5</f>
        <v>-719.99999999999989</v>
      </c>
      <c r="N15" s="138">
        <f t="shared" ref="N15:N23" si="2">-$O$9</f>
        <v>17220</v>
      </c>
      <c r="O15" s="139">
        <f>+M15/N15</f>
        <v>-4.1811846689895467E-2</v>
      </c>
    </row>
    <row r="16" spans="1:52" x14ac:dyDescent="0.35">
      <c r="B16" s="125" t="s">
        <v>73</v>
      </c>
      <c r="C16" s="124">
        <f>+C15</f>
        <v>163</v>
      </c>
      <c r="D16" s="121">
        <f>+$D$15</f>
        <v>165</v>
      </c>
      <c r="E16" s="122">
        <f t="shared" si="0"/>
        <v>-9.1999999999999993</v>
      </c>
      <c r="F16" s="691">
        <f>+F15+10</f>
        <v>135</v>
      </c>
      <c r="G16" s="692"/>
      <c r="I16" s="115">
        <f t="shared" ref="I16:I23" si="3">+F16-C16</f>
        <v>-28</v>
      </c>
      <c r="J16" s="106">
        <f t="shared" ref="J16:J23" si="4">MAX(0,D16-F16)</f>
        <v>30</v>
      </c>
      <c r="K16" s="116">
        <f t="shared" ref="K16:K23" si="5">+J16+E16</f>
        <v>20.8</v>
      </c>
      <c r="L16" s="106">
        <f t="shared" ref="L16:L23" si="6">+K16+I16</f>
        <v>-7.1999999999999993</v>
      </c>
      <c r="M16" s="54">
        <f t="shared" si="1"/>
        <v>-719.99999999999989</v>
      </c>
      <c r="N16" s="92">
        <f t="shared" si="2"/>
        <v>17220</v>
      </c>
      <c r="O16" s="107">
        <f t="shared" ref="O16:O23" si="7">+M16/N16</f>
        <v>-4.1811846689895467E-2</v>
      </c>
    </row>
    <row r="17" spans="2:15" x14ac:dyDescent="0.35">
      <c r="B17" s="125" t="s">
        <v>73</v>
      </c>
      <c r="C17" s="124">
        <f t="shared" ref="C17:C23" si="8">+C16</f>
        <v>163</v>
      </c>
      <c r="D17" s="121">
        <f t="shared" ref="D17:D23" si="9">+$D$15</f>
        <v>165</v>
      </c>
      <c r="E17" s="122">
        <f t="shared" si="0"/>
        <v>-9.1999999999999993</v>
      </c>
      <c r="F17" s="691">
        <f t="shared" ref="F17:F20" si="10">+F16+10</f>
        <v>145</v>
      </c>
      <c r="G17" s="692"/>
      <c r="I17" s="115">
        <f t="shared" si="3"/>
        <v>-18</v>
      </c>
      <c r="J17" s="106">
        <f t="shared" si="4"/>
        <v>20</v>
      </c>
      <c r="K17" s="116">
        <f t="shared" si="5"/>
        <v>10.8</v>
      </c>
      <c r="L17" s="106">
        <f t="shared" si="6"/>
        <v>-7.1999999999999993</v>
      </c>
      <c r="M17" s="54">
        <f t="shared" si="1"/>
        <v>-719.99999999999989</v>
      </c>
      <c r="N17" s="92">
        <f t="shared" si="2"/>
        <v>17220</v>
      </c>
      <c r="O17" s="107">
        <f t="shared" si="7"/>
        <v>-4.1811846689895467E-2</v>
      </c>
    </row>
    <row r="18" spans="2:15" x14ac:dyDescent="0.35">
      <c r="B18" s="125" t="s">
        <v>73</v>
      </c>
      <c r="C18" s="124">
        <f t="shared" si="8"/>
        <v>163</v>
      </c>
      <c r="D18" s="121">
        <f t="shared" si="9"/>
        <v>165</v>
      </c>
      <c r="E18" s="122">
        <f t="shared" si="0"/>
        <v>-9.1999999999999993</v>
      </c>
      <c r="F18" s="691">
        <f t="shared" si="10"/>
        <v>155</v>
      </c>
      <c r="G18" s="692"/>
      <c r="I18" s="115">
        <f t="shared" si="3"/>
        <v>-8</v>
      </c>
      <c r="J18" s="106">
        <f t="shared" si="4"/>
        <v>10</v>
      </c>
      <c r="K18" s="116">
        <f t="shared" si="5"/>
        <v>0.80000000000000071</v>
      </c>
      <c r="L18" s="106">
        <f t="shared" si="6"/>
        <v>-7.1999999999999993</v>
      </c>
      <c r="M18" s="54">
        <f t="shared" si="1"/>
        <v>-719.99999999999989</v>
      </c>
      <c r="N18" s="92">
        <f t="shared" si="2"/>
        <v>17220</v>
      </c>
      <c r="O18" s="107">
        <f t="shared" si="7"/>
        <v>-4.1811846689895467E-2</v>
      </c>
    </row>
    <row r="19" spans="2:15" x14ac:dyDescent="0.35">
      <c r="B19" s="125" t="s">
        <v>73</v>
      </c>
      <c r="C19" s="124">
        <f t="shared" si="8"/>
        <v>163</v>
      </c>
      <c r="D19" s="121">
        <f t="shared" si="9"/>
        <v>165</v>
      </c>
      <c r="E19" s="122">
        <f t="shared" si="0"/>
        <v>-9.1999999999999993</v>
      </c>
      <c r="F19" s="691">
        <f t="shared" si="10"/>
        <v>165</v>
      </c>
      <c r="G19" s="692"/>
      <c r="I19" s="115">
        <f t="shared" si="3"/>
        <v>2</v>
      </c>
      <c r="J19" s="106">
        <f t="shared" si="4"/>
        <v>0</v>
      </c>
      <c r="K19" s="116">
        <f t="shared" si="5"/>
        <v>-9.1999999999999993</v>
      </c>
      <c r="L19" s="106">
        <f t="shared" si="6"/>
        <v>-7.1999999999999993</v>
      </c>
      <c r="M19" s="54">
        <f t="shared" si="1"/>
        <v>-719.99999999999989</v>
      </c>
      <c r="N19" s="92">
        <f t="shared" si="2"/>
        <v>17220</v>
      </c>
      <c r="O19" s="107">
        <f t="shared" si="7"/>
        <v>-4.1811846689895467E-2</v>
      </c>
    </row>
    <row r="20" spans="2:15" x14ac:dyDescent="0.35">
      <c r="B20" s="125" t="s">
        <v>73</v>
      </c>
      <c r="C20" s="124">
        <f t="shared" si="8"/>
        <v>163</v>
      </c>
      <c r="D20" s="121">
        <f t="shared" si="9"/>
        <v>165</v>
      </c>
      <c r="E20" s="122">
        <f t="shared" si="0"/>
        <v>-9.1999999999999993</v>
      </c>
      <c r="F20" s="691">
        <f t="shared" si="10"/>
        <v>175</v>
      </c>
      <c r="G20" s="692"/>
      <c r="I20" s="115">
        <f t="shared" si="3"/>
        <v>12</v>
      </c>
      <c r="J20" s="106">
        <f t="shared" si="4"/>
        <v>0</v>
      </c>
      <c r="K20" s="116">
        <f t="shared" si="5"/>
        <v>-9.1999999999999993</v>
      </c>
      <c r="L20" s="106">
        <f t="shared" si="6"/>
        <v>2.8000000000000007</v>
      </c>
      <c r="M20" s="54">
        <f t="shared" si="1"/>
        <v>280.00000000000006</v>
      </c>
      <c r="N20" s="92">
        <f t="shared" si="2"/>
        <v>17220</v>
      </c>
      <c r="O20" s="107">
        <f t="shared" si="7"/>
        <v>1.6260162601626018E-2</v>
      </c>
    </row>
    <row r="21" spans="2:15" x14ac:dyDescent="0.35">
      <c r="B21" s="125" t="s">
        <v>73</v>
      </c>
      <c r="C21" s="124">
        <f t="shared" si="8"/>
        <v>163</v>
      </c>
      <c r="D21" s="121">
        <f t="shared" si="9"/>
        <v>165</v>
      </c>
      <c r="E21" s="122">
        <f t="shared" si="0"/>
        <v>-9.1999999999999993</v>
      </c>
      <c r="F21" s="691">
        <f t="shared" ref="F21:F22" si="11">+F20+10</f>
        <v>185</v>
      </c>
      <c r="G21" s="692"/>
      <c r="I21" s="115">
        <f t="shared" si="3"/>
        <v>22</v>
      </c>
      <c r="J21" s="106">
        <f t="shared" si="4"/>
        <v>0</v>
      </c>
      <c r="K21" s="116">
        <f t="shared" si="5"/>
        <v>-9.1999999999999993</v>
      </c>
      <c r="L21" s="106">
        <f t="shared" si="6"/>
        <v>12.8</v>
      </c>
      <c r="M21" s="54">
        <f t="shared" si="1"/>
        <v>1280</v>
      </c>
      <c r="N21" s="92">
        <f t="shared" si="2"/>
        <v>17220</v>
      </c>
      <c r="O21" s="107">
        <f t="shared" si="7"/>
        <v>7.4332171893147503E-2</v>
      </c>
    </row>
    <row r="22" spans="2:15" x14ac:dyDescent="0.35">
      <c r="B22" s="125" t="s">
        <v>73</v>
      </c>
      <c r="C22" s="124">
        <f t="shared" si="8"/>
        <v>163</v>
      </c>
      <c r="D22" s="121">
        <f t="shared" si="9"/>
        <v>165</v>
      </c>
      <c r="E22" s="122">
        <f t="shared" si="0"/>
        <v>-9.1999999999999993</v>
      </c>
      <c r="F22" s="691">
        <f t="shared" si="11"/>
        <v>195</v>
      </c>
      <c r="G22" s="692"/>
      <c r="I22" s="115">
        <f t="shared" si="3"/>
        <v>32</v>
      </c>
      <c r="J22" s="106">
        <f t="shared" si="4"/>
        <v>0</v>
      </c>
      <c r="K22" s="116">
        <f t="shared" si="5"/>
        <v>-9.1999999999999993</v>
      </c>
      <c r="L22" s="106">
        <f t="shared" si="6"/>
        <v>22.8</v>
      </c>
      <c r="M22" s="54">
        <f t="shared" si="1"/>
        <v>2280</v>
      </c>
      <c r="N22" s="92">
        <f t="shared" si="2"/>
        <v>17220</v>
      </c>
      <c r="O22" s="107">
        <f t="shared" si="7"/>
        <v>0.13240418118466898</v>
      </c>
    </row>
    <row r="23" spans="2:15" ht="15" thickBot="1" x14ac:dyDescent="0.4">
      <c r="B23" s="140" t="s">
        <v>73</v>
      </c>
      <c r="C23" s="141">
        <f t="shared" si="8"/>
        <v>163</v>
      </c>
      <c r="D23" s="142">
        <f t="shared" si="9"/>
        <v>165</v>
      </c>
      <c r="E23" s="143">
        <f t="shared" si="0"/>
        <v>-9.1999999999999993</v>
      </c>
      <c r="F23" s="707">
        <f t="shared" ref="F23" si="12">+F22+10</f>
        <v>205</v>
      </c>
      <c r="G23" s="708"/>
      <c r="H23" s="133"/>
      <c r="I23" s="144">
        <f t="shared" si="3"/>
        <v>42</v>
      </c>
      <c r="J23" s="145">
        <f t="shared" si="4"/>
        <v>0</v>
      </c>
      <c r="K23" s="146">
        <f t="shared" si="5"/>
        <v>-9.1999999999999993</v>
      </c>
      <c r="L23" s="145">
        <f t="shared" si="6"/>
        <v>32.799999999999997</v>
      </c>
      <c r="M23" s="147">
        <f t="shared" si="1"/>
        <v>3279.9999999999995</v>
      </c>
      <c r="N23" s="148">
        <f t="shared" si="2"/>
        <v>17220</v>
      </c>
      <c r="O23" s="149">
        <f t="shared" si="7"/>
        <v>0.19047619047619044</v>
      </c>
    </row>
    <row r="24" spans="2:15" x14ac:dyDescent="0.35">
      <c r="O24" s="1"/>
    </row>
    <row r="25" spans="2:15" x14ac:dyDescent="0.35">
      <c r="I25" s="1"/>
      <c r="J25" s="4"/>
      <c r="O25" s="1" t="s">
        <v>85</v>
      </c>
    </row>
  </sheetData>
  <mergeCells count="23">
    <mergeCell ref="D3:F3"/>
    <mergeCell ref="F11:G11"/>
    <mergeCell ref="F21:G21"/>
    <mergeCell ref="N4:O4"/>
    <mergeCell ref="B11:E11"/>
    <mergeCell ref="I11:O11"/>
    <mergeCell ref="J12:K12"/>
    <mergeCell ref="L12:O12"/>
    <mergeCell ref="F12:G12"/>
    <mergeCell ref="D12:E12"/>
    <mergeCell ref="N5:O5"/>
    <mergeCell ref="N6:O6"/>
    <mergeCell ref="N7:O7"/>
    <mergeCell ref="F22:G22"/>
    <mergeCell ref="F23:G23"/>
    <mergeCell ref="F19:G19"/>
    <mergeCell ref="F20:G20"/>
    <mergeCell ref="F13:G13"/>
    <mergeCell ref="F14:G14"/>
    <mergeCell ref="F15:G15"/>
    <mergeCell ref="F16:G16"/>
    <mergeCell ref="F17:G17"/>
    <mergeCell ref="F18:G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6B8DD-D4D8-4205-A77D-16FBD67D0215}">
  <dimension ref="A1:AZ24"/>
  <sheetViews>
    <sheetView showGridLines="0" workbookViewId="0">
      <selection activeCell="B1" sqref="B1:O22"/>
    </sheetView>
  </sheetViews>
  <sheetFormatPr defaultRowHeight="14.5" x14ac:dyDescent="0.35"/>
  <cols>
    <col min="1" max="1" width="2.7265625" customWidth="1"/>
    <col min="2" max="2" width="21.4531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3.7265625" customWidth="1"/>
    <col min="8" max="8" width="2.36328125" customWidth="1"/>
    <col min="9" max="9" width="8.7265625" customWidth="1"/>
    <col min="10" max="10" width="9.26953125" customWidth="1"/>
    <col min="11" max="11" width="9" customWidth="1"/>
    <col min="12" max="12" width="9.7265625" customWidth="1"/>
    <col min="13" max="13" width="13.26953125" customWidth="1"/>
    <col min="14" max="14" width="10.26953125" customWidth="1"/>
  </cols>
  <sheetData>
    <row r="1" spans="1:52" ht="24" customHeight="1" x14ac:dyDescent="0.35">
      <c r="B1" s="76" t="s">
        <v>95</v>
      </c>
      <c r="C1" s="74"/>
      <c r="D1" s="74"/>
      <c r="E1" s="74"/>
      <c r="F1" s="74"/>
      <c r="G1" s="74"/>
      <c r="H1" s="13"/>
      <c r="I1" s="13"/>
      <c r="J1" s="74"/>
      <c r="K1" s="74"/>
      <c r="L1" s="77"/>
      <c r="M1" s="75" t="s">
        <v>102</v>
      </c>
      <c r="N1" s="78">
        <f>+'Figure 13.4'!N1</f>
        <v>163</v>
      </c>
      <c r="O1" s="79" t="s">
        <v>69</v>
      </c>
    </row>
    <row r="2" spans="1:52" ht="9.5" customHeight="1" thickBot="1" x14ac:dyDescent="0.4"/>
    <row r="3" spans="1:52" ht="16.75" customHeight="1" thickBot="1" x14ac:dyDescent="0.4">
      <c r="A3" s="17"/>
      <c r="B3" s="62" t="s">
        <v>19</v>
      </c>
      <c r="D3" s="686" t="s">
        <v>46</v>
      </c>
      <c r="E3" s="687"/>
      <c r="F3" s="688"/>
      <c r="I3" s="81" t="s">
        <v>98</v>
      </c>
      <c r="J3" s="82"/>
      <c r="K3" s="83"/>
      <c r="L3" s="82"/>
      <c r="M3" s="84"/>
      <c r="N3" s="82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ht="46.75" customHeight="1" thickBot="1" x14ac:dyDescent="0.4">
      <c r="A4" s="17"/>
      <c r="B4" s="85" t="s">
        <v>9</v>
      </c>
      <c r="D4" s="10" t="s">
        <v>10</v>
      </c>
      <c r="E4" s="9" t="s">
        <v>11</v>
      </c>
      <c r="F4" s="11" t="s">
        <v>12</v>
      </c>
      <c r="I4" s="163" t="s">
        <v>21</v>
      </c>
      <c r="J4" s="164"/>
      <c r="K4" s="165" t="s">
        <v>64</v>
      </c>
      <c r="L4" s="165" t="s">
        <v>93</v>
      </c>
      <c r="M4" s="165" t="s">
        <v>92</v>
      </c>
      <c r="N4" s="713" t="s">
        <v>72</v>
      </c>
      <c r="O4" s="714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20.5" customHeight="1" x14ac:dyDescent="0.35">
      <c r="A5" s="17"/>
      <c r="B5" s="63">
        <v>150</v>
      </c>
      <c r="D5" s="20">
        <v>20</v>
      </c>
      <c r="E5" s="21">
        <v>21.5</v>
      </c>
      <c r="F5" s="22">
        <v>23</v>
      </c>
      <c r="I5" s="158" t="s">
        <v>97</v>
      </c>
      <c r="J5" s="159"/>
      <c r="K5" s="160"/>
      <c r="L5" s="161">
        <f>+N1</f>
        <v>163</v>
      </c>
      <c r="M5" s="162">
        <v>100</v>
      </c>
      <c r="N5" s="723">
        <f>-L5*M5</f>
        <v>-16300</v>
      </c>
      <c r="O5" s="724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20.5" customHeight="1" x14ac:dyDescent="0.35">
      <c r="A6" s="17"/>
      <c r="B6" s="63">
        <v>155</v>
      </c>
      <c r="D6" s="20">
        <v>15.5</v>
      </c>
      <c r="E6" s="21">
        <v>16.25</v>
      </c>
      <c r="F6" s="22">
        <v>17.75</v>
      </c>
      <c r="I6" s="91" t="s">
        <v>96</v>
      </c>
      <c r="J6" s="87"/>
      <c r="K6" s="89">
        <f>+B8</f>
        <v>165</v>
      </c>
      <c r="L6" s="88"/>
      <c r="M6" s="90"/>
      <c r="N6" s="725"/>
      <c r="O6" s="726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ht="20.5" customHeight="1" thickBot="1" x14ac:dyDescent="0.4">
      <c r="A7" s="17"/>
      <c r="B7" s="63">
        <v>160</v>
      </c>
      <c r="D7" s="20">
        <v>12.5</v>
      </c>
      <c r="E7" s="21">
        <v>12.85</v>
      </c>
      <c r="F7" s="22">
        <v>13.5</v>
      </c>
      <c r="I7" s="95" t="s">
        <v>63</v>
      </c>
      <c r="J7" s="96"/>
      <c r="K7" s="97"/>
      <c r="L7" s="98">
        <f>-F11</f>
        <v>-4.45</v>
      </c>
      <c r="M7" s="99">
        <v>100</v>
      </c>
      <c r="N7" s="727">
        <f>-L7*M7</f>
        <v>445</v>
      </c>
      <c r="O7" s="72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20.5" customHeight="1" thickBot="1" x14ac:dyDescent="0.4">
      <c r="A8" s="17"/>
      <c r="B8" s="63">
        <v>165</v>
      </c>
      <c r="D8" s="20">
        <v>8.1</v>
      </c>
      <c r="E8" s="21">
        <v>9</v>
      </c>
      <c r="F8" s="22">
        <v>10.65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0.5" customHeight="1" thickBot="1" x14ac:dyDescent="0.4">
      <c r="A9" s="17"/>
      <c r="B9" s="63">
        <v>170</v>
      </c>
      <c r="D9" s="20">
        <v>5.2</v>
      </c>
      <c r="E9" s="21">
        <v>6.3</v>
      </c>
      <c r="F9" s="22">
        <v>8.5</v>
      </c>
      <c r="M9" s="94" t="s">
        <v>94</v>
      </c>
      <c r="N9" s="150"/>
      <c r="O9" s="102">
        <f>+N7+N5</f>
        <v>-15855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ht="20.5" customHeight="1" x14ac:dyDescent="0.35">
      <c r="A10" s="17"/>
      <c r="B10" s="63">
        <v>175</v>
      </c>
      <c r="D10" s="20">
        <v>3.25</v>
      </c>
      <c r="E10" s="21">
        <v>4.25</v>
      </c>
      <c r="F10" s="22">
        <v>5.75</v>
      </c>
      <c r="M10" s="100"/>
      <c r="O10" s="101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ht="20.5" customHeight="1" thickBot="1" x14ac:dyDescent="0.4">
      <c r="A11" s="17"/>
      <c r="B11" s="168">
        <v>180</v>
      </c>
      <c r="D11" s="26">
        <v>2.5</v>
      </c>
      <c r="E11" s="27">
        <v>3.4</v>
      </c>
      <c r="F11" s="169">
        <v>4.45</v>
      </c>
      <c r="M11" s="100"/>
      <c r="O11" s="101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1:52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52" ht="14" customHeight="1" thickBot="1" x14ac:dyDescent="0.4">
      <c r="B13" s="1"/>
      <c r="C13" s="1"/>
      <c r="D13" s="2"/>
      <c r="E13" s="8"/>
      <c r="H13" s="1"/>
      <c r="I13" s="4"/>
    </row>
    <row r="14" spans="1:52" ht="20.5" customHeight="1" thickBot="1" x14ac:dyDescent="0.4">
      <c r="B14" s="715" t="s">
        <v>18</v>
      </c>
      <c r="C14" s="716"/>
      <c r="D14" s="716"/>
      <c r="E14" s="717"/>
      <c r="F14" s="711"/>
      <c r="G14" s="712"/>
      <c r="I14" s="715" t="s">
        <v>17</v>
      </c>
      <c r="J14" s="716"/>
      <c r="K14" s="716"/>
      <c r="L14" s="716"/>
      <c r="M14" s="716"/>
      <c r="N14" s="716"/>
      <c r="O14" s="717"/>
    </row>
    <row r="15" spans="1:52" ht="31" customHeight="1" x14ac:dyDescent="0.35">
      <c r="B15" s="126"/>
      <c r="C15" s="118" t="s">
        <v>87</v>
      </c>
      <c r="D15" s="718" t="s">
        <v>88</v>
      </c>
      <c r="E15" s="719"/>
      <c r="F15" s="720" t="s">
        <v>22</v>
      </c>
      <c r="G15" s="719"/>
      <c r="I15" s="118" t="s">
        <v>87</v>
      </c>
      <c r="J15" s="718" t="s">
        <v>88</v>
      </c>
      <c r="K15" s="719"/>
      <c r="L15" s="720" t="s">
        <v>89</v>
      </c>
      <c r="M15" s="721"/>
      <c r="N15" s="721"/>
      <c r="O15" s="722"/>
    </row>
    <row r="16" spans="1:52" ht="26.4" customHeight="1" x14ac:dyDescent="0.35">
      <c r="B16" s="123"/>
      <c r="C16" s="123" t="s">
        <v>84</v>
      </c>
      <c r="D16" s="127" t="s">
        <v>0</v>
      </c>
      <c r="E16" s="120" t="s">
        <v>24</v>
      </c>
      <c r="F16" s="709" t="s">
        <v>25</v>
      </c>
      <c r="G16" s="710"/>
      <c r="H16" s="50"/>
      <c r="I16" s="114" t="s">
        <v>71</v>
      </c>
      <c r="J16" s="127" t="s">
        <v>26</v>
      </c>
      <c r="K16" s="103" t="s">
        <v>78</v>
      </c>
      <c r="L16" s="127" t="s">
        <v>79</v>
      </c>
      <c r="M16" s="128" t="s">
        <v>80</v>
      </c>
      <c r="N16" s="129" t="s">
        <v>70</v>
      </c>
      <c r="O16" s="103" t="s">
        <v>81</v>
      </c>
    </row>
    <row r="17" spans="2:15" ht="64" customHeight="1" x14ac:dyDescent="0.35">
      <c r="B17" s="85" t="s">
        <v>91</v>
      </c>
      <c r="C17" s="85" t="s">
        <v>100</v>
      </c>
      <c r="D17" s="104" t="s">
        <v>2</v>
      </c>
      <c r="E17" s="105" t="s">
        <v>101</v>
      </c>
      <c r="F17" s="705" t="s">
        <v>90</v>
      </c>
      <c r="G17" s="706"/>
      <c r="I17" s="85" t="s">
        <v>66</v>
      </c>
      <c r="J17" s="104" t="s">
        <v>103</v>
      </c>
      <c r="K17" s="105" t="s">
        <v>75</v>
      </c>
      <c r="L17" s="104" t="s">
        <v>76</v>
      </c>
      <c r="M17" s="7" t="s">
        <v>86</v>
      </c>
      <c r="N17" s="7" t="s">
        <v>77</v>
      </c>
      <c r="O17" s="105" t="s">
        <v>68</v>
      </c>
    </row>
    <row r="18" spans="2:15" x14ac:dyDescent="0.35">
      <c r="B18" s="153" t="s">
        <v>99</v>
      </c>
      <c r="C18" s="166">
        <f>+N1</f>
        <v>163</v>
      </c>
      <c r="D18" s="154">
        <f>+B11</f>
        <v>180</v>
      </c>
      <c r="E18" s="122">
        <f>+F11</f>
        <v>4.45</v>
      </c>
      <c r="F18" s="691">
        <v>180</v>
      </c>
      <c r="G18" s="692"/>
      <c r="I18" s="115">
        <f t="shared" ref="I18" si="0">+F18-C18</f>
        <v>17</v>
      </c>
      <c r="J18" s="106">
        <f t="shared" ref="J18" si="1">MAX(0,D18-F18)</f>
        <v>0</v>
      </c>
      <c r="K18" s="116">
        <f t="shared" ref="K18" si="2">+J18+E18</f>
        <v>4.45</v>
      </c>
      <c r="L18" s="106">
        <f t="shared" ref="L18" si="3">+K18+I18</f>
        <v>21.45</v>
      </c>
      <c r="M18" s="54">
        <f>+L18*$M$5</f>
        <v>2145</v>
      </c>
      <c r="N18" s="92">
        <f>-$O$9</f>
        <v>15855</v>
      </c>
      <c r="O18" s="107">
        <f t="shared" ref="O18" si="4">+M18/N18</f>
        <v>0.13528855250709557</v>
      </c>
    </row>
    <row r="19" spans="2:15" x14ac:dyDescent="0.35">
      <c r="B19" s="153" t="s">
        <v>99</v>
      </c>
      <c r="C19" s="166">
        <f>+C18</f>
        <v>163</v>
      </c>
      <c r="D19" s="154">
        <f>+D18</f>
        <v>180</v>
      </c>
      <c r="E19" s="122">
        <f>+E18</f>
        <v>4.45</v>
      </c>
      <c r="F19" s="691">
        <v>190</v>
      </c>
      <c r="G19" s="692"/>
      <c r="I19" s="115">
        <f t="shared" ref="I19:I22" si="5">+F19-C19</f>
        <v>27</v>
      </c>
      <c r="J19" s="106">
        <f>+D19-F19</f>
        <v>-10</v>
      </c>
      <c r="K19" s="116">
        <f t="shared" ref="K19:K22" si="6">+J19+E19</f>
        <v>-5.55</v>
      </c>
      <c r="L19" s="106">
        <f t="shared" ref="L19:L22" si="7">+K19+I19</f>
        <v>21.45</v>
      </c>
      <c r="M19" s="54">
        <f t="shared" ref="M19:M22" si="8">+L19*$M$5</f>
        <v>2145</v>
      </c>
      <c r="N19" s="92">
        <f t="shared" ref="N19:N22" si="9">-$O$9</f>
        <v>15855</v>
      </c>
      <c r="O19" s="107">
        <f t="shared" ref="O19:O22" si="10">+M19/N19</f>
        <v>0.13528855250709557</v>
      </c>
    </row>
    <row r="20" spans="2:15" x14ac:dyDescent="0.35">
      <c r="B20" s="153" t="s">
        <v>99</v>
      </c>
      <c r="C20" s="166">
        <f t="shared" ref="C20:C22" si="11">+C19</f>
        <v>163</v>
      </c>
      <c r="D20" s="154">
        <f t="shared" ref="D20:D22" si="12">+D19</f>
        <v>180</v>
      </c>
      <c r="E20" s="122">
        <f t="shared" ref="E20:E22" si="13">+E19</f>
        <v>4.45</v>
      </c>
      <c r="F20" s="691">
        <v>200</v>
      </c>
      <c r="G20" s="692"/>
      <c r="I20" s="115">
        <f t="shared" si="5"/>
        <v>37</v>
      </c>
      <c r="J20" s="106">
        <f t="shared" ref="J20:J22" si="14">+D20-F20</f>
        <v>-20</v>
      </c>
      <c r="K20" s="116">
        <f t="shared" si="6"/>
        <v>-15.55</v>
      </c>
      <c r="L20" s="106">
        <f t="shared" si="7"/>
        <v>21.45</v>
      </c>
      <c r="M20" s="54">
        <f t="shared" si="8"/>
        <v>2145</v>
      </c>
      <c r="N20" s="92">
        <f t="shared" si="9"/>
        <v>15855</v>
      </c>
      <c r="O20" s="107">
        <f t="shared" si="10"/>
        <v>0.13528855250709557</v>
      </c>
    </row>
    <row r="21" spans="2:15" x14ac:dyDescent="0.35">
      <c r="B21" s="153" t="s">
        <v>99</v>
      </c>
      <c r="C21" s="166">
        <f t="shared" si="11"/>
        <v>163</v>
      </c>
      <c r="D21" s="154">
        <f t="shared" si="12"/>
        <v>180</v>
      </c>
      <c r="E21" s="122">
        <f t="shared" si="13"/>
        <v>4.45</v>
      </c>
      <c r="F21" s="691">
        <v>210</v>
      </c>
      <c r="G21" s="692"/>
      <c r="I21" s="115">
        <f t="shared" si="5"/>
        <v>47</v>
      </c>
      <c r="J21" s="106">
        <f t="shared" si="14"/>
        <v>-30</v>
      </c>
      <c r="K21" s="116">
        <f t="shared" si="6"/>
        <v>-25.55</v>
      </c>
      <c r="L21" s="106">
        <f t="shared" si="7"/>
        <v>21.45</v>
      </c>
      <c r="M21" s="54">
        <f t="shared" si="8"/>
        <v>2145</v>
      </c>
      <c r="N21" s="92">
        <f t="shared" si="9"/>
        <v>15855</v>
      </c>
      <c r="O21" s="107">
        <f t="shared" si="10"/>
        <v>0.13528855250709557</v>
      </c>
    </row>
    <row r="22" spans="2:15" x14ac:dyDescent="0.35">
      <c r="B22" s="153" t="s">
        <v>99</v>
      </c>
      <c r="C22" s="166">
        <f t="shared" si="11"/>
        <v>163</v>
      </c>
      <c r="D22" s="154">
        <f t="shared" si="12"/>
        <v>180</v>
      </c>
      <c r="E22" s="122">
        <f t="shared" si="13"/>
        <v>4.45</v>
      </c>
      <c r="F22" s="691">
        <v>220</v>
      </c>
      <c r="G22" s="692"/>
      <c r="I22" s="115">
        <f t="shared" si="5"/>
        <v>57</v>
      </c>
      <c r="J22" s="106">
        <f t="shared" si="14"/>
        <v>-40</v>
      </c>
      <c r="K22" s="116">
        <f t="shared" si="6"/>
        <v>-35.549999999999997</v>
      </c>
      <c r="L22" s="106">
        <f t="shared" si="7"/>
        <v>21.450000000000003</v>
      </c>
      <c r="M22" s="54">
        <f t="shared" si="8"/>
        <v>2145.0000000000005</v>
      </c>
      <c r="N22" s="92">
        <f t="shared" si="9"/>
        <v>15855</v>
      </c>
      <c r="O22" s="107">
        <f t="shared" si="10"/>
        <v>0.13528855250709559</v>
      </c>
    </row>
    <row r="23" spans="2:15" x14ac:dyDescent="0.35">
      <c r="O23" s="1"/>
    </row>
    <row r="24" spans="2:15" x14ac:dyDescent="0.35">
      <c r="I24" s="1"/>
      <c r="J24" s="4"/>
      <c r="O24" s="1" t="s">
        <v>104</v>
      </c>
    </row>
  </sheetData>
  <mergeCells count="19">
    <mergeCell ref="F17:G17"/>
    <mergeCell ref="D3:F3"/>
    <mergeCell ref="N4:O4"/>
    <mergeCell ref="N5:O5"/>
    <mergeCell ref="N6:O6"/>
    <mergeCell ref="N7:O7"/>
    <mergeCell ref="B14:E14"/>
    <mergeCell ref="F14:G14"/>
    <mergeCell ref="I14:O14"/>
    <mergeCell ref="D15:E15"/>
    <mergeCell ref="F15:G15"/>
    <mergeCell ref="J15:K15"/>
    <mergeCell ref="L15:O15"/>
    <mergeCell ref="F16:G16"/>
    <mergeCell ref="F18:G18"/>
    <mergeCell ref="F21:G21"/>
    <mergeCell ref="F22:G22"/>
    <mergeCell ref="F19:G19"/>
    <mergeCell ref="F20:G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5243-8106-4A69-8844-C4C4EFA53ED5}">
  <dimension ref="A1:AZ34"/>
  <sheetViews>
    <sheetView showGridLines="0" workbookViewId="0">
      <selection activeCell="B3" sqref="B3:J11"/>
    </sheetView>
  </sheetViews>
  <sheetFormatPr defaultRowHeight="14.5" x14ac:dyDescent="0.35"/>
  <cols>
    <col min="1" max="1" width="2.7265625" customWidth="1"/>
    <col min="2" max="2" width="25.5429687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3.7265625" customWidth="1"/>
    <col min="8" max="8" width="11.08984375" customWidth="1"/>
    <col min="9" max="9" width="8.7265625" customWidth="1"/>
    <col min="10" max="10" width="9.26953125" customWidth="1"/>
    <col min="11" max="11" width="9" customWidth="1"/>
    <col min="12" max="12" width="9.7265625" customWidth="1"/>
    <col min="13" max="13" width="13.26953125" customWidth="1"/>
    <col min="14" max="14" width="11.7265625" customWidth="1"/>
  </cols>
  <sheetData>
    <row r="1" spans="1:52" ht="24" customHeight="1" x14ac:dyDescent="0.35">
      <c r="B1" s="76" t="s">
        <v>106</v>
      </c>
      <c r="C1" s="74"/>
      <c r="D1" s="74"/>
      <c r="E1" s="74"/>
      <c r="F1" s="74"/>
      <c r="G1" s="74"/>
      <c r="H1" s="13"/>
      <c r="I1" s="13"/>
      <c r="J1" s="74"/>
      <c r="K1" s="74"/>
      <c r="L1" s="77"/>
      <c r="M1" s="77"/>
      <c r="N1" s="75" t="s">
        <v>128</v>
      </c>
      <c r="O1" s="78">
        <f>+'Figure 13.4'!N1</f>
        <v>163</v>
      </c>
      <c r="P1" s="79" t="s">
        <v>69</v>
      </c>
    </row>
    <row r="2" spans="1:52" ht="9.5" customHeight="1" thickBot="1" x14ac:dyDescent="0.4"/>
    <row r="3" spans="1:52" ht="16.75" customHeight="1" x14ac:dyDescent="0.35">
      <c r="A3" s="17"/>
      <c r="B3" s="62" t="s">
        <v>19</v>
      </c>
      <c r="D3" s="686" t="s">
        <v>46</v>
      </c>
      <c r="E3" s="687"/>
      <c r="F3" s="688"/>
      <c r="H3" s="696" t="s">
        <v>45</v>
      </c>
      <c r="I3" s="697"/>
      <c r="J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ht="46.75" customHeight="1" x14ac:dyDescent="0.35">
      <c r="A4" s="17"/>
      <c r="B4" s="85" t="s">
        <v>9</v>
      </c>
      <c r="D4" s="10" t="s">
        <v>10</v>
      </c>
      <c r="E4" s="9" t="s">
        <v>11</v>
      </c>
      <c r="F4" s="11" t="s">
        <v>12</v>
      </c>
      <c r="H4" s="10" t="s">
        <v>10</v>
      </c>
      <c r="I4" s="9" t="s">
        <v>11</v>
      </c>
      <c r="J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20.5" customHeight="1" x14ac:dyDescent="0.35">
      <c r="A5" s="17"/>
      <c r="B5" s="65">
        <v>150</v>
      </c>
      <c r="D5" s="20">
        <v>20</v>
      </c>
      <c r="E5" s="21">
        <v>21.5</v>
      </c>
      <c r="F5" s="22">
        <v>23</v>
      </c>
      <c r="H5" s="23">
        <v>3</v>
      </c>
      <c r="I5" s="24">
        <v>3.5</v>
      </c>
      <c r="J5" s="46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20.5" customHeight="1" x14ac:dyDescent="0.35">
      <c r="A6" s="17"/>
      <c r="B6" s="63">
        <v>155</v>
      </c>
      <c r="D6" s="20">
        <v>15.5</v>
      </c>
      <c r="E6" s="21">
        <v>16.25</v>
      </c>
      <c r="F6" s="22">
        <v>17.75</v>
      </c>
      <c r="H6" s="23">
        <v>4.0999999999999996</v>
      </c>
      <c r="I6" s="24">
        <v>4.9000000000000004</v>
      </c>
      <c r="J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ht="20.5" customHeight="1" x14ac:dyDescent="0.35">
      <c r="A7" s="17"/>
      <c r="B7" s="63">
        <v>160</v>
      </c>
      <c r="D7" s="20">
        <v>12.5</v>
      </c>
      <c r="E7" s="21">
        <v>12.85</v>
      </c>
      <c r="F7" s="22">
        <v>13.5</v>
      </c>
      <c r="H7" s="23">
        <v>5.3</v>
      </c>
      <c r="I7" s="24">
        <v>6</v>
      </c>
      <c r="J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20.5" customHeight="1" x14ac:dyDescent="0.35">
      <c r="A8" s="17"/>
      <c r="B8" s="63">
        <v>165</v>
      </c>
      <c r="D8" s="20">
        <v>8.1</v>
      </c>
      <c r="E8" s="21">
        <v>9</v>
      </c>
      <c r="F8" s="22">
        <v>10.65</v>
      </c>
      <c r="H8" s="23">
        <v>7</v>
      </c>
      <c r="I8" s="24">
        <v>8</v>
      </c>
      <c r="J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0.5" customHeight="1" x14ac:dyDescent="0.35">
      <c r="A9" s="17"/>
      <c r="B9" s="63">
        <v>170</v>
      </c>
      <c r="D9" s="20">
        <v>5.2</v>
      </c>
      <c r="E9" s="21">
        <v>6.3</v>
      </c>
      <c r="F9" s="22">
        <v>8.5</v>
      </c>
      <c r="H9" s="23">
        <v>9.4</v>
      </c>
      <c r="I9" s="24">
        <v>10.75</v>
      </c>
      <c r="J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ht="20.5" customHeight="1" x14ac:dyDescent="0.35">
      <c r="A10" s="17"/>
      <c r="B10" s="63">
        <v>175</v>
      </c>
      <c r="D10" s="20">
        <v>3.25</v>
      </c>
      <c r="E10" s="21">
        <v>4.25</v>
      </c>
      <c r="F10" s="22">
        <v>5.75</v>
      </c>
      <c r="H10" s="23">
        <v>13</v>
      </c>
      <c r="I10" s="24">
        <v>14.3</v>
      </c>
      <c r="J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ht="20.5" customHeight="1" thickBot="1" x14ac:dyDescent="0.4">
      <c r="A11" s="17"/>
      <c r="B11" s="168">
        <v>180</v>
      </c>
      <c r="D11" s="26">
        <v>2.5</v>
      </c>
      <c r="E11" s="27">
        <v>3.4</v>
      </c>
      <c r="F11" s="169">
        <v>4.45</v>
      </c>
      <c r="H11" s="29">
        <v>15</v>
      </c>
      <c r="I11" s="30">
        <v>16.100000000000001</v>
      </c>
      <c r="J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1:52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52" ht="14" customHeight="1" x14ac:dyDescent="0.35">
      <c r="B13" s="170" t="s">
        <v>107</v>
      </c>
      <c r="C13" s="12" t="s">
        <v>108</v>
      </c>
      <c r="D13" s="2"/>
      <c r="E13" s="8"/>
      <c r="H13" s="1"/>
      <c r="I13" s="4"/>
    </row>
    <row r="14" spans="1:52" ht="14" customHeight="1" x14ac:dyDescent="0.35">
      <c r="B14" s="170" t="s">
        <v>109</v>
      </c>
      <c r="C14" s="12" t="s">
        <v>110</v>
      </c>
      <c r="D14" s="2"/>
      <c r="E14" s="8"/>
      <c r="H14" s="1"/>
      <c r="I14" s="4"/>
    </row>
    <row r="15" spans="1:52" ht="14" customHeight="1" x14ac:dyDescent="0.35">
      <c r="B15" s="1"/>
      <c r="C15" s="12" t="s">
        <v>121</v>
      </c>
      <c r="D15" s="2"/>
      <c r="E15" s="8"/>
      <c r="H15" s="1"/>
      <c r="I15" s="4"/>
    </row>
    <row r="16" spans="1:52" ht="14" customHeight="1" x14ac:dyDescent="0.35">
      <c r="B16" s="1"/>
      <c r="C16" s="12" t="s">
        <v>120</v>
      </c>
      <c r="D16" s="2"/>
      <c r="E16" s="8"/>
      <c r="H16" s="1"/>
      <c r="I16" s="4"/>
    </row>
    <row r="17" spans="2:16" ht="14" customHeight="1" thickBot="1" x14ac:dyDescent="0.4">
      <c r="B17" s="1"/>
      <c r="C17" s="1"/>
      <c r="D17" s="2"/>
      <c r="E17" s="8"/>
      <c r="H17" s="1"/>
      <c r="I17" s="4"/>
    </row>
    <row r="18" spans="2:16" ht="20.5" customHeight="1" thickBot="1" x14ac:dyDescent="0.4">
      <c r="B18" s="738" t="s">
        <v>18</v>
      </c>
      <c r="C18" s="739"/>
      <c r="D18" s="739"/>
      <c r="E18" s="739"/>
      <c r="F18" s="740"/>
      <c r="H18" s="735" t="s">
        <v>17</v>
      </c>
      <c r="I18" s="736"/>
      <c r="J18" s="736"/>
      <c r="K18" s="736"/>
      <c r="L18" s="736"/>
      <c r="M18" s="736"/>
      <c r="N18" s="736"/>
      <c r="O18" s="736"/>
      <c r="P18" s="736"/>
    </row>
    <row r="19" spans="2:16" ht="31" customHeight="1" x14ac:dyDescent="0.35">
      <c r="B19" s="126"/>
      <c r="C19" s="118" t="s">
        <v>87</v>
      </c>
      <c r="D19" s="732" t="s">
        <v>88</v>
      </c>
      <c r="E19" s="737"/>
      <c r="F19" s="734"/>
      <c r="H19" s="151" t="s">
        <v>22</v>
      </c>
      <c r="I19" s="119" t="s">
        <v>87</v>
      </c>
      <c r="J19" s="732" t="s">
        <v>88</v>
      </c>
      <c r="K19" s="733"/>
      <c r="L19" s="734"/>
      <c r="M19" s="729" t="s">
        <v>89</v>
      </c>
      <c r="N19" s="730"/>
      <c r="O19" s="730"/>
      <c r="P19" s="731"/>
    </row>
    <row r="20" spans="2:16" ht="26.4" customHeight="1" x14ac:dyDescent="0.35">
      <c r="B20" s="123"/>
      <c r="C20" s="123" t="s">
        <v>84</v>
      </c>
      <c r="D20" s="171" t="s">
        <v>114</v>
      </c>
      <c r="E20" s="120" t="s">
        <v>115</v>
      </c>
      <c r="F20" s="120" t="s">
        <v>24</v>
      </c>
      <c r="H20" s="174" t="s">
        <v>25</v>
      </c>
      <c r="I20" s="185" t="s">
        <v>71</v>
      </c>
      <c r="J20" s="127" t="s">
        <v>122</v>
      </c>
      <c r="K20" s="129" t="s">
        <v>123</v>
      </c>
      <c r="L20" s="181" t="s">
        <v>78</v>
      </c>
      <c r="M20" s="180" t="s">
        <v>79</v>
      </c>
      <c r="N20" s="175" t="s">
        <v>80</v>
      </c>
      <c r="O20" s="129" t="s">
        <v>70</v>
      </c>
      <c r="P20" s="103" t="s">
        <v>81</v>
      </c>
    </row>
    <row r="21" spans="2:16" ht="75.400000000000006" customHeight="1" x14ac:dyDescent="0.35">
      <c r="B21" s="85" t="s">
        <v>91</v>
      </c>
      <c r="C21" s="85" t="s">
        <v>119</v>
      </c>
      <c r="D21" s="104" t="s">
        <v>116</v>
      </c>
      <c r="E21" s="7" t="s">
        <v>117</v>
      </c>
      <c r="F21" s="105" t="s">
        <v>118</v>
      </c>
      <c r="H21" s="93" t="s">
        <v>90</v>
      </c>
      <c r="I21" s="93" t="s">
        <v>66</v>
      </c>
      <c r="J21" s="104" t="s">
        <v>124</v>
      </c>
      <c r="K21" s="7" t="s">
        <v>125</v>
      </c>
      <c r="L21" s="105" t="s">
        <v>75</v>
      </c>
      <c r="M21" s="112" t="s">
        <v>76</v>
      </c>
      <c r="N21" s="7" t="s">
        <v>126</v>
      </c>
      <c r="O21" s="7" t="s">
        <v>127</v>
      </c>
      <c r="P21" s="105" t="s">
        <v>68</v>
      </c>
    </row>
    <row r="22" spans="2:16" x14ac:dyDescent="0.35">
      <c r="B22" s="153" t="s">
        <v>111</v>
      </c>
      <c r="C22" s="166">
        <f>+O1</f>
        <v>163</v>
      </c>
      <c r="D22" s="154">
        <f>+B5</f>
        <v>150</v>
      </c>
      <c r="E22" s="176">
        <f>+B11</f>
        <v>180</v>
      </c>
      <c r="F22" s="122">
        <f>+F11-J5</f>
        <v>0</v>
      </c>
      <c r="H22" s="173">
        <v>120</v>
      </c>
      <c r="I22" s="179">
        <f>+H22-C22</f>
        <v>-43</v>
      </c>
      <c r="J22" s="106">
        <f>MAX(0,D22-H22)</f>
        <v>30</v>
      </c>
      <c r="K22" s="54">
        <f>-MAX(0,H22-E22)</f>
        <v>0</v>
      </c>
      <c r="L22" s="116">
        <f>+K22+F22+J22</f>
        <v>30</v>
      </c>
      <c r="M22" s="113">
        <f>+L22+I22</f>
        <v>-13</v>
      </c>
      <c r="N22" s="54">
        <f>+M22*100</f>
        <v>-1300</v>
      </c>
      <c r="O22" s="92">
        <f>+C22*100</f>
        <v>16300</v>
      </c>
      <c r="P22" s="107">
        <f t="shared" ref="P22:P25" si="0">+N22/O22</f>
        <v>-7.9754601226993863E-2</v>
      </c>
    </row>
    <row r="23" spans="2:16" x14ac:dyDescent="0.35">
      <c r="B23" s="153" t="s">
        <v>111</v>
      </c>
      <c r="C23" s="166">
        <f>+C22</f>
        <v>163</v>
      </c>
      <c r="D23" s="154">
        <f>+D22</f>
        <v>150</v>
      </c>
      <c r="E23" s="176">
        <f>+E22</f>
        <v>180</v>
      </c>
      <c r="F23" s="122">
        <f>+F22</f>
        <v>0</v>
      </c>
      <c r="H23" s="173">
        <f>+H22+10</f>
        <v>130</v>
      </c>
      <c r="I23" s="179">
        <f>+H23-C23</f>
        <v>-33</v>
      </c>
      <c r="J23" s="106">
        <f t="shared" ref="J23:J31" si="1">MAX(0,D23-H23)</f>
        <v>20</v>
      </c>
      <c r="K23" s="54">
        <f t="shared" ref="K23:K31" si="2">-MAX(0,H23-E23)</f>
        <v>0</v>
      </c>
      <c r="L23" s="116">
        <f t="shared" ref="L23:L31" si="3">+K23+F23+J23</f>
        <v>20</v>
      </c>
      <c r="M23" s="113">
        <f t="shared" ref="M23:M31" si="4">+L23+I23</f>
        <v>-13</v>
      </c>
      <c r="N23" s="54">
        <f t="shared" ref="N23:N31" si="5">+M23*100</f>
        <v>-1300</v>
      </c>
      <c r="O23" s="92">
        <f t="shared" ref="O23:O31" si="6">+C23*100</f>
        <v>16300</v>
      </c>
      <c r="P23" s="107">
        <f t="shared" si="0"/>
        <v>-7.9754601226993863E-2</v>
      </c>
    </row>
    <row r="24" spans="2:16" x14ac:dyDescent="0.35">
      <c r="B24" s="153" t="s">
        <v>111</v>
      </c>
      <c r="C24" s="166">
        <f t="shared" ref="C24:E25" si="7">+C23</f>
        <v>163</v>
      </c>
      <c r="D24" s="154">
        <f t="shared" si="7"/>
        <v>150</v>
      </c>
      <c r="E24" s="176">
        <f t="shared" si="7"/>
        <v>180</v>
      </c>
      <c r="F24" s="122">
        <f>+F23</f>
        <v>0</v>
      </c>
      <c r="H24" s="173">
        <f t="shared" ref="H24:H31" si="8">+H23+10</f>
        <v>140</v>
      </c>
      <c r="I24" s="179">
        <f>+H24-C24</f>
        <v>-23</v>
      </c>
      <c r="J24" s="106">
        <f t="shared" si="1"/>
        <v>10</v>
      </c>
      <c r="K24" s="54">
        <f t="shared" si="2"/>
        <v>0</v>
      </c>
      <c r="L24" s="116">
        <f t="shared" si="3"/>
        <v>10</v>
      </c>
      <c r="M24" s="113">
        <f t="shared" si="4"/>
        <v>-13</v>
      </c>
      <c r="N24" s="54">
        <f t="shared" si="5"/>
        <v>-1300</v>
      </c>
      <c r="O24" s="92">
        <f t="shared" si="6"/>
        <v>16300</v>
      </c>
      <c r="P24" s="107">
        <f t="shared" si="0"/>
        <v>-7.9754601226993863E-2</v>
      </c>
    </row>
    <row r="25" spans="2:16" x14ac:dyDescent="0.35">
      <c r="B25" s="153" t="s">
        <v>111</v>
      </c>
      <c r="C25" s="166">
        <f t="shared" si="7"/>
        <v>163</v>
      </c>
      <c r="D25" s="154">
        <f t="shared" si="7"/>
        <v>150</v>
      </c>
      <c r="E25" s="176">
        <f t="shared" si="7"/>
        <v>180</v>
      </c>
      <c r="F25" s="122">
        <f>+F24</f>
        <v>0</v>
      </c>
      <c r="H25" s="173">
        <f t="shared" si="8"/>
        <v>150</v>
      </c>
      <c r="I25" s="179">
        <f>+H25-C25</f>
        <v>-13</v>
      </c>
      <c r="J25" s="106">
        <f t="shared" si="1"/>
        <v>0</v>
      </c>
      <c r="K25" s="54">
        <f t="shared" si="2"/>
        <v>0</v>
      </c>
      <c r="L25" s="116">
        <f t="shared" si="3"/>
        <v>0</v>
      </c>
      <c r="M25" s="113">
        <f t="shared" si="4"/>
        <v>-13</v>
      </c>
      <c r="N25" s="54">
        <f t="shared" si="5"/>
        <v>-1300</v>
      </c>
      <c r="O25" s="92">
        <f t="shared" si="6"/>
        <v>16300</v>
      </c>
      <c r="P25" s="107">
        <f t="shared" si="0"/>
        <v>-7.9754601226993863E-2</v>
      </c>
    </row>
    <row r="26" spans="2:16" x14ac:dyDescent="0.35">
      <c r="B26" s="153" t="s">
        <v>111</v>
      </c>
      <c r="C26" s="166">
        <f t="shared" ref="C26:C31" si="9">+C25</f>
        <v>163</v>
      </c>
      <c r="D26" s="154">
        <f t="shared" ref="D26:D31" si="10">+D25</f>
        <v>150</v>
      </c>
      <c r="E26" s="176">
        <f t="shared" ref="E26:E31" si="11">+E25</f>
        <v>180</v>
      </c>
      <c r="F26" s="122">
        <f t="shared" ref="F26:F31" si="12">+F25</f>
        <v>0</v>
      </c>
      <c r="H26" s="173">
        <f t="shared" si="8"/>
        <v>160</v>
      </c>
      <c r="I26" s="179">
        <f t="shared" ref="I26:I31" si="13">+H26-C26</f>
        <v>-3</v>
      </c>
      <c r="J26" s="106">
        <f t="shared" si="1"/>
        <v>0</v>
      </c>
      <c r="K26" s="54">
        <f t="shared" si="2"/>
        <v>0</v>
      </c>
      <c r="L26" s="116">
        <f t="shared" si="3"/>
        <v>0</v>
      </c>
      <c r="M26" s="113">
        <f t="shared" si="4"/>
        <v>-3</v>
      </c>
      <c r="N26" s="54">
        <f t="shared" si="5"/>
        <v>-300</v>
      </c>
      <c r="O26" s="92">
        <f t="shared" si="6"/>
        <v>16300</v>
      </c>
      <c r="P26" s="107">
        <f t="shared" ref="P26:P31" si="14">+N26/O26</f>
        <v>-1.8404907975460124E-2</v>
      </c>
    </row>
    <row r="27" spans="2:16" x14ac:dyDescent="0.35">
      <c r="B27" s="153" t="s">
        <v>111</v>
      </c>
      <c r="C27" s="166">
        <f t="shared" si="9"/>
        <v>163</v>
      </c>
      <c r="D27" s="154">
        <f t="shared" si="10"/>
        <v>150</v>
      </c>
      <c r="E27" s="176">
        <f t="shared" si="11"/>
        <v>180</v>
      </c>
      <c r="F27" s="122">
        <f t="shared" si="12"/>
        <v>0</v>
      </c>
      <c r="H27" s="173">
        <f t="shared" si="8"/>
        <v>170</v>
      </c>
      <c r="I27" s="179">
        <f t="shared" si="13"/>
        <v>7</v>
      </c>
      <c r="J27" s="106">
        <f t="shared" si="1"/>
        <v>0</v>
      </c>
      <c r="K27" s="54">
        <f t="shared" si="2"/>
        <v>0</v>
      </c>
      <c r="L27" s="116">
        <f t="shared" si="3"/>
        <v>0</v>
      </c>
      <c r="M27" s="113">
        <f t="shared" si="4"/>
        <v>7</v>
      </c>
      <c r="N27" s="54">
        <f t="shared" si="5"/>
        <v>700</v>
      </c>
      <c r="O27" s="92">
        <f t="shared" si="6"/>
        <v>16300</v>
      </c>
      <c r="P27" s="107">
        <f t="shared" si="14"/>
        <v>4.2944785276073622E-2</v>
      </c>
    </row>
    <row r="28" spans="2:16" x14ac:dyDescent="0.35">
      <c r="B28" s="153" t="s">
        <v>111</v>
      </c>
      <c r="C28" s="166">
        <f t="shared" si="9"/>
        <v>163</v>
      </c>
      <c r="D28" s="154">
        <f t="shared" si="10"/>
        <v>150</v>
      </c>
      <c r="E28" s="176">
        <f t="shared" si="11"/>
        <v>180</v>
      </c>
      <c r="F28" s="122">
        <f t="shared" si="12"/>
        <v>0</v>
      </c>
      <c r="H28" s="173">
        <f t="shared" si="8"/>
        <v>180</v>
      </c>
      <c r="I28" s="179">
        <f t="shared" si="13"/>
        <v>17</v>
      </c>
      <c r="J28" s="106">
        <f t="shared" si="1"/>
        <v>0</v>
      </c>
      <c r="K28" s="54">
        <f t="shared" si="2"/>
        <v>0</v>
      </c>
      <c r="L28" s="116">
        <f t="shared" si="3"/>
        <v>0</v>
      </c>
      <c r="M28" s="113">
        <f t="shared" si="4"/>
        <v>17</v>
      </c>
      <c r="N28" s="54">
        <f t="shared" si="5"/>
        <v>1700</v>
      </c>
      <c r="O28" s="92">
        <f t="shared" si="6"/>
        <v>16300</v>
      </c>
      <c r="P28" s="107">
        <f t="shared" si="14"/>
        <v>0.10429447852760736</v>
      </c>
    </row>
    <row r="29" spans="2:16" x14ac:dyDescent="0.35">
      <c r="B29" s="153" t="s">
        <v>111</v>
      </c>
      <c r="C29" s="166">
        <f t="shared" si="9"/>
        <v>163</v>
      </c>
      <c r="D29" s="154">
        <f t="shared" si="10"/>
        <v>150</v>
      </c>
      <c r="E29" s="176">
        <f t="shared" si="11"/>
        <v>180</v>
      </c>
      <c r="F29" s="122">
        <f t="shared" si="12"/>
        <v>0</v>
      </c>
      <c r="H29" s="173">
        <f t="shared" si="8"/>
        <v>190</v>
      </c>
      <c r="I29" s="179">
        <f t="shared" si="13"/>
        <v>27</v>
      </c>
      <c r="J29" s="106">
        <f t="shared" si="1"/>
        <v>0</v>
      </c>
      <c r="K29" s="54">
        <f t="shared" si="2"/>
        <v>-10</v>
      </c>
      <c r="L29" s="116">
        <f t="shared" si="3"/>
        <v>-10</v>
      </c>
      <c r="M29" s="113">
        <f t="shared" si="4"/>
        <v>17</v>
      </c>
      <c r="N29" s="54">
        <f t="shared" si="5"/>
        <v>1700</v>
      </c>
      <c r="O29" s="92">
        <f t="shared" si="6"/>
        <v>16300</v>
      </c>
      <c r="P29" s="107">
        <f t="shared" si="14"/>
        <v>0.10429447852760736</v>
      </c>
    </row>
    <row r="30" spans="2:16" x14ac:dyDescent="0.35">
      <c r="B30" s="153" t="s">
        <v>111</v>
      </c>
      <c r="C30" s="166">
        <f t="shared" si="9"/>
        <v>163</v>
      </c>
      <c r="D30" s="154">
        <f t="shared" si="10"/>
        <v>150</v>
      </c>
      <c r="E30" s="176">
        <f t="shared" si="11"/>
        <v>180</v>
      </c>
      <c r="F30" s="122">
        <f t="shared" si="12"/>
        <v>0</v>
      </c>
      <c r="H30" s="173">
        <f t="shared" si="8"/>
        <v>200</v>
      </c>
      <c r="I30" s="179">
        <f t="shared" si="13"/>
        <v>37</v>
      </c>
      <c r="J30" s="106">
        <f t="shared" si="1"/>
        <v>0</v>
      </c>
      <c r="K30" s="54">
        <f t="shared" si="2"/>
        <v>-20</v>
      </c>
      <c r="L30" s="116">
        <f t="shared" si="3"/>
        <v>-20</v>
      </c>
      <c r="M30" s="113">
        <f t="shared" si="4"/>
        <v>17</v>
      </c>
      <c r="N30" s="54">
        <f t="shared" si="5"/>
        <v>1700</v>
      </c>
      <c r="O30" s="92">
        <f t="shared" si="6"/>
        <v>16300</v>
      </c>
      <c r="P30" s="107">
        <f t="shared" si="14"/>
        <v>0.10429447852760736</v>
      </c>
    </row>
    <row r="31" spans="2:16" ht="15" thickBot="1" x14ac:dyDescent="0.4">
      <c r="B31" s="155" t="s">
        <v>111</v>
      </c>
      <c r="C31" s="172">
        <f t="shared" si="9"/>
        <v>163</v>
      </c>
      <c r="D31" s="156">
        <f t="shared" si="10"/>
        <v>150</v>
      </c>
      <c r="E31" s="178">
        <f t="shared" si="11"/>
        <v>180</v>
      </c>
      <c r="F31" s="157">
        <f t="shared" si="12"/>
        <v>0</v>
      </c>
      <c r="H31" s="182">
        <f t="shared" si="8"/>
        <v>210</v>
      </c>
      <c r="I31" s="183">
        <f t="shared" si="13"/>
        <v>47</v>
      </c>
      <c r="J31" s="108">
        <f t="shared" si="1"/>
        <v>0</v>
      </c>
      <c r="K31" s="109">
        <f t="shared" si="2"/>
        <v>-30</v>
      </c>
      <c r="L31" s="117">
        <f t="shared" si="3"/>
        <v>-30</v>
      </c>
      <c r="M31" s="184">
        <f t="shared" si="4"/>
        <v>17</v>
      </c>
      <c r="N31" s="109">
        <f t="shared" si="5"/>
        <v>1700</v>
      </c>
      <c r="O31" s="110">
        <f t="shared" si="6"/>
        <v>16300</v>
      </c>
      <c r="P31" s="111">
        <f t="shared" si="14"/>
        <v>0.10429447852760736</v>
      </c>
    </row>
    <row r="32" spans="2:16" x14ac:dyDescent="0.35">
      <c r="O32" s="1"/>
    </row>
    <row r="33" spans="9:16" x14ac:dyDescent="0.35">
      <c r="O33" s="1"/>
      <c r="P33" s="1" t="s">
        <v>105</v>
      </c>
    </row>
    <row r="34" spans="9:16" x14ac:dyDescent="0.35">
      <c r="I34" s="1"/>
      <c r="J34" s="4"/>
      <c r="O34" s="1"/>
    </row>
  </sheetData>
  <mergeCells count="7">
    <mergeCell ref="H3:J3"/>
    <mergeCell ref="M19:P19"/>
    <mergeCell ref="J19:L19"/>
    <mergeCell ref="H18:P18"/>
    <mergeCell ref="D19:F19"/>
    <mergeCell ref="D3:F3"/>
    <mergeCell ref="B18:F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167F-A3A3-4B23-8723-32ED800EDBC7}">
  <dimension ref="A1:BA17"/>
  <sheetViews>
    <sheetView showGridLines="0" workbookViewId="0">
      <selection activeCell="B1" sqref="B1:L15"/>
    </sheetView>
  </sheetViews>
  <sheetFormatPr defaultRowHeight="14.5" x14ac:dyDescent="0.35"/>
  <cols>
    <col min="1" max="1" width="2.7265625" customWidth="1"/>
    <col min="2" max="2" width="17.54296875" customWidth="1"/>
    <col min="3" max="3" width="2.08984375" customWidth="1"/>
    <col min="4" max="4" width="9.6328125" customWidth="1"/>
    <col min="5" max="5" width="10.26953125" customWidth="1"/>
    <col min="6" max="6" width="9.6328125" customWidth="1"/>
    <col min="7" max="7" width="2.26953125" customWidth="1"/>
    <col min="8" max="8" width="11.08984375" customWidth="1"/>
    <col min="9" max="9" width="8.7265625" customWidth="1"/>
    <col min="10" max="10" width="9.26953125" customWidth="1"/>
    <col min="11" max="11" width="7" customWidth="1"/>
    <col min="12" max="12" width="14.36328125" customWidth="1"/>
    <col min="13" max="13" width="10.81640625" customWidth="1"/>
    <col min="14" max="14" width="13.26953125" customWidth="1"/>
    <col min="15" max="15" width="11.7265625" customWidth="1"/>
  </cols>
  <sheetData>
    <row r="1" spans="1:53" ht="24" customHeight="1" x14ac:dyDescent="0.35">
      <c r="B1" s="76" t="s">
        <v>129</v>
      </c>
      <c r="C1" s="74"/>
      <c r="D1" s="74"/>
      <c r="E1" s="74"/>
      <c r="F1" s="74"/>
      <c r="G1" s="74"/>
      <c r="H1" s="13"/>
      <c r="I1" s="13"/>
      <c r="J1" s="74"/>
    </row>
    <row r="2" spans="1:53" ht="9.5" customHeight="1" thickBot="1" x14ac:dyDescent="0.4"/>
    <row r="3" spans="1:53" ht="16.75" customHeight="1" x14ac:dyDescent="0.35">
      <c r="A3" s="17"/>
      <c r="B3" s="62" t="s">
        <v>19</v>
      </c>
      <c r="D3" s="686" t="s">
        <v>46</v>
      </c>
      <c r="E3" s="687"/>
      <c r="F3" s="688"/>
      <c r="H3" s="696" t="s">
        <v>45</v>
      </c>
      <c r="I3" s="697"/>
      <c r="J3" s="69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1:53" ht="46.75" customHeight="1" x14ac:dyDescent="0.35">
      <c r="A4" s="17"/>
      <c r="B4" s="85" t="s">
        <v>9</v>
      </c>
      <c r="D4" s="10" t="s">
        <v>10</v>
      </c>
      <c r="E4" s="190" t="s">
        <v>11</v>
      </c>
      <c r="F4" s="11" t="s">
        <v>12</v>
      </c>
      <c r="H4" s="10" t="s">
        <v>10</v>
      </c>
      <c r="I4" s="190" t="s">
        <v>11</v>
      </c>
      <c r="J4" s="11" t="s">
        <v>12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3" ht="22.5" customHeight="1" x14ac:dyDescent="0.35">
      <c r="A5" s="17"/>
      <c r="B5" s="63">
        <v>150</v>
      </c>
      <c r="D5" s="191">
        <v>20</v>
      </c>
      <c r="E5" s="204">
        <v>21.5</v>
      </c>
      <c r="F5" s="192">
        <v>23</v>
      </c>
      <c r="H5" s="191">
        <v>3</v>
      </c>
      <c r="I5" s="204">
        <v>3.5</v>
      </c>
      <c r="J5" s="192">
        <v>4.45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spans="1:53" ht="22.5" customHeight="1" x14ac:dyDescent="0.35">
      <c r="A6" s="17"/>
      <c r="B6" s="63">
        <v>155</v>
      </c>
      <c r="D6" s="191">
        <v>15.5</v>
      </c>
      <c r="E6" s="204">
        <v>16.25</v>
      </c>
      <c r="F6" s="192">
        <v>17.75</v>
      </c>
      <c r="H6" s="191">
        <v>4.0999999999999996</v>
      </c>
      <c r="I6" s="204">
        <v>4.9000000000000004</v>
      </c>
      <c r="J6" s="192">
        <v>5.9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</row>
    <row r="7" spans="1:53" ht="22.5" customHeight="1" x14ac:dyDescent="0.35">
      <c r="A7" s="17"/>
      <c r="B7" s="63">
        <v>160</v>
      </c>
      <c r="D7" s="191">
        <v>12.5</v>
      </c>
      <c r="E7" s="204">
        <v>12.85</v>
      </c>
      <c r="F7" s="192">
        <v>13.5</v>
      </c>
      <c r="H7" s="191">
        <v>5.3</v>
      </c>
      <c r="I7" s="204">
        <v>6</v>
      </c>
      <c r="J7" s="192">
        <v>6.8</v>
      </c>
      <c r="L7" s="741" t="s">
        <v>134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</row>
    <row r="8" spans="1:53" ht="22.5" customHeight="1" x14ac:dyDescent="0.35">
      <c r="A8" s="17"/>
      <c r="B8" s="199">
        <v>165</v>
      </c>
      <c r="C8" s="200"/>
      <c r="D8" s="201">
        <v>8.1</v>
      </c>
      <c r="E8" s="202">
        <v>9</v>
      </c>
      <c r="F8" s="203">
        <v>10.65</v>
      </c>
      <c r="G8" s="200"/>
      <c r="H8" s="201">
        <v>7</v>
      </c>
      <c r="I8" s="202">
        <v>8</v>
      </c>
      <c r="J8" s="203">
        <v>9.1999999999999993</v>
      </c>
      <c r="L8" s="742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</row>
    <row r="9" spans="1:53" ht="22.5" customHeight="1" x14ac:dyDescent="0.35">
      <c r="A9" s="17"/>
      <c r="B9" s="63">
        <v>170</v>
      </c>
      <c r="D9" s="191">
        <v>5.2</v>
      </c>
      <c r="E9" s="204">
        <v>6.3</v>
      </c>
      <c r="F9" s="192">
        <v>8.5</v>
      </c>
      <c r="H9" s="191">
        <v>9.4</v>
      </c>
      <c r="I9" s="204">
        <v>10.75</v>
      </c>
      <c r="J9" s="192">
        <v>12.45</v>
      </c>
      <c r="L9" s="198" t="s">
        <v>130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 ht="22.5" customHeight="1" x14ac:dyDescent="0.35">
      <c r="A10" s="17"/>
      <c r="B10" s="63">
        <v>175</v>
      </c>
      <c r="D10" s="191">
        <v>3.25</v>
      </c>
      <c r="E10" s="204">
        <v>4.25</v>
      </c>
      <c r="F10" s="192">
        <v>5.75</v>
      </c>
      <c r="H10" s="191">
        <v>13</v>
      </c>
      <c r="I10" s="204">
        <v>14.3</v>
      </c>
      <c r="J10" s="192">
        <v>14.2</v>
      </c>
      <c r="L10" s="197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 ht="22.5" customHeight="1" thickBot="1" x14ac:dyDescent="0.4">
      <c r="A11" s="17"/>
      <c r="B11" s="64">
        <v>180</v>
      </c>
      <c r="D11" s="193">
        <v>2.5</v>
      </c>
      <c r="E11" s="205">
        <v>3.4</v>
      </c>
      <c r="F11" s="194">
        <v>4.45</v>
      </c>
      <c r="H11" s="193">
        <v>15</v>
      </c>
      <c r="I11" s="205">
        <v>16.100000000000001</v>
      </c>
      <c r="J11" s="194">
        <v>17.75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 ht="39" customHeight="1" x14ac:dyDescent="0.35">
      <c r="A12" s="17"/>
      <c r="B12" s="14"/>
      <c r="K12" s="100"/>
      <c r="N12" s="100"/>
      <c r="P12" s="10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 ht="14" customHeight="1" x14ac:dyDescent="0.35">
      <c r="B13" s="1"/>
      <c r="C13" s="1"/>
      <c r="D13" s="2"/>
      <c r="E13" s="195" t="s">
        <v>131</v>
      </c>
      <c r="H13" s="1"/>
      <c r="I13" s="195" t="s">
        <v>131</v>
      </c>
    </row>
    <row r="14" spans="1:53" x14ac:dyDescent="0.35">
      <c r="E14" s="53" t="s">
        <v>132</v>
      </c>
      <c r="I14" s="53" t="s">
        <v>132</v>
      </c>
      <c r="P14" s="1"/>
    </row>
    <row r="15" spans="1:53" x14ac:dyDescent="0.35">
      <c r="E15" s="196" t="s">
        <v>133</v>
      </c>
      <c r="I15" s="196" t="s">
        <v>133</v>
      </c>
      <c r="J15" s="4"/>
      <c r="P15" s="1"/>
    </row>
    <row r="17" spans="11:12" x14ac:dyDescent="0.35">
      <c r="K17" s="1"/>
      <c r="L17" s="1" t="s">
        <v>135</v>
      </c>
    </row>
  </sheetData>
  <mergeCells count="3">
    <mergeCell ref="L7:L8"/>
    <mergeCell ref="D3:F3"/>
    <mergeCell ref="H3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EBE1-D7C2-40A1-90BC-293221D30C63}">
  <dimension ref="A1:AW30"/>
  <sheetViews>
    <sheetView showGridLines="0" workbookViewId="0">
      <selection activeCell="F28" sqref="F28"/>
    </sheetView>
  </sheetViews>
  <sheetFormatPr defaultRowHeight="14.5" x14ac:dyDescent="0.35"/>
  <cols>
    <col min="1" max="1" width="2.7265625" customWidth="1"/>
    <col min="2" max="2" width="20.816406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10.90625" customWidth="1"/>
    <col min="8" max="8" width="9.453125" customWidth="1"/>
    <col min="9" max="9" width="9.54296875" customWidth="1"/>
    <col min="10" max="10" width="2.453125" customWidth="1"/>
    <col min="11" max="11" width="8.36328125" customWidth="1"/>
    <col min="12" max="12" width="7.90625" customWidth="1"/>
    <col min="13" max="13" width="10.90625" customWidth="1"/>
    <col min="14" max="15" width="10.08984375" customWidth="1"/>
  </cols>
  <sheetData>
    <row r="1" spans="1:49" ht="24" customHeight="1" x14ac:dyDescent="0.35">
      <c r="B1" s="76" t="s">
        <v>573</v>
      </c>
      <c r="C1" s="74"/>
      <c r="D1" s="74"/>
      <c r="E1" s="74"/>
      <c r="F1" s="74"/>
      <c r="G1" s="74"/>
      <c r="H1" s="13"/>
      <c r="I1" s="13"/>
      <c r="J1" s="74"/>
      <c r="K1" s="77"/>
      <c r="L1" s="77"/>
      <c r="M1" s="75" t="s">
        <v>128</v>
      </c>
      <c r="N1" s="78">
        <f>+'Figure 13.4'!N1</f>
        <v>163</v>
      </c>
      <c r="O1" s="79" t="s">
        <v>584</v>
      </c>
    </row>
    <row r="2" spans="1:49" ht="9.5" customHeight="1" thickBot="1" x14ac:dyDescent="0.4"/>
    <row r="3" spans="1:49" ht="16.75" customHeight="1" x14ac:dyDescent="0.35">
      <c r="A3" s="17"/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46.75" customHeight="1" x14ac:dyDescent="0.35">
      <c r="A4" s="17"/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0.5" customHeight="1" x14ac:dyDescent="0.35">
      <c r="A5" s="17"/>
      <c r="B5" s="63">
        <v>150</v>
      </c>
      <c r="C5" s="20">
        <v>20</v>
      </c>
      <c r="D5" s="21">
        <v>21.5</v>
      </c>
      <c r="E5" s="22">
        <v>23</v>
      </c>
      <c r="F5" s="23">
        <v>3</v>
      </c>
      <c r="G5" s="24">
        <v>3.5</v>
      </c>
      <c r="H5" s="25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20.5" customHeight="1" x14ac:dyDescent="0.35">
      <c r="A6" s="17"/>
      <c r="B6" s="65">
        <v>155</v>
      </c>
      <c r="C6" s="20">
        <v>15.5</v>
      </c>
      <c r="D6" s="21">
        <v>16.25</v>
      </c>
      <c r="E6" s="46">
        <v>17.75</v>
      </c>
      <c r="F6" s="23">
        <v>4.0999999999999996</v>
      </c>
      <c r="G6" s="24">
        <v>4.9000000000000004</v>
      </c>
      <c r="H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5" customHeight="1" x14ac:dyDescent="0.35">
      <c r="A7" s="17"/>
      <c r="B7" s="63">
        <v>160</v>
      </c>
      <c r="C7" s="20">
        <v>12.5</v>
      </c>
      <c r="D7" s="21">
        <v>12.85</v>
      </c>
      <c r="E7" s="22">
        <v>13.5</v>
      </c>
      <c r="F7" s="23">
        <v>5.3</v>
      </c>
      <c r="G7" s="24">
        <v>6</v>
      </c>
      <c r="H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20.5" customHeight="1" x14ac:dyDescent="0.35">
      <c r="A8" s="17"/>
      <c r="B8" s="65">
        <v>165</v>
      </c>
      <c r="C8" s="20">
        <v>8.1</v>
      </c>
      <c r="D8" s="21">
        <v>9</v>
      </c>
      <c r="E8" s="46">
        <v>10.65</v>
      </c>
      <c r="F8" s="23">
        <v>7</v>
      </c>
      <c r="G8" s="24">
        <v>8</v>
      </c>
      <c r="H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20.5" customHeight="1" x14ac:dyDescent="0.35">
      <c r="A9" s="17"/>
      <c r="B9" s="63">
        <v>170</v>
      </c>
      <c r="C9" s="20">
        <v>5.2</v>
      </c>
      <c r="D9" s="21">
        <v>6.3</v>
      </c>
      <c r="E9" s="22">
        <v>8.5</v>
      </c>
      <c r="F9" s="23">
        <v>9.4</v>
      </c>
      <c r="G9" s="24">
        <v>10.75</v>
      </c>
      <c r="H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20.5" customHeight="1" x14ac:dyDescent="0.35">
      <c r="A10" s="17"/>
      <c r="B10" s="63">
        <v>175</v>
      </c>
      <c r="C10" s="20">
        <v>3.25</v>
      </c>
      <c r="D10" s="21">
        <v>4.25</v>
      </c>
      <c r="E10" s="22">
        <v>5.75</v>
      </c>
      <c r="F10" s="23">
        <v>13</v>
      </c>
      <c r="G10" s="24">
        <v>14.3</v>
      </c>
      <c r="H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20.5" customHeight="1" thickBot="1" x14ac:dyDescent="0.4">
      <c r="A11" s="17"/>
      <c r="B11" s="64">
        <v>180</v>
      </c>
      <c r="C11" s="26">
        <v>2.5</v>
      </c>
      <c r="D11" s="27">
        <v>3.4</v>
      </c>
      <c r="E11" s="28">
        <v>4.45</v>
      </c>
      <c r="F11" s="29">
        <v>15</v>
      </c>
      <c r="G11" s="30">
        <v>16.100000000000001</v>
      </c>
      <c r="H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4" customHeight="1" x14ac:dyDescent="0.35">
      <c r="B13" s="170" t="s">
        <v>576</v>
      </c>
      <c r="C13" s="12" t="s">
        <v>137</v>
      </c>
      <c r="D13" s="2"/>
      <c r="E13" s="8"/>
      <c r="H13" s="1"/>
      <c r="I13" s="4"/>
    </row>
    <row r="14" spans="1:49" ht="14" customHeight="1" x14ac:dyDescent="0.35">
      <c r="B14" s="170" t="s">
        <v>136</v>
      </c>
      <c r="C14" s="12" t="s">
        <v>138</v>
      </c>
      <c r="D14" s="2"/>
      <c r="E14" s="8"/>
      <c r="H14" s="1"/>
      <c r="I14" s="4"/>
    </row>
    <row r="15" spans="1:49" ht="14" customHeight="1" x14ac:dyDescent="0.35">
      <c r="B15" s="1"/>
      <c r="C15" s="12" t="s">
        <v>159</v>
      </c>
      <c r="D15" s="2"/>
      <c r="E15" s="8"/>
      <c r="H15" s="1"/>
      <c r="I15" s="4"/>
    </row>
    <row r="16" spans="1:49" ht="14" customHeight="1" thickBot="1" x14ac:dyDescent="0.4">
      <c r="B16" s="1"/>
      <c r="C16" s="1"/>
      <c r="D16" s="2"/>
      <c r="E16" s="8"/>
      <c r="H16" s="1"/>
      <c r="I16" s="4"/>
    </row>
    <row r="17" spans="2:21" ht="20.5" customHeight="1" thickBot="1" x14ac:dyDescent="0.4">
      <c r="B17" s="701" t="s">
        <v>18</v>
      </c>
      <c r="C17" s="743"/>
      <c r="D17" s="743"/>
      <c r="E17" s="743"/>
      <c r="F17" s="743"/>
      <c r="G17" s="702"/>
      <c r="I17" s="215"/>
      <c r="K17" s="744" t="s">
        <v>17</v>
      </c>
      <c r="L17" s="745"/>
      <c r="M17" s="745"/>
      <c r="N17" s="745"/>
    </row>
    <row r="18" spans="2:21" ht="26.4" customHeight="1" x14ac:dyDescent="0.35">
      <c r="B18" s="171"/>
      <c r="C18" s="212" t="s">
        <v>139</v>
      </c>
      <c r="D18" s="213" t="s">
        <v>112</v>
      </c>
      <c r="E18" s="213" t="s">
        <v>140</v>
      </c>
      <c r="F18" s="213" t="s">
        <v>113</v>
      </c>
      <c r="G18" s="214" t="s">
        <v>24</v>
      </c>
      <c r="I18" s="216" t="s">
        <v>25</v>
      </c>
      <c r="K18" s="218" t="s">
        <v>150</v>
      </c>
      <c r="L18" s="129"/>
      <c r="M18" s="129"/>
      <c r="N18" s="129"/>
    </row>
    <row r="19" spans="2:21" ht="75.400000000000006" customHeight="1" x14ac:dyDescent="0.35">
      <c r="B19" s="211" t="s">
        <v>91</v>
      </c>
      <c r="C19" s="80" t="s">
        <v>141</v>
      </c>
      <c r="D19" s="80" t="s">
        <v>143</v>
      </c>
      <c r="E19" s="80" t="s">
        <v>142</v>
      </c>
      <c r="F19" s="80" t="s">
        <v>145</v>
      </c>
      <c r="G19" s="210" t="s">
        <v>144</v>
      </c>
      <c r="I19" s="85" t="s">
        <v>90</v>
      </c>
      <c r="K19" s="7" t="s">
        <v>147</v>
      </c>
      <c r="L19" s="7" t="s">
        <v>67</v>
      </c>
      <c r="M19" s="7" t="s">
        <v>148</v>
      </c>
      <c r="N19" s="7" t="s">
        <v>149</v>
      </c>
      <c r="T19" t="s">
        <v>6</v>
      </c>
      <c r="U19" t="s">
        <v>7</v>
      </c>
    </row>
    <row r="20" spans="2:21" x14ac:dyDescent="0.35">
      <c r="B20" s="207" t="s">
        <v>146</v>
      </c>
      <c r="C20" s="176">
        <f>+B6</f>
        <v>155</v>
      </c>
      <c r="D20" s="177">
        <f>-E6</f>
        <v>-17.75</v>
      </c>
      <c r="E20" s="176">
        <f>+B8</f>
        <v>165</v>
      </c>
      <c r="F20" s="177">
        <f>+E8</f>
        <v>10.65</v>
      </c>
      <c r="G20" s="122">
        <f>+F20+D20</f>
        <v>-7.1</v>
      </c>
      <c r="I20" s="217">
        <v>130</v>
      </c>
      <c r="K20" s="208">
        <f>MAX(0,I20-C20)-MAX(0,I20-E20)</f>
        <v>0</v>
      </c>
      <c r="L20" s="208">
        <f>+K20+G20</f>
        <v>-7.1</v>
      </c>
      <c r="M20" s="208"/>
      <c r="N20" s="208">
        <f>+$L$20</f>
        <v>-7.1</v>
      </c>
      <c r="R20" s="223">
        <v>-10</v>
      </c>
      <c r="S20" s="223">
        <f>+I20</f>
        <v>130</v>
      </c>
      <c r="T20" s="4">
        <f>+K20</f>
        <v>0</v>
      </c>
      <c r="U20" s="4">
        <f>+L20</f>
        <v>-7.1</v>
      </c>
    </row>
    <row r="21" spans="2:21" x14ac:dyDescent="0.35">
      <c r="B21" s="207" t="s">
        <v>146</v>
      </c>
      <c r="C21" s="176">
        <f>+C20</f>
        <v>155</v>
      </c>
      <c r="D21" s="177">
        <f>+D20</f>
        <v>-17.75</v>
      </c>
      <c r="E21" s="176">
        <f>+E20</f>
        <v>165</v>
      </c>
      <c r="F21" s="177">
        <f>+F20</f>
        <v>10.65</v>
      </c>
      <c r="G21" s="122">
        <f t="shared" ref="G21:G27" si="0">+F21+D21</f>
        <v>-7.1</v>
      </c>
      <c r="I21" s="217">
        <f>+I20+10</f>
        <v>140</v>
      </c>
      <c r="K21" s="208">
        <f t="shared" ref="K21:K27" si="1">MAX(0,I21-C21)-MAX(0,I21-E21)</f>
        <v>0</v>
      </c>
      <c r="L21" s="208">
        <f t="shared" ref="L21:L27" si="2">+K21+G21</f>
        <v>-7.1</v>
      </c>
      <c r="M21" s="208"/>
      <c r="N21" s="208">
        <f t="shared" ref="N21:N23" si="3">+$L$20</f>
        <v>-7.1</v>
      </c>
      <c r="R21" s="223">
        <f>+R20+2</f>
        <v>-8</v>
      </c>
      <c r="S21" s="223">
        <f t="shared" ref="S21:S27" si="4">+I21</f>
        <v>140</v>
      </c>
      <c r="T21" s="4">
        <f t="shared" ref="T21:T27" si="5">+K21</f>
        <v>0</v>
      </c>
      <c r="U21" s="4">
        <f t="shared" ref="U21:U27" si="6">+L21</f>
        <v>-7.1</v>
      </c>
    </row>
    <row r="22" spans="2:21" x14ac:dyDescent="0.35">
      <c r="B22" s="207" t="s">
        <v>146</v>
      </c>
      <c r="C22" s="176">
        <f>+C21</f>
        <v>155</v>
      </c>
      <c r="D22" s="177">
        <f t="shared" ref="D22:D27" si="7">+D21</f>
        <v>-17.75</v>
      </c>
      <c r="E22" s="176">
        <f t="shared" ref="E22:F24" si="8">+E21</f>
        <v>165</v>
      </c>
      <c r="F22" s="177">
        <f t="shared" si="8"/>
        <v>10.65</v>
      </c>
      <c r="G22" s="122">
        <f t="shared" si="0"/>
        <v>-7.1</v>
      </c>
      <c r="I22" s="217">
        <f t="shared" ref="I22:I27" si="9">+I21+10</f>
        <v>150</v>
      </c>
      <c r="K22" s="208">
        <f t="shared" si="1"/>
        <v>0</v>
      </c>
      <c r="L22" s="208">
        <f t="shared" si="2"/>
        <v>-7.1</v>
      </c>
      <c r="M22" s="208"/>
      <c r="N22" s="208">
        <f t="shared" si="3"/>
        <v>-7.1</v>
      </c>
      <c r="R22" s="223">
        <f t="shared" ref="R22:R27" si="10">+R21+2</f>
        <v>-6</v>
      </c>
      <c r="S22" s="223">
        <f t="shared" si="4"/>
        <v>150</v>
      </c>
      <c r="T22" s="4">
        <f t="shared" si="5"/>
        <v>0</v>
      </c>
      <c r="U22" s="4">
        <f t="shared" si="6"/>
        <v>-7.1</v>
      </c>
    </row>
    <row r="23" spans="2:21" x14ac:dyDescent="0.35">
      <c r="B23" s="207" t="s">
        <v>146</v>
      </c>
      <c r="C23" s="176">
        <f>+C22</f>
        <v>155</v>
      </c>
      <c r="D23" s="177">
        <f>+D22</f>
        <v>-17.75</v>
      </c>
      <c r="E23" s="176">
        <f t="shared" si="8"/>
        <v>165</v>
      </c>
      <c r="F23" s="177">
        <f t="shared" si="8"/>
        <v>10.65</v>
      </c>
      <c r="G23" s="122">
        <f t="shared" si="0"/>
        <v>-7.1</v>
      </c>
      <c r="I23" s="217">
        <f>+I22+10</f>
        <v>160</v>
      </c>
      <c r="K23" s="208">
        <f t="shared" si="1"/>
        <v>5</v>
      </c>
      <c r="L23" s="208">
        <f t="shared" si="2"/>
        <v>-2.0999999999999996</v>
      </c>
      <c r="M23" s="208"/>
      <c r="N23" s="208">
        <f t="shared" si="3"/>
        <v>-7.1</v>
      </c>
      <c r="R23" s="223">
        <f t="shared" si="10"/>
        <v>-4</v>
      </c>
      <c r="S23" s="223">
        <f t="shared" si="4"/>
        <v>160</v>
      </c>
      <c r="T23" s="4">
        <f t="shared" si="5"/>
        <v>5</v>
      </c>
      <c r="U23" s="4">
        <f t="shared" si="6"/>
        <v>-2.0999999999999996</v>
      </c>
    </row>
    <row r="24" spans="2:21" x14ac:dyDescent="0.35">
      <c r="B24" s="507" t="s">
        <v>146</v>
      </c>
      <c r="C24" s="508">
        <f>+C23</f>
        <v>155</v>
      </c>
      <c r="D24" s="509">
        <f t="shared" ref="D24" si="11">+D23</f>
        <v>-17.75</v>
      </c>
      <c r="E24" s="508">
        <f t="shared" si="8"/>
        <v>165</v>
      </c>
      <c r="F24" s="509">
        <f t="shared" si="8"/>
        <v>10.65</v>
      </c>
      <c r="G24" s="510">
        <f t="shared" si="0"/>
        <v>-7.1</v>
      </c>
      <c r="H24" s="511"/>
      <c r="I24" s="512">
        <f>+E24-L27</f>
        <v>162.1</v>
      </c>
      <c r="J24" s="511"/>
      <c r="K24" s="513">
        <f t="shared" si="1"/>
        <v>7.0999999999999943</v>
      </c>
      <c r="L24" s="513">
        <f t="shared" si="2"/>
        <v>0</v>
      </c>
      <c r="M24" s="513"/>
      <c r="N24" s="513"/>
      <c r="O24" s="53" t="s">
        <v>152</v>
      </c>
      <c r="R24" s="223">
        <f t="shared" si="10"/>
        <v>-2</v>
      </c>
      <c r="S24" s="223">
        <f t="shared" si="4"/>
        <v>162.1</v>
      </c>
      <c r="T24" s="4">
        <f t="shared" si="5"/>
        <v>7.0999999999999943</v>
      </c>
      <c r="U24" s="4">
        <f t="shared" si="6"/>
        <v>0</v>
      </c>
    </row>
    <row r="25" spans="2:21" x14ac:dyDescent="0.35">
      <c r="B25" s="207" t="s">
        <v>146</v>
      </c>
      <c r="C25" s="176">
        <f>+C23</f>
        <v>155</v>
      </c>
      <c r="D25" s="177">
        <f>+D23</f>
        <v>-17.75</v>
      </c>
      <c r="E25" s="176">
        <f>+E23</f>
        <v>165</v>
      </c>
      <c r="F25" s="177">
        <f>+F23</f>
        <v>10.65</v>
      </c>
      <c r="G25" s="122">
        <f t="shared" si="0"/>
        <v>-7.1</v>
      </c>
      <c r="I25" s="217">
        <f>+I23+10</f>
        <v>170</v>
      </c>
      <c r="K25" s="208">
        <f t="shared" si="1"/>
        <v>10</v>
      </c>
      <c r="L25" s="208">
        <f t="shared" si="2"/>
        <v>2.9000000000000004</v>
      </c>
      <c r="M25" s="208">
        <f>+$L$27</f>
        <v>2.9000000000000004</v>
      </c>
      <c r="N25" s="208"/>
      <c r="R25" s="223">
        <f t="shared" si="10"/>
        <v>0</v>
      </c>
      <c r="S25" s="223">
        <f t="shared" si="4"/>
        <v>170</v>
      </c>
      <c r="T25" s="4">
        <f t="shared" si="5"/>
        <v>10</v>
      </c>
      <c r="U25" s="4">
        <f t="shared" si="6"/>
        <v>2.9000000000000004</v>
      </c>
    </row>
    <row r="26" spans="2:21" x14ac:dyDescent="0.35">
      <c r="B26" s="207" t="s">
        <v>146</v>
      </c>
      <c r="C26" s="176">
        <f>+C25</f>
        <v>155</v>
      </c>
      <c r="D26" s="177">
        <f t="shared" si="7"/>
        <v>-17.75</v>
      </c>
      <c r="E26" s="176">
        <f>+E25</f>
        <v>165</v>
      </c>
      <c r="F26" s="177">
        <f t="shared" ref="F26:F27" si="12">+F25</f>
        <v>10.65</v>
      </c>
      <c r="G26" s="122">
        <f t="shared" si="0"/>
        <v>-7.1</v>
      </c>
      <c r="I26" s="217">
        <f t="shared" si="9"/>
        <v>180</v>
      </c>
      <c r="K26" s="208">
        <f t="shared" si="1"/>
        <v>10</v>
      </c>
      <c r="L26" s="208">
        <f t="shared" si="2"/>
        <v>2.9000000000000004</v>
      </c>
      <c r="M26" s="208">
        <f>+$L$27</f>
        <v>2.9000000000000004</v>
      </c>
      <c r="N26" s="208"/>
      <c r="R26" s="223">
        <f t="shared" si="10"/>
        <v>2</v>
      </c>
      <c r="S26" s="223">
        <f t="shared" si="4"/>
        <v>180</v>
      </c>
      <c r="T26" s="4">
        <f t="shared" si="5"/>
        <v>10</v>
      </c>
      <c r="U26" s="4">
        <f t="shared" si="6"/>
        <v>2.9000000000000004</v>
      </c>
    </row>
    <row r="27" spans="2:21" x14ac:dyDescent="0.35">
      <c r="B27" s="207" t="s">
        <v>146</v>
      </c>
      <c r="C27" s="176">
        <f>+C26</f>
        <v>155</v>
      </c>
      <c r="D27" s="177">
        <f t="shared" si="7"/>
        <v>-17.75</v>
      </c>
      <c r="E27" s="176">
        <f>+E26</f>
        <v>165</v>
      </c>
      <c r="F27" s="177">
        <f t="shared" si="12"/>
        <v>10.65</v>
      </c>
      <c r="G27" s="122">
        <f t="shared" si="0"/>
        <v>-7.1</v>
      </c>
      <c r="I27" s="217">
        <f t="shared" si="9"/>
        <v>190</v>
      </c>
      <c r="K27" s="208">
        <f t="shared" si="1"/>
        <v>10</v>
      </c>
      <c r="L27" s="208">
        <f t="shared" si="2"/>
        <v>2.9000000000000004</v>
      </c>
      <c r="M27" s="208">
        <f>+$L$27</f>
        <v>2.9000000000000004</v>
      </c>
      <c r="N27" s="208"/>
      <c r="R27" s="223">
        <f t="shared" si="10"/>
        <v>4</v>
      </c>
      <c r="S27" s="223">
        <f t="shared" si="4"/>
        <v>190</v>
      </c>
      <c r="T27" s="4">
        <f t="shared" si="5"/>
        <v>10</v>
      </c>
      <c r="U27" s="4">
        <f t="shared" si="6"/>
        <v>2.9000000000000004</v>
      </c>
    </row>
    <row r="28" spans="2:21" x14ac:dyDescent="0.35">
      <c r="N28" s="1"/>
    </row>
    <row r="29" spans="2:21" x14ac:dyDescent="0.35">
      <c r="N29" s="1"/>
      <c r="O29" s="1" t="s">
        <v>151</v>
      </c>
    </row>
    <row r="30" spans="2:21" x14ac:dyDescent="0.35">
      <c r="I30" s="1"/>
      <c r="J30" s="4"/>
      <c r="O30" s="1"/>
    </row>
  </sheetData>
  <mergeCells count="4">
    <mergeCell ref="B17:G17"/>
    <mergeCell ref="K17:N17"/>
    <mergeCell ref="C3:E3"/>
    <mergeCell ref="F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A082-C89A-45A5-BB2E-9875392507A9}">
  <dimension ref="A1:AW30"/>
  <sheetViews>
    <sheetView showGridLines="0" workbookViewId="0">
      <selection activeCell="B1" sqref="B1:O27"/>
    </sheetView>
  </sheetViews>
  <sheetFormatPr defaultRowHeight="14.5" x14ac:dyDescent="0.35"/>
  <cols>
    <col min="1" max="1" width="2.7265625" customWidth="1"/>
    <col min="2" max="2" width="20.81640625" customWidth="1"/>
    <col min="3" max="3" width="8.7265625" customWidth="1"/>
    <col min="4" max="4" width="9.6328125" customWidth="1"/>
    <col min="5" max="5" width="10.26953125" customWidth="1"/>
    <col min="6" max="6" width="9.6328125" customWidth="1"/>
    <col min="7" max="7" width="10.90625" customWidth="1"/>
    <col min="8" max="8" width="9.453125" customWidth="1"/>
    <col min="9" max="9" width="9.54296875" customWidth="1"/>
    <col min="10" max="10" width="2.453125" customWidth="1"/>
    <col min="11" max="11" width="8.36328125" customWidth="1"/>
    <col min="12" max="12" width="7.90625" customWidth="1"/>
    <col min="13" max="13" width="10.90625" customWidth="1"/>
    <col min="14" max="15" width="10.08984375" customWidth="1"/>
  </cols>
  <sheetData>
    <row r="1" spans="1:49" ht="24" customHeight="1" x14ac:dyDescent="0.35">
      <c r="B1" s="76" t="s">
        <v>153</v>
      </c>
      <c r="C1" s="74"/>
      <c r="D1" s="74"/>
      <c r="E1" s="74"/>
      <c r="F1" s="74"/>
      <c r="G1" s="74"/>
      <c r="H1" s="13"/>
      <c r="I1" s="13"/>
      <c r="J1" s="74"/>
      <c r="K1" s="77"/>
      <c r="L1" s="77"/>
      <c r="M1" s="75" t="s">
        <v>128</v>
      </c>
      <c r="N1" s="78">
        <f>+'Figure 13.4'!N1</f>
        <v>163</v>
      </c>
      <c r="O1" s="79" t="s">
        <v>584</v>
      </c>
    </row>
    <row r="2" spans="1:49" ht="9.5" customHeight="1" thickBot="1" x14ac:dyDescent="0.4"/>
    <row r="3" spans="1:49" ht="16.75" customHeight="1" x14ac:dyDescent="0.35">
      <c r="A3" s="17"/>
      <c r="B3" s="62" t="s">
        <v>19</v>
      </c>
      <c r="C3" s="696" t="s">
        <v>46</v>
      </c>
      <c r="D3" s="697"/>
      <c r="E3" s="698"/>
      <c r="F3" s="696" t="s">
        <v>45</v>
      </c>
      <c r="G3" s="697"/>
      <c r="H3" s="69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46.75" customHeight="1" x14ac:dyDescent="0.35">
      <c r="A4" s="17"/>
      <c r="B4" s="85" t="s">
        <v>9</v>
      </c>
      <c r="C4" s="10" t="s">
        <v>10</v>
      </c>
      <c r="D4" s="9" t="s">
        <v>11</v>
      </c>
      <c r="E4" s="11" t="s">
        <v>12</v>
      </c>
      <c r="F4" s="10" t="s">
        <v>10</v>
      </c>
      <c r="G4" s="9" t="s">
        <v>11</v>
      </c>
      <c r="H4" s="11" t="s">
        <v>12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0.5" customHeight="1" x14ac:dyDescent="0.35">
      <c r="A5" s="17"/>
      <c r="B5" s="63">
        <v>150</v>
      </c>
      <c r="C5" s="20">
        <v>20</v>
      </c>
      <c r="D5" s="21">
        <v>21.5</v>
      </c>
      <c r="E5" s="22">
        <v>23</v>
      </c>
      <c r="F5" s="23">
        <v>3</v>
      </c>
      <c r="G5" s="24">
        <v>3.5</v>
      </c>
      <c r="H5" s="25">
        <v>4.45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20.5" customHeight="1" x14ac:dyDescent="0.35">
      <c r="A6" s="17"/>
      <c r="B6" s="63">
        <v>155</v>
      </c>
      <c r="C6" s="20">
        <v>15.5</v>
      </c>
      <c r="D6" s="21">
        <v>16.25</v>
      </c>
      <c r="E6" s="22">
        <v>17.75</v>
      </c>
      <c r="F6" s="23">
        <v>4.0999999999999996</v>
      </c>
      <c r="G6" s="24">
        <v>4.9000000000000004</v>
      </c>
      <c r="H6" s="25">
        <v>5.9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5" customHeight="1" x14ac:dyDescent="0.35">
      <c r="A7" s="17"/>
      <c r="B7" s="65">
        <v>160</v>
      </c>
      <c r="C7" s="20">
        <v>12.5</v>
      </c>
      <c r="D7" s="21">
        <v>12.85</v>
      </c>
      <c r="E7" s="22">
        <v>13.5</v>
      </c>
      <c r="F7" s="23">
        <v>5.3</v>
      </c>
      <c r="G7" s="224">
        <v>6</v>
      </c>
      <c r="H7" s="25">
        <v>6.8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ht="20.5" customHeight="1" x14ac:dyDescent="0.35">
      <c r="A8" s="17"/>
      <c r="B8" s="63">
        <v>165</v>
      </c>
      <c r="C8" s="20">
        <v>8.1</v>
      </c>
      <c r="D8" s="21">
        <v>9</v>
      </c>
      <c r="E8" s="22">
        <v>10.65</v>
      </c>
      <c r="F8" s="23">
        <v>7</v>
      </c>
      <c r="G8" s="24">
        <v>8</v>
      </c>
      <c r="H8" s="25">
        <v>9.1999999999999993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ht="20.5" customHeight="1" x14ac:dyDescent="0.35">
      <c r="A9" s="17"/>
      <c r="B9" s="65">
        <v>170</v>
      </c>
      <c r="C9" s="20">
        <v>5.2</v>
      </c>
      <c r="D9" s="21">
        <v>6.3</v>
      </c>
      <c r="E9" s="22">
        <v>8.5</v>
      </c>
      <c r="F9" s="23">
        <v>9.4</v>
      </c>
      <c r="G9" s="224">
        <v>10.75</v>
      </c>
      <c r="H9" s="25">
        <v>12.45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ht="20.5" customHeight="1" x14ac:dyDescent="0.35">
      <c r="A10" s="17"/>
      <c r="B10" s="63">
        <v>175</v>
      </c>
      <c r="C10" s="20">
        <v>3.25</v>
      </c>
      <c r="D10" s="21">
        <v>4.25</v>
      </c>
      <c r="E10" s="22">
        <v>5.75</v>
      </c>
      <c r="F10" s="23">
        <v>13</v>
      </c>
      <c r="G10" s="24">
        <v>14.3</v>
      </c>
      <c r="H10" s="25">
        <v>14.2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ht="20.5" customHeight="1" thickBot="1" x14ac:dyDescent="0.4">
      <c r="A11" s="17"/>
      <c r="B11" s="64">
        <v>180</v>
      </c>
      <c r="C11" s="26">
        <v>2.5</v>
      </c>
      <c r="D11" s="27">
        <v>3.4</v>
      </c>
      <c r="E11" s="28">
        <v>4.45</v>
      </c>
      <c r="F11" s="29">
        <v>15</v>
      </c>
      <c r="G11" s="30">
        <v>16.100000000000001</v>
      </c>
      <c r="H11" s="31">
        <v>17.75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ht="12" customHeight="1" x14ac:dyDescent="0.35">
      <c r="A12" s="17"/>
      <c r="B12" s="14"/>
      <c r="M12" s="100"/>
      <c r="O12" s="10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4" customHeight="1" x14ac:dyDescent="0.35">
      <c r="B13" s="170" t="s">
        <v>577</v>
      </c>
      <c r="C13" s="12" t="s">
        <v>154</v>
      </c>
      <c r="D13" s="2"/>
      <c r="E13" s="8"/>
      <c r="H13" s="1"/>
      <c r="I13" s="4"/>
    </row>
    <row r="14" spans="1:49" ht="14" customHeight="1" x14ac:dyDescent="0.35">
      <c r="B14" s="170" t="s">
        <v>136</v>
      </c>
      <c r="C14" s="12" t="s">
        <v>155</v>
      </c>
      <c r="D14" s="2"/>
      <c r="E14" s="8"/>
      <c r="H14" s="1"/>
      <c r="I14" s="4"/>
    </row>
    <row r="15" spans="1:49" ht="14" customHeight="1" x14ac:dyDescent="0.35">
      <c r="B15" s="1"/>
      <c r="C15" s="12" t="s">
        <v>158</v>
      </c>
      <c r="D15" s="2"/>
      <c r="E15" s="8"/>
      <c r="H15" s="1"/>
      <c r="I15" s="4"/>
    </row>
    <row r="16" spans="1:49" ht="14" customHeight="1" thickBot="1" x14ac:dyDescent="0.4">
      <c r="B16" s="1"/>
      <c r="C16" s="1"/>
      <c r="D16" s="2"/>
      <c r="E16" s="8"/>
      <c r="H16" s="1"/>
      <c r="I16" s="4"/>
    </row>
    <row r="17" spans="2:21" ht="20.5" customHeight="1" thickBot="1" x14ac:dyDescent="0.4">
      <c r="B17" s="701" t="s">
        <v>18</v>
      </c>
      <c r="C17" s="743"/>
      <c r="D17" s="743"/>
      <c r="E17" s="743"/>
      <c r="F17" s="743"/>
      <c r="G17" s="702"/>
      <c r="I17" s="215"/>
      <c r="K17" s="744" t="s">
        <v>17</v>
      </c>
      <c r="L17" s="745"/>
      <c r="M17" s="745"/>
      <c r="N17" s="745"/>
    </row>
    <row r="18" spans="2:21" ht="26.4" customHeight="1" x14ac:dyDescent="0.35">
      <c r="B18" s="171"/>
      <c r="C18" s="212" t="s">
        <v>140</v>
      </c>
      <c r="D18" s="213" t="s">
        <v>112</v>
      </c>
      <c r="E18" s="213" t="s">
        <v>139</v>
      </c>
      <c r="F18" s="213" t="s">
        <v>113</v>
      </c>
      <c r="G18" s="214" t="s">
        <v>24</v>
      </c>
      <c r="I18" s="216" t="s">
        <v>25</v>
      </c>
      <c r="K18" s="218" t="s">
        <v>160</v>
      </c>
      <c r="L18" s="129"/>
      <c r="M18" s="129"/>
      <c r="N18" s="129"/>
    </row>
    <row r="19" spans="2:21" ht="75.400000000000006" customHeight="1" x14ac:dyDescent="0.35">
      <c r="B19" s="211" t="s">
        <v>91</v>
      </c>
      <c r="C19" s="80" t="s">
        <v>157</v>
      </c>
      <c r="D19" s="80" t="s">
        <v>143</v>
      </c>
      <c r="E19" s="80" t="s">
        <v>142</v>
      </c>
      <c r="F19" s="80" t="s">
        <v>145</v>
      </c>
      <c r="G19" s="210" t="s">
        <v>144</v>
      </c>
      <c r="I19" s="85" t="s">
        <v>90</v>
      </c>
      <c r="K19" s="7" t="s">
        <v>147</v>
      </c>
      <c r="L19" s="7" t="s">
        <v>67</v>
      </c>
      <c r="M19" s="7" t="s">
        <v>162</v>
      </c>
      <c r="N19" s="7" t="s">
        <v>163</v>
      </c>
      <c r="T19" t="s">
        <v>6</v>
      </c>
      <c r="U19" t="s">
        <v>7</v>
      </c>
    </row>
    <row r="20" spans="2:21" x14ac:dyDescent="0.35">
      <c r="B20" s="207" t="s">
        <v>156</v>
      </c>
      <c r="C20" s="176">
        <f>+B9</f>
        <v>170</v>
      </c>
      <c r="D20" s="177">
        <f>-G9</f>
        <v>-10.75</v>
      </c>
      <c r="E20" s="176">
        <f>+B7</f>
        <v>160</v>
      </c>
      <c r="F20" s="177">
        <f>+G7</f>
        <v>6</v>
      </c>
      <c r="G20" s="122">
        <f>+F20+D20</f>
        <v>-4.75</v>
      </c>
      <c r="I20" s="217">
        <v>130</v>
      </c>
      <c r="K20" s="208">
        <f t="shared" ref="K20" si="0">MAX(0,C20-I20)-MAX(0,E20-I20)</f>
        <v>10</v>
      </c>
      <c r="L20" s="208">
        <f>+K20+G20</f>
        <v>5.25</v>
      </c>
      <c r="M20" s="208"/>
      <c r="N20" s="208">
        <f>+$L$20</f>
        <v>5.25</v>
      </c>
      <c r="R20">
        <v>-8</v>
      </c>
      <c r="S20" s="223">
        <f>+I20</f>
        <v>130</v>
      </c>
      <c r="T20" s="4">
        <f>+K20</f>
        <v>10</v>
      </c>
      <c r="U20" s="4">
        <f>+L20</f>
        <v>5.25</v>
      </c>
    </row>
    <row r="21" spans="2:21" x14ac:dyDescent="0.35">
      <c r="B21" s="207" t="s">
        <v>156</v>
      </c>
      <c r="C21" s="176">
        <f>+C20</f>
        <v>170</v>
      </c>
      <c r="D21" s="177">
        <f>+D20</f>
        <v>-10.75</v>
      </c>
      <c r="E21" s="176">
        <f>+E20</f>
        <v>160</v>
      </c>
      <c r="F21" s="177">
        <f>+F20</f>
        <v>6</v>
      </c>
      <c r="G21" s="122">
        <f t="shared" ref="G21:G27" si="1">+F21+D21</f>
        <v>-4.75</v>
      </c>
      <c r="I21" s="217">
        <f>+I20+10</f>
        <v>140</v>
      </c>
      <c r="K21" s="208">
        <f>MAX(0,C21-I21)-MAX(0,E21-I21)</f>
        <v>10</v>
      </c>
      <c r="L21" s="208">
        <f t="shared" ref="L21:L27" si="2">+K21+G21</f>
        <v>5.25</v>
      </c>
      <c r="M21" s="208"/>
      <c r="N21" s="208">
        <f t="shared" ref="N21:N23" si="3">+$L$20</f>
        <v>5.25</v>
      </c>
      <c r="R21">
        <f>+R20+2</f>
        <v>-6</v>
      </c>
      <c r="S21" s="223">
        <f t="shared" ref="S21:S27" si="4">+I21</f>
        <v>140</v>
      </c>
      <c r="T21" s="4">
        <f t="shared" ref="T21:T27" si="5">+K21</f>
        <v>10</v>
      </c>
      <c r="U21" s="4">
        <f t="shared" ref="U21:U27" si="6">+L21</f>
        <v>5.25</v>
      </c>
    </row>
    <row r="22" spans="2:21" x14ac:dyDescent="0.35">
      <c r="B22" s="207" t="s">
        <v>156</v>
      </c>
      <c r="C22" s="176">
        <f>+C21</f>
        <v>170</v>
      </c>
      <c r="D22" s="177">
        <f t="shared" ref="D22:D27" si="7">+D21</f>
        <v>-10.75</v>
      </c>
      <c r="E22" s="176">
        <f t="shared" ref="E22:F24" si="8">+E21</f>
        <v>160</v>
      </c>
      <c r="F22" s="177">
        <f t="shared" si="8"/>
        <v>6</v>
      </c>
      <c r="G22" s="122">
        <f t="shared" si="1"/>
        <v>-4.75</v>
      </c>
      <c r="I22" s="217">
        <f t="shared" ref="I22:I27" si="9">+I21+10</f>
        <v>150</v>
      </c>
      <c r="K22" s="208">
        <f t="shared" ref="K22:K27" si="10">MAX(0,C22-I22)-MAX(0,E22-I22)</f>
        <v>10</v>
      </c>
      <c r="L22" s="208">
        <f t="shared" si="2"/>
        <v>5.25</v>
      </c>
      <c r="M22" s="208"/>
      <c r="N22" s="208">
        <f t="shared" si="3"/>
        <v>5.25</v>
      </c>
      <c r="R22">
        <f t="shared" ref="R22:R27" si="11">+R21+2</f>
        <v>-4</v>
      </c>
      <c r="S22" s="223">
        <f t="shared" si="4"/>
        <v>150</v>
      </c>
      <c r="T22" s="4">
        <f t="shared" si="5"/>
        <v>10</v>
      </c>
      <c r="U22" s="4">
        <f t="shared" si="6"/>
        <v>5.25</v>
      </c>
    </row>
    <row r="23" spans="2:21" x14ac:dyDescent="0.35">
      <c r="B23" s="207" t="s">
        <v>156</v>
      </c>
      <c r="C23" s="176">
        <f>+C22</f>
        <v>170</v>
      </c>
      <c r="D23" s="177">
        <f>+D22</f>
        <v>-10.75</v>
      </c>
      <c r="E23" s="176">
        <f t="shared" si="8"/>
        <v>160</v>
      </c>
      <c r="F23" s="177">
        <f t="shared" si="8"/>
        <v>6</v>
      </c>
      <c r="G23" s="122">
        <f t="shared" si="1"/>
        <v>-4.75</v>
      </c>
      <c r="I23" s="217">
        <f>+I22+10</f>
        <v>160</v>
      </c>
      <c r="K23" s="208">
        <f t="shared" si="10"/>
        <v>10</v>
      </c>
      <c r="L23" s="208">
        <f t="shared" si="2"/>
        <v>5.25</v>
      </c>
      <c r="M23" s="208"/>
      <c r="N23" s="208">
        <f t="shared" si="3"/>
        <v>5.25</v>
      </c>
      <c r="R23">
        <f t="shared" si="11"/>
        <v>-2</v>
      </c>
      <c r="S23" s="223">
        <f t="shared" si="4"/>
        <v>160</v>
      </c>
      <c r="T23" s="4">
        <f t="shared" si="5"/>
        <v>10</v>
      </c>
      <c r="U23" s="4">
        <f t="shared" si="6"/>
        <v>5.25</v>
      </c>
    </row>
    <row r="24" spans="2:21" x14ac:dyDescent="0.35">
      <c r="B24" s="514" t="s">
        <v>156</v>
      </c>
      <c r="C24" s="508">
        <f>+C23</f>
        <v>170</v>
      </c>
      <c r="D24" s="509">
        <f t="shared" ref="D24" si="12">+D23</f>
        <v>-10.75</v>
      </c>
      <c r="E24" s="508">
        <f t="shared" si="8"/>
        <v>160</v>
      </c>
      <c r="F24" s="509">
        <f t="shared" si="8"/>
        <v>6</v>
      </c>
      <c r="G24" s="510">
        <f t="shared" si="1"/>
        <v>-4.75</v>
      </c>
      <c r="H24" s="511"/>
      <c r="I24" s="512">
        <f>+I23+L23</f>
        <v>165.25</v>
      </c>
      <c r="J24" s="511"/>
      <c r="K24" s="513">
        <f t="shared" si="10"/>
        <v>4.75</v>
      </c>
      <c r="L24" s="513">
        <f t="shared" si="2"/>
        <v>0</v>
      </c>
      <c r="M24" s="513"/>
      <c r="N24" s="513"/>
      <c r="O24" s="53" t="s">
        <v>152</v>
      </c>
      <c r="R24">
        <f t="shared" si="11"/>
        <v>0</v>
      </c>
      <c r="S24" s="223">
        <f t="shared" si="4"/>
        <v>165.25</v>
      </c>
      <c r="T24" s="4">
        <f t="shared" si="5"/>
        <v>4.75</v>
      </c>
      <c r="U24" s="4">
        <f t="shared" si="6"/>
        <v>0</v>
      </c>
    </row>
    <row r="25" spans="2:21" x14ac:dyDescent="0.35">
      <c r="B25" s="207" t="s">
        <v>156</v>
      </c>
      <c r="C25" s="176">
        <f>+C23</f>
        <v>170</v>
      </c>
      <c r="D25" s="177">
        <f>+D23</f>
        <v>-10.75</v>
      </c>
      <c r="E25" s="176">
        <f>+E23</f>
        <v>160</v>
      </c>
      <c r="F25" s="177">
        <f>+F23</f>
        <v>6</v>
      </c>
      <c r="G25" s="122">
        <f t="shared" si="1"/>
        <v>-4.75</v>
      </c>
      <c r="I25" s="217">
        <f>+I23+10</f>
        <v>170</v>
      </c>
      <c r="K25" s="208">
        <f t="shared" si="10"/>
        <v>0</v>
      </c>
      <c r="L25" s="208">
        <f t="shared" si="2"/>
        <v>-4.75</v>
      </c>
      <c r="M25" s="208">
        <f>+$L$27</f>
        <v>-4.75</v>
      </c>
      <c r="N25" s="208"/>
      <c r="R25">
        <f t="shared" si="11"/>
        <v>2</v>
      </c>
      <c r="S25" s="223">
        <f t="shared" si="4"/>
        <v>170</v>
      </c>
      <c r="T25" s="4">
        <f t="shared" si="5"/>
        <v>0</v>
      </c>
      <c r="U25" s="4">
        <f t="shared" si="6"/>
        <v>-4.75</v>
      </c>
    </row>
    <row r="26" spans="2:21" x14ac:dyDescent="0.35">
      <c r="B26" s="207" t="s">
        <v>156</v>
      </c>
      <c r="C26" s="176">
        <f>+C25</f>
        <v>170</v>
      </c>
      <c r="D26" s="177">
        <f t="shared" si="7"/>
        <v>-10.75</v>
      </c>
      <c r="E26" s="176">
        <f>+E25</f>
        <v>160</v>
      </c>
      <c r="F26" s="177">
        <f t="shared" ref="F26:F27" si="13">+F25</f>
        <v>6</v>
      </c>
      <c r="G26" s="122">
        <f t="shared" si="1"/>
        <v>-4.75</v>
      </c>
      <c r="I26" s="217">
        <f t="shared" si="9"/>
        <v>180</v>
      </c>
      <c r="K26" s="208">
        <f t="shared" si="10"/>
        <v>0</v>
      </c>
      <c r="L26" s="208">
        <f t="shared" si="2"/>
        <v>-4.75</v>
      </c>
      <c r="M26" s="208">
        <f t="shared" ref="M26:M27" si="14">+$L$27</f>
        <v>-4.75</v>
      </c>
      <c r="N26" s="208"/>
      <c r="R26">
        <f t="shared" si="11"/>
        <v>4</v>
      </c>
      <c r="S26" s="223">
        <f t="shared" si="4"/>
        <v>180</v>
      </c>
      <c r="T26" s="4">
        <f t="shared" si="5"/>
        <v>0</v>
      </c>
      <c r="U26" s="4">
        <f t="shared" si="6"/>
        <v>-4.75</v>
      </c>
    </row>
    <row r="27" spans="2:21" x14ac:dyDescent="0.35">
      <c r="B27" s="207" t="s">
        <v>156</v>
      </c>
      <c r="C27" s="176">
        <f>+C26</f>
        <v>170</v>
      </c>
      <c r="D27" s="177">
        <f t="shared" si="7"/>
        <v>-10.75</v>
      </c>
      <c r="E27" s="176">
        <f>+E26</f>
        <v>160</v>
      </c>
      <c r="F27" s="177">
        <f t="shared" si="13"/>
        <v>6</v>
      </c>
      <c r="G27" s="122">
        <f t="shared" si="1"/>
        <v>-4.75</v>
      </c>
      <c r="I27" s="217">
        <f t="shared" si="9"/>
        <v>190</v>
      </c>
      <c r="K27" s="208">
        <f t="shared" si="10"/>
        <v>0</v>
      </c>
      <c r="L27" s="208">
        <f t="shared" si="2"/>
        <v>-4.75</v>
      </c>
      <c r="M27" s="208">
        <f t="shared" si="14"/>
        <v>-4.75</v>
      </c>
      <c r="N27" s="208"/>
      <c r="R27">
        <f t="shared" si="11"/>
        <v>6</v>
      </c>
      <c r="S27" s="223">
        <f t="shared" si="4"/>
        <v>190</v>
      </c>
      <c r="T27" s="4">
        <f t="shared" si="5"/>
        <v>0</v>
      </c>
      <c r="U27" s="4">
        <f t="shared" si="6"/>
        <v>-4.75</v>
      </c>
    </row>
    <row r="28" spans="2:21" x14ac:dyDescent="0.35">
      <c r="N28" s="1"/>
    </row>
    <row r="29" spans="2:21" x14ac:dyDescent="0.35">
      <c r="N29" s="1"/>
      <c r="O29" s="1" t="s">
        <v>161</v>
      </c>
    </row>
    <row r="30" spans="2:21" x14ac:dyDescent="0.35">
      <c r="I30" s="1"/>
      <c r="J30" s="4"/>
      <c r="O30" s="1"/>
    </row>
  </sheetData>
  <mergeCells count="4">
    <mergeCell ref="C3:E3"/>
    <mergeCell ref="F3:H3"/>
    <mergeCell ref="B17:G17"/>
    <mergeCell ref="K17:N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Figure 13.1</vt:lpstr>
      <vt:lpstr>Figure 13.2</vt:lpstr>
      <vt:lpstr>Figure 13.3</vt:lpstr>
      <vt:lpstr>Figure 13.4</vt:lpstr>
      <vt:lpstr>Figure 13.5</vt:lpstr>
      <vt:lpstr>Figure 13.6</vt:lpstr>
      <vt:lpstr>Figure 13.7</vt:lpstr>
      <vt:lpstr>Figure 13.8</vt:lpstr>
      <vt:lpstr>Figure 13.9</vt:lpstr>
      <vt:lpstr>Figure 13.10</vt:lpstr>
      <vt:lpstr>Figure 13.11</vt:lpstr>
      <vt:lpstr>Figure 13.12</vt:lpstr>
      <vt:lpstr>Figure 13.13</vt:lpstr>
      <vt:lpstr>Figure 13.14</vt:lpstr>
      <vt:lpstr>Figure 13.15</vt:lpstr>
      <vt:lpstr>Figure 13.16</vt:lpstr>
      <vt:lpstr>Figure 13.17</vt:lpstr>
      <vt:lpstr>Figure 13.18</vt:lpstr>
      <vt:lpstr>Figure 13.19</vt:lpstr>
      <vt:lpstr>Figure 13.20</vt:lpstr>
      <vt:lpstr>Figure 13.21</vt:lpstr>
      <vt:lpstr>Figure 13.22</vt:lpstr>
      <vt:lpstr>Figure 13.23</vt:lpstr>
      <vt:lpstr>Figure 13.24</vt:lpstr>
      <vt:lpstr>INSTRUCTORS</vt:lpstr>
      <vt:lpstr>Testing the Market</vt:lpstr>
      <vt:lpstr>EuropeanCall</vt:lpstr>
      <vt:lpstr>AmericanPut</vt:lpstr>
      <vt:lpstr>OptionsonFuture</vt:lpstr>
      <vt:lpstr>10PeriodBOPM</vt:lpstr>
      <vt:lpstr>15PeriodBOPM</vt:lpstr>
      <vt:lpstr>Sheet13</vt:lpstr>
      <vt:lpstr>Sheet6</vt:lpstr>
      <vt:lpstr>Sheet14</vt:lpstr>
      <vt:lpstr>Sheet9</vt:lpstr>
      <vt:lpstr>'Figure 13.20'!Print_Area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2020-10-06T22:12:33Z</cp:lastPrinted>
  <dcterms:created xsi:type="dcterms:W3CDTF">2016-09-18T16:28:57Z</dcterms:created>
  <dcterms:modified xsi:type="dcterms:W3CDTF">2023-10-23T08:31:39Z</dcterms:modified>
</cp:coreProperties>
</file>